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https://icetex-my.sharepoint.com/personal/asanchezr_icetex_gov_co/Documents/"/>
    </mc:Choice>
  </mc:AlternateContent>
  <xr:revisionPtr revIDLastSave="41867" documentId="8_{502C70BF-BDBC-4E9C-8F51-65B174A7020E}" xr6:coauthVersionLast="47" xr6:coauthVersionMax="47" xr10:uidLastSave="{9BC5F809-1DD7-4CAC-9C25-E2E7CC17D058}"/>
  <bookViews>
    <workbookView xWindow="-120" yWindow="-120" windowWidth="20730" windowHeight="11160" firstSheet="4" activeTab="4" xr2:uid="{B6A850B3-1786-4072-939F-0152504D2779}"/>
  </bookViews>
  <sheets>
    <sheet name="MENU" sheetId="7" r:id="rId1"/>
    <sheet name="Hoja1" sheetId="8" state="hidden" r:id="rId2"/>
    <sheet name="Hoja2" sheetId="9" state="hidden" r:id="rId3"/>
    <sheet name="Hoja3" sheetId="10" state="hidden" r:id="rId4"/>
    <sheet name="CONTRATOS" sheetId="2" r:id="rId5"/>
    <sheet name="PROCESOS" sheetId="3" r:id="rId6"/>
    <sheet name="OTROSÍ CTO" sheetId="5" r:id="rId7"/>
    <sheet name="OTROSÍ CONV" sheetId="4" r:id="rId8"/>
    <sheet name="LIQUIDACIONES" sheetId="6" r:id="rId9"/>
    <sheet name="Listas" sheetId="1" r:id="rId10"/>
    <sheet name="CONT. VIGENTES" sheetId="11" r:id="rId11"/>
  </sheets>
  <definedNames>
    <definedName name="_xlnm._FilterDatabase" localSheetId="10" hidden="1">'CONT. VIGENTES'!$A$1:$CR$37</definedName>
    <definedName name="_xlnm._FilterDatabase" localSheetId="8" hidden="1">LIQUIDACIONES!$A$1:$CC$199</definedName>
    <definedName name="_xlnm._FilterDatabase" localSheetId="7" hidden="1">'OTROSÍ CONV'!$A$1:$AK$196</definedName>
    <definedName name="_xlnm._FilterDatabase" localSheetId="6" hidden="1">'OTROSÍ CTO'!$A$1:$AM$178</definedName>
    <definedName name="_xlnm._FilterDatabase" localSheetId="5" hidden="1">PROCESOS!$A$1:$F$1000</definedName>
    <definedName name="_xlnm._FilterDatabase" localSheetId="4" hidden="1">CONTRATOS!$A$1:$CR$1002</definedName>
    <definedName name="_Hlk104232410">CONTRATOS!$M$603</definedName>
    <definedName name="_Hlk112011606">CONTRATOS!$L$717</definedName>
    <definedName name="_Hlk113616823">CONTRATOS!$I$674</definedName>
    <definedName name="_Hlk118841670">PROCESOS!$E$844</definedName>
    <definedName name="_Hlk161317399">PROCESOS!$E$815</definedName>
    <definedName name="_Hlk91169232">CONTRATOS!$L$704</definedName>
    <definedName name="_Hlk94027716">PROCESOS!$E$412</definedName>
    <definedName name="_Hlk99553524">CONTRATOS!$L$589</definedName>
    <definedName name="AREA_ORDENADORA">Listas!$A$2:$A$14</definedName>
    <definedName name="AREA_SOLICITANTE">Listas!$E$2:$E$19</definedName>
    <definedName name="OFICINA_ASESORA_DE_COMUNICACIONES">Listas!$S$2:$S$3</definedName>
    <definedName name="OFICINA_ASESORA_DE_PLANEACIÓN">Listas!$M$2:$M$3</definedName>
    <definedName name="OFICINA_ASESORA_JURÍDICA">Listas!$N$2:$N$3</definedName>
    <definedName name="OFICINA_COMERCIAL_Y_DE_MERCADEO">Listas!$R$2:$R$5</definedName>
    <definedName name="OFICINA_DE_CONTROL_INTERNO">Listas!$O$2:$O$3</definedName>
    <definedName name="OFICINA_DE_RELACIONES_INTERNACIONALES">Listas!$P$2:$P$3</definedName>
    <definedName name="OFICINA_DE_RIESGOS">Listas!$Q$2:$Q$5</definedName>
    <definedName name="PRESIDENCIA">Listas!$G$2</definedName>
    <definedName name="SECRETARÍA_GENERAL">Listas!$H$2:$H$11</definedName>
    <definedName name="TERRITORIAL_CENTRO">Listas!$T$2</definedName>
    <definedName name="TERRITORIAL_NOROCCIDENTE">Listas!$U$2</definedName>
    <definedName name="TERRITORIAL_NORTE">Listas!$W$2</definedName>
    <definedName name="TERRITORIAL_ORIENTE">Listas!$X$2</definedName>
    <definedName name="TERRITORIAL_SUROCCIDENTE">Listas!$V$2</definedName>
    <definedName name="VICEPRESIDENCIA_DE_CRÉDITO_Y_COBRANZA">Listas!$I$2:$I$4</definedName>
    <definedName name="VICEPRESIDENCIA_DE_FONDOS_EN_ADMINISTRACIÓN">Listas!$J$2:$J$8</definedName>
    <definedName name="VICEPRESIDENCIA_DE_OPERACIONES_Y_TECNOLOGÍA">Listas!$K$2:$K$19</definedName>
    <definedName name="VICEPRESIDENCIA_FINANCIERA">Listas!$L$2:$L$11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75" i="2" l="1" a="1"/>
  <c r="R375" i="2" s="1"/>
  <c r="O4" i="5"/>
  <c r="P4" i="5"/>
  <c r="CH434" i="2"/>
  <c r="CI434" i="2" s="1"/>
  <c r="CC788" i="2"/>
  <c r="CE788" i="2" s="1"/>
  <c r="CC792" i="2"/>
  <c r="CE792" i="2" s="1"/>
  <c r="CC850" i="2"/>
  <c r="CE850" i="2" s="1"/>
  <c r="CK850" i="2" s="1"/>
  <c r="CC920" i="2"/>
  <c r="CC774" i="2"/>
  <c r="CE327" i="2"/>
  <c r="BJ327" i="2"/>
  <c r="CH327" i="2" s="1"/>
  <c r="CI327" i="2" s="1"/>
  <c r="Q172" i="2"/>
  <c r="AB172" i="2"/>
  <c r="AC172" i="2"/>
  <c r="AF172" i="2"/>
  <c r="AG172" i="2"/>
  <c r="AO172" i="2"/>
  <c r="BF172" i="2"/>
  <c r="CC172" i="2"/>
  <c r="CE172" i="2" s="1"/>
  <c r="Q173" i="2"/>
  <c r="AB173" i="2"/>
  <c r="AC173" i="2"/>
  <c r="AF173" i="2"/>
  <c r="AG173" i="2"/>
  <c r="AO173" i="2"/>
  <c r="BF173" i="2"/>
  <c r="BJ173" i="2" s="1"/>
  <c r="CC173" i="2"/>
  <c r="CE173" i="2" s="1"/>
  <c r="CK173" i="2" s="1"/>
  <c r="Q174" i="2"/>
  <c r="AB174" i="2"/>
  <c r="AC174" i="2"/>
  <c r="AF174" i="2"/>
  <c r="AG174" i="2"/>
  <c r="AO174" i="2"/>
  <c r="BF174" i="2"/>
  <c r="BJ174" i="2" s="1"/>
  <c r="CC174" i="2"/>
  <c r="CE174" i="2" s="1"/>
  <c r="CK174" i="2" s="1"/>
  <c r="Q175" i="2"/>
  <c r="AB175" i="2"/>
  <c r="AC175" i="2"/>
  <c r="AF175" i="2"/>
  <c r="AG175" i="2"/>
  <c r="AO175" i="2"/>
  <c r="BF175" i="2"/>
  <c r="CC175" i="2"/>
  <c r="CE175" i="2" s="1"/>
  <c r="CK175" i="2" s="1"/>
  <c r="Q176" i="2"/>
  <c r="AB176" i="2"/>
  <c r="AC176" i="2"/>
  <c r="AF176" i="2"/>
  <c r="AG176" i="2"/>
  <c r="AO176" i="2"/>
  <c r="BF176" i="2"/>
  <c r="CC176" i="2"/>
  <c r="CE176" i="2" s="1"/>
  <c r="Q177" i="2"/>
  <c r="AB177" i="2"/>
  <c r="AC177" i="2"/>
  <c r="AF177" i="2"/>
  <c r="AG177" i="2"/>
  <c r="AO177" i="2"/>
  <c r="BF177" i="2"/>
  <c r="CC177" i="2"/>
  <c r="CE177" i="2" s="1"/>
  <c r="Q178" i="2"/>
  <c r="AB178" i="2"/>
  <c r="AC178" i="2"/>
  <c r="AF178" i="2"/>
  <c r="AG178" i="2"/>
  <c r="AO178" i="2"/>
  <c r="BF178" i="2"/>
  <c r="BJ178" i="2" s="1"/>
  <c r="CH178" i="2" s="1"/>
  <c r="CI178" i="2" s="1"/>
  <c r="CC178" i="2"/>
  <c r="CE178" i="2" s="1"/>
  <c r="CK178" i="2" s="1"/>
  <c r="Q179" i="2"/>
  <c r="AB179" i="2"/>
  <c r="AC179" i="2"/>
  <c r="AF179" i="2"/>
  <c r="AG179" i="2"/>
  <c r="AO179" i="2"/>
  <c r="BF179" i="2"/>
  <c r="BJ179" i="2" s="1"/>
  <c r="CC179" i="2"/>
  <c r="CE179" i="2" s="1"/>
  <c r="Q180" i="2"/>
  <c r="AB180" i="2"/>
  <c r="AC180" i="2"/>
  <c r="AF180" i="2"/>
  <c r="AG180" i="2"/>
  <c r="AO180" i="2"/>
  <c r="BF180" i="2"/>
  <c r="CC180" i="2"/>
  <c r="CE180" i="2" s="1"/>
  <c r="CK180" i="2" s="1"/>
  <c r="Q181" i="2"/>
  <c r="AB181" i="2"/>
  <c r="AC181" i="2"/>
  <c r="AF181" i="2"/>
  <c r="AG181" i="2"/>
  <c r="AO181" i="2"/>
  <c r="BF181" i="2"/>
  <c r="CC181" i="2"/>
  <c r="CE181" i="2" s="1"/>
  <c r="CK181" i="2" s="1"/>
  <c r="Q182" i="2"/>
  <c r="AB182" i="2"/>
  <c r="AC182" i="2"/>
  <c r="AF182" i="2"/>
  <c r="AG182" i="2"/>
  <c r="AO182" i="2"/>
  <c r="BF182" i="2"/>
  <c r="BJ182" i="2" s="1"/>
  <c r="CC182" i="2"/>
  <c r="CE182" i="2" s="1"/>
  <c r="CK182" i="2" s="1"/>
  <c r="Q183" i="2"/>
  <c r="AB183" i="2"/>
  <c r="AC183" i="2"/>
  <c r="AF183" i="2"/>
  <c r="AG183" i="2"/>
  <c r="AO183" i="2"/>
  <c r="BF183" i="2"/>
  <c r="BJ183" i="2" s="1"/>
  <c r="CC183" i="2"/>
  <c r="CE183" i="2" s="1"/>
  <c r="Q184" i="2"/>
  <c r="AB184" i="2"/>
  <c r="AC184" i="2"/>
  <c r="AF184" i="2"/>
  <c r="AG184" i="2"/>
  <c r="AO184" i="2"/>
  <c r="BF184" i="2"/>
  <c r="CC184" i="2"/>
  <c r="CE184" i="2" s="1"/>
  <c r="Q185" i="2"/>
  <c r="AB185" i="2"/>
  <c r="AC185" i="2"/>
  <c r="AF185" i="2"/>
  <c r="AO185" i="2"/>
  <c r="BF185" i="2"/>
  <c r="BJ185" i="2"/>
  <c r="CH185" i="2" s="1"/>
  <c r="CI185" i="2" s="1"/>
  <c r="CC185" i="2"/>
  <c r="CE185" i="2" s="1"/>
  <c r="Q186" i="2"/>
  <c r="AB186" i="2"/>
  <c r="AC186" i="2"/>
  <c r="AF186" i="2"/>
  <c r="AG186" i="2"/>
  <c r="AO186" i="2"/>
  <c r="BF186" i="2"/>
  <c r="BJ186" i="2" s="1"/>
  <c r="CC186" i="2"/>
  <c r="CE186" i="2" s="1"/>
  <c r="Q187" i="2"/>
  <c r="AB187" i="2"/>
  <c r="AC187" i="2"/>
  <c r="AF187" i="2"/>
  <c r="AG187" i="2"/>
  <c r="AO187" i="2"/>
  <c r="BF187" i="2"/>
  <c r="CC187" i="2"/>
  <c r="CE187" i="2" s="1"/>
  <c r="CK187" i="2"/>
  <c r="Q188" i="2"/>
  <c r="AB188" i="2"/>
  <c r="AC188" i="2"/>
  <c r="AF188" i="2"/>
  <c r="AG188" i="2"/>
  <c r="AO188" i="2"/>
  <c r="BF188" i="2"/>
  <c r="CC188" i="2"/>
  <c r="CE188" i="2" s="1"/>
  <c r="CK188" i="2" s="1"/>
  <c r="Q189" i="2"/>
  <c r="AB189" i="2"/>
  <c r="AC189" i="2"/>
  <c r="AF189" i="2"/>
  <c r="AG189" i="2"/>
  <c r="AO189" i="2"/>
  <c r="BF189" i="2"/>
  <c r="BJ189" i="2" s="1"/>
  <c r="CC189" i="2"/>
  <c r="CE189" i="2" s="1"/>
  <c r="CK189" i="2" s="1"/>
  <c r="Q190" i="2"/>
  <c r="AB190" i="2"/>
  <c r="AC190" i="2"/>
  <c r="AF190" i="2"/>
  <c r="AG190" i="2"/>
  <c r="AO190" i="2"/>
  <c r="BF190" i="2"/>
  <c r="BJ190" i="2" s="1"/>
  <c r="CC190" i="2"/>
  <c r="CE190" i="2" s="1"/>
  <c r="CK190" i="2" s="1"/>
  <c r="Q191" i="2"/>
  <c r="AB191" i="2"/>
  <c r="AC191" i="2"/>
  <c r="AF191" i="2"/>
  <c r="AG191" i="2"/>
  <c r="AO191" i="2"/>
  <c r="BF191" i="2"/>
  <c r="CC191" i="2"/>
  <c r="CE191" i="2" s="1"/>
  <c r="Q192" i="2"/>
  <c r="AB192" i="2"/>
  <c r="AC192" i="2"/>
  <c r="AF192" i="2"/>
  <c r="AG192" i="2"/>
  <c r="AO192" i="2"/>
  <c r="BF192" i="2"/>
  <c r="BJ192" i="2"/>
  <c r="CM192" i="2" s="1"/>
  <c r="CC192" i="2"/>
  <c r="CE192" i="2" s="1"/>
  <c r="Q193" i="2"/>
  <c r="AB193" i="2"/>
  <c r="AC193" i="2"/>
  <c r="AF193" i="2"/>
  <c r="AG193" i="2"/>
  <c r="AO193" i="2"/>
  <c r="BF193" i="2"/>
  <c r="CC193" i="2"/>
  <c r="CE193" i="2" s="1"/>
  <c r="Q194" i="2"/>
  <c r="AB194" i="2"/>
  <c r="AC194" i="2"/>
  <c r="AF194" i="2"/>
  <c r="AG194" i="2"/>
  <c r="AO194" i="2"/>
  <c r="BF194" i="2"/>
  <c r="BJ194" i="2" s="1"/>
  <c r="CM194" i="2" s="1"/>
  <c r="CC194" i="2"/>
  <c r="CE194" i="2" s="1"/>
  <c r="Q195" i="2"/>
  <c r="AB195" i="2"/>
  <c r="AC195" i="2"/>
  <c r="AF195" i="2"/>
  <c r="AG195" i="2"/>
  <c r="AO195" i="2"/>
  <c r="BF195" i="2"/>
  <c r="BJ195" i="2"/>
  <c r="CC195" i="2"/>
  <c r="CE195" i="2" s="1"/>
  <c r="Q196" i="2"/>
  <c r="AB196" i="2"/>
  <c r="AC196" i="2"/>
  <c r="AF196" i="2"/>
  <c r="AG196" i="2"/>
  <c r="AO196" i="2"/>
  <c r="BF196" i="2"/>
  <c r="CC196" i="2"/>
  <c r="CE196" i="2" s="1"/>
  <c r="Q197" i="2"/>
  <c r="AB197" i="2"/>
  <c r="AC197" i="2"/>
  <c r="AF197" i="2"/>
  <c r="AG197" i="2"/>
  <c r="AO197" i="2"/>
  <c r="BF197" i="2"/>
  <c r="BJ197" i="2" s="1"/>
  <c r="CC197" i="2"/>
  <c r="CE197" i="2" s="1"/>
  <c r="CK197" i="2" s="1"/>
  <c r="Q198" i="2"/>
  <c r="AB198" i="2"/>
  <c r="AC198" i="2"/>
  <c r="AF198" i="2"/>
  <c r="AG198" i="2"/>
  <c r="AO198" i="2"/>
  <c r="BF198" i="2"/>
  <c r="BJ198" i="2" s="1"/>
  <c r="CC198" i="2"/>
  <c r="CE198" i="2" s="1"/>
  <c r="CK198" i="2" s="1"/>
  <c r="Q199" i="2"/>
  <c r="AB199" i="2"/>
  <c r="AC199" i="2"/>
  <c r="AF199" i="2"/>
  <c r="AO199" i="2"/>
  <c r="BF199" i="2"/>
  <c r="CC199" i="2"/>
  <c r="CE199" i="2" s="1"/>
  <c r="Q200" i="2"/>
  <c r="AB200" i="2"/>
  <c r="AC200" i="2"/>
  <c r="AF200" i="2"/>
  <c r="AG200" i="2"/>
  <c r="AO200" i="2"/>
  <c r="BF200" i="2"/>
  <c r="CC200" i="2"/>
  <c r="CE200" i="2" s="1"/>
  <c r="Q201" i="2"/>
  <c r="AB201" i="2"/>
  <c r="AC201" i="2"/>
  <c r="AF201" i="2"/>
  <c r="AG201" i="2"/>
  <c r="AO201" i="2"/>
  <c r="BF201" i="2"/>
  <c r="BJ201" i="2"/>
  <c r="CM201" i="2" s="1"/>
  <c r="CC201" i="2"/>
  <c r="CE201" i="2" s="1"/>
  <c r="Q202" i="2"/>
  <c r="AB202" i="2"/>
  <c r="AC202" i="2"/>
  <c r="AF202" i="2"/>
  <c r="AG202" i="2"/>
  <c r="AO202" i="2"/>
  <c r="BF202" i="2"/>
  <c r="BJ202" i="2" s="1"/>
  <c r="CC202" i="2"/>
  <c r="CE202" i="2" s="1"/>
  <c r="CK202" i="2" s="1"/>
  <c r="Q203" i="2"/>
  <c r="AB203" i="2"/>
  <c r="AC203" i="2"/>
  <c r="AF203" i="2"/>
  <c r="AG203" i="2"/>
  <c r="AO203" i="2"/>
  <c r="BF203" i="2"/>
  <c r="CC203" i="2"/>
  <c r="CE203" i="2" s="1"/>
  <c r="Q204" i="2"/>
  <c r="AB204" i="2"/>
  <c r="AC204" i="2"/>
  <c r="AF204" i="2"/>
  <c r="AG204" i="2"/>
  <c r="AO204" i="2"/>
  <c r="BF204" i="2"/>
  <c r="BJ204" i="2" s="1"/>
  <c r="CC204" i="2"/>
  <c r="CE204" i="2" s="1"/>
  <c r="CK204" i="2" s="1"/>
  <c r="Q205" i="2"/>
  <c r="AB205" i="2"/>
  <c r="AC205" i="2"/>
  <c r="AF205" i="2"/>
  <c r="AG205" i="2"/>
  <c r="AO205" i="2"/>
  <c r="BF205" i="2"/>
  <c r="BJ205" i="2" s="1"/>
  <c r="CC205" i="2"/>
  <c r="CE205" i="2" s="1"/>
  <c r="Q206" i="2"/>
  <c r="AB206" i="2"/>
  <c r="AC206" i="2"/>
  <c r="AF206" i="2"/>
  <c r="AG206" i="2"/>
  <c r="AO206" i="2"/>
  <c r="BF206" i="2"/>
  <c r="CC206" i="2"/>
  <c r="CE206" i="2" s="1"/>
  <c r="BF207" i="2"/>
  <c r="BI207" i="2" s="1"/>
  <c r="CC207" i="2"/>
  <c r="CE207" i="2" s="1"/>
  <c r="CK207" i="2" s="1"/>
  <c r="Q209" i="2"/>
  <c r="AB209" i="2"/>
  <c r="AC209" i="2"/>
  <c r="AF209" i="2"/>
  <c r="AG209" i="2"/>
  <c r="AO209" i="2"/>
  <c r="BF209" i="2"/>
  <c r="BI209" i="2" s="1"/>
  <c r="CC209" i="2"/>
  <c r="CE209" i="2" s="1"/>
  <c r="Q210" i="2"/>
  <c r="AB210" i="2"/>
  <c r="AC210" i="2"/>
  <c r="AF210" i="2"/>
  <c r="AG210" i="2"/>
  <c r="AO210" i="2"/>
  <c r="BF210" i="2"/>
  <c r="BI210" i="2" s="1"/>
  <c r="CC210" i="2"/>
  <c r="CE210" i="2" s="1"/>
  <c r="CK210" i="2" s="1"/>
  <c r="Q211" i="2"/>
  <c r="AB211" i="2"/>
  <c r="AC211" i="2"/>
  <c r="AF211" i="2"/>
  <c r="AG211" i="2"/>
  <c r="AO211" i="2"/>
  <c r="BF211" i="2"/>
  <c r="BJ211" i="2" s="1"/>
  <c r="CM211" i="2" s="1"/>
  <c r="CC211" i="2"/>
  <c r="CE211" i="2" s="1"/>
  <c r="Q212" i="2"/>
  <c r="AB212" i="2"/>
  <c r="AC212" i="2"/>
  <c r="AF212" i="2"/>
  <c r="AG212" i="2"/>
  <c r="AO212" i="2"/>
  <c r="BF212" i="2"/>
  <c r="CC212" i="2"/>
  <c r="CE212" i="2" s="1"/>
  <c r="Q213" i="2"/>
  <c r="AB213" i="2"/>
  <c r="AC213" i="2"/>
  <c r="AF213" i="2"/>
  <c r="AG213" i="2"/>
  <c r="AO213" i="2"/>
  <c r="BF213" i="2"/>
  <c r="CC213" i="2"/>
  <c r="CE213" i="2" s="1"/>
  <c r="CK213" i="2" s="1"/>
  <c r="Q214" i="2"/>
  <c r="AB214" i="2"/>
  <c r="AC214" i="2"/>
  <c r="AF214" i="2"/>
  <c r="AG214" i="2"/>
  <c r="AO214" i="2"/>
  <c r="BF214" i="2"/>
  <c r="CC214" i="2"/>
  <c r="CE214" i="2" s="1"/>
  <c r="CK214" i="2" s="1"/>
  <c r="Q215" i="2"/>
  <c r="AB215" i="2"/>
  <c r="AC215" i="2"/>
  <c r="AF215" i="2"/>
  <c r="AG215" i="2"/>
  <c r="AO215" i="2"/>
  <c r="BF215" i="2"/>
  <c r="BJ215" i="2" s="1"/>
  <c r="CC215" i="2"/>
  <c r="CE215" i="2" s="1"/>
  <c r="Q216" i="2"/>
  <c r="AB216" i="2"/>
  <c r="AC216" i="2"/>
  <c r="AF216" i="2"/>
  <c r="AG216" i="2"/>
  <c r="AO216" i="2"/>
  <c r="BF216" i="2"/>
  <c r="CC216" i="2"/>
  <c r="CE216" i="2" s="1"/>
  <c r="Q217" i="2"/>
  <c r="AB217" i="2"/>
  <c r="AC217" i="2"/>
  <c r="AF217" i="2"/>
  <c r="AO217" i="2"/>
  <c r="BF217" i="2"/>
  <c r="BJ217" i="2"/>
  <c r="CH217" i="2" s="1"/>
  <c r="CI217" i="2" s="1"/>
  <c r="CC217" i="2"/>
  <c r="CE217" i="2" s="1"/>
  <c r="CK217" i="2" s="1"/>
  <c r="Q218" i="2"/>
  <c r="AB218" i="2"/>
  <c r="AC218" i="2"/>
  <c r="AF218" i="2"/>
  <c r="AG218" i="2"/>
  <c r="AO218" i="2"/>
  <c r="BF218" i="2"/>
  <c r="BJ218" i="2" s="1"/>
  <c r="CM218" i="2" s="1"/>
  <c r="CC218" i="2"/>
  <c r="CE218" i="2" s="1"/>
  <c r="Q219" i="2"/>
  <c r="AB219" i="2"/>
  <c r="AC219" i="2"/>
  <c r="AF219" i="2"/>
  <c r="AG219" i="2"/>
  <c r="AO219" i="2"/>
  <c r="BF219" i="2"/>
  <c r="BJ219" i="2" s="1"/>
  <c r="CC219" i="2"/>
  <c r="CE219" i="2" s="1"/>
  <c r="Q220" i="2"/>
  <c r="AB220" i="2"/>
  <c r="AC220" i="2"/>
  <c r="AF220" i="2"/>
  <c r="AG220" i="2"/>
  <c r="AO220" i="2"/>
  <c r="BF220" i="2"/>
  <c r="CC220" i="2"/>
  <c r="CE220" i="2" s="1"/>
  <c r="Q221" i="2"/>
  <c r="AB221" i="2"/>
  <c r="AC221" i="2"/>
  <c r="AF221" i="2"/>
  <c r="AG221" i="2"/>
  <c r="AO221" i="2"/>
  <c r="BF221" i="2"/>
  <c r="BJ221" i="2" s="1"/>
  <c r="CC221" i="2"/>
  <c r="CE221" i="2" s="1"/>
  <c r="CK221" i="2" s="1"/>
  <c r="Q222" i="2"/>
  <c r="AB222" i="2"/>
  <c r="AC222" i="2"/>
  <c r="AF222" i="2"/>
  <c r="AG222" i="2"/>
  <c r="AO222" i="2"/>
  <c r="BF222" i="2"/>
  <c r="BJ222" i="2" s="1"/>
  <c r="CC222" i="2"/>
  <c r="CE222" i="2" s="1"/>
  <c r="Q223" i="2"/>
  <c r="AB223" i="2"/>
  <c r="AC223" i="2"/>
  <c r="AF223" i="2"/>
  <c r="AG223" i="2"/>
  <c r="AO223" i="2"/>
  <c r="BF223" i="2"/>
  <c r="CC223" i="2"/>
  <c r="CE223" i="2" s="1"/>
  <c r="BF224" i="2"/>
  <c r="CC224" i="2"/>
  <c r="CE224" i="2" s="1"/>
  <c r="CK224" i="2" s="1"/>
  <c r="Q225" i="2"/>
  <c r="AB225" i="2"/>
  <c r="AC225" i="2"/>
  <c r="AF225" i="2"/>
  <c r="AG225" i="2"/>
  <c r="AO225" i="2"/>
  <c r="BF225" i="2"/>
  <c r="CC225" i="2"/>
  <c r="CE225" i="2" s="1"/>
  <c r="Q226" i="2"/>
  <c r="AB226" i="2"/>
  <c r="AC226" i="2"/>
  <c r="AF226" i="2"/>
  <c r="AG226" i="2"/>
  <c r="AO226" i="2"/>
  <c r="BF226" i="2"/>
  <c r="BJ226" i="2" s="1"/>
  <c r="CH226" i="2" s="1"/>
  <c r="CI226" i="2" s="1"/>
  <c r="CC226" i="2"/>
  <c r="CE226" i="2" s="1"/>
  <c r="CK226" i="2" s="1"/>
  <c r="Q227" i="2"/>
  <c r="AB227" i="2"/>
  <c r="AC227" i="2"/>
  <c r="AF227" i="2"/>
  <c r="AG227" i="2"/>
  <c r="AO227" i="2"/>
  <c r="BF227" i="2"/>
  <c r="BJ227" i="2" s="1"/>
  <c r="CC227" i="2"/>
  <c r="CE227" i="2" s="1"/>
  <c r="Q228" i="2"/>
  <c r="AB228" i="2"/>
  <c r="AC228" i="2"/>
  <c r="AF228" i="2"/>
  <c r="AG228" i="2"/>
  <c r="AO228" i="2"/>
  <c r="BF228" i="2"/>
  <c r="BJ228" i="2" s="1"/>
  <c r="CM228" i="2" s="1"/>
  <c r="CC228" i="2"/>
  <c r="CE228" i="2" s="1"/>
  <c r="Q229" i="2"/>
  <c r="AB229" i="2"/>
  <c r="AC229" i="2"/>
  <c r="AF229" i="2"/>
  <c r="AG229" i="2"/>
  <c r="AO229" i="2"/>
  <c r="BF229" i="2"/>
  <c r="CC229" i="2"/>
  <c r="CE229" i="2" s="1"/>
  <c r="Q230" i="2"/>
  <c r="AB230" i="2"/>
  <c r="AC230" i="2"/>
  <c r="AF230" i="2"/>
  <c r="AG230" i="2"/>
  <c r="AO230" i="2"/>
  <c r="BF230" i="2"/>
  <c r="BJ230" i="2" s="1"/>
  <c r="CC230" i="2"/>
  <c r="CE230" i="2" s="1"/>
  <c r="CK230" i="2" s="1"/>
  <c r="Q231" i="2"/>
  <c r="AB231" i="2"/>
  <c r="AC231" i="2"/>
  <c r="AF231" i="2"/>
  <c r="AG231" i="2"/>
  <c r="AO231" i="2"/>
  <c r="BF231" i="2"/>
  <c r="CC231" i="2"/>
  <c r="CE231" i="2" s="1"/>
  <c r="CK231" i="2" s="1"/>
  <c r="Q232" i="2"/>
  <c r="AB232" i="2"/>
  <c r="AC232" i="2"/>
  <c r="AF232" i="2"/>
  <c r="AG232" i="2"/>
  <c r="AO232" i="2"/>
  <c r="BF232" i="2"/>
  <c r="CC232" i="2"/>
  <c r="CE232" i="2" s="1"/>
  <c r="Q233" i="2"/>
  <c r="AB233" i="2"/>
  <c r="AC233" i="2"/>
  <c r="AF233" i="2"/>
  <c r="AG233" i="2"/>
  <c r="AO233" i="2"/>
  <c r="BF233" i="2"/>
  <c r="CC233" i="2"/>
  <c r="CE233" i="2" s="1"/>
  <c r="Q234" i="2"/>
  <c r="AB234" i="2"/>
  <c r="AC234" i="2"/>
  <c r="AF234" i="2"/>
  <c r="AG234" i="2"/>
  <c r="AO234" i="2"/>
  <c r="BF234" i="2"/>
  <c r="CC234" i="2"/>
  <c r="CE234" i="2" s="1"/>
  <c r="CK234" i="2" s="1"/>
  <c r="Q235" i="2"/>
  <c r="AB235" i="2"/>
  <c r="AC235" i="2"/>
  <c r="AF235" i="2"/>
  <c r="AG235" i="2"/>
  <c r="AO235" i="2"/>
  <c r="BF235" i="2"/>
  <c r="BJ235" i="2" s="1"/>
  <c r="CM235" i="2" s="1"/>
  <c r="CC235" i="2"/>
  <c r="CE235" i="2" s="1"/>
  <c r="Q236" i="2"/>
  <c r="AB236" i="2"/>
  <c r="AC236" i="2"/>
  <c r="AF236" i="2"/>
  <c r="AG236" i="2"/>
  <c r="AO236" i="2"/>
  <c r="BF236" i="2"/>
  <c r="BJ236" i="2" s="1"/>
  <c r="CM236" i="2" s="1"/>
  <c r="CC236" i="2"/>
  <c r="CE236" i="2" s="1"/>
  <c r="Q237" i="2"/>
  <c r="AB237" i="2"/>
  <c r="AC237" i="2"/>
  <c r="AF237" i="2"/>
  <c r="AG237" i="2"/>
  <c r="AO237" i="2"/>
  <c r="BF237" i="2"/>
  <c r="CC237" i="2"/>
  <c r="CE237" i="2" s="1"/>
  <c r="Q238" i="2"/>
  <c r="AB238" i="2"/>
  <c r="AC238" i="2"/>
  <c r="AF238" i="2"/>
  <c r="AG238" i="2"/>
  <c r="AO238" i="2"/>
  <c r="BF238" i="2"/>
  <c r="CC238" i="2"/>
  <c r="CE238" i="2" s="1"/>
  <c r="CK238" i="2" s="1"/>
  <c r="Q239" i="2"/>
  <c r="AB239" i="2"/>
  <c r="AC239" i="2"/>
  <c r="AF239" i="2"/>
  <c r="AG239" i="2"/>
  <c r="AO239" i="2"/>
  <c r="BF239" i="2"/>
  <c r="BJ239" i="2" s="1"/>
  <c r="CC239" i="2"/>
  <c r="CE239" i="2" s="1"/>
  <c r="CK239" i="2" s="1"/>
  <c r="Q240" i="2"/>
  <c r="AB240" i="2"/>
  <c r="AC240" i="2"/>
  <c r="AF240" i="2"/>
  <c r="AG240" i="2"/>
  <c r="AO240" i="2"/>
  <c r="BF240" i="2"/>
  <c r="CC240" i="2"/>
  <c r="CE240" i="2" s="1"/>
  <c r="Q241" i="2"/>
  <c r="AB241" i="2"/>
  <c r="AC241" i="2"/>
  <c r="AF241" i="2"/>
  <c r="AG241" i="2"/>
  <c r="AO241" i="2"/>
  <c r="BF241" i="2"/>
  <c r="CC241" i="2"/>
  <c r="CE241" i="2" s="1"/>
  <c r="BF242" i="2"/>
  <c r="BI242" i="2" s="1"/>
  <c r="CC242" i="2"/>
  <c r="CE242" i="2" s="1"/>
  <c r="Q243" i="2"/>
  <c r="AB243" i="2"/>
  <c r="AC243" i="2"/>
  <c r="AF243" i="2"/>
  <c r="AG243" i="2"/>
  <c r="AO243" i="2"/>
  <c r="BF243" i="2"/>
  <c r="BJ243" i="2" s="1"/>
  <c r="CH243" i="2" s="1"/>
  <c r="CI243" i="2" s="1"/>
  <c r="CC243" i="2"/>
  <c r="CE243" i="2" s="1"/>
  <c r="CK243" i="2" s="1"/>
  <c r="Q244" i="2"/>
  <c r="AB244" i="2"/>
  <c r="AC244" i="2"/>
  <c r="AF244" i="2"/>
  <c r="AG244" i="2"/>
  <c r="AO244" i="2"/>
  <c r="BF244" i="2"/>
  <c r="BJ244" i="2"/>
  <c r="CM244" i="2" s="1"/>
  <c r="CC244" i="2"/>
  <c r="CE244" i="2" s="1"/>
  <c r="Q245" i="2"/>
  <c r="AB245" i="2"/>
  <c r="AC245" i="2"/>
  <c r="AF245" i="2"/>
  <c r="AG245" i="2"/>
  <c r="AO245" i="2"/>
  <c r="BF245" i="2"/>
  <c r="BJ245" i="2" s="1"/>
  <c r="CM245" i="2" s="1"/>
  <c r="CC245" i="2"/>
  <c r="CE245" i="2" s="1"/>
  <c r="CK245" i="2" s="1"/>
  <c r="Q246" i="2"/>
  <c r="AB246" i="2"/>
  <c r="AC246" i="2"/>
  <c r="AF246" i="2"/>
  <c r="AG246" i="2"/>
  <c r="AO246" i="2"/>
  <c r="BF246" i="2"/>
  <c r="CC246" i="2"/>
  <c r="CE246" i="2" s="1"/>
  <c r="Q247" i="2"/>
  <c r="AB247" i="2"/>
  <c r="AC247" i="2"/>
  <c r="AF247" i="2"/>
  <c r="AG247" i="2"/>
  <c r="AO247" i="2"/>
  <c r="BF247" i="2"/>
  <c r="BJ247" i="2" s="1"/>
  <c r="CC247" i="2"/>
  <c r="CE247" i="2" s="1"/>
  <c r="CK247" i="2" s="1"/>
  <c r="Q248" i="2"/>
  <c r="AB248" i="2"/>
  <c r="AC248" i="2"/>
  <c r="AF248" i="2"/>
  <c r="AG248" i="2"/>
  <c r="AO248" i="2"/>
  <c r="BF248" i="2"/>
  <c r="BJ248" i="2" s="1"/>
  <c r="CC248" i="2"/>
  <c r="CE248" i="2" s="1"/>
  <c r="Q249" i="2"/>
  <c r="AB249" i="2"/>
  <c r="AC249" i="2"/>
  <c r="AF249" i="2"/>
  <c r="AG249" i="2"/>
  <c r="AO249" i="2"/>
  <c r="BF249" i="2"/>
  <c r="CC249" i="2"/>
  <c r="CE249" i="2" s="1"/>
  <c r="Q250" i="2"/>
  <c r="AB250" i="2"/>
  <c r="AC250" i="2"/>
  <c r="AF250" i="2"/>
  <c r="AG250" i="2"/>
  <c r="AO250" i="2"/>
  <c r="BF250" i="2"/>
  <c r="CC250" i="2"/>
  <c r="CE250" i="2" s="1"/>
  <c r="Q251" i="2"/>
  <c r="AB251" i="2"/>
  <c r="AC251" i="2"/>
  <c r="AF251" i="2"/>
  <c r="AG251" i="2"/>
  <c r="AO251" i="2"/>
  <c r="BF251" i="2"/>
  <c r="CC251" i="2"/>
  <c r="CE251" i="2" s="1"/>
  <c r="CK251" i="2" s="1"/>
  <c r="Q252" i="2"/>
  <c r="AB252" i="2"/>
  <c r="AC252" i="2"/>
  <c r="AF252" i="2"/>
  <c r="AG252" i="2"/>
  <c r="AO252" i="2"/>
  <c r="BF252" i="2"/>
  <c r="BJ252" i="2" s="1"/>
  <c r="CC252" i="2"/>
  <c r="CE252" i="2" s="1"/>
  <c r="Q253" i="2"/>
  <c r="AB253" i="2"/>
  <c r="AC253" i="2"/>
  <c r="AF253" i="2"/>
  <c r="AG253" i="2"/>
  <c r="AO253" i="2"/>
  <c r="BF253" i="2"/>
  <c r="CC253" i="2"/>
  <c r="CE253" i="2" s="1"/>
  <c r="CK253" i="2" s="1"/>
  <c r="Q254" i="2"/>
  <c r="AB254" i="2"/>
  <c r="AC254" i="2"/>
  <c r="AF254" i="2"/>
  <c r="AG254" i="2"/>
  <c r="AO254" i="2"/>
  <c r="BF254" i="2"/>
  <c r="CC254" i="2"/>
  <c r="CE254" i="2" s="1"/>
  <c r="Q255" i="2"/>
  <c r="AB255" i="2"/>
  <c r="AC255" i="2"/>
  <c r="AF255" i="2"/>
  <c r="AG255" i="2"/>
  <c r="AO255" i="2"/>
  <c r="BF255" i="2"/>
  <c r="CC255" i="2"/>
  <c r="CE255" i="2" s="1"/>
  <c r="CK255" i="2" s="1"/>
  <c r="Q256" i="2"/>
  <c r="AB256" i="2"/>
  <c r="AC256" i="2"/>
  <c r="AF256" i="2"/>
  <c r="AG256" i="2"/>
  <c r="AO256" i="2"/>
  <c r="BF256" i="2"/>
  <c r="CC256" i="2"/>
  <c r="CE256" i="2" s="1"/>
  <c r="Q257" i="2"/>
  <c r="AB257" i="2"/>
  <c r="AC257" i="2"/>
  <c r="AF257" i="2"/>
  <c r="AG257" i="2"/>
  <c r="AO257" i="2"/>
  <c r="BF257" i="2"/>
  <c r="CC257" i="2"/>
  <c r="CE257" i="2" s="1"/>
  <c r="Q258" i="2"/>
  <c r="AB258" i="2"/>
  <c r="AC258" i="2"/>
  <c r="AF258" i="2"/>
  <c r="AG258" i="2"/>
  <c r="AO258" i="2"/>
  <c r="BF258" i="2"/>
  <c r="CC258" i="2"/>
  <c r="CE258" i="2" s="1"/>
  <c r="Q259" i="2"/>
  <c r="AB259" i="2"/>
  <c r="AC259" i="2"/>
  <c r="AF259" i="2"/>
  <c r="AG259" i="2"/>
  <c r="AO259" i="2"/>
  <c r="BF259" i="2"/>
  <c r="BJ259" i="2" s="1"/>
  <c r="CH259" i="2" s="1"/>
  <c r="CI259" i="2" s="1"/>
  <c r="CC259" i="2"/>
  <c r="CE259" i="2" s="1"/>
  <c r="CK259" i="2" s="1"/>
  <c r="Q260" i="2"/>
  <c r="AB260" i="2"/>
  <c r="AC260" i="2"/>
  <c r="AF260" i="2"/>
  <c r="AG260" i="2"/>
  <c r="AO260" i="2"/>
  <c r="BF260" i="2"/>
  <c r="BJ260" i="2" s="1"/>
  <c r="CM260" i="2" s="1"/>
  <c r="CC260" i="2"/>
  <c r="CE260" i="2" s="1"/>
  <c r="Q261" i="2"/>
  <c r="AB261" i="2"/>
  <c r="AC261" i="2"/>
  <c r="AF261" i="2"/>
  <c r="AG261" i="2"/>
  <c r="AO261" i="2"/>
  <c r="BF261" i="2"/>
  <c r="CC261" i="2"/>
  <c r="CE261" i="2" s="1"/>
  <c r="Q262" i="2"/>
  <c r="AB262" i="2"/>
  <c r="AC262" i="2"/>
  <c r="AF262" i="2"/>
  <c r="AG262" i="2"/>
  <c r="AO262" i="2"/>
  <c r="BF262" i="2"/>
  <c r="CC262" i="2"/>
  <c r="CE262" i="2" s="1"/>
  <c r="Q263" i="2"/>
  <c r="AB263" i="2"/>
  <c r="AC263" i="2"/>
  <c r="AF263" i="2"/>
  <c r="AG263" i="2"/>
  <c r="AO263" i="2"/>
  <c r="BF263" i="2"/>
  <c r="CC263" i="2"/>
  <c r="CE263" i="2" s="1"/>
  <c r="CK263" i="2" s="1"/>
  <c r="Q264" i="2"/>
  <c r="AB264" i="2"/>
  <c r="AC264" i="2"/>
  <c r="AF264" i="2"/>
  <c r="AG264" i="2"/>
  <c r="AO264" i="2"/>
  <c r="BF264" i="2"/>
  <c r="CC264" i="2"/>
  <c r="CE264" i="2" s="1"/>
  <c r="Q265" i="2"/>
  <c r="AB265" i="2"/>
  <c r="AC265" i="2"/>
  <c r="AF265" i="2"/>
  <c r="AG265" i="2"/>
  <c r="AO265" i="2"/>
  <c r="BF265" i="2"/>
  <c r="CC265" i="2"/>
  <c r="CE265" i="2" s="1"/>
  <c r="Q266" i="2"/>
  <c r="AB266" i="2"/>
  <c r="AC266" i="2"/>
  <c r="AF266" i="2"/>
  <c r="AG266" i="2"/>
  <c r="AO266" i="2"/>
  <c r="BF266" i="2"/>
  <c r="CC266" i="2"/>
  <c r="CE266" i="2" s="1"/>
  <c r="Q267" i="2"/>
  <c r="AB267" i="2"/>
  <c r="AC267" i="2"/>
  <c r="AF267" i="2"/>
  <c r="AG267" i="2"/>
  <c r="AO267" i="2"/>
  <c r="BF267" i="2"/>
  <c r="BJ267" i="2" s="1"/>
  <c r="CC267" i="2"/>
  <c r="CE267" i="2" s="1"/>
  <c r="CK267" i="2" s="1"/>
  <c r="Q268" i="2"/>
  <c r="AB268" i="2"/>
  <c r="AC268" i="2"/>
  <c r="AF268" i="2"/>
  <c r="AG268" i="2"/>
  <c r="AO268" i="2"/>
  <c r="BF268" i="2"/>
  <c r="BJ268" i="2" s="1"/>
  <c r="CM268" i="2" s="1"/>
  <c r="CC268" i="2"/>
  <c r="CE268" i="2" s="1"/>
  <c r="Q269" i="2"/>
  <c r="AB269" i="2"/>
  <c r="AC269" i="2"/>
  <c r="AF269" i="2"/>
  <c r="AG269" i="2"/>
  <c r="AO269" i="2"/>
  <c r="BF269" i="2"/>
  <c r="CC269" i="2"/>
  <c r="CE269" i="2" s="1"/>
  <c r="CK269" i="2" s="1"/>
  <c r="Q270" i="2"/>
  <c r="AB270" i="2"/>
  <c r="AC270" i="2"/>
  <c r="AF270" i="2"/>
  <c r="AG270" i="2"/>
  <c r="AO270" i="2"/>
  <c r="BF270" i="2"/>
  <c r="CC270" i="2"/>
  <c r="CE270" i="2" s="1"/>
  <c r="CK270" i="2" s="1"/>
  <c r="Q271" i="2"/>
  <c r="AB271" i="2"/>
  <c r="AC271" i="2"/>
  <c r="AF271" i="2"/>
  <c r="AG271" i="2"/>
  <c r="AO271" i="2"/>
  <c r="BF271" i="2"/>
  <c r="BJ271" i="2" s="1"/>
  <c r="CC271" i="2"/>
  <c r="CE271" i="2" s="1"/>
  <c r="CK271" i="2" s="1"/>
  <c r="Q272" i="2"/>
  <c r="AB272" i="2"/>
  <c r="AC272" i="2"/>
  <c r="AF272" i="2"/>
  <c r="AG272" i="2"/>
  <c r="AO272" i="2"/>
  <c r="BF272" i="2"/>
  <c r="CC272" i="2"/>
  <c r="CE272" i="2" s="1"/>
  <c r="CK272" i="2" s="1"/>
  <c r="Q273" i="2"/>
  <c r="AB273" i="2"/>
  <c r="AC273" i="2"/>
  <c r="AF273" i="2"/>
  <c r="AG273" i="2"/>
  <c r="AO273" i="2"/>
  <c r="BF273" i="2"/>
  <c r="BJ273" i="2" s="1"/>
  <c r="CM273" i="2" s="1"/>
  <c r="CC273" i="2"/>
  <c r="CE273" i="2" s="1"/>
  <c r="CK273" i="2" s="1"/>
  <c r="Q274" i="2"/>
  <c r="AB274" i="2"/>
  <c r="AC274" i="2"/>
  <c r="AF274" i="2"/>
  <c r="AG274" i="2"/>
  <c r="AO274" i="2"/>
  <c r="BF274" i="2"/>
  <c r="CC274" i="2"/>
  <c r="CE274" i="2"/>
  <c r="Q275" i="2"/>
  <c r="AB275" i="2"/>
  <c r="AC275" i="2"/>
  <c r="AF275" i="2"/>
  <c r="AG275" i="2"/>
  <c r="AO275" i="2"/>
  <c r="BF275" i="2"/>
  <c r="BJ275" i="2"/>
  <c r="CH275" i="2" s="1"/>
  <c r="CI275" i="2" s="1"/>
  <c r="CC275" i="2"/>
  <c r="CE275" i="2" s="1"/>
  <c r="CK275" i="2" s="1"/>
  <c r="Q276" i="2"/>
  <c r="AB276" i="2"/>
  <c r="AC276" i="2"/>
  <c r="AF276" i="2"/>
  <c r="AG276" i="2"/>
  <c r="AO276" i="2"/>
  <c r="BF276" i="2"/>
  <c r="CC276" i="2"/>
  <c r="CE276" i="2" s="1"/>
  <c r="Q277" i="2"/>
  <c r="AB277" i="2"/>
  <c r="AC277" i="2"/>
  <c r="AF277" i="2"/>
  <c r="AG277" i="2"/>
  <c r="AO277" i="2"/>
  <c r="BF277" i="2"/>
  <c r="BJ277" i="2" s="1"/>
  <c r="CM277" i="2" s="1"/>
  <c r="CC277" i="2"/>
  <c r="CE277" i="2" s="1"/>
  <c r="CK277" i="2" s="1"/>
  <c r="Q278" i="2"/>
  <c r="AB278" i="2"/>
  <c r="AC278" i="2"/>
  <c r="AF278" i="2"/>
  <c r="AG278" i="2"/>
  <c r="AO278" i="2"/>
  <c r="BF278" i="2"/>
  <c r="BJ278" i="2" s="1"/>
  <c r="CH278" i="2" s="1"/>
  <c r="CI278" i="2" s="1"/>
  <c r="CC278" i="2"/>
  <c r="CE278" i="2" s="1"/>
  <c r="CK278" i="2" s="1"/>
  <c r="Q279" i="2"/>
  <c r="AB279" i="2"/>
  <c r="AC279" i="2"/>
  <c r="AF279" i="2"/>
  <c r="AG279" i="2"/>
  <c r="AO279" i="2"/>
  <c r="BF279" i="2"/>
  <c r="BJ279" i="2" s="1"/>
  <c r="CH279" i="2" s="1"/>
  <c r="CI279" i="2" s="1"/>
  <c r="CC279" i="2"/>
  <c r="CE279" i="2" s="1"/>
  <c r="Q280" i="2"/>
  <c r="AB280" i="2"/>
  <c r="AC280" i="2"/>
  <c r="AF280" i="2"/>
  <c r="AG280" i="2"/>
  <c r="AO280" i="2"/>
  <c r="BF280" i="2"/>
  <c r="CC280" i="2"/>
  <c r="CE280" i="2" s="1"/>
  <c r="Q281" i="2"/>
  <c r="AB281" i="2"/>
  <c r="AC281" i="2"/>
  <c r="AF281" i="2"/>
  <c r="AG281" i="2"/>
  <c r="AO281" i="2"/>
  <c r="BF281" i="2"/>
  <c r="CC281" i="2"/>
  <c r="CE281" i="2" s="1"/>
  <c r="Q282" i="2"/>
  <c r="AB282" i="2"/>
  <c r="AC282" i="2"/>
  <c r="AF282" i="2"/>
  <c r="AG282" i="2"/>
  <c r="AO282" i="2"/>
  <c r="BF282" i="2"/>
  <c r="CC282" i="2"/>
  <c r="CE282" i="2" s="1"/>
  <c r="CK282" i="2" s="1"/>
  <c r="Q283" i="2"/>
  <c r="AB283" i="2"/>
  <c r="AC283" i="2"/>
  <c r="AF283" i="2"/>
  <c r="AG283" i="2"/>
  <c r="AO283" i="2"/>
  <c r="BF283" i="2"/>
  <c r="BJ283" i="2" s="1"/>
  <c r="CC283" i="2"/>
  <c r="CE283" i="2" s="1"/>
  <c r="Q284" i="2"/>
  <c r="AB284" i="2"/>
  <c r="AC284" i="2"/>
  <c r="AF284" i="2"/>
  <c r="AG284" i="2"/>
  <c r="AO284" i="2"/>
  <c r="BF284" i="2"/>
  <c r="BJ284" i="2" s="1"/>
  <c r="CM284" i="2" s="1"/>
  <c r="CC284" i="2"/>
  <c r="CE284" i="2" s="1"/>
  <c r="Q285" i="2"/>
  <c r="AB285" i="2"/>
  <c r="AC285" i="2"/>
  <c r="AF285" i="2"/>
  <c r="AG285" i="2"/>
  <c r="AO285" i="2"/>
  <c r="BF285" i="2"/>
  <c r="CC285" i="2"/>
  <c r="CE285" i="2" s="1"/>
  <c r="Q286" i="2"/>
  <c r="AB286" i="2"/>
  <c r="AC286" i="2"/>
  <c r="AF286" i="2"/>
  <c r="AG286" i="2"/>
  <c r="AO286" i="2"/>
  <c r="BF286" i="2"/>
  <c r="BJ286" i="2" s="1"/>
  <c r="CC286" i="2"/>
  <c r="CE286" i="2" s="1"/>
  <c r="CK286" i="2" s="1"/>
  <c r="Q287" i="2"/>
  <c r="AB287" i="2"/>
  <c r="AC287" i="2"/>
  <c r="AF287" i="2"/>
  <c r="AG287" i="2"/>
  <c r="AO287" i="2"/>
  <c r="BF287" i="2"/>
  <c r="BJ287" i="2" s="1"/>
  <c r="CM287" i="2" s="1"/>
  <c r="CC287" i="2"/>
  <c r="CE287" i="2" s="1"/>
  <c r="Q288" i="2"/>
  <c r="AB288" i="2"/>
  <c r="AC288" i="2"/>
  <c r="AF288" i="2"/>
  <c r="AG288" i="2"/>
  <c r="AO288" i="2"/>
  <c r="BF288" i="2"/>
  <c r="CC288" i="2"/>
  <c r="CE288" i="2" s="1"/>
  <c r="Q289" i="2"/>
  <c r="AB289" i="2"/>
  <c r="AC289" i="2"/>
  <c r="AF289" i="2"/>
  <c r="AG289" i="2"/>
  <c r="AO289" i="2"/>
  <c r="BF289" i="2"/>
  <c r="BJ289" i="2" s="1"/>
  <c r="CC289" i="2"/>
  <c r="CE289" i="2" s="1"/>
  <c r="Q290" i="2"/>
  <c r="AB290" i="2"/>
  <c r="AC290" i="2"/>
  <c r="AF290" i="2"/>
  <c r="AG290" i="2"/>
  <c r="AO290" i="2"/>
  <c r="BF290" i="2"/>
  <c r="CC290" i="2"/>
  <c r="CE290" i="2" s="1"/>
  <c r="CK290" i="2" s="1"/>
  <c r="Q291" i="2"/>
  <c r="AB291" i="2"/>
  <c r="AC291" i="2"/>
  <c r="AF291" i="2"/>
  <c r="AG291" i="2"/>
  <c r="AO291" i="2"/>
  <c r="BF291" i="2"/>
  <c r="BJ291" i="2" s="1"/>
  <c r="CM291" i="2" s="1"/>
  <c r="CC291" i="2"/>
  <c r="CE291" i="2" s="1"/>
  <c r="Q292" i="2"/>
  <c r="AB292" i="2"/>
  <c r="AC292" i="2"/>
  <c r="AF292" i="2"/>
  <c r="AG292" i="2"/>
  <c r="AO292" i="2"/>
  <c r="BF292" i="2"/>
  <c r="BJ292" i="2" s="1"/>
  <c r="CM292" i="2" s="1"/>
  <c r="CC292" i="2"/>
  <c r="CE292" i="2" s="1"/>
  <c r="CK292" i="2" s="1"/>
  <c r="Q293" i="2"/>
  <c r="AB293" i="2"/>
  <c r="AC293" i="2"/>
  <c r="AF293" i="2"/>
  <c r="AG293" i="2"/>
  <c r="AO293" i="2"/>
  <c r="BF293" i="2"/>
  <c r="CC293" i="2"/>
  <c r="CE293" i="2" s="1"/>
  <c r="Q294" i="2"/>
  <c r="AB294" i="2"/>
  <c r="AC294" i="2"/>
  <c r="AF294" i="2"/>
  <c r="AG294" i="2"/>
  <c r="AO294" i="2"/>
  <c r="BF294" i="2"/>
  <c r="BJ294" i="2" s="1"/>
  <c r="CC294" i="2"/>
  <c r="CE294" i="2" s="1"/>
  <c r="Q295" i="2"/>
  <c r="AB295" i="2"/>
  <c r="AC295" i="2"/>
  <c r="AF295" i="2"/>
  <c r="AG295" i="2"/>
  <c r="AO295" i="2"/>
  <c r="BF295" i="2"/>
  <c r="BJ295" i="2" s="1"/>
  <c r="CC295" i="2"/>
  <c r="CE295" i="2" s="1"/>
  <c r="Q296" i="2"/>
  <c r="AB296" i="2"/>
  <c r="AC296" i="2"/>
  <c r="AF296" i="2"/>
  <c r="AG296" i="2"/>
  <c r="AO296" i="2"/>
  <c r="BF296" i="2"/>
  <c r="CC296" i="2"/>
  <c r="CE296" i="2" s="1"/>
  <c r="Q297" i="2"/>
  <c r="AB297" i="2"/>
  <c r="AC297" i="2"/>
  <c r="AF297" i="2"/>
  <c r="AG297" i="2"/>
  <c r="AO297" i="2"/>
  <c r="BF297" i="2"/>
  <c r="BJ297" i="2" s="1"/>
  <c r="CC297" i="2"/>
  <c r="CE297" i="2" s="1"/>
  <c r="Q298" i="2"/>
  <c r="AB298" i="2"/>
  <c r="AC298" i="2"/>
  <c r="AF298" i="2"/>
  <c r="AG298" i="2"/>
  <c r="AO298" i="2"/>
  <c r="BF298" i="2"/>
  <c r="CC298" i="2"/>
  <c r="CE298" i="2" s="1"/>
  <c r="CK298" i="2" s="1"/>
  <c r="Q299" i="2"/>
  <c r="AB299" i="2"/>
  <c r="AC299" i="2"/>
  <c r="AF299" i="2"/>
  <c r="AG299" i="2"/>
  <c r="AO299" i="2"/>
  <c r="BF299" i="2"/>
  <c r="BJ299" i="2" s="1"/>
  <c r="CC299" i="2"/>
  <c r="CE299" i="2" s="1"/>
  <c r="Q300" i="2"/>
  <c r="AB300" i="2"/>
  <c r="AC300" i="2"/>
  <c r="AF300" i="2"/>
  <c r="AG300" i="2"/>
  <c r="AO300" i="2"/>
  <c r="BF300" i="2"/>
  <c r="CC300" i="2"/>
  <c r="CE300" i="2" s="1"/>
  <c r="Q301" i="2"/>
  <c r="AB301" i="2"/>
  <c r="AC301" i="2"/>
  <c r="AF301" i="2"/>
  <c r="AG301" i="2"/>
  <c r="AO301" i="2"/>
  <c r="BF301" i="2"/>
  <c r="CC301" i="2"/>
  <c r="CE301" i="2" s="1"/>
  <c r="Q302" i="2"/>
  <c r="AB302" i="2"/>
  <c r="AC302" i="2"/>
  <c r="AF302" i="2"/>
  <c r="AG302" i="2"/>
  <c r="AO302" i="2"/>
  <c r="BF302" i="2"/>
  <c r="CC302" i="2"/>
  <c r="CE302" i="2" s="1"/>
  <c r="Q303" i="2"/>
  <c r="AB303" i="2"/>
  <c r="AC303" i="2"/>
  <c r="AF303" i="2"/>
  <c r="AG303" i="2"/>
  <c r="AO303" i="2"/>
  <c r="BF303" i="2"/>
  <c r="BJ303" i="2" s="1"/>
  <c r="CH303" i="2" s="1"/>
  <c r="CI303" i="2" s="1"/>
  <c r="CC303" i="2"/>
  <c r="CE303" i="2" s="1"/>
  <c r="Q304" i="2"/>
  <c r="AB304" i="2"/>
  <c r="AC304" i="2"/>
  <c r="AF304" i="2"/>
  <c r="AG304" i="2"/>
  <c r="AO304" i="2"/>
  <c r="BF304" i="2"/>
  <c r="CC304" i="2"/>
  <c r="CE304" i="2" s="1"/>
  <c r="Q305" i="2"/>
  <c r="AB305" i="2"/>
  <c r="AC305" i="2"/>
  <c r="AF305" i="2"/>
  <c r="AG305" i="2"/>
  <c r="AO305" i="2"/>
  <c r="BF305" i="2"/>
  <c r="BJ305" i="2" s="1"/>
  <c r="CC305" i="2"/>
  <c r="CE305" i="2" s="1"/>
  <c r="Q306" i="2"/>
  <c r="AB306" i="2"/>
  <c r="AC306" i="2"/>
  <c r="AF306" i="2"/>
  <c r="AG306" i="2"/>
  <c r="AO306" i="2"/>
  <c r="BF306" i="2"/>
  <c r="CC306" i="2"/>
  <c r="CE306" i="2" s="1"/>
  <c r="CK306" i="2" s="1"/>
  <c r="Q307" i="2"/>
  <c r="AB307" i="2"/>
  <c r="AC307" i="2"/>
  <c r="AF307" i="2"/>
  <c r="AG307" i="2"/>
  <c r="AO307" i="2"/>
  <c r="BF307" i="2"/>
  <c r="BJ307" i="2" s="1"/>
  <c r="CM307" i="2" s="1"/>
  <c r="CC307" i="2"/>
  <c r="CE307" i="2" s="1"/>
  <c r="Q308" i="2"/>
  <c r="AB308" i="2"/>
  <c r="AC308" i="2"/>
  <c r="AF308" i="2"/>
  <c r="AG308" i="2"/>
  <c r="AO308" i="2"/>
  <c r="BF308" i="2"/>
  <c r="BJ308" i="2" s="1"/>
  <c r="CM308" i="2" s="1"/>
  <c r="CC308" i="2"/>
  <c r="CE308" i="2" s="1"/>
  <c r="Q309" i="2"/>
  <c r="AB309" i="2"/>
  <c r="AC309" i="2"/>
  <c r="AF309" i="2"/>
  <c r="AG309" i="2"/>
  <c r="AO309" i="2"/>
  <c r="BF309" i="2"/>
  <c r="CC309" i="2"/>
  <c r="CE309" i="2" s="1"/>
  <c r="CK309" i="2" s="1"/>
  <c r="Q310" i="2"/>
  <c r="AB310" i="2"/>
  <c r="AC310" i="2"/>
  <c r="AF310" i="2"/>
  <c r="AG310" i="2"/>
  <c r="AO310" i="2"/>
  <c r="BF310" i="2"/>
  <c r="BJ310" i="2" s="1"/>
  <c r="CM310" i="2" s="1"/>
  <c r="CC310" i="2"/>
  <c r="CE310" i="2"/>
  <c r="Q311" i="2"/>
  <c r="AB311" i="2"/>
  <c r="AC311" i="2"/>
  <c r="AF311" i="2"/>
  <c r="AG311" i="2"/>
  <c r="AO311" i="2"/>
  <c r="BF311" i="2"/>
  <c r="BJ311" i="2" s="1"/>
  <c r="CH311" i="2" s="1"/>
  <c r="CI311" i="2" s="1"/>
  <c r="CC311" i="2"/>
  <c r="CE311" i="2" s="1"/>
  <c r="Q312" i="2"/>
  <c r="AB312" i="2"/>
  <c r="AC312" i="2"/>
  <c r="AF312" i="2"/>
  <c r="AG312" i="2"/>
  <c r="AO312" i="2"/>
  <c r="BF312" i="2"/>
  <c r="CC312" i="2"/>
  <c r="CE312" i="2" s="1"/>
  <c r="Q313" i="2"/>
  <c r="AB313" i="2"/>
  <c r="AC313" i="2"/>
  <c r="AF313" i="2"/>
  <c r="AG313" i="2"/>
  <c r="AO313" i="2"/>
  <c r="BF313" i="2"/>
  <c r="CC313" i="2"/>
  <c r="CE313" i="2" s="1"/>
  <c r="CK313" i="2" s="1"/>
  <c r="Q314" i="2"/>
  <c r="AB314" i="2"/>
  <c r="AC314" i="2"/>
  <c r="AF314" i="2"/>
  <c r="AG314" i="2"/>
  <c r="AO314" i="2"/>
  <c r="BF314" i="2"/>
  <c r="BJ314" i="2" s="1"/>
  <c r="CC314" i="2"/>
  <c r="CE314" i="2" s="1"/>
  <c r="CK314" i="2" s="1"/>
  <c r="Q315" i="2"/>
  <c r="AB315" i="2"/>
  <c r="AC315" i="2"/>
  <c r="AF315" i="2"/>
  <c r="AG315" i="2"/>
  <c r="AO315" i="2"/>
  <c r="BF315" i="2"/>
  <c r="BJ315" i="2" s="1"/>
  <c r="CC315" i="2"/>
  <c r="CE315" i="2" s="1"/>
  <c r="Q316" i="2"/>
  <c r="AB316" i="2"/>
  <c r="AC316" i="2"/>
  <c r="AF316" i="2"/>
  <c r="AG316" i="2"/>
  <c r="AO316" i="2"/>
  <c r="BF316" i="2"/>
  <c r="BJ316" i="2" s="1"/>
  <c r="CM316" i="2" s="1"/>
  <c r="CC316" i="2"/>
  <c r="CE316" i="2" s="1"/>
  <c r="Q317" i="2"/>
  <c r="AB317" i="2"/>
  <c r="AC317" i="2"/>
  <c r="AF317" i="2"/>
  <c r="AG317" i="2"/>
  <c r="AO317" i="2"/>
  <c r="BF317" i="2"/>
  <c r="CC317" i="2"/>
  <c r="CE317" i="2" s="1"/>
  <c r="CK317" i="2" s="1"/>
  <c r="Q318" i="2"/>
  <c r="AB318" i="2"/>
  <c r="AC318" i="2"/>
  <c r="AF318" i="2"/>
  <c r="AG318" i="2"/>
  <c r="AO318" i="2"/>
  <c r="BF318" i="2"/>
  <c r="BJ318" i="2" s="1"/>
  <c r="CM318" i="2" s="1"/>
  <c r="CC318" i="2"/>
  <c r="CE318" i="2" s="1"/>
  <c r="Q319" i="2"/>
  <c r="AB319" i="2"/>
  <c r="AC319" i="2"/>
  <c r="AF319" i="2"/>
  <c r="AG319" i="2"/>
  <c r="AO319" i="2"/>
  <c r="BF319" i="2"/>
  <c r="BJ319" i="2" s="1"/>
  <c r="CH319" i="2" s="1"/>
  <c r="CI319" i="2" s="1"/>
  <c r="CC319" i="2"/>
  <c r="CE319" i="2" s="1"/>
  <c r="CK319" i="2" s="1"/>
  <c r="Q320" i="2"/>
  <c r="AB320" i="2"/>
  <c r="AC320" i="2"/>
  <c r="AF320" i="2"/>
  <c r="AG320" i="2"/>
  <c r="AO320" i="2"/>
  <c r="BF320" i="2"/>
  <c r="CC320" i="2"/>
  <c r="CE320" i="2" s="1"/>
  <c r="Q321" i="2"/>
  <c r="AB321" i="2"/>
  <c r="AC321" i="2"/>
  <c r="AF321" i="2"/>
  <c r="AO321" i="2"/>
  <c r="BF321" i="2"/>
  <c r="CC321" i="2"/>
  <c r="CE321" i="2" s="1"/>
  <c r="CK321" i="2" s="1"/>
  <c r="Q322" i="2"/>
  <c r="AB322" i="2"/>
  <c r="AC322" i="2"/>
  <c r="AF322" i="2"/>
  <c r="AG322" i="2"/>
  <c r="AO322" i="2"/>
  <c r="BF322" i="2"/>
  <c r="CC322" i="2"/>
  <c r="CE322" i="2" s="1"/>
  <c r="Q323" i="2"/>
  <c r="AB323" i="2"/>
  <c r="AC323" i="2"/>
  <c r="AF323" i="2"/>
  <c r="AG323" i="2"/>
  <c r="AO323" i="2"/>
  <c r="BF323" i="2"/>
  <c r="BJ323" i="2" s="1"/>
  <c r="CM323" i="2" s="1"/>
  <c r="CC323" i="2"/>
  <c r="CE323" i="2" s="1"/>
  <c r="Q324" i="2"/>
  <c r="AB324" i="2"/>
  <c r="AC324" i="2"/>
  <c r="AF324" i="2"/>
  <c r="AG324" i="2"/>
  <c r="AO324" i="2"/>
  <c r="BF324" i="2"/>
  <c r="CC324" i="2"/>
  <c r="CE324" i="2" s="1"/>
  <c r="CK324" i="2" s="1"/>
  <c r="Q325" i="2"/>
  <c r="AB325" i="2"/>
  <c r="AC325" i="2"/>
  <c r="AF325" i="2"/>
  <c r="AG325" i="2"/>
  <c r="AO325" i="2"/>
  <c r="BF325" i="2"/>
  <c r="CC325" i="2"/>
  <c r="CE325" i="2" s="1"/>
  <c r="Q326" i="2"/>
  <c r="AB326" i="2"/>
  <c r="AC326" i="2"/>
  <c r="AF326" i="2"/>
  <c r="AG326" i="2"/>
  <c r="AO326" i="2"/>
  <c r="BF326" i="2"/>
  <c r="BJ326" i="2"/>
  <c r="CH326" i="2" s="1"/>
  <c r="CI326" i="2" s="1"/>
  <c r="CC326" i="2"/>
  <c r="CE326" i="2" s="1"/>
  <c r="CK326" i="2" s="1"/>
  <c r="Q327" i="2"/>
  <c r="BI327" i="2" s="1"/>
  <c r="AB327" i="2"/>
  <c r="AF327" i="2"/>
  <c r="AG327" i="2"/>
  <c r="AO327" i="2"/>
  <c r="Q328" i="2"/>
  <c r="AB328" i="2"/>
  <c r="AC328" i="2"/>
  <c r="AF328" i="2"/>
  <c r="AG328" i="2"/>
  <c r="AO328" i="2"/>
  <c r="BF328" i="2"/>
  <c r="CC328" i="2"/>
  <c r="CE328" i="2" s="1"/>
  <c r="Q329" i="2"/>
  <c r="AB329" i="2"/>
  <c r="AC329" i="2"/>
  <c r="AF329" i="2"/>
  <c r="AG329" i="2"/>
  <c r="AO329" i="2"/>
  <c r="BF329" i="2"/>
  <c r="BJ329" i="2" s="1"/>
  <c r="CM329" i="2" s="1"/>
  <c r="CC329" i="2"/>
  <c r="CE329" i="2" s="1"/>
  <c r="Q330" i="2"/>
  <c r="AB330" i="2"/>
  <c r="AC330" i="2"/>
  <c r="AF330" i="2"/>
  <c r="AG330" i="2"/>
  <c r="AO330" i="2"/>
  <c r="BF330" i="2"/>
  <c r="CC330" i="2"/>
  <c r="CE330" i="2" s="1"/>
  <c r="CK330" i="2" s="1"/>
  <c r="Q331" i="2"/>
  <c r="AB331" i="2"/>
  <c r="AC331" i="2"/>
  <c r="AF331" i="2"/>
  <c r="AG331" i="2"/>
  <c r="AO331" i="2"/>
  <c r="BF331" i="2"/>
  <c r="CC331" i="2"/>
  <c r="CE331" i="2" s="1"/>
  <c r="Q332" i="2"/>
  <c r="AB332" i="2"/>
  <c r="AC332" i="2"/>
  <c r="AF332" i="2"/>
  <c r="AG332" i="2"/>
  <c r="AO332" i="2"/>
  <c r="BF332" i="2"/>
  <c r="BJ332" i="2" s="1"/>
  <c r="CC332" i="2"/>
  <c r="CE332" i="2" s="1"/>
  <c r="Q333" i="2"/>
  <c r="AB333" i="2"/>
  <c r="AC333" i="2"/>
  <c r="AF333" i="2"/>
  <c r="AG333" i="2"/>
  <c r="AO333" i="2"/>
  <c r="BF333" i="2"/>
  <c r="CC333" i="2"/>
  <c r="CE333" i="2" s="1"/>
  <c r="Q334" i="2"/>
  <c r="AB334" i="2"/>
  <c r="AC334" i="2"/>
  <c r="AF334" i="2"/>
  <c r="AG334" i="2"/>
  <c r="AO334" i="2"/>
  <c r="BF334" i="2"/>
  <c r="BJ334" i="2" s="1"/>
  <c r="CC334" i="2"/>
  <c r="CE334" i="2" s="1"/>
  <c r="Q335" i="2"/>
  <c r="AB335" i="2"/>
  <c r="AC335" i="2"/>
  <c r="AF335" i="2"/>
  <c r="AG335" i="2"/>
  <c r="AO335" i="2"/>
  <c r="BF335" i="2"/>
  <c r="CC335" i="2"/>
  <c r="CE335" i="2"/>
  <c r="CK335" i="2" s="1"/>
  <c r="Q336" i="2"/>
  <c r="AB336" i="2"/>
  <c r="AC336" i="2"/>
  <c r="AF336" i="2"/>
  <c r="AG336" i="2"/>
  <c r="AO336" i="2"/>
  <c r="BF336" i="2"/>
  <c r="BJ336" i="2"/>
  <c r="CM336" i="2" s="1"/>
  <c r="CC336" i="2"/>
  <c r="CE336" i="2" s="1"/>
  <c r="Q337" i="2"/>
  <c r="AB337" i="2"/>
  <c r="AC337" i="2"/>
  <c r="AF337" i="2"/>
  <c r="AG337" i="2"/>
  <c r="AO337" i="2"/>
  <c r="BF337" i="2"/>
  <c r="BJ337" i="2" s="1"/>
  <c r="CM337" i="2" s="1"/>
  <c r="CC337" i="2"/>
  <c r="CE337" i="2" s="1"/>
  <c r="Q338" i="2"/>
  <c r="AB338" i="2"/>
  <c r="AC338" i="2"/>
  <c r="AF338" i="2"/>
  <c r="AG338" i="2"/>
  <c r="AO338" i="2"/>
  <c r="BF338" i="2"/>
  <c r="CC338" i="2"/>
  <c r="CE338" i="2" s="1"/>
  <c r="CK338" i="2" s="1"/>
  <c r="Q339" i="2"/>
  <c r="AB339" i="2"/>
  <c r="AC339" i="2"/>
  <c r="AF339" i="2"/>
  <c r="AG339" i="2"/>
  <c r="AO339" i="2"/>
  <c r="BF339" i="2"/>
  <c r="CC339" i="2"/>
  <c r="CE339" i="2" s="1"/>
  <c r="Q340" i="2"/>
  <c r="AB340" i="2"/>
  <c r="AC340" i="2"/>
  <c r="AF340" i="2"/>
  <c r="AG340" i="2"/>
  <c r="AO340" i="2"/>
  <c r="BF340" i="2"/>
  <c r="BJ340" i="2" s="1"/>
  <c r="CM340" i="2" s="1"/>
  <c r="CC340" i="2"/>
  <c r="CE340" i="2" s="1"/>
  <c r="Q341" i="2"/>
  <c r="AB341" i="2"/>
  <c r="AC341" i="2"/>
  <c r="AF341" i="2"/>
  <c r="AG341" i="2"/>
  <c r="AO341" i="2"/>
  <c r="BF341" i="2"/>
  <c r="CC341" i="2"/>
  <c r="CE341" i="2" s="1"/>
  <c r="Q342" i="2"/>
  <c r="AB342" i="2"/>
  <c r="AC342" i="2"/>
  <c r="AF342" i="2"/>
  <c r="AG342" i="2"/>
  <c r="AO342" i="2"/>
  <c r="BF342" i="2"/>
  <c r="BJ342" i="2" s="1"/>
  <c r="CC342" i="2"/>
  <c r="CK342" i="2"/>
  <c r="Q343" i="2"/>
  <c r="AB343" i="2"/>
  <c r="AC343" i="2"/>
  <c r="AF343" i="2"/>
  <c r="AG343" i="2"/>
  <c r="AO343" i="2"/>
  <c r="BF343" i="2"/>
  <c r="BJ343" i="2" s="1"/>
  <c r="CM343" i="2" s="1"/>
  <c r="CC343" i="2"/>
  <c r="CE343" i="2" s="1"/>
  <c r="Q344" i="2"/>
  <c r="AB344" i="2"/>
  <c r="AC344" i="2"/>
  <c r="AF344" i="2"/>
  <c r="AG344" i="2"/>
  <c r="AO344" i="2"/>
  <c r="BF344" i="2"/>
  <c r="BI344" i="2" s="1"/>
  <c r="CC344" i="2"/>
  <c r="CE344" i="2" s="1"/>
  <c r="Q345" i="2"/>
  <c r="AB345" i="2"/>
  <c r="AC345" i="2"/>
  <c r="AF345" i="2"/>
  <c r="AG345" i="2"/>
  <c r="AO345" i="2"/>
  <c r="BF345" i="2"/>
  <c r="CC345" i="2"/>
  <c r="CE345" i="2" s="1"/>
  <c r="Q346" i="2"/>
  <c r="AB346" i="2"/>
  <c r="AC346" i="2"/>
  <c r="AF346" i="2"/>
  <c r="AG346" i="2"/>
  <c r="AO346" i="2"/>
  <c r="BF346" i="2"/>
  <c r="BJ346" i="2" s="1"/>
  <c r="CM346" i="2" s="1"/>
  <c r="CC346" i="2"/>
  <c r="CE346" i="2" s="1"/>
  <c r="Q347" i="2"/>
  <c r="AB347" i="2"/>
  <c r="AC347" i="2"/>
  <c r="AF347" i="2"/>
  <c r="AG347" i="2"/>
  <c r="AO347" i="2"/>
  <c r="BF347" i="2"/>
  <c r="BJ347" i="2" s="1"/>
  <c r="CC347" i="2"/>
  <c r="CE347" i="2" s="1"/>
  <c r="Q348" i="2"/>
  <c r="AB348" i="2"/>
  <c r="AC348" i="2"/>
  <c r="AF348" i="2"/>
  <c r="AG348" i="2"/>
  <c r="AO348" i="2"/>
  <c r="BF348" i="2"/>
  <c r="CC348" i="2"/>
  <c r="CE348" i="2" s="1"/>
  <c r="CK348" i="2" s="1"/>
  <c r="Q349" i="2"/>
  <c r="AB349" i="2"/>
  <c r="AC349" i="2"/>
  <c r="AF349" i="2"/>
  <c r="AG349" i="2"/>
  <c r="AO349" i="2"/>
  <c r="BF349" i="2"/>
  <c r="BJ349" i="2" s="1"/>
  <c r="CH349" i="2" s="1"/>
  <c r="CI349" i="2" s="1"/>
  <c r="CC349" i="2"/>
  <c r="CE349" i="2" s="1"/>
  <c r="CK349" i="2" s="1"/>
  <c r="Q350" i="2"/>
  <c r="AB350" i="2"/>
  <c r="AC350" i="2"/>
  <c r="AF350" i="2"/>
  <c r="AG350" i="2"/>
  <c r="AO350" i="2"/>
  <c r="BF350" i="2"/>
  <c r="CC350" i="2"/>
  <c r="CE350" i="2" s="1"/>
  <c r="CK350" i="2" s="1"/>
  <c r="Q351" i="2"/>
  <c r="AB351" i="2"/>
  <c r="AC351" i="2"/>
  <c r="AF351" i="2"/>
  <c r="AG351" i="2"/>
  <c r="AO351" i="2"/>
  <c r="BF351" i="2"/>
  <c r="BJ351" i="2" s="1"/>
  <c r="CC351" i="2"/>
  <c r="CE351" i="2" s="1"/>
  <c r="Q352" i="2"/>
  <c r="AB352" i="2"/>
  <c r="AC352" i="2"/>
  <c r="AF352" i="2"/>
  <c r="AG352" i="2"/>
  <c r="AO352" i="2"/>
  <c r="BF352" i="2"/>
  <c r="BJ352" i="2" s="1"/>
  <c r="CC352" i="2"/>
  <c r="CE352" i="2" s="1"/>
  <c r="Q353" i="2"/>
  <c r="AB353" i="2"/>
  <c r="AC353" i="2"/>
  <c r="AF353" i="2"/>
  <c r="AG353" i="2"/>
  <c r="AO353" i="2"/>
  <c r="BF353" i="2"/>
  <c r="CC353" i="2"/>
  <c r="CE353" i="2" s="1"/>
  <c r="Q354" i="2"/>
  <c r="AB354" i="2"/>
  <c r="AC354" i="2"/>
  <c r="AF354" i="2"/>
  <c r="AG354" i="2"/>
  <c r="AO354" i="2"/>
  <c r="BF354" i="2"/>
  <c r="CC354" i="2"/>
  <c r="CE354" i="2" s="1"/>
  <c r="CK354" i="2" s="1"/>
  <c r="Q355" i="2"/>
  <c r="AB355" i="2"/>
  <c r="AC355" i="2"/>
  <c r="AF355" i="2"/>
  <c r="AG355" i="2"/>
  <c r="AO355" i="2"/>
  <c r="BF355" i="2"/>
  <c r="CC355" i="2"/>
  <c r="CE355" i="2" s="1"/>
  <c r="CK355" i="2"/>
  <c r="Q356" i="2"/>
  <c r="AB356" i="2"/>
  <c r="AC356" i="2"/>
  <c r="AF356" i="2"/>
  <c r="AG356" i="2"/>
  <c r="AO356" i="2"/>
  <c r="BF356" i="2"/>
  <c r="BJ356" i="2"/>
  <c r="CH356" i="2" s="1"/>
  <c r="CI356" i="2" s="1"/>
  <c r="CC356" i="2"/>
  <c r="CE356" i="2" s="1"/>
  <c r="CK356" i="2" s="1"/>
  <c r="Q357" i="2"/>
  <c r="AB357" i="2"/>
  <c r="AC357" i="2"/>
  <c r="AF357" i="2"/>
  <c r="AG357" i="2"/>
  <c r="AO357" i="2"/>
  <c r="BF357" i="2"/>
  <c r="BJ357" i="2" s="1"/>
  <c r="CC357" i="2"/>
  <c r="CE357" i="2" s="1"/>
  <c r="Q358" i="2"/>
  <c r="AB358" i="2"/>
  <c r="AC358" i="2"/>
  <c r="AF358" i="2"/>
  <c r="AG358" i="2"/>
  <c r="AO358" i="2"/>
  <c r="BF358" i="2"/>
  <c r="BJ358" i="2" s="1"/>
  <c r="CC358" i="2"/>
  <c r="CE358" i="2" s="1"/>
  <c r="Q359" i="2"/>
  <c r="AB359" i="2"/>
  <c r="AC359" i="2"/>
  <c r="AF359" i="2"/>
  <c r="AG359" i="2"/>
  <c r="AO359" i="2"/>
  <c r="BF359" i="2"/>
  <c r="BJ359" i="2" s="1"/>
  <c r="CM359" i="2" s="1"/>
  <c r="CC359" i="2"/>
  <c r="CE359" i="2" s="1"/>
  <c r="Q360" i="2"/>
  <c r="AB360" i="2"/>
  <c r="AC360" i="2"/>
  <c r="AF360" i="2"/>
  <c r="AG360" i="2"/>
  <c r="AO360" i="2"/>
  <c r="BF360" i="2"/>
  <c r="CC360" i="2"/>
  <c r="CE360" i="2" s="1"/>
  <c r="Q361" i="2"/>
  <c r="AB361" i="2"/>
  <c r="AC361" i="2"/>
  <c r="AF361" i="2"/>
  <c r="AG361" i="2"/>
  <c r="AO361" i="2"/>
  <c r="BF361" i="2"/>
  <c r="BJ361" i="2" s="1"/>
  <c r="CC361" i="2"/>
  <c r="CE361" i="2" s="1"/>
  <c r="Q362" i="2"/>
  <c r="AB362" i="2"/>
  <c r="AC362" i="2"/>
  <c r="AF362" i="2"/>
  <c r="AG362" i="2"/>
  <c r="AO362" i="2"/>
  <c r="BF362" i="2"/>
  <c r="CC362" i="2"/>
  <c r="CE362" i="2" s="1"/>
  <c r="Q363" i="2"/>
  <c r="AB363" i="2"/>
  <c r="AC363" i="2"/>
  <c r="AF363" i="2"/>
  <c r="AG363" i="2"/>
  <c r="AO363" i="2"/>
  <c r="BF363" i="2"/>
  <c r="CC363" i="2"/>
  <c r="CE363" i="2" s="1"/>
  <c r="CK363" i="2" s="1"/>
  <c r="Q364" i="2"/>
  <c r="AB364" i="2"/>
  <c r="AC364" i="2"/>
  <c r="AF364" i="2"/>
  <c r="AG364" i="2"/>
  <c r="AO364" i="2"/>
  <c r="BF364" i="2"/>
  <c r="CC364" i="2"/>
  <c r="CE364" i="2" s="1"/>
  <c r="Q365" i="2"/>
  <c r="AB365" i="2"/>
  <c r="AC365" i="2"/>
  <c r="AF365" i="2"/>
  <c r="AG365" i="2"/>
  <c r="AO365" i="2"/>
  <c r="BF365" i="2"/>
  <c r="BJ365" i="2" s="1"/>
  <c r="CC365" i="2"/>
  <c r="CE365" i="2" s="1"/>
  <c r="Q366" i="2"/>
  <c r="AB366" i="2"/>
  <c r="AC366" i="2"/>
  <c r="AF366" i="2"/>
  <c r="AG366" i="2"/>
  <c r="AO366" i="2"/>
  <c r="BF366" i="2"/>
  <c r="BJ366" i="2" s="1"/>
  <c r="CC366" i="2"/>
  <c r="CE366" i="2" s="1"/>
  <c r="Q367" i="2"/>
  <c r="AB367" i="2"/>
  <c r="AC367" i="2"/>
  <c r="AF367" i="2"/>
  <c r="AG367" i="2"/>
  <c r="AO367" i="2"/>
  <c r="BF367" i="2"/>
  <c r="BJ367" i="2" s="1"/>
  <c r="CC367" i="2"/>
  <c r="CE367" i="2" s="1"/>
  <c r="Q368" i="2"/>
  <c r="AB368" i="2"/>
  <c r="AC368" i="2"/>
  <c r="AF368" i="2"/>
  <c r="AG368" i="2"/>
  <c r="AO368" i="2"/>
  <c r="BF368" i="2"/>
  <c r="CC368" i="2"/>
  <c r="CE368" i="2" s="1"/>
  <c r="Q369" i="2"/>
  <c r="AB369" i="2"/>
  <c r="AC369" i="2"/>
  <c r="AF369" i="2"/>
  <c r="AG369" i="2"/>
  <c r="AO369" i="2"/>
  <c r="BF369" i="2"/>
  <c r="BJ369" i="2" s="1"/>
  <c r="CC369" i="2"/>
  <c r="CE369" i="2" s="1"/>
  <c r="CK369" i="2" s="1"/>
  <c r="Q370" i="2"/>
  <c r="AB370" i="2"/>
  <c r="AC370" i="2"/>
  <c r="AF370" i="2"/>
  <c r="AG370" i="2"/>
  <c r="AO370" i="2"/>
  <c r="BF370" i="2"/>
  <c r="CC370" i="2"/>
  <c r="CE370" i="2" s="1"/>
  <c r="Q371" i="2"/>
  <c r="AB371" i="2"/>
  <c r="AC371" i="2"/>
  <c r="AF371" i="2"/>
  <c r="AG371" i="2"/>
  <c r="AO371" i="2"/>
  <c r="BF371" i="2"/>
  <c r="BJ371" i="2" s="1"/>
  <c r="CC371" i="2"/>
  <c r="CE371" i="2" s="1"/>
  <c r="Q372" i="2"/>
  <c r="AB372" i="2"/>
  <c r="AC372" i="2"/>
  <c r="AF372" i="2"/>
  <c r="AG372" i="2"/>
  <c r="AO372" i="2"/>
  <c r="BF372" i="2"/>
  <c r="CC372" i="2"/>
  <c r="CE372" i="2" s="1"/>
  <c r="Q373" i="2"/>
  <c r="AB373" i="2"/>
  <c r="AC373" i="2"/>
  <c r="AF373" i="2"/>
  <c r="AG373" i="2"/>
  <c r="AO373" i="2"/>
  <c r="BF373" i="2"/>
  <c r="BJ373" i="2" s="1"/>
  <c r="CC373" i="2"/>
  <c r="CE373" i="2" s="1"/>
  <c r="Q374" i="2"/>
  <c r="AB374" i="2"/>
  <c r="AC374" i="2"/>
  <c r="AF374" i="2"/>
  <c r="AG374" i="2"/>
  <c r="AO374" i="2"/>
  <c r="BF374" i="2"/>
  <c r="BJ374" i="2" s="1"/>
  <c r="CC374" i="2"/>
  <c r="CE374" i="2" s="1"/>
  <c r="Q375" i="2"/>
  <c r="AB375" i="2"/>
  <c r="AC375" i="2"/>
  <c r="AF375" i="2"/>
  <c r="AG375" i="2"/>
  <c r="AO375" i="2"/>
  <c r="BF375" i="2"/>
  <c r="BJ375" i="2" s="1"/>
  <c r="CC375" i="2"/>
  <c r="CE375" i="2" s="1"/>
  <c r="Q376" i="2"/>
  <c r="AB376" i="2"/>
  <c r="AC376" i="2"/>
  <c r="AF376" i="2"/>
  <c r="AG376" i="2"/>
  <c r="AO376" i="2"/>
  <c r="BF376" i="2"/>
  <c r="CC376" i="2"/>
  <c r="CE376" i="2" s="1"/>
  <c r="Q377" i="2"/>
  <c r="AB377" i="2"/>
  <c r="AC377" i="2"/>
  <c r="AF377" i="2"/>
  <c r="AG377" i="2"/>
  <c r="AO377" i="2"/>
  <c r="BF377" i="2"/>
  <c r="BJ377" i="2" s="1"/>
  <c r="CC377" i="2"/>
  <c r="CE377" i="2" s="1"/>
  <c r="Q378" i="2"/>
  <c r="AB378" i="2"/>
  <c r="AC378" i="2"/>
  <c r="AF378" i="2"/>
  <c r="AG378" i="2"/>
  <c r="AO378" i="2"/>
  <c r="BF378" i="2"/>
  <c r="BJ378" i="2" s="1"/>
  <c r="CC378" i="2"/>
  <c r="CE378" i="2" s="1"/>
  <c r="Q379" i="2"/>
  <c r="AB379" i="2"/>
  <c r="AC379" i="2"/>
  <c r="AF379" i="2"/>
  <c r="AG379" i="2"/>
  <c r="AO379" i="2"/>
  <c r="BF379" i="2"/>
  <c r="BJ379" i="2" s="1"/>
  <c r="CM379" i="2" s="1"/>
  <c r="CC379" i="2"/>
  <c r="CE379" i="2" s="1"/>
  <c r="CK379" i="2"/>
  <c r="Q380" i="2"/>
  <c r="AB380" i="2"/>
  <c r="AC380" i="2"/>
  <c r="AF380" i="2"/>
  <c r="AG380" i="2"/>
  <c r="AO380" i="2"/>
  <c r="BF380" i="2"/>
  <c r="CC380" i="2"/>
  <c r="CE380" i="2" s="1"/>
  <c r="Q381" i="2"/>
  <c r="AB381" i="2"/>
  <c r="AC381" i="2"/>
  <c r="AF381" i="2"/>
  <c r="AG381" i="2"/>
  <c r="AO381" i="2"/>
  <c r="BF381" i="2"/>
  <c r="CC381" i="2"/>
  <c r="CE381" i="2" s="1"/>
  <c r="Q382" i="2"/>
  <c r="AB382" i="2"/>
  <c r="AC382" i="2"/>
  <c r="AF382" i="2"/>
  <c r="AG382" i="2"/>
  <c r="AO382" i="2"/>
  <c r="BF382" i="2"/>
  <c r="BJ382" i="2" s="1"/>
  <c r="CC382" i="2"/>
  <c r="CE382" i="2" s="1"/>
  <c r="Q383" i="2"/>
  <c r="AB383" i="2"/>
  <c r="AC383" i="2"/>
  <c r="AF383" i="2"/>
  <c r="AG383" i="2"/>
  <c r="AO383" i="2"/>
  <c r="BF383" i="2"/>
  <c r="BJ383" i="2" s="1"/>
  <c r="CH383" i="2" s="1"/>
  <c r="CI383" i="2" s="1"/>
  <c r="CC383" i="2"/>
  <c r="CE383" i="2" s="1"/>
  <c r="Q384" i="2"/>
  <c r="AB384" i="2"/>
  <c r="AC384" i="2"/>
  <c r="AF384" i="2"/>
  <c r="AG384" i="2"/>
  <c r="AO384" i="2"/>
  <c r="BF384" i="2"/>
  <c r="CC384" i="2"/>
  <c r="CE384" i="2" s="1"/>
  <c r="Q385" i="2"/>
  <c r="AB385" i="2"/>
  <c r="AC385" i="2"/>
  <c r="AF385" i="2"/>
  <c r="AG385" i="2"/>
  <c r="AO385" i="2"/>
  <c r="BF385" i="2"/>
  <c r="BJ385" i="2" s="1"/>
  <c r="CC385" i="2"/>
  <c r="CE385" i="2" s="1"/>
  <c r="Q386" i="2"/>
  <c r="AB386" i="2"/>
  <c r="AC386" i="2"/>
  <c r="AF386" i="2"/>
  <c r="AG386" i="2"/>
  <c r="AO386" i="2"/>
  <c r="BF386" i="2"/>
  <c r="CC386" i="2"/>
  <c r="CE386" i="2" s="1"/>
  <c r="CK386" i="2" s="1"/>
  <c r="Q387" i="2"/>
  <c r="AB387" i="2"/>
  <c r="AC387" i="2"/>
  <c r="AF387" i="2"/>
  <c r="AG387" i="2"/>
  <c r="AO387" i="2"/>
  <c r="BF387" i="2"/>
  <c r="CC387" i="2"/>
  <c r="CE387" i="2" s="1"/>
  <c r="Q388" i="2"/>
  <c r="AB388" i="2"/>
  <c r="AC388" i="2"/>
  <c r="AF388" i="2"/>
  <c r="AG388" i="2"/>
  <c r="AO388" i="2"/>
  <c r="BF388" i="2"/>
  <c r="CC388" i="2"/>
  <c r="CE388" i="2" s="1"/>
  <c r="Q389" i="2"/>
  <c r="AB389" i="2"/>
  <c r="AC389" i="2"/>
  <c r="AF389" i="2"/>
  <c r="AG389" i="2"/>
  <c r="AO389" i="2"/>
  <c r="BF389" i="2"/>
  <c r="BJ389" i="2" s="1"/>
  <c r="CC389" i="2"/>
  <c r="CE389" i="2" s="1"/>
  <c r="Q390" i="2"/>
  <c r="AB390" i="2"/>
  <c r="AC390" i="2"/>
  <c r="AF390" i="2"/>
  <c r="AG390" i="2"/>
  <c r="AO390" i="2"/>
  <c r="BF390" i="2"/>
  <c r="BJ390" i="2" s="1"/>
  <c r="CC390" i="2"/>
  <c r="CE390" i="2" s="1"/>
  <c r="Q391" i="2"/>
  <c r="AB391" i="2"/>
  <c r="AC391" i="2"/>
  <c r="AF391" i="2"/>
  <c r="AG391" i="2"/>
  <c r="AO391" i="2"/>
  <c r="BF391" i="2"/>
  <c r="BJ391" i="2" s="1"/>
  <c r="CH391" i="2" s="1"/>
  <c r="CI391" i="2" s="1"/>
  <c r="CC391" i="2"/>
  <c r="CE391" i="2" s="1"/>
  <c r="Q392" i="2"/>
  <c r="AB392" i="2"/>
  <c r="AC392" i="2"/>
  <c r="AF392" i="2"/>
  <c r="AG392" i="2"/>
  <c r="AO392" i="2"/>
  <c r="BF392" i="2"/>
  <c r="CC392" i="2"/>
  <c r="CE392" i="2" s="1"/>
  <c r="Q393" i="2"/>
  <c r="AB393" i="2"/>
  <c r="AC393" i="2"/>
  <c r="AF393" i="2"/>
  <c r="AG393" i="2"/>
  <c r="AO393" i="2"/>
  <c r="BF393" i="2"/>
  <c r="BJ393" i="2" s="1"/>
  <c r="CC393" i="2"/>
  <c r="CE393" i="2" s="1"/>
  <c r="Q394" i="2"/>
  <c r="AB394" i="2"/>
  <c r="AC394" i="2"/>
  <c r="AF394" i="2"/>
  <c r="AG394" i="2"/>
  <c r="AO394" i="2"/>
  <c r="BF394" i="2"/>
  <c r="BJ394" i="2"/>
  <c r="CM394" i="2" s="1"/>
  <c r="CC394" i="2"/>
  <c r="CE394" i="2" s="1"/>
  <c r="CK394" i="2" s="1"/>
  <c r="Q395" i="2"/>
  <c r="AB395" i="2"/>
  <c r="AC395" i="2"/>
  <c r="AF395" i="2"/>
  <c r="AG395" i="2"/>
  <c r="AO395" i="2"/>
  <c r="BF395" i="2"/>
  <c r="CC395" i="2"/>
  <c r="CE395" i="2" s="1"/>
  <c r="Q396" i="2"/>
  <c r="AB396" i="2"/>
  <c r="AC396" i="2"/>
  <c r="AF396" i="2"/>
  <c r="AG396" i="2"/>
  <c r="AO396" i="2"/>
  <c r="BF396" i="2"/>
  <c r="CC396" i="2"/>
  <c r="CE396" i="2" s="1"/>
  <c r="Q397" i="2"/>
  <c r="AB397" i="2"/>
  <c r="AC397" i="2"/>
  <c r="AF397" i="2"/>
  <c r="AG397" i="2"/>
  <c r="AO397" i="2"/>
  <c r="BF397" i="2"/>
  <c r="BJ397" i="2" s="1"/>
  <c r="CC397" i="2"/>
  <c r="CE397" i="2" s="1"/>
  <c r="Q398" i="2"/>
  <c r="AB398" i="2"/>
  <c r="AC398" i="2"/>
  <c r="AF398" i="2"/>
  <c r="AG398" i="2"/>
  <c r="AO398" i="2"/>
  <c r="BF398" i="2"/>
  <c r="BJ398" i="2" s="1"/>
  <c r="CC398" i="2"/>
  <c r="CE398" i="2" s="1"/>
  <c r="Q399" i="2"/>
  <c r="AB399" i="2"/>
  <c r="AC399" i="2"/>
  <c r="AF399" i="2"/>
  <c r="AG399" i="2"/>
  <c r="AO399" i="2"/>
  <c r="BF399" i="2"/>
  <c r="BJ399" i="2" s="1"/>
  <c r="CH399" i="2" s="1"/>
  <c r="CI399" i="2" s="1"/>
  <c r="CC399" i="2"/>
  <c r="CE399" i="2" s="1"/>
  <c r="Q400" i="2"/>
  <c r="AB400" i="2"/>
  <c r="AC400" i="2"/>
  <c r="AF400" i="2"/>
  <c r="AG400" i="2"/>
  <c r="AO400" i="2"/>
  <c r="BF400" i="2"/>
  <c r="CC400" i="2"/>
  <c r="CE400" i="2" s="1"/>
  <c r="Q401" i="2"/>
  <c r="AB401" i="2"/>
  <c r="AC401" i="2"/>
  <c r="AF401" i="2"/>
  <c r="AG401" i="2"/>
  <c r="AO401" i="2"/>
  <c r="BF401" i="2"/>
  <c r="BJ401" i="2" s="1"/>
  <c r="CC401" i="2"/>
  <c r="CE401" i="2" s="1"/>
  <c r="Q402" i="2"/>
  <c r="AB402" i="2"/>
  <c r="AC402" i="2"/>
  <c r="AF402" i="2"/>
  <c r="AG402" i="2"/>
  <c r="AO402" i="2"/>
  <c r="BF402" i="2"/>
  <c r="BJ402" i="2" s="1"/>
  <c r="CC402" i="2"/>
  <c r="CE402" i="2" s="1"/>
  <c r="CK402" i="2" s="1"/>
  <c r="Q403" i="2"/>
  <c r="AB403" i="2"/>
  <c r="AC403" i="2"/>
  <c r="AF403" i="2"/>
  <c r="AG403" i="2"/>
  <c r="AO403" i="2"/>
  <c r="BF403" i="2"/>
  <c r="BI403" i="2" s="1"/>
  <c r="CC403" i="2"/>
  <c r="CE403" i="2" s="1"/>
  <c r="Q404" i="2"/>
  <c r="AB404" i="2"/>
  <c r="AC404" i="2"/>
  <c r="AF404" i="2"/>
  <c r="AG404" i="2"/>
  <c r="AO404" i="2"/>
  <c r="BF404" i="2"/>
  <c r="CC404" i="2"/>
  <c r="CE404" i="2" s="1"/>
  <c r="Q405" i="2"/>
  <c r="AB405" i="2"/>
  <c r="AC405" i="2"/>
  <c r="AF405" i="2"/>
  <c r="AG405" i="2"/>
  <c r="AO405" i="2"/>
  <c r="BF405" i="2"/>
  <c r="BJ405" i="2" s="1"/>
  <c r="CC405" i="2"/>
  <c r="CE405" i="2" s="1"/>
  <c r="Q406" i="2"/>
  <c r="AB406" i="2"/>
  <c r="AC406" i="2"/>
  <c r="AF406" i="2"/>
  <c r="AG406" i="2"/>
  <c r="AO406" i="2"/>
  <c r="BF406" i="2"/>
  <c r="BJ406" i="2" s="1"/>
  <c r="CC406" i="2"/>
  <c r="CE406" i="2" s="1"/>
  <c r="Q407" i="2"/>
  <c r="AB407" i="2"/>
  <c r="AC407" i="2"/>
  <c r="AO407" i="2"/>
  <c r="BF407" i="2"/>
  <c r="BJ407" i="2" s="1"/>
  <c r="CC407" i="2"/>
  <c r="CE407" i="2" s="1"/>
  <c r="Q408" i="2"/>
  <c r="AB408" i="2"/>
  <c r="AC408" i="2"/>
  <c r="AF408" i="2"/>
  <c r="AG408" i="2"/>
  <c r="AO408" i="2"/>
  <c r="BF408" i="2"/>
  <c r="BJ408" i="2" s="1"/>
  <c r="CC408" i="2"/>
  <c r="CE408" i="2" s="1"/>
  <c r="CK408" i="2" s="1"/>
  <c r="Q409" i="2"/>
  <c r="AB409" i="2"/>
  <c r="AC409" i="2"/>
  <c r="AF409" i="2"/>
  <c r="AG409" i="2"/>
  <c r="AO409" i="2"/>
  <c r="BF409" i="2"/>
  <c r="BJ409" i="2" s="1"/>
  <c r="CM409" i="2" s="1"/>
  <c r="CC409" i="2"/>
  <c r="CE409" i="2" s="1"/>
  <c r="Q410" i="2"/>
  <c r="AB410" i="2"/>
  <c r="AC410" i="2"/>
  <c r="AF410" i="2"/>
  <c r="AG410" i="2"/>
  <c r="AO410" i="2"/>
  <c r="BF410" i="2"/>
  <c r="CC410" i="2"/>
  <c r="CE410" i="2" s="1"/>
  <c r="CK410" i="2" s="1"/>
  <c r="Q411" i="2"/>
  <c r="AB411" i="2"/>
  <c r="AC411" i="2"/>
  <c r="AF411" i="2"/>
  <c r="AG411" i="2"/>
  <c r="AO411" i="2"/>
  <c r="BF411" i="2"/>
  <c r="CC411" i="2"/>
  <c r="CE411" i="2" s="1"/>
  <c r="Q412" i="2"/>
  <c r="AB412" i="2"/>
  <c r="AC412" i="2"/>
  <c r="AF412" i="2"/>
  <c r="AG412" i="2"/>
  <c r="AO412" i="2"/>
  <c r="BF412" i="2"/>
  <c r="BJ412" i="2" s="1"/>
  <c r="CC412" i="2"/>
  <c r="CE412" i="2" s="1"/>
  <c r="Q413" i="2"/>
  <c r="AB413" i="2"/>
  <c r="AC413" i="2"/>
  <c r="AF413" i="2"/>
  <c r="AG413" i="2"/>
  <c r="AO413" i="2"/>
  <c r="BF413" i="2"/>
  <c r="BJ413" i="2" s="1"/>
  <c r="CH413" i="2" s="1"/>
  <c r="CI413" i="2" s="1"/>
  <c r="CC413" i="2"/>
  <c r="CE413" i="2" s="1"/>
  <c r="Q414" i="2"/>
  <c r="AB414" i="2"/>
  <c r="AC414" i="2"/>
  <c r="AF414" i="2"/>
  <c r="AG414" i="2"/>
  <c r="AO414" i="2"/>
  <c r="BF414" i="2"/>
  <c r="CC414" i="2"/>
  <c r="CE414" i="2" s="1"/>
  <c r="Q415" i="2"/>
  <c r="AB415" i="2"/>
  <c r="AC415" i="2"/>
  <c r="AF415" i="2"/>
  <c r="AG415" i="2"/>
  <c r="AO415" i="2"/>
  <c r="BF415" i="2"/>
  <c r="BJ415" i="2" s="1"/>
  <c r="CC415" i="2"/>
  <c r="CE415" i="2"/>
  <c r="Q416" i="2"/>
  <c r="AB416" i="2"/>
  <c r="AC416" i="2"/>
  <c r="AF416" i="2"/>
  <c r="AG416" i="2"/>
  <c r="AO416" i="2"/>
  <c r="BF416" i="2"/>
  <c r="CC416" i="2"/>
  <c r="CE416" i="2" s="1"/>
  <c r="CK416" i="2" s="1"/>
  <c r="Q417" i="2"/>
  <c r="AB417" i="2"/>
  <c r="AC417" i="2"/>
  <c r="AF417" i="2"/>
  <c r="AG417" i="2"/>
  <c r="AO417" i="2"/>
  <c r="BF417" i="2"/>
  <c r="BJ417" i="2" s="1"/>
  <c r="CM417" i="2" s="1"/>
  <c r="CC417" i="2"/>
  <c r="CE417" i="2" s="1"/>
  <c r="Q418" i="2"/>
  <c r="AB418" i="2"/>
  <c r="AC418" i="2"/>
  <c r="AF418" i="2"/>
  <c r="AG418" i="2"/>
  <c r="AO418" i="2"/>
  <c r="BF418" i="2"/>
  <c r="CC418" i="2"/>
  <c r="CE418" i="2" s="1"/>
  <c r="CK418" i="2" s="1"/>
  <c r="Q419" i="2"/>
  <c r="AB419" i="2"/>
  <c r="AC419" i="2"/>
  <c r="AF419" i="2"/>
  <c r="AG419" i="2"/>
  <c r="AO419" i="2"/>
  <c r="BF419" i="2"/>
  <c r="CC419" i="2"/>
  <c r="CE419" i="2" s="1"/>
  <c r="Q420" i="2"/>
  <c r="AB420" i="2"/>
  <c r="AC420" i="2"/>
  <c r="AF420" i="2"/>
  <c r="AG420" i="2"/>
  <c r="AO420" i="2"/>
  <c r="BF420" i="2"/>
  <c r="BJ420" i="2" s="1"/>
  <c r="CC420" i="2"/>
  <c r="CE420" i="2" s="1"/>
  <c r="Q421" i="2"/>
  <c r="AB421" i="2"/>
  <c r="AC421" i="2"/>
  <c r="AF421" i="2"/>
  <c r="AG421" i="2"/>
  <c r="AO421" i="2"/>
  <c r="BF421" i="2"/>
  <c r="BJ421" i="2" s="1"/>
  <c r="CH421" i="2" s="1"/>
  <c r="CI421" i="2" s="1"/>
  <c r="CC421" i="2"/>
  <c r="CE421" i="2" s="1"/>
  <c r="Q422" i="2"/>
  <c r="AB422" i="2"/>
  <c r="AC422" i="2"/>
  <c r="AF422" i="2"/>
  <c r="AG422" i="2"/>
  <c r="AO422" i="2"/>
  <c r="BF422" i="2"/>
  <c r="CC422" i="2"/>
  <c r="CE422" i="2" s="1"/>
  <c r="Q423" i="2"/>
  <c r="AB423" i="2"/>
  <c r="AC423" i="2"/>
  <c r="AF423" i="2"/>
  <c r="AG423" i="2"/>
  <c r="AO423" i="2"/>
  <c r="BF423" i="2"/>
  <c r="BJ423" i="2" s="1"/>
  <c r="CC423" i="2"/>
  <c r="CE423" i="2" s="1"/>
  <c r="Q424" i="2"/>
  <c r="AB424" i="2"/>
  <c r="AC424" i="2"/>
  <c r="AF424" i="2"/>
  <c r="AG424" i="2"/>
  <c r="AO424" i="2"/>
  <c r="BF424" i="2"/>
  <c r="CC424" i="2"/>
  <c r="CE424" i="2" s="1"/>
  <c r="CK424" i="2" s="1"/>
  <c r="Q425" i="2"/>
  <c r="AB425" i="2"/>
  <c r="AC425" i="2"/>
  <c r="AF425" i="2"/>
  <c r="AG425" i="2"/>
  <c r="AO425" i="2"/>
  <c r="BF425" i="2"/>
  <c r="BJ425" i="2" s="1"/>
  <c r="CM425" i="2" s="1"/>
  <c r="CC425" i="2"/>
  <c r="CE425" i="2" s="1"/>
  <c r="Q426" i="2"/>
  <c r="AB426" i="2"/>
  <c r="AC426" i="2"/>
  <c r="AF426" i="2"/>
  <c r="AG426" i="2"/>
  <c r="AO426" i="2"/>
  <c r="BF426" i="2"/>
  <c r="CC426" i="2"/>
  <c r="CE426" i="2" s="1"/>
  <c r="CK426" i="2" s="1"/>
  <c r="Q427" i="2"/>
  <c r="AB427" i="2"/>
  <c r="AC427" i="2"/>
  <c r="AF427" i="2"/>
  <c r="AG427" i="2"/>
  <c r="AO427" i="2"/>
  <c r="BF427" i="2"/>
  <c r="BJ427" i="2"/>
  <c r="CH427" i="2" s="1"/>
  <c r="CI427" i="2" s="1"/>
  <c r="CC427" i="2"/>
  <c r="CE427" i="2" s="1"/>
  <c r="Q428" i="2"/>
  <c r="AB428" i="2"/>
  <c r="AC428" i="2"/>
  <c r="AF428" i="2"/>
  <c r="AG428" i="2"/>
  <c r="AO428" i="2"/>
  <c r="BF428" i="2"/>
  <c r="BJ428" i="2" s="1"/>
  <c r="CC428" i="2"/>
  <c r="CE428" i="2"/>
  <c r="Q429" i="2"/>
  <c r="AB429" i="2"/>
  <c r="AC429" i="2"/>
  <c r="AF429" i="2"/>
  <c r="AG429" i="2"/>
  <c r="AO429" i="2"/>
  <c r="BF429" i="2"/>
  <c r="BJ429" i="2"/>
  <c r="CH429" i="2" s="1"/>
  <c r="CI429" i="2" s="1"/>
  <c r="CC429" i="2"/>
  <c r="CE429" i="2" s="1"/>
  <c r="Q430" i="2"/>
  <c r="AB430" i="2"/>
  <c r="AC430" i="2"/>
  <c r="AF430" i="2"/>
  <c r="AG430" i="2"/>
  <c r="AO430" i="2"/>
  <c r="BF430" i="2"/>
  <c r="CC430" i="2"/>
  <c r="CE430" i="2" s="1"/>
  <c r="Q431" i="2"/>
  <c r="AB431" i="2"/>
  <c r="AC431" i="2"/>
  <c r="AF431" i="2"/>
  <c r="AG431" i="2"/>
  <c r="AO431" i="2"/>
  <c r="BF431" i="2"/>
  <c r="BJ431" i="2" s="1"/>
  <c r="CC431" i="2"/>
  <c r="CE431" i="2" s="1"/>
  <c r="Q432" i="2"/>
  <c r="AB432" i="2"/>
  <c r="AC432" i="2"/>
  <c r="AF432" i="2"/>
  <c r="AG432" i="2"/>
  <c r="AO432" i="2"/>
  <c r="BF432" i="2"/>
  <c r="CC432" i="2"/>
  <c r="CE432" i="2" s="1"/>
  <c r="Q433" i="2"/>
  <c r="AB433" i="2"/>
  <c r="AC433" i="2"/>
  <c r="AF433" i="2"/>
  <c r="AG433" i="2"/>
  <c r="AO433" i="2"/>
  <c r="BF433" i="2"/>
  <c r="BJ433" i="2" s="1"/>
  <c r="CC433" i="2"/>
  <c r="CE433" i="2" s="1"/>
  <c r="CK433" i="2" s="1"/>
  <c r="Q434" i="2"/>
  <c r="AB434" i="2"/>
  <c r="AC434" i="2"/>
  <c r="AF434" i="2"/>
  <c r="AG434" i="2"/>
  <c r="AO434" i="2"/>
  <c r="CC434" i="2"/>
  <c r="CE434" i="2" s="1"/>
  <c r="CM434" i="2"/>
  <c r="Q435" i="2"/>
  <c r="AB435" i="2"/>
  <c r="AC435" i="2"/>
  <c r="AF435" i="2"/>
  <c r="AG435" i="2"/>
  <c r="AO435" i="2"/>
  <c r="BF435" i="2"/>
  <c r="BJ435" i="2" s="1"/>
  <c r="CC435" i="2"/>
  <c r="CE435" i="2" s="1"/>
  <c r="CK435" i="2" s="1"/>
  <c r="Q436" i="2"/>
  <c r="AB436" i="2"/>
  <c r="AC436" i="2"/>
  <c r="AF436" i="2"/>
  <c r="AG436" i="2"/>
  <c r="AO436" i="2"/>
  <c r="BF436" i="2"/>
  <c r="BJ436" i="2" s="1"/>
  <c r="CM436" i="2" s="1"/>
  <c r="CC436" i="2"/>
  <c r="CE436" i="2" s="1"/>
  <c r="CK436" i="2" s="1"/>
  <c r="Q437" i="2"/>
  <c r="AB437" i="2"/>
  <c r="AC437" i="2"/>
  <c r="AF437" i="2"/>
  <c r="AG437" i="2"/>
  <c r="AO437" i="2"/>
  <c r="BF437" i="2"/>
  <c r="CC437" i="2"/>
  <c r="CE437" i="2" s="1"/>
  <c r="CK437" i="2" s="1"/>
  <c r="Q438" i="2"/>
  <c r="AB438" i="2"/>
  <c r="AC438" i="2"/>
  <c r="AF438" i="2"/>
  <c r="AG438" i="2"/>
  <c r="AO438" i="2"/>
  <c r="BF438" i="2"/>
  <c r="BJ438" i="2" s="1"/>
  <c r="CC438" i="2"/>
  <c r="CE438" i="2" s="1"/>
  <c r="CK438" i="2" s="1"/>
  <c r="Q439" i="2"/>
  <c r="AB439" i="2"/>
  <c r="AC439" i="2"/>
  <c r="AF439" i="2"/>
  <c r="AG439" i="2"/>
  <c r="AO439" i="2"/>
  <c r="BF439" i="2"/>
  <c r="CC439" i="2"/>
  <c r="CE439" i="2" s="1"/>
  <c r="Q440" i="2"/>
  <c r="AB440" i="2"/>
  <c r="AC440" i="2"/>
  <c r="AF440" i="2"/>
  <c r="AG440" i="2"/>
  <c r="AO440" i="2"/>
  <c r="BF440" i="2"/>
  <c r="BJ440" i="2" s="1"/>
  <c r="CC440" i="2"/>
  <c r="CE440" i="2" s="1"/>
  <c r="Q441" i="2"/>
  <c r="AB441" i="2"/>
  <c r="AC441" i="2"/>
  <c r="AF441" i="2"/>
  <c r="AG441" i="2"/>
  <c r="AO441" i="2"/>
  <c r="BF441" i="2"/>
  <c r="BJ441" i="2" s="1"/>
  <c r="CC441" i="2"/>
  <c r="CE441" i="2" s="1"/>
  <c r="Q442" i="2"/>
  <c r="AB442" i="2"/>
  <c r="AC442" i="2"/>
  <c r="AF442" i="2"/>
  <c r="AG442" i="2"/>
  <c r="AO442" i="2"/>
  <c r="BF442" i="2"/>
  <c r="BJ442" i="2" s="1"/>
  <c r="CH442" i="2" s="1"/>
  <c r="CI442" i="2" s="1"/>
  <c r="CC442" i="2"/>
  <c r="CE442" i="2" s="1"/>
  <c r="Q443" i="2"/>
  <c r="AB443" i="2"/>
  <c r="AC443" i="2"/>
  <c r="AF443" i="2"/>
  <c r="AG443" i="2"/>
  <c r="AO443" i="2"/>
  <c r="BF443" i="2"/>
  <c r="CC443" i="2"/>
  <c r="CE443" i="2" s="1"/>
  <c r="CK443" i="2" s="1"/>
  <c r="Q444" i="2"/>
  <c r="AB444" i="2"/>
  <c r="AC444" i="2"/>
  <c r="AF444" i="2"/>
  <c r="AG444" i="2"/>
  <c r="AO444" i="2"/>
  <c r="BF444" i="2"/>
  <c r="BJ444" i="2" s="1"/>
  <c r="CM444" i="2" s="1"/>
  <c r="CC444" i="2"/>
  <c r="CE444" i="2" s="1"/>
  <c r="Q445" i="2"/>
  <c r="AB445" i="2"/>
  <c r="AC445" i="2"/>
  <c r="AF445" i="2"/>
  <c r="AG445" i="2"/>
  <c r="AO445" i="2"/>
  <c r="BF445" i="2"/>
  <c r="BJ445" i="2" s="1"/>
  <c r="CH445" i="2" s="1"/>
  <c r="CI445" i="2" s="1"/>
  <c r="CC445" i="2"/>
  <c r="CE445" i="2" s="1"/>
  <c r="CK445" i="2" s="1"/>
  <c r="Q446" i="2"/>
  <c r="AB446" i="2"/>
  <c r="AC446" i="2"/>
  <c r="AF446" i="2"/>
  <c r="AG446" i="2"/>
  <c r="AO446" i="2"/>
  <c r="BF446" i="2"/>
  <c r="BJ446" i="2" s="1"/>
  <c r="CH446" i="2" s="1"/>
  <c r="CI446" i="2" s="1"/>
  <c r="CC446" i="2"/>
  <c r="CE446" i="2" s="1"/>
  <c r="CK446" i="2" s="1"/>
  <c r="Q447" i="2"/>
  <c r="AB447" i="2"/>
  <c r="AC447" i="2"/>
  <c r="AF447" i="2"/>
  <c r="AG447" i="2"/>
  <c r="AO447" i="2"/>
  <c r="BF447" i="2"/>
  <c r="BJ447" i="2" s="1"/>
  <c r="CC447" i="2"/>
  <c r="CE447" i="2" s="1"/>
  <c r="Q448" i="2"/>
  <c r="AB448" i="2"/>
  <c r="AC448" i="2"/>
  <c r="AF448" i="2"/>
  <c r="AG448" i="2"/>
  <c r="AO448" i="2"/>
  <c r="BF448" i="2"/>
  <c r="BJ448" i="2"/>
  <c r="CC448" i="2"/>
  <c r="CE448" i="2" s="1"/>
  <c r="CK448" i="2" s="1"/>
  <c r="Q449" i="2"/>
  <c r="AB449" i="2"/>
  <c r="AC449" i="2"/>
  <c r="AF449" i="2"/>
  <c r="AG449" i="2"/>
  <c r="AO449" i="2"/>
  <c r="BF449" i="2"/>
  <c r="BJ449" i="2" s="1"/>
  <c r="CC449" i="2"/>
  <c r="CE449" i="2" s="1"/>
  <c r="Q450" i="2"/>
  <c r="AB450" i="2"/>
  <c r="AC450" i="2"/>
  <c r="AF450" i="2"/>
  <c r="AG450" i="2"/>
  <c r="AO450" i="2"/>
  <c r="BF450" i="2"/>
  <c r="BJ450" i="2" s="1"/>
  <c r="CH450" i="2" s="1"/>
  <c r="CI450" i="2" s="1"/>
  <c r="CC450" i="2"/>
  <c r="CE450" i="2" s="1"/>
  <c r="CK450" i="2" s="1"/>
  <c r="Q451" i="2"/>
  <c r="AB451" i="2"/>
  <c r="AC451" i="2"/>
  <c r="AF451" i="2"/>
  <c r="AG451" i="2"/>
  <c r="AO451" i="2"/>
  <c r="BF451" i="2"/>
  <c r="BJ451" i="2" s="1"/>
  <c r="CM451" i="2" s="1"/>
  <c r="CC451" i="2"/>
  <c r="CE451" i="2" s="1"/>
  <c r="Q452" i="2"/>
  <c r="AB452" i="2"/>
  <c r="AC452" i="2"/>
  <c r="AF452" i="2"/>
  <c r="AG452" i="2"/>
  <c r="AO452" i="2"/>
  <c r="BF452" i="2"/>
  <c r="CC452" i="2"/>
  <c r="CE452" i="2" s="1"/>
  <c r="CK452" i="2" s="1"/>
  <c r="Q453" i="2"/>
  <c r="AB453" i="2"/>
  <c r="AC453" i="2"/>
  <c r="AF453" i="2"/>
  <c r="AG453" i="2"/>
  <c r="AO453" i="2"/>
  <c r="BF453" i="2"/>
  <c r="CC453" i="2"/>
  <c r="CE453" i="2" s="1"/>
  <c r="Q454" i="2"/>
  <c r="AB454" i="2"/>
  <c r="AC454" i="2"/>
  <c r="AF454" i="2"/>
  <c r="AG454" i="2"/>
  <c r="AO454" i="2"/>
  <c r="BF454" i="2"/>
  <c r="BJ454" i="2" s="1"/>
  <c r="CC454" i="2"/>
  <c r="CE454" i="2" s="1"/>
  <c r="Q455" i="2"/>
  <c r="AB455" i="2"/>
  <c r="AC455" i="2"/>
  <c r="AF455" i="2"/>
  <c r="AG455" i="2"/>
  <c r="AO455" i="2"/>
  <c r="BF455" i="2"/>
  <c r="BJ455" i="2" s="1"/>
  <c r="CC455" i="2"/>
  <c r="CE455" i="2" s="1"/>
  <c r="Q456" i="2"/>
  <c r="AB456" i="2"/>
  <c r="AC456" i="2"/>
  <c r="AF456" i="2"/>
  <c r="AG456" i="2"/>
  <c r="AO456" i="2"/>
  <c r="BF456" i="2"/>
  <c r="CC456" i="2"/>
  <c r="CE456" i="2" s="1"/>
  <c r="Q457" i="2"/>
  <c r="AB457" i="2"/>
  <c r="AC457" i="2"/>
  <c r="AF457" i="2"/>
  <c r="AG457" i="2"/>
  <c r="AO457" i="2"/>
  <c r="BF457" i="2"/>
  <c r="BJ457" i="2" s="1"/>
  <c r="CC457" i="2"/>
  <c r="CE457" i="2" s="1"/>
  <c r="Q458" i="2"/>
  <c r="AB458" i="2"/>
  <c r="AC458" i="2"/>
  <c r="AF458" i="2"/>
  <c r="AG458" i="2"/>
  <c r="AO458" i="2"/>
  <c r="BF458" i="2"/>
  <c r="BJ458" i="2" s="1"/>
  <c r="CH458" i="2" s="1"/>
  <c r="CI458" i="2" s="1"/>
  <c r="CC458" i="2"/>
  <c r="CE458" i="2" s="1"/>
  <c r="CK458" i="2" s="1"/>
  <c r="Q459" i="2"/>
  <c r="AB459" i="2"/>
  <c r="AC459" i="2"/>
  <c r="AF459" i="2"/>
  <c r="AG459" i="2"/>
  <c r="AO459" i="2"/>
  <c r="BF459" i="2"/>
  <c r="BJ459" i="2" s="1"/>
  <c r="CM459" i="2" s="1"/>
  <c r="CC459" i="2"/>
  <c r="CE459" i="2" s="1"/>
  <c r="Q460" i="2"/>
  <c r="AB460" i="2"/>
  <c r="AC460" i="2"/>
  <c r="AF460" i="2"/>
  <c r="AG460" i="2"/>
  <c r="AO460" i="2"/>
  <c r="BF460" i="2"/>
  <c r="CC460" i="2"/>
  <c r="CE460" i="2" s="1"/>
  <c r="CK460" i="2" s="1"/>
  <c r="Q461" i="2"/>
  <c r="AB461" i="2"/>
  <c r="AC461" i="2"/>
  <c r="AF461" i="2"/>
  <c r="AG461" i="2"/>
  <c r="AO461" i="2"/>
  <c r="BF461" i="2"/>
  <c r="CC461" i="2"/>
  <c r="CE461" i="2" s="1"/>
  <c r="Q462" i="2"/>
  <c r="AB462" i="2"/>
  <c r="AC462" i="2"/>
  <c r="AF462" i="2"/>
  <c r="AG462" i="2"/>
  <c r="AO462" i="2"/>
  <c r="BF462" i="2"/>
  <c r="BJ462" i="2" s="1"/>
  <c r="CC462" i="2"/>
  <c r="CE462" i="2" s="1"/>
  <c r="Q463" i="2"/>
  <c r="AB463" i="2"/>
  <c r="AC463" i="2"/>
  <c r="AF463" i="2"/>
  <c r="AG463" i="2"/>
  <c r="AO463" i="2"/>
  <c r="BF463" i="2"/>
  <c r="CC463" i="2"/>
  <c r="CE463" i="2" s="1"/>
  <c r="CK463" i="2" s="1"/>
  <c r="Q464" i="2"/>
  <c r="AB464" i="2"/>
  <c r="AC464" i="2"/>
  <c r="AF464" i="2"/>
  <c r="AG464" i="2"/>
  <c r="AO464" i="2"/>
  <c r="BF464" i="2"/>
  <c r="CC464" i="2"/>
  <c r="CE464" i="2" s="1"/>
  <c r="Q465" i="2"/>
  <c r="AB465" i="2"/>
  <c r="AC465" i="2"/>
  <c r="AF465" i="2"/>
  <c r="AG465" i="2"/>
  <c r="AO465" i="2"/>
  <c r="BF465" i="2"/>
  <c r="BJ465" i="2" s="1"/>
  <c r="CC465" i="2"/>
  <c r="CE465" i="2" s="1"/>
  <c r="Q466" i="2"/>
  <c r="AB466" i="2"/>
  <c r="AC466" i="2"/>
  <c r="AF466" i="2"/>
  <c r="AG466" i="2"/>
  <c r="AO466" i="2"/>
  <c r="BF466" i="2"/>
  <c r="CC466" i="2"/>
  <c r="CE466" i="2" s="1"/>
  <c r="CK466" i="2" s="1"/>
  <c r="Q467" i="2"/>
  <c r="AB467" i="2"/>
  <c r="AC467" i="2"/>
  <c r="AF467" i="2"/>
  <c r="AG467" i="2"/>
  <c r="AO467" i="2"/>
  <c r="BF467" i="2"/>
  <c r="BJ467" i="2" s="1"/>
  <c r="CM467" i="2" s="1"/>
  <c r="CC467" i="2"/>
  <c r="CE467" i="2" s="1"/>
  <c r="Q468" i="2"/>
  <c r="AB468" i="2"/>
  <c r="AC468" i="2"/>
  <c r="AF468" i="2"/>
  <c r="AG468" i="2"/>
  <c r="AO468" i="2"/>
  <c r="BF468" i="2"/>
  <c r="BJ468" i="2" s="1"/>
  <c r="CM468" i="2" s="1"/>
  <c r="CC468" i="2"/>
  <c r="CE468" i="2" s="1"/>
  <c r="CK468" i="2" s="1"/>
  <c r="Q469" i="2"/>
  <c r="AB469" i="2"/>
  <c r="AC469" i="2"/>
  <c r="AF469" i="2"/>
  <c r="AG469" i="2"/>
  <c r="AO469" i="2"/>
  <c r="BF469" i="2"/>
  <c r="CC469" i="2"/>
  <c r="CE469" i="2" s="1"/>
  <c r="CK469" i="2" s="1"/>
  <c r="Q470" i="2"/>
  <c r="AB470" i="2"/>
  <c r="AC470" i="2"/>
  <c r="AF470" i="2"/>
  <c r="AG470" i="2"/>
  <c r="AO470" i="2"/>
  <c r="BF470" i="2"/>
  <c r="BJ470" i="2" s="1"/>
  <c r="CC470" i="2"/>
  <c r="CE470" i="2" s="1"/>
  <c r="Q471" i="2"/>
  <c r="AB471" i="2"/>
  <c r="AC471" i="2"/>
  <c r="AF471" i="2"/>
  <c r="AG471" i="2"/>
  <c r="AO471" i="2"/>
  <c r="BF471" i="2"/>
  <c r="BJ471" i="2" s="1"/>
  <c r="CC471" i="2"/>
  <c r="CE471" i="2" s="1"/>
  <c r="CK471" i="2"/>
  <c r="Q472" i="2"/>
  <c r="AB472" i="2"/>
  <c r="AC472" i="2"/>
  <c r="AF472" i="2"/>
  <c r="AG472" i="2"/>
  <c r="AO472" i="2"/>
  <c r="BF472" i="2"/>
  <c r="CC472" i="2"/>
  <c r="CE472" i="2" s="1"/>
  <c r="Q474" i="2"/>
  <c r="AB474" i="2"/>
  <c r="AC474" i="2"/>
  <c r="AF474" i="2"/>
  <c r="AG474" i="2"/>
  <c r="AO474" i="2"/>
  <c r="BF474" i="2"/>
  <c r="BJ474" i="2" s="1"/>
  <c r="BI474" i="2"/>
  <c r="CC474" i="2"/>
  <c r="CE474" i="2"/>
  <c r="Q475" i="2"/>
  <c r="AB475" i="2"/>
  <c r="AC475" i="2"/>
  <c r="AF475" i="2"/>
  <c r="AG475" i="2"/>
  <c r="AO475" i="2"/>
  <c r="BF475" i="2"/>
  <c r="BJ475" i="2"/>
  <c r="CC475" i="2"/>
  <c r="CE475" i="2" s="1"/>
  <c r="CK475" i="2" s="1"/>
  <c r="Q476" i="2"/>
  <c r="AB476" i="2"/>
  <c r="AC476" i="2"/>
  <c r="AF476" i="2"/>
  <c r="AG476" i="2"/>
  <c r="AO476" i="2"/>
  <c r="BF476" i="2"/>
  <c r="BJ476" i="2" s="1"/>
  <c r="CM476" i="2" s="1"/>
  <c r="CC476" i="2"/>
  <c r="CE476" i="2" s="1"/>
  <c r="Q477" i="2"/>
  <c r="AB477" i="2"/>
  <c r="AC477" i="2"/>
  <c r="AF477" i="2"/>
  <c r="AG477" i="2"/>
  <c r="AO477" i="2"/>
  <c r="BF477" i="2"/>
  <c r="BI477" i="2" s="1"/>
  <c r="CC477" i="2"/>
  <c r="CE477" i="2" s="1"/>
  <c r="CK477" i="2" s="1"/>
  <c r="Q478" i="2"/>
  <c r="AB478" i="2"/>
  <c r="AC478" i="2"/>
  <c r="AF478" i="2"/>
  <c r="AG478" i="2"/>
  <c r="AO478" i="2"/>
  <c r="BF478" i="2"/>
  <c r="CC478" i="2"/>
  <c r="CE478" i="2" s="1"/>
  <c r="CK478" i="2" s="1"/>
  <c r="Q479" i="2"/>
  <c r="AB479" i="2"/>
  <c r="AC479" i="2"/>
  <c r="AF479" i="2"/>
  <c r="AG479" i="2"/>
  <c r="AO479" i="2"/>
  <c r="BF479" i="2"/>
  <c r="BJ479" i="2" s="1"/>
  <c r="CM479" i="2" s="1"/>
  <c r="CC479" i="2"/>
  <c r="CE479" i="2" s="1"/>
  <c r="Q480" i="2"/>
  <c r="AB480" i="2"/>
  <c r="AC480" i="2"/>
  <c r="AF480" i="2"/>
  <c r="AG480" i="2"/>
  <c r="AO480" i="2"/>
  <c r="BF480" i="2"/>
  <c r="BJ480" i="2" s="1"/>
  <c r="CC480" i="2"/>
  <c r="CE480" i="2" s="1"/>
  <c r="CK480" i="2" s="1"/>
  <c r="Q481" i="2"/>
  <c r="AB481" i="2"/>
  <c r="AC481" i="2"/>
  <c r="AF481" i="2"/>
  <c r="AG481" i="2"/>
  <c r="AO481" i="2"/>
  <c r="BF481" i="2"/>
  <c r="CC481" i="2"/>
  <c r="CE481" i="2" s="1"/>
  <c r="Q482" i="2"/>
  <c r="AB482" i="2"/>
  <c r="AC482" i="2"/>
  <c r="AF482" i="2"/>
  <c r="AG482" i="2"/>
  <c r="AO482" i="2"/>
  <c r="BF482" i="2"/>
  <c r="BJ482" i="2" s="1"/>
  <c r="CC482" i="2"/>
  <c r="CE482" i="2" s="1"/>
  <c r="Q483" i="2"/>
  <c r="AB483" i="2"/>
  <c r="AC483" i="2"/>
  <c r="AF483" i="2"/>
  <c r="AG483" i="2"/>
  <c r="AO483" i="2"/>
  <c r="BF483" i="2"/>
  <c r="BJ483" i="2" s="1"/>
  <c r="CC483" i="2"/>
  <c r="CE483" i="2" s="1"/>
  <c r="CK483" i="2" s="1"/>
  <c r="Q484" i="2"/>
  <c r="AB484" i="2"/>
  <c r="AC484" i="2"/>
  <c r="AF484" i="2"/>
  <c r="AG484" i="2"/>
  <c r="AO484" i="2"/>
  <c r="BF484" i="2"/>
  <c r="BJ484" i="2" s="1"/>
  <c r="CM484" i="2" s="1"/>
  <c r="CC484" i="2"/>
  <c r="CE484" i="2" s="1"/>
  <c r="Q485" i="2"/>
  <c r="AB485" i="2"/>
  <c r="AC485" i="2"/>
  <c r="AF485" i="2"/>
  <c r="AG485" i="2"/>
  <c r="AO485" i="2"/>
  <c r="BF485" i="2"/>
  <c r="CC485" i="2"/>
  <c r="CE485" i="2" s="1"/>
  <c r="Q486" i="2"/>
  <c r="AB486" i="2"/>
  <c r="AC486" i="2"/>
  <c r="AF486" i="2"/>
  <c r="AG486" i="2"/>
  <c r="AO486" i="2"/>
  <c r="BF486" i="2"/>
  <c r="CC486" i="2"/>
  <c r="CE486" i="2" s="1"/>
  <c r="CK486" i="2" s="1"/>
  <c r="Q487" i="2"/>
  <c r="AB487" i="2"/>
  <c r="AC487" i="2"/>
  <c r="AF487" i="2"/>
  <c r="AG487" i="2"/>
  <c r="AO487" i="2"/>
  <c r="BF487" i="2"/>
  <c r="CC487" i="2"/>
  <c r="CE487" i="2" s="1"/>
  <c r="BF488" i="2"/>
  <c r="CC488" i="2"/>
  <c r="CE488" i="2" s="1"/>
  <c r="CK488" i="2" s="1"/>
  <c r="Q489" i="2"/>
  <c r="AB489" i="2"/>
  <c r="AC489" i="2"/>
  <c r="AF489" i="2"/>
  <c r="AG489" i="2"/>
  <c r="AO489" i="2"/>
  <c r="BF489" i="2"/>
  <c r="BI489" i="2" s="1"/>
  <c r="CC489" i="2"/>
  <c r="CE489" i="2" s="1"/>
  <c r="Q490" i="2"/>
  <c r="AB490" i="2"/>
  <c r="AC490" i="2"/>
  <c r="AF490" i="2"/>
  <c r="AG490" i="2"/>
  <c r="AO490" i="2"/>
  <c r="BF490" i="2"/>
  <c r="BJ490" i="2" s="1"/>
  <c r="CH490" i="2" s="1"/>
  <c r="CI490" i="2" s="1"/>
  <c r="CC490" i="2"/>
  <c r="CE490" i="2" s="1"/>
  <c r="Q491" i="2"/>
  <c r="BF491" i="2"/>
  <c r="BJ491" i="2" s="1"/>
  <c r="CH491" i="2" s="1"/>
  <c r="CI491" i="2" s="1"/>
  <c r="CC491" i="2"/>
  <c r="CK491" i="2"/>
  <c r="Q492" i="2"/>
  <c r="AB492" i="2"/>
  <c r="AC492" i="2"/>
  <c r="AF492" i="2"/>
  <c r="AG492" i="2"/>
  <c r="AO492" i="2"/>
  <c r="BF492" i="2"/>
  <c r="BJ492" i="2" s="1"/>
  <c r="CH492" i="2" s="1"/>
  <c r="CI492" i="2" s="1"/>
  <c r="CC492" i="2"/>
  <c r="CE492" i="2" s="1"/>
  <c r="Q493" i="2"/>
  <c r="AB493" i="2"/>
  <c r="AC493" i="2"/>
  <c r="AF493" i="2"/>
  <c r="AG493" i="2"/>
  <c r="AO493" i="2"/>
  <c r="BF493" i="2"/>
  <c r="CC493" i="2"/>
  <c r="CE493" i="2" s="1"/>
  <c r="CK493" i="2"/>
  <c r="Q494" i="2"/>
  <c r="AB494" i="2"/>
  <c r="AC494" i="2"/>
  <c r="AF494" i="2"/>
  <c r="AG494" i="2"/>
  <c r="AO494" i="2"/>
  <c r="BF494" i="2"/>
  <c r="CC494" i="2"/>
  <c r="CE494" i="2" s="1"/>
  <c r="Q495" i="2"/>
  <c r="AB495" i="2"/>
  <c r="AC495" i="2"/>
  <c r="AF495" i="2"/>
  <c r="AG495" i="2"/>
  <c r="AO495" i="2"/>
  <c r="BF495" i="2"/>
  <c r="BJ495" i="2"/>
  <c r="CM495" i="2" s="1"/>
  <c r="CC495" i="2"/>
  <c r="CE495" i="2" s="1"/>
  <c r="CK495" i="2" s="1"/>
  <c r="Q496" i="2"/>
  <c r="AB496" i="2"/>
  <c r="AC496" i="2"/>
  <c r="AF496" i="2"/>
  <c r="AG496" i="2"/>
  <c r="AO496" i="2"/>
  <c r="BF496" i="2"/>
  <c r="BJ496" i="2"/>
  <c r="CH496" i="2" s="1"/>
  <c r="CI496" i="2" s="1"/>
  <c r="CC496" i="2"/>
  <c r="CE496" i="2" s="1"/>
  <c r="Q497" i="2"/>
  <c r="AB497" i="2"/>
  <c r="AC497" i="2"/>
  <c r="AF497" i="2"/>
  <c r="AG497" i="2"/>
  <c r="AO497" i="2"/>
  <c r="BF497" i="2"/>
  <c r="BJ497" i="2"/>
  <c r="CH497" i="2" s="1"/>
  <c r="CI497" i="2" s="1"/>
  <c r="CC497" i="2"/>
  <c r="CE497" i="2" s="1"/>
  <c r="CK497" i="2" s="1"/>
  <c r="Q498" i="2"/>
  <c r="AB498" i="2"/>
  <c r="AC498" i="2"/>
  <c r="AF498" i="2"/>
  <c r="AG498" i="2"/>
  <c r="AO498" i="2"/>
  <c r="BF498" i="2"/>
  <c r="CC498" i="2"/>
  <c r="CE498" i="2" s="1"/>
  <c r="Q499" i="2"/>
  <c r="AB499" i="2"/>
  <c r="AC499" i="2"/>
  <c r="AF499" i="2"/>
  <c r="AG499" i="2"/>
  <c r="AO499" i="2"/>
  <c r="BF499" i="2"/>
  <c r="BJ499" i="2" s="1"/>
  <c r="CM499" i="2" s="1"/>
  <c r="CC499" i="2"/>
  <c r="CE499" i="2" s="1"/>
  <c r="CK499" i="2" s="1"/>
  <c r="Q500" i="2"/>
  <c r="AB500" i="2"/>
  <c r="AC500" i="2"/>
  <c r="AF500" i="2"/>
  <c r="AG500" i="2"/>
  <c r="AO500" i="2"/>
  <c r="BF500" i="2"/>
  <c r="BI500" i="2" s="1"/>
  <c r="CC500" i="2"/>
  <c r="CE500" i="2" s="1"/>
  <c r="CK500" i="2" s="1"/>
  <c r="Q501" i="2"/>
  <c r="AB501" i="2"/>
  <c r="AC501" i="2"/>
  <c r="AF501" i="2"/>
  <c r="AG501" i="2"/>
  <c r="AO501" i="2"/>
  <c r="BF501" i="2"/>
  <c r="BJ501" i="2" s="1"/>
  <c r="CH501" i="2" s="1"/>
  <c r="CI501" i="2" s="1"/>
  <c r="CC501" i="2"/>
  <c r="CE501" i="2" s="1"/>
  <c r="CK501" i="2" s="1"/>
  <c r="Q502" i="2"/>
  <c r="AB502" i="2"/>
  <c r="AC502" i="2"/>
  <c r="AF502" i="2"/>
  <c r="AG502" i="2"/>
  <c r="AO502" i="2"/>
  <c r="BF502" i="2"/>
  <c r="CC502" i="2"/>
  <c r="CE502" i="2" s="1"/>
  <c r="Q503" i="2"/>
  <c r="AB503" i="2"/>
  <c r="AC503" i="2"/>
  <c r="AF503" i="2"/>
  <c r="AG503" i="2"/>
  <c r="AO503" i="2"/>
  <c r="BF503" i="2"/>
  <c r="BJ503" i="2" s="1"/>
  <c r="CC503" i="2"/>
  <c r="CE503" i="2" s="1"/>
  <c r="CK503" i="2" s="1"/>
  <c r="Q504" i="2"/>
  <c r="AB504" i="2"/>
  <c r="AC504" i="2"/>
  <c r="AF504" i="2"/>
  <c r="AG504" i="2"/>
  <c r="AO504" i="2"/>
  <c r="BF504" i="2"/>
  <c r="BJ504" i="2" s="1"/>
  <c r="CC504" i="2"/>
  <c r="CE504" i="2" s="1"/>
  <c r="Q505" i="2"/>
  <c r="AB505" i="2"/>
  <c r="AC505" i="2"/>
  <c r="AF505" i="2"/>
  <c r="AG505" i="2"/>
  <c r="AO505" i="2"/>
  <c r="BF505" i="2"/>
  <c r="CC505" i="2"/>
  <c r="CE505" i="2" s="1"/>
  <c r="Q506" i="2"/>
  <c r="AB506" i="2"/>
  <c r="AC506" i="2"/>
  <c r="AF506" i="2"/>
  <c r="AG506" i="2"/>
  <c r="AO506" i="2"/>
  <c r="BF506" i="2"/>
  <c r="BJ506" i="2"/>
  <c r="CH506" i="2" s="1"/>
  <c r="CI506" i="2" s="1"/>
  <c r="CC506" i="2"/>
  <c r="CE506" i="2" s="1"/>
  <c r="Q507" i="2"/>
  <c r="AB507" i="2"/>
  <c r="AC507" i="2"/>
  <c r="AF507" i="2"/>
  <c r="AG507" i="2"/>
  <c r="AO507" i="2"/>
  <c r="BF507" i="2"/>
  <c r="BJ507" i="2" s="1"/>
  <c r="CC507" i="2"/>
  <c r="CE507" i="2" s="1"/>
  <c r="CK507" i="2" s="1"/>
  <c r="Q508" i="2"/>
  <c r="AB508" i="2"/>
  <c r="AC508" i="2"/>
  <c r="AF508" i="2"/>
  <c r="AG508" i="2"/>
  <c r="AO508" i="2"/>
  <c r="BF508" i="2"/>
  <c r="BJ508" i="2"/>
  <c r="CH508" i="2" s="1"/>
  <c r="CI508" i="2" s="1"/>
  <c r="CC508" i="2"/>
  <c r="CE508" i="2" s="1"/>
  <c r="Q509" i="2"/>
  <c r="AB509" i="2"/>
  <c r="AC509" i="2"/>
  <c r="AF509" i="2"/>
  <c r="AG509" i="2"/>
  <c r="AO509" i="2"/>
  <c r="BF509" i="2"/>
  <c r="BJ509" i="2"/>
  <c r="CM509" i="2" s="1"/>
  <c r="CC509" i="2"/>
  <c r="CE509" i="2" s="1"/>
  <c r="Q510" i="2"/>
  <c r="AB510" i="2"/>
  <c r="AC510" i="2"/>
  <c r="AF510" i="2"/>
  <c r="AG510" i="2"/>
  <c r="AO510" i="2"/>
  <c r="BF510" i="2"/>
  <c r="BJ510" i="2" s="1"/>
  <c r="CC510" i="2"/>
  <c r="CE510" i="2" s="1"/>
  <c r="Q511" i="2"/>
  <c r="AB511" i="2"/>
  <c r="AC511" i="2"/>
  <c r="AF511" i="2"/>
  <c r="AG511" i="2"/>
  <c r="AO511" i="2"/>
  <c r="BF511" i="2"/>
  <c r="BJ511" i="2" s="1"/>
  <c r="CC511" i="2"/>
  <c r="CE511" i="2" s="1"/>
  <c r="Q512" i="2"/>
  <c r="AB512" i="2"/>
  <c r="AC512" i="2"/>
  <c r="AF512" i="2"/>
  <c r="AG512" i="2"/>
  <c r="AO512" i="2"/>
  <c r="BF512" i="2"/>
  <c r="BJ512" i="2" s="1"/>
  <c r="CC512" i="2"/>
  <c r="CE512" i="2" s="1"/>
  <c r="CK512" i="2" s="1"/>
  <c r="Q513" i="2"/>
  <c r="AB513" i="2"/>
  <c r="AC513" i="2"/>
  <c r="AF513" i="2"/>
  <c r="AG513" i="2"/>
  <c r="AO513" i="2"/>
  <c r="BF513" i="2"/>
  <c r="CC513" i="2"/>
  <c r="CE513" i="2" s="1"/>
  <c r="Q514" i="2"/>
  <c r="AB514" i="2"/>
  <c r="AC514" i="2"/>
  <c r="AF514" i="2"/>
  <c r="AG514" i="2"/>
  <c r="AO514" i="2"/>
  <c r="BF514" i="2"/>
  <c r="BJ514" i="2" s="1"/>
  <c r="CC514" i="2"/>
  <c r="CE514" i="2" s="1"/>
  <c r="BF515" i="2"/>
  <c r="BJ515" i="2" s="1"/>
  <c r="CC515" i="2"/>
  <c r="CE515" i="2" s="1"/>
  <c r="CK515" i="2" s="1"/>
  <c r="Q516" i="2"/>
  <c r="AB516" i="2"/>
  <c r="AC516" i="2"/>
  <c r="AF516" i="2"/>
  <c r="AG516" i="2"/>
  <c r="AO516" i="2"/>
  <c r="BF516" i="2"/>
  <c r="CC516" i="2"/>
  <c r="CE516" i="2" s="1"/>
  <c r="Q517" i="2"/>
  <c r="AB517" i="2"/>
  <c r="AC517" i="2"/>
  <c r="AF517" i="2"/>
  <c r="AG517" i="2"/>
  <c r="AO517" i="2"/>
  <c r="BF517" i="2"/>
  <c r="CC517" i="2"/>
  <c r="CE517" i="2" s="1"/>
  <c r="CK517" i="2" s="1"/>
  <c r="Q518" i="2"/>
  <c r="AB518" i="2"/>
  <c r="AC518" i="2"/>
  <c r="AF518" i="2"/>
  <c r="AG518" i="2"/>
  <c r="AO518" i="2"/>
  <c r="BF518" i="2"/>
  <c r="BJ518" i="2" s="1"/>
  <c r="CM518" i="2" s="1"/>
  <c r="CC518" i="2"/>
  <c r="CE518" i="2" s="1"/>
  <c r="Q519" i="2"/>
  <c r="AB519" i="2"/>
  <c r="AC519" i="2"/>
  <c r="AF519" i="2"/>
  <c r="AG519" i="2"/>
  <c r="AO519" i="2"/>
  <c r="BF519" i="2"/>
  <c r="BJ519" i="2" s="1"/>
  <c r="CM519" i="2" s="1"/>
  <c r="CC519" i="2"/>
  <c r="CE519" i="2" s="1"/>
  <c r="Q520" i="2"/>
  <c r="AB520" i="2"/>
  <c r="AC520" i="2"/>
  <c r="AF520" i="2"/>
  <c r="AG520" i="2"/>
  <c r="AO520" i="2"/>
  <c r="BF520" i="2"/>
  <c r="CC520" i="2"/>
  <c r="CE520" i="2" s="1"/>
  <c r="Q521" i="2"/>
  <c r="AB521" i="2"/>
  <c r="AC521" i="2"/>
  <c r="AF521" i="2"/>
  <c r="AG521" i="2"/>
  <c r="AO521" i="2"/>
  <c r="BF521" i="2"/>
  <c r="BJ521" i="2" s="1"/>
  <c r="CC521" i="2"/>
  <c r="CE521" i="2" s="1"/>
  <c r="Q522" i="2"/>
  <c r="AB522" i="2"/>
  <c r="AC522" i="2"/>
  <c r="AF522" i="2"/>
  <c r="AG522" i="2"/>
  <c r="AO522" i="2"/>
  <c r="BF522" i="2"/>
  <c r="BJ522" i="2" s="1"/>
  <c r="CC522" i="2"/>
  <c r="CE522" i="2" s="1"/>
  <c r="CK522" i="2" s="1"/>
  <c r="Q523" i="2"/>
  <c r="AB523" i="2"/>
  <c r="AC523" i="2"/>
  <c r="AF523" i="2"/>
  <c r="AG523" i="2"/>
  <c r="AO523" i="2"/>
  <c r="BF523" i="2"/>
  <c r="BJ523" i="2" s="1"/>
  <c r="CC523" i="2"/>
  <c r="CE523" i="2" s="1"/>
  <c r="Q524" i="2"/>
  <c r="AB524" i="2"/>
  <c r="AC524" i="2"/>
  <c r="AF524" i="2"/>
  <c r="AG524" i="2"/>
  <c r="AO524" i="2"/>
  <c r="BF524" i="2"/>
  <c r="CC524" i="2"/>
  <c r="CE524" i="2" s="1"/>
  <c r="Q525" i="2"/>
  <c r="AB525" i="2"/>
  <c r="AC525" i="2"/>
  <c r="AF525" i="2"/>
  <c r="AG525" i="2"/>
  <c r="AO525" i="2"/>
  <c r="BF525" i="2"/>
  <c r="BJ525" i="2" s="1"/>
  <c r="CH525" i="2" s="1"/>
  <c r="CI525" i="2" s="1"/>
  <c r="CC525" i="2"/>
  <c r="CE525" i="2" s="1"/>
  <c r="Q526" i="2"/>
  <c r="AB526" i="2"/>
  <c r="AC526" i="2"/>
  <c r="AF526" i="2"/>
  <c r="AG526" i="2"/>
  <c r="AO526" i="2"/>
  <c r="BF526" i="2"/>
  <c r="BJ526" i="2" s="1"/>
  <c r="CC526" i="2"/>
  <c r="CE526" i="2" s="1"/>
  <c r="CK526" i="2" s="1"/>
  <c r="Q527" i="2"/>
  <c r="AB527" i="2"/>
  <c r="AC527" i="2"/>
  <c r="AF527" i="2"/>
  <c r="AG527" i="2"/>
  <c r="AO527" i="2"/>
  <c r="BF527" i="2"/>
  <c r="BJ527" i="2" s="1"/>
  <c r="CC527" i="2"/>
  <c r="CE527" i="2" s="1"/>
  <c r="CK527" i="2" s="1"/>
  <c r="Q528" i="2"/>
  <c r="AB528" i="2"/>
  <c r="AC528" i="2"/>
  <c r="AF528" i="2"/>
  <c r="AG528" i="2"/>
  <c r="AO528" i="2"/>
  <c r="BF528" i="2"/>
  <c r="CC528" i="2"/>
  <c r="CE528" i="2" s="1"/>
  <c r="Q529" i="2"/>
  <c r="AB529" i="2"/>
  <c r="AC529" i="2"/>
  <c r="AF529" i="2"/>
  <c r="AG529" i="2"/>
  <c r="AO529" i="2"/>
  <c r="BF529" i="2"/>
  <c r="BJ529" i="2" s="1"/>
  <c r="CH529" i="2" s="1"/>
  <c r="CI529" i="2" s="1"/>
  <c r="CC529" i="2"/>
  <c r="CE529" i="2" s="1"/>
  <c r="Q530" i="2"/>
  <c r="AB530" i="2"/>
  <c r="AC530" i="2"/>
  <c r="AF530" i="2"/>
  <c r="AG530" i="2"/>
  <c r="AO530" i="2"/>
  <c r="BF530" i="2"/>
  <c r="BJ530" i="2" s="1"/>
  <c r="CC530" i="2"/>
  <c r="CE530" i="2" s="1"/>
  <c r="CK530" i="2" s="1"/>
  <c r="Q531" i="2"/>
  <c r="AB531" i="2"/>
  <c r="AC531" i="2"/>
  <c r="AF531" i="2"/>
  <c r="AG531" i="2"/>
  <c r="AO531" i="2"/>
  <c r="BF531" i="2"/>
  <c r="BJ531" i="2" s="1"/>
  <c r="CC531" i="2"/>
  <c r="CE531" i="2" s="1"/>
  <c r="CK531" i="2" s="1"/>
  <c r="Q532" i="2"/>
  <c r="AB532" i="2"/>
  <c r="AC532" i="2"/>
  <c r="AF532" i="2"/>
  <c r="AG532" i="2"/>
  <c r="AO532" i="2"/>
  <c r="BF532" i="2"/>
  <c r="BJ532" i="2"/>
  <c r="CH532" i="2" s="1"/>
  <c r="CI532" i="2" s="1"/>
  <c r="CC532" i="2"/>
  <c r="CE532" i="2" s="1"/>
  <c r="Q533" i="2"/>
  <c r="AB533" i="2"/>
  <c r="AC533" i="2"/>
  <c r="AF533" i="2"/>
  <c r="AG533" i="2"/>
  <c r="AO533" i="2"/>
  <c r="BF533" i="2"/>
  <c r="BJ533" i="2" s="1"/>
  <c r="CC533" i="2"/>
  <c r="CE533" i="2" s="1"/>
  <c r="Q534" i="2"/>
  <c r="AB534" i="2"/>
  <c r="AC534" i="2"/>
  <c r="AF534" i="2"/>
  <c r="AG534" i="2"/>
  <c r="AO534" i="2"/>
  <c r="BF534" i="2"/>
  <c r="CC534" i="2"/>
  <c r="CE534" i="2" s="1"/>
  <c r="CK534" i="2" s="1"/>
  <c r="Q536" i="2"/>
  <c r="AB536" i="2"/>
  <c r="AC536" i="2"/>
  <c r="AF536" i="2"/>
  <c r="AG536" i="2"/>
  <c r="AO536" i="2"/>
  <c r="BF536" i="2"/>
  <c r="BJ536" i="2" s="1"/>
  <c r="CM536" i="2" s="1"/>
  <c r="CC536" i="2"/>
  <c r="CE536" i="2" s="1"/>
  <c r="CK536" i="2" s="1"/>
  <c r="Q537" i="2"/>
  <c r="AB537" i="2"/>
  <c r="AC537" i="2"/>
  <c r="AF537" i="2"/>
  <c r="AG537" i="2"/>
  <c r="AO537" i="2"/>
  <c r="BF537" i="2"/>
  <c r="BJ537" i="2" s="1"/>
  <c r="CC537" i="2"/>
  <c r="CE537" i="2" s="1"/>
  <c r="CK537" i="2" s="1"/>
  <c r="Q538" i="2"/>
  <c r="AB538" i="2"/>
  <c r="AC538" i="2"/>
  <c r="AF538" i="2"/>
  <c r="AG538" i="2"/>
  <c r="AO538" i="2"/>
  <c r="BF538" i="2"/>
  <c r="BJ538" i="2" s="1"/>
  <c r="CH538" i="2" s="1"/>
  <c r="CI538" i="2" s="1"/>
  <c r="CC538" i="2"/>
  <c r="CE538" i="2" s="1"/>
  <c r="CK538" i="2" s="1"/>
  <c r="BF539" i="2"/>
  <c r="BI539" i="2" s="1"/>
  <c r="CC539" i="2"/>
  <c r="CE539" i="2" s="1"/>
  <c r="Q540" i="2"/>
  <c r="AB540" i="2"/>
  <c r="AC540" i="2"/>
  <c r="AF540" i="2"/>
  <c r="AG540" i="2"/>
  <c r="AO540" i="2"/>
  <c r="BF540" i="2"/>
  <c r="CC540" i="2"/>
  <c r="CE540" i="2" s="1"/>
  <c r="CK540" i="2" s="1"/>
  <c r="Q541" i="2"/>
  <c r="AB541" i="2"/>
  <c r="AC541" i="2"/>
  <c r="AF541" i="2"/>
  <c r="AG541" i="2"/>
  <c r="AO541" i="2"/>
  <c r="BF541" i="2"/>
  <c r="BJ541" i="2" s="1"/>
  <c r="CC541" i="2"/>
  <c r="CE541" i="2" s="1"/>
  <c r="CK541" i="2" s="1"/>
  <c r="BF542" i="2"/>
  <c r="BJ542" i="2" s="1"/>
  <c r="CH542" i="2" s="1"/>
  <c r="CI542" i="2" s="1"/>
  <c r="CC542" i="2"/>
  <c r="CE542" i="2" s="1"/>
  <c r="CK542" i="2" s="1"/>
  <c r="Q543" i="2"/>
  <c r="AB543" i="2"/>
  <c r="AC543" i="2"/>
  <c r="AF543" i="2"/>
  <c r="AG543" i="2"/>
  <c r="AO543" i="2"/>
  <c r="BF543" i="2"/>
  <c r="BJ543" i="2" s="1"/>
  <c r="CC543" i="2"/>
  <c r="CE543" i="2" s="1"/>
  <c r="Q544" i="2"/>
  <c r="AB544" i="2"/>
  <c r="AC544" i="2"/>
  <c r="AF544" i="2"/>
  <c r="AG544" i="2"/>
  <c r="AO544" i="2"/>
  <c r="BF544" i="2"/>
  <c r="CC544" i="2"/>
  <c r="CE544" i="2" s="1"/>
  <c r="Q545" i="2"/>
  <c r="AB545" i="2"/>
  <c r="AC545" i="2"/>
  <c r="AF545" i="2"/>
  <c r="AG545" i="2"/>
  <c r="AO545" i="2"/>
  <c r="BF545" i="2"/>
  <c r="CC545" i="2"/>
  <c r="CE545" i="2" s="1"/>
  <c r="CC546" i="2"/>
  <c r="CE546" i="2" s="1"/>
  <c r="CH546" i="2"/>
  <c r="CI546" i="2" s="1"/>
  <c r="BF547" i="2"/>
  <c r="BI547" i="2" s="1"/>
  <c r="CC547" i="2"/>
  <c r="CE547" i="2" s="1"/>
  <c r="Q548" i="2"/>
  <c r="AB548" i="2"/>
  <c r="AC548" i="2"/>
  <c r="AF548" i="2"/>
  <c r="AG548" i="2"/>
  <c r="AO548" i="2"/>
  <c r="BF548" i="2"/>
  <c r="BJ548" i="2" s="1"/>
  <c r="CC548" i="2"/>
  <c r="CE548" i="2" s="1"/>
  <c r="Q549" i="2"/>
  <c r="AB549" i="2"/>
  <c r="AC549" i="2"/>
  <c r="AF549" i="2"/>
  <c r="AG549" i="2"/>
  <c r="AO549" i="2"/>
  <c r="BF549" i="2"/>
  <c r="CC549" i="2"/>
  <c r="CE549" i="2" s="1"/>
  <c r="CK549" i="2" s="1"/>
  <c r="Q550" i="2"/>
  <c r="AB550" i="2"/>
  <c r="AC550" i="2"/>
  <c r="AF550" i="2"/>
  <c r="AG550" i="2"/>
  <c r="AO550" i="2"/>
  <c r="BF550" i="2"/>
  <c r="CC550" i="2"/>
  <c r="CE550" i="2" s="1"/>
  <c r="Q551" i="2"/>
  <c r="AB551" i="2"/>
  <c r="AC551" i="2"/>
  <c r="AF551" i="2"/>
  <c r="AG551" i="2"/>
  <c r="AO551" i="2"/>
  <c r="BF551" i="2"/>
  <c r="BJ551" i="2" s="1"/>
  <c r="CM551" i="2" s="1"/>
  <c r="CC551" i="2"/>
  <c r="CE551" i="2" s="1"/>
  <c r="Q552" i="2"/>
  <c r="AB552" i="2"/>
  <c r="AC552" i="2"/>
  <c r="AF552" i="2"/>
  <c r="AG552" i="2"/>
  <c r="AO552" i="2"/>
  <c r="BF552" i="2"/>
  <c r="CC552" i="2"/>
  <c r="CE552" i="2" s="1"/>
  <c r="Q553" i="2"/>
  <c r="AB553" i="2"/>
  <c r="AC553" i="2"/>
  <c r="AF553" i="2"/>
  <c r="AG553" i="2"/>
  <c r="AO553" i="2"/>
  <c r="BF553" i="2"/>
  <c r="BJ553" i="2" s="1"/>
  <c r="CC553" i="2"/>
  <c r="CE553" i="2" s="1"/>
  <c r="Q554" i="2"/>
  <c r="AB554" i="2"/>
  <c r="AC554" i="2"/>
  <c r="AF554" i="2"/>
  <c r="AG554" i="2"/>
  <c r="AO554" i="2"/>
  <c r="BF554" i="2"/>
  <c r="BJ554" i="2" s="1"/>
  <c r="CC554" i="2"/>
  <c r="CE554" i="2" s="1"/>
  <c r="Q555" i="2"/>
  <c r="AB555" i="2"/>
  <c r="AC555" i="2"/>
  <c r="AF555" i="2"/>
  <c r="AG555" i="2"/>
  <c r="AO555" i="2"/>
  <c r="BF555" i="2"/>
  <c r="CC555" i="2"/>
  <c r="CE555" i="2" s="1"/>
  <c r="Q556" i="2"/>
  <c r="AB556" i="2"/>
  <c r="AC556" i="2"/>
  <c r="AF556" i="2"/>
  <c r="AG556" i="2"/>
  <c r="AO556" i="2"/>
  <c r="BF556" i="2"/>
  <c r="BJ556" i="2" s="1"/>
  <c r="CC556" i="2"/>
  <c r="CE556" i="2" s="1"/>
  <c r="Q557" i="2"/>
  <c r="AB557" i="2"/>
  <c r="AC557" i="2"/>
  <c r="AF557" i="2"/>
  <c r="AG557" i="2"/>
  <c r="AO557" i="2"/>
  <c r="BF557" i="2"/>
  <c r="BJ557" i="2" s="1"/>
  <c r="CH557" i="2" s="1"/>
  <c r="CI557" i="2" s="1"/>
  <c r="CC557" i="2"/>
  <c r="CE557" i="2" s="1"/>
  <c r="CK557" i="2" s="1"/>
  <c r="Q558" i="2"/>
  <c r="AB558" i="2"/>
  <c r="AC558" i="2"/>
  <c r="AF558" i="2"/>
  <c r="AG558" i="2"/>
  <c r="AO558" i="2"/>
  <c r="BF558" i="2"/>
  <c r="CC558" i="2"/>
  <c r="CE558" i="2" s="1"/>
  <c r="Q559" i="2"/>
  <c r="AB559" i="2"/>
  <c r="AC559" i="2"/>
  <c r="AF559" i="2"/>
  <c r="AG559" i="2"/>
  <c r="AO559" i="2"/>
  <c r="BF559" i="2"/>
  <c r="BJ559" i="2" s="1"/>
  <c r="CM559" i="2" s="1"/>
  <c r="CC559" i="2"/>
  <c r="CE559" i="2" s="1"/>
  <c r="Q560" i="2"/>
  <c r="AB560" i="2"/>
  <c r="AC560" i="2"/>
  <c r="AF560" i="2"/>
  <c r="AG560" i="2"/>
  <c r="AO560" i="2"/>
  <c r="BF560" i="2"/>
  <c r="CC560" i="2"/>
  <c r="CE560" i="2" s="1"/>
  <c r="Q561" i="2"/>
  <c r="AB561" i="2"/>
  <c r="AC561" i="2"/>
  <c r="AF561" i="2"/>
  <c r="AG561" i="2"/>
  <c r="AO561" i="2"/>
  <c r="BF561" i="2"/>
  <c r="BJ561" i="2" s="1"/>
  <c r="CC561" i="2"/>
  <c r="CE561" i="2" s="1"/>
  <c r="Q562" i="2"/>
  <c r="AB562" i="2"/>
  <c r="AC562" i="2"/>
  <c r="AF562" i="2"/>
  <c r="AG562" i="2"/>
  <c r="AO562" i="2"/>
  <c r="BF562" i="2"/>
  <c r="BJ562" i="2" s="1"/>
  <c r="CC562" i="2"/>
  <c r="CE562" i="2" s="1"/>
  <c r="Q563" i="2"/>
  <c r="AB563" i="2"/>
  <c r="AC563" i="2"/>
  <c r="AF563" i="2"/>
  <c r="AG563" i="2"/>
  <c r="AO563" i="2"/>
  <c r="BF563" i="2"/>
  <c r="BJ563" i="2"/>
  <c r="CH563" i="2" s="1"/>
  <c r="CI563" i="2" s="1"/>
  <c r="CC563" i="2"/>
  <c r="CE563" i="2" s="1"/>
  <c r="Q564" i="2"/>
  <c r="AB564" i="2"/>
  <c r="AC564" i="2"/>
  <c r="AF564" i="2"/>
  <c r="AG564" i="2"/>
  <c r="AO564" i="2"/>
  <c r="BF564" i="2"/>
  <c r="BJ564" i="2" s="1"/>
  <c r="CC564" i="2"/>
  <c r="CE564" i="2" s="1"/>
  <c r="Q565" i="2"/>
  <c r="AB565" i="2"/>
  <c r="AC565" i="2"/>
  <c r="AF565" i="2"/>
  <c r="AG565" i="2"/>
  <c r="AO565" i="2"/>
  <c r="BF565" i="2"/>
  <c r="BJ565" i="2" s="1"/>
  <c r="CH565" i="2" s="1"/>
  <c r="CI565" i="2" s="1"/>
  <c r="CC565" i="2"/>
  <c r="CE565" i="2" s="1"/>
  <c r="Q566" i="2"/>
  <c r="AB566" i="2"/>
  <c r="AC566" i="2"/>
  <c r="AF566" i="2"/>
  <c r="AG566" i="2"/>
  <c r="AO566" i="2"/>
  <c r="BF566" i="2"/>
  <c r="BJ566" i="2" s="1"/>
  <c r="CM566" i="2" s="1"/>
  <c r="CC566" i="2"/>
  <c r="CE566" i="2" s="1"/>
  <c r="Q567" i="2"/>
  <c r="AB567" i="2"/>
  <c r="AC567" i="2"/>
  <c r="AF567" i="2"/>
  <c r="AG567" i="2"/>
  <c r="AO567" i="2"/>
  <c r="BF567" i="2"/>
  <c r="BJ567" i="2" s="1"/>
  <c r="CC567" i="2"/>
  <c r="CE567" i="2" s="1"/>
  <c r="CK567" i="2" s="1"/>
  <c r="Q568" i="2"/>
  <c r="AB568" i="2"/>
  <c r="AC568" i="2"/>
  <c r="AF568" i="2"/>
  <c r="AG568" i="2"/>
  <c r="AO568" i="2"/>
  <c r="BF568" i="2"/>
  <c r="CC568" i="2"/>
  <c r="CE568" i="2" s="1"/>
  <c r="CK568" i="2" s="1"/>
  <c r="Q569" i="2"/>
  <c r="AB569" i="2"/>
  <c r="AC569" i="2"/>
  <c r="AF569" i="2"/>
  <c r="AG569" i="2"/>
  <c r="AO569" i="2"/>
  <c r="BF569" i="2"/>
  <c r="BJ569" i="2" s="1"/>
  <c r="CM569" i="2" s="1"/>
  <c r="CC569" i="2"/>
  <c r="CE569" i="2" s="1"/>
  <c r="Q570" i="2"/>
  <c r="AB570" i="2"/>
  <c r="AC570" i="2"/>
  <c r="AF570" i="2"/>
  <c r="AG570" i="2"/>
  <c r="AO570" i="2"/>
  <c r="BF570" i="2"/>
  <c r="BJ570" i="2" s="1"/>
  <c r="CC570" i="2"/>
  <c r="CE570" i="2" s="1"/>
  <c r="Q571" i="2"/>
  <c r="AB571" i="2"/>
  <c r="AC571" i="2"/>
  <c r="AF571" i="2"/>
  <c r="AG571" i="2"/>
  <c r="AO571" i="2"/>
  <c r="BF571" i="2"/>
  <c r="CC571" i="2"/>
  <c r="CE571" i="2" s="1"/>
  <c r="Q572" i="2"/>
  <c r="AB572" i="2"/>
  <c r="AC572" i="2"/>
  <c r="AF572" i="2"/>
  <c r="AG572" i="2"/>
  <c r="AO572" i="2"/>
  <c r="BF572" i="2"/>
  <c r="BJ572" i="2" s="1"/>
  <c r="CC572" i="2"/>
  <c r="CE572" i="2" s="1"/>
  <c r="Q573" i="2"/>
  <c r="AB573" i="2"/>
  <c r="AC573" i="2"/>
  <c r="AF573" i="2"/>
  <c r="AG573" i="2"/>
  <c r="AO573" i="2"/>
  <c r="BF573" i="2"/>
  <c r="BJ573" i="2" s="1"/>
  <c r="CC573" i="2"/>
  <c r="CE573" i="2" s="1"/>
  <c r="CK573" i="2" s="1"/>
  <c r="Q574" i="2"/>
  <c r="AB574" i="2"/>
  <c r="AC574" i="2"/>
  <c r="AO574" i="2"/>
  <c r="BF574" i="2"/>
  <c r="CC574" i="2"/>
  <c r="CE574" i="2" s="1"/>
  <c r="CK574" i="2" s="1"/>
  <c r="Q575" i="2"/>
  <c r="AB575" i="2"/>
  <c r="AC575" i="2"/>
  <c r="AF575" i="2"/>
  <c r="AG575" i="2"/>
  <c r="AO575" i="2"/>
  <c r="BF575" i="2"/>
  <c r="BJ575" i="2" s="1"/>
  <c r="CM575" i="2" s="1"/>
  <c r="CC575" i="2"/>
  <c r="CE575" i="2" s="1"/>
  <c r="Q576" i="2"/>
  <c r="AB576" i="2"/>
  <c r="AC576" i="2"/>
  <c r="AF576" i="2"/>
  <c r="AG576" i="2"/>
  <c r="AO576" i="2"/>
  <c r="BF576" i="2"/>
  <c r="BJ576" i="2" s="1"/>
  <c r="CC576" i="2"/>
  <c r="CE576" i="2" s="1"/>
  <c r="Q577" i="2"/>
  <c r="AB577" i="2"/>
  <c r="AC577" i="2"/>
  <c r="AF577" i="2"/>
  <c r="AG577" i="2"/>
  <c r="AO577" i="2"/>
  <c r="BF577" i="2"/>
  <c r="CC577" i="2"/>
  <c r="CE577" i="2" s="1"/>
  <c r="Q578" i="2"/>
  <c r="AB578" i="2"/>
  <c r="AC578" i="2"/>
  <c r="AF578" i="2"/>
  <c r="AG578" i="2"/>
  <c r="AO578" i="2"/>
  <c r="BF578" i="2"/>
  <c r="BJ578" i="2" s="1"/>
  <c r="CC578" i="2"/>
  <c r="CE578" i="2" s="1"/>
  <c r="Q579" i="2"/>
  <c r="AB579" i="2"/>
  <c r="AC579" i="2"/>
  <c r="AF579" i="2"/>
  <c r="AG579" i="2"/>
  <c r="AO579" i="2"/>
  <c r="BF579" i="2"/>
  <c r="CC579" i="2"/>
  <c r="CE579" i="2" s="1"/>
  <c r="CK579" i="2" s="1"/>
  <c r="Q580" i="2"/>
  <c r="AB580" i="2"/>
  <c r="AC580" i="2"/>
  <c r="AF580" i="2"/>
  <c r="AG580" i="2"/>
  <c r="AO580" i="2"/>
  <c r="BF580" i="2"/>
  <c r="BJ580" i="2" s="1"/>
  <c r="CC580" i="2"/>
  <c r="CE580" i="2" s="1"/>
  <c r="Q581" i="2"/>
  <c r="AB581" i="2"/>
  <c r="AC581" i="2"/>
  <c r="AF581" i="2"/>
  <c r="AG581" i="2"/>
  <c r="AO581" i="2"/>
  <c r="BF581" i="2"/>
  <c r="BJ581" i="2" s="1"/>
  <c r="CM581" i="2" s="1"/>
  <c r="CC581" i="2"/>
  <c r="CE581" i="2" s="1"/>
  <c r="CK581" i="2" s="1"/>
  <c r="Q584" i="2"/>
  <c r="AB584" i="2"/>
  <c r="AC584" i="2"/>
  <c r="AF584" i="2"/>
  <c r="AG584" i="2"/>
  <c r="AO584" i="2"/>
  <c r="BF584" i="2"/>
  <c r="CC584" i="2"/>
  <c r="CE584" i="2" s="1"/>
  <c r="CK584" i="2" s="1"/>
  <c r="Q585" i="2"/>
  <c r="AB585" i="2"/>
  <c r="AC585" i="2"/>
  <c r="AF585" i="2"/>
  <c r="AG585" i="2"/>
  <c r="AO585" i="2"/>
  <c r="BF585" i="2"/>
  <c r="BJ585" i="2" s="1"/>
  <c r="CM585" i="2" s="1"/>
  <c r="CC585" i="2"/>
  <c r="CE585" i="2" s="1"/>
  <c r="Q586" i="2"/>
  <c r="AB586" i="2"/>
  <c r="AC586" i="2"/>
  <c r="AF586" i="2"/>
  <c r="AG586" i="2"/>
  <c r="AO586" i="2"/>
  <c r="BF586" i="2"/>
  <c r="BJ586" i="2" s="1"/>
  <c r="CC586" i="2"/>
  <c r="CE586" i="2" s="1"/>
  <c r="CK586" i="2" s="1"/>
  <c r="Q587" i="2"/>
  <c r="AB587" i="2"/>
  <c r="AC587" i="2"/>
  <c r="AF587" i="2"/>
  <c r="AG587" i="2"/>
  <c r="AO587" i="2"/>
  <c r="BF587" i="2"/>
  <c r="CC587" i="2"/>
  <c r="CE587" i="2" s="1"/>
  <c r="Q588" i="2"/>
  <c r="AB588" i="2"/>
  <c r="AC588" i="2"/>
  <c r="AF588" i="2"/>
  <c r="AG588" i="2"/>
  <c r="AO588" i="2"/>
  <c r="BF588" i="2"/>
  <c r="BJ588" i="2" s="1"/>
  <c r="CC588" i="2"/>
  <c r="CE588" i="2" s="1"/>
  <c r="Q589" i="2"/>
  <c r="AB589" i="2"/>
  <c r="AC589" i="2"/>
  <c r="AF589" i="2"/>
  <c r="AG589" i="2"/>
  <c r="AO589" i="2"/>
  <c r="BF589" i="2"/>
  <c r="BJ589" i="2" s="1"/>
  <c r="CC589" i="2"/>
  <c r="CE589" i="2" s="1"/>
  <c r="CK589" i="2" s="1"/>
  <c r="Q590" i="2"/>
  <c r="AB590" i="2"/>
  <c r="AC590" i="2"/>
  <c r="AF590" i="2"/>
  <c r="AG590" i="2"/>
  <c r="AO590" i="2"/>
  <c r="BF590" i="2"/>
  <c r="CC590" i="2"/>
  <c r="CE590" i="2" s="1"/>
  <c r="Q591" i="2"/>
  <c r="AB591" i="2"/>
  <c r="AC591" i="2"/>
  <c r="AF591" i="2"/>
  <c r="AG591" i="2"/>
  <c r="AO591" i="2"/>
  <c r="BF591" i="2"/>
  <c r="CC591" i="2"/>
  <c r="CE591" i="2" s="1"/>
  <c r="CK591" i="2" s="1"/>
  <c r="Q592" i="2"/>
  <c r="AB592" i="2"/>
  <c r="AC592" i="2"/>
  <c r="AF592" i="2"/>
  <c r="AG592" i="2"/>
  <c r="AO592" i="2"/>
  <c r="BF592" i="2"/>
  <c r="CC592" i="2"/>
  <c r="CE592" i="2" s="1"/>
  <c r="CK592" i="2" s="1"/>
  <c r="Q593" i="2"/>
  <c r="AB593" i="2"/>
  <c r="AC593" i="2"/>
  <c r="AF593" i="2"/>
  <c r="AG593" i="2"/>
  <c r="AO593" i="2"/>
  <c r="BF593" i="2"/>
  <c r="BJ593" i="2" s="1"/>
  <c r="CM593" i="2" s="1"/>
  <c r="CC593" i="2"/>
  <c r="CE593" i="2" s="1"/>
  <c r="Q594" i="2"/>
  <c r="AB594" i="2"/>
  <c r="AC594" i="2"/>
  <c r="AF594" i="2"/>
  <c r="AG594" i="2"/>
  <c r="AO594" i="2"/>
  <c r="BF594" i="2"/>
  <c r="BJ594" i="2"/>
  <c r="CC594" i="2"/>
  <c r="CE594" i="2" s="1"/>
  <c r="CK594" i="2" s="1"/>
  <c r="Q595" i="2"/>
  <c r="AB595" i="2"/>
  <c r="AC595" i="2"/>
  <c r="AF595" i="2"/>
  <c r="AG595" i="2"/>
  <c r="AO595" i="2"/>
  <c r="BF595" i="2"/>
  <c r="CC595" i="2"/>
  <c r="CE595" i="2" s="1"/>
  <c r="Q596" i="2"/>
  <c r="AB596" i="2"/>
  <c r="AC596" i="2"/>
  <c r="AO596" i="2"/>
  <c r="BF596" i="2"/>
  <c r="CC596" i="2"/>
  <c r="CE596" i="2" s="1"/>
  <c r="CK596" i="2" s="1"/>
  <c r="Q597" i="2"/>
  <c r="AB597" i="2"/>
  <c r="AC597" i="2"/>
  <c r="AF597" i="2"/>
  <c r="AG597" i="2"/>
  <c r="AO597" i="2"/>
  <c r="BF597" i="2"/>
  <c r="CC597" i="2"/>
  <c r="CE597" i="2" s="1"/>
  <c r="Q598" i="2"/>
  <c r="AB598" i="2"/>
  <c r="AC598" i="2"/>
  <c r="AF598" i="2"/>
  <c r="AG598" i="2"/>
  <c r="AO598" i="2"/>
  <c r="BF598" i="2"/>
  <c r="CC598" i="2"/>
  <c r="CE598" i="2" s="1"/>
  <c r="CK598" i="2" s="1"/>
  <c r="Q599" i="2"/>
  <c r="AB599" i="2"/>
  <c r="AC599" i="2"/>
  <c r="AF599" i="2"/>
  <c r="AG599" i="2"/>
  <c r="AO599" i="2"/>
  <c r="BF599" i="2"/>
  <c r="BJ599" i="2" s="1"/>
  <c r="CH599" i="2" s="1"/>
  <c r="CI599" i="2" s="1"/>
  <c r="CC599" i="2"/>
  <c r="CE599" i="2" s="1"/>
  <c r="Q600" i="2"/>
  <c r="AB600" i="2"/>
  <c r="AC600" i="2"/>
  <c r="AF600" i="2"/>
  <c r="AG600" i="2"/>
  <c r="AO600" i="2"/>
  <c r="BF600" i="2"/>
  <c r="BJ600" i="2" s="1"/>
  <c r="CC600" i="2"/>
  <c r="CE600" i="2" s="1"/>
  <c r="Q601" i="2"/>
  <c r="AB601" i="2"/>
  <c r="AC601" i="2"/>
  <c r="AF601" i="2"/>
  <c r="AG601" i="2"/>
  <c r="AO601" i="2"/>
  <c r="BF601" i="2"/>
  <c r="BJ601" i="2" s="1"/>
  <c r="CH601" i="2" s="1"/>
  <c r="CI601" i="2" s="1"/>
  <c r="CC601" i="2"/>
  <c r="CE601" i="2" s="1"/>
  <c r="Q602" i="2"/>
  <c r="AB602" i="2"/>
  <c r="AC602" i="2"/>
  <c r="AF602" i="2"/>
  <c r="AG602" i="2"/>
  <c r="AO602" i="2"/>
  <c r="BF602" i="2"/>
  <c r="BJ602" i="2" s="1"/>
  <c r="CC602" i="2"/>
  <c r="CE602" i="2" s="1"/>
  <c r="Q603" i="2"/>
  <c r="AB603" i="2"/>
  <c r="AC603" i="2"/>
  <c r="AF603" i="2"/>
  <c r="AG603" i="2"/>
  <c r="AO603" i="2"/>
  <c r="BF603" i="2"/>
  <c r="CC603" i="2"/>
  <c r="CE603" i="2"/>
  <c r="CK603" i="2" s="1"/>
  <c r="Q604" i="2"/>
  <c r="AB604" i="2"/>
  <c r="AC604" i="2"/>
  <c r="AF604" i="2"/>
  <c r="AG604" i="2"/>
  <c r="AO604" i="2"/>
  <c r="BF604" i="2"/>
  <c r="BJ604" i="2"/>
  <c r="CM604" i="2" s="1"/>
  <c r="CC604" i="2"/>
  <c r="CE604" i="2" s="1"/>
  <c r="CK604" i="2" s="1"/>
  <c r="Q605" i="2"/>
  <c r="AB605" i="2"/>
  <c r="AC605" i="2"/>
  <c r="AF605" i="2"/>
  <c r="AG605" i="2"/>
  <c r="AO605" i="2"/>
  <c r="BF605" i="2"/>
  <c r="CC605" i="2"/>
  <c r="CE605" i="2" s="1"/>
  <c r="CK605" i="2" s="1"/>
  <c r="Q606" i="2"/>
  <c r="AB606" i="2"/>
  <c r="AC606" i="2"/>
  <c r="AF606" i="2"/>
  <c r="AG606" i="2"/>
  <c r="AO606" i="2"/>
  <c r="BF606" i="2"/>
  <c r="CC606" i="2"/>
  <c r="CE606" i="2" s="1"/>
  <c r="CK606" i="2" s="1"/>
  <c r="Q607" i="2"/>
  <c r="AB607" i="2"/>
  <c r="AC607" i="2"/>
  <c r="AF607" i="2"/>
  <c r="AG607" i="2"/>
  <c r="AO607" i="2"/>
  <c r="BF607" i="2"/>
  <c r="BJ607" i="2" s="1"/>
  <c r="CM607" i="2" s="1"/>
  <c r="CC607" i="2"/>
  <c r="CE607" i="2" s="1"/>
  <c r="Q608" i="2"/>
  <c r="AB608" i="2"/>
  <c r="AC608" i="2"/>
  <c r="AF608" i="2"/>
  <c r="AG608" i="2"/>
  <c r="AO608" i="2"/>
  <c r="BF608" i="2"/>
  <c r="CC608" i="2"/>
  <c r="CE608" i="2" s="1"/>
  <c r="CK608" i="2" s="1"/>
  <c r="Q609" i="2"/>
  <c r="AB609" i="2"/>
  <c r="AC609" i="2"/>
  <c r="AF609" i="2"/>
  <c r="AG609" i="2"/>
  <c r="AO609" i="2"/>
  <c r="BF609" i="2"/>
  <c r="CC609" i="2"/>
  <c r="CE609" i="2" s="1"/>
  <c r="CK609" i="2" s="1"/>
  <c r="Q610" i="2"/>
  <c r="AB610" i="2"/>
  <c r="AC610" i="2"/>
  <c r="AF610" i="2"/>
  <c r="AG610" i="2"/>
  <c r="AO610" i="2"/>
  <c r="BF610" i="2"/>
  <c r="BJ610" i="2" s="1"/>
  <c r="CH610" i="2" s="1"/>
  <c r="CI610" i="2" s="1"/>
  <c r="CC610" i="2"/>
  <c r="CE610" i="2" s="1"/>
  <c r="CK610" i="2" s="1"/>
  <c r="Q611" i="2"/>
  <c r="AB611" i="2"/>
  <c r="AC611" i="2"/>
  <c r="AF611" i="2"/>
  <c r="AG611" i="2"/>
  <c r="AO611" i="2"/>
  <c r="BF611" i="2"/>
  <c r="CC611" i="2"/>
  <c r="CE611" i="2" s="1"/>
  <c r="CK611" i="2" s="1"/>
  <c r="Q612" i="2"/>
  <c r="AB612" i="2"/>
  <c r="AC612" i="2"/>
  <c r="AF612" i="2"/>
  <c r="AG612" i="2"/>
  <c r="AO612" i="2"/>
  <c r="BF612" i="2"/>
  <c r="BJ612" i="2" s="1"/>
  <c r="CM612" i="2" s="1"/>
  <c r="CC612" i="2"/>
  <c r="CE612" i="2" s="1"/>
  <c r="Q613" i="2"/>
  <c r="AB613" i="2"/>
  <c r="AC613" i="2"/>
  <c r="AF613" i="2"/>
  <c r="AG613" i="2"/>
  <c r="AO613" i="2"/>
  <c r="BF613" i="2"/>
  <c r="BJ613" i="2" s="1"/>
  <c r="CC613" i="2"/>
  <c r="CE613" i="2" s="1"/>
  <c r="Q614" i="2"/>
  <c r="AB614" i="2"/>
  <c r="AC614" i="2"/>
  <c r="AF614" i="2"/>
  <c r="AG614" i="2"/>
  <c r="AO614" i="2"/>
  <c r="BF614" i="2"/>
  <c r="BJ614" i="2" s="1"/>
  <c r="CH614" i="2" s="1"/>
  <c r="CI614" i="2" s="1"/>
  <c r="CC614" i="2"/>
  <c r="CE614" i="2" s="1"/>
  <c r="Q615" i="2"/>
  <c r="AB615" i="2"/>
  <c r="AC615" i="2"/>
  <c r="AF615" i="2"/>
  <c r="AG615" i="2"/>
  <c r="AO615" i="2"/>
  <c r="BF615" i="2"/>
  <c r="CC615" i="2"/>
  <c r="CE615" i="2" s="1"/>
  <c r="CK615" i="2" s="1"/>
  <c r="Q616" i="2"/>
  <c r="AB616" i="2"/>
  <c r="AC616" i="2"/>
  <c r="AF616" i="2"/>
  <c r="AG616" i="2"/>
  <c r="AO616" i="2"/>
  <c r="BF616" i="2"/>
  <c r="BJ616" i="2" s="1"/>
  <c r="CC616" i="2"/>
  <c r="CE616" i="2" s="1"/>
  <c r="CK616" i="2" s="1"/>
  <c r="Q617" i="2"/>
  <c r="AB617" i="2"/>
  <c r="AC617" i="2"/>
  <c r="AF617" i="2"/>
  <c r="AG617" i="2"/>
  <c r="AO617" i="2"/>
  <c r="BF617" i="2"/>
  <c r="BJ617" i="2" s="1"/>
  <c r="CM617" i="2" s="1"/>
  <c r="CC617" i="2"/>
  <c r="CE617" i="2" s="1"/>
  <c r="Q618" i="2"/>
  <c r="AB618" i="2"/>
  <c r="AC618" i="2"/>
  <c r="AF618" i="2"/>
  <c r="AG618" i="2"/>
  <c r="AO618" i="2"/>
  <c r="BF618" i="2"/>
  <c r="BJ618" i="2" s="1"/>
  <c r="CH618" i="2" s="1"/>
  <c r="CI618" i="2" s="1"/>
  <c r="CC618" i="2"/>
  <c r="CE618" i="2"/>
  <c r="CK618" i="2" s="1"/>
  <c r="Q619" i="2"/>
  <c r="AB619" i="2"/>
  <c r="AC619" i="2"/>
  <c r="AF619" i="2"/>
  <c r="AG619" i="2"/>
  <c r="AO619" i="2"/>
  <c r="BF619" i="2"/>
  <c r="BJ619" i="2"/>
  <c r="CM619" i="2" s="1"/>
  <c r="CC619" i="2"/>
  <c r="CE619" i="2" s="1"/>
  <c r="CK619" i="2" s="1"/>
  <c r="Q620" i="2"/>
  <c r="AB620" i="2"/>
  <c r="AC620" i="2"/>
  <c r="AF620" i="2"/>
  <c r="AG620" i="2"/>
  <c r="AO620" i="2"/>
  <c r="BF620" i="2"/>
  <c r="CC620" i="2"/>
  <c r="CE620" i="2" s="1"/>
  <c r="CK620" i="2" s="1"/>
  <c r="Q621" i="2"/>
  <c r="AB621" i="2"/>
  <c r="AC621" i="2"/>
  <c r="AF621" i="2"/>
  <c r="AG621" i="2"/>
  <c r="AO621" i="2"/>
  <c r="BF621" i="2"/>
  <c r="BJ621" i="2" s="1"/>
  <c r="CC621" i="2"/>
  <c r="CE621" i="2" s="1"/>
  <c r="Q622" i="2"/>
  <c r="AB622" i="2"/>
  <c r="AC622" i="2"/>
  <c r="AF622" i="2"/>
  <c r="AG622" i="2"/>
  <c r="AO622" i="2"/>
  <c r="BF622" i="2"/>
  <c r="CC622" i="2"/>
  <c r="CE622" i="2" s="1"/>
  <c r="Q623" i="2"/>
  <c r="AB623" i="2"/>
  <c r="AC623" i="2"/>
  <c r="AF623" i="2"/>
  <c r="AG623" i="2"/>
  <c r="AO623" i="2"/>
  <c r="BF623" i="2"/>
  <c r="BJ623" i="2" s="1"/>
  <c r="CM623" i="2" s="1"/>
  <c r="CC623" i="2"/>
  <c r="CE623" i="2" s="1"/>
  <c r="Q624" i="2"/>
  <c r="AB624" i="2"/>
  <c r="AC624" i="2"/>
  <c r="AF624" i="2"/>
  <c r="AG624" i="2"/>
  <c r="AO624" i="2"/>
  <c r="BF624" i="2"/>
  <c r="BJ624" i="2" s="1"/>
  <c r="CC624" i="2"/>
  <c r="CE624" i="2" s="1"/>
  <c r="Q625" i="2"/>
  <c r="AB625" i="2"/>
  <c r="AC625" i="2"/>
  <c r="AF625" i="2"/>
  <c r="AG625" i="2"/>
  <c r="AO625" i="2"/>
  <c r="BF625" i="2"/>
  <c r="CC625" i="2"/>
  <c r="CE625" i="2" s="1"/>
  <c r="CK625" i="2" s="1"/>
  <c r="Q626" i="2"/>
  <c r="AB626" i="2"/>
  <c r="AC626" i="2"/>
  <c r="AF626" i="2"/>
  <c r="AG626" i="2"/>
  <c r="AO626" i="2"/>
  <c r="BF626" i="2"/>
  <c r="CC626" i="2"/>
  <c r="CE626" i="2" s="1"/>
  <c r="Q627" i="2"/>
  <c r="AB627" i="2"/>
  <c r="AC627" i="2"/>
  <c r="AF627" i="2"/>
  <c r="AG627" i="2"/>
  <c r="AO627" i="2"/>
  <c r="BF627" i="2"/>
  <c r="CC627" i="2"/>
  <c r="CE627" i="2" s="1"/>
  <c r="CK627" i="2" s="1"/>
  <c r="Q628" i="2"/>
  <c r="AB628" i="2"/>
  <c r="AC628" i="2"/>
  <c r="AF628" i="2"/>
  <c r="AG628" i="2"/>
  <c r="AO628" i="2"/>
  <c r="BF628" i="2"/>
  <c r="CC628" i="2"/>
  <c r="CE628" i="2" s="1"/>
  <c r="CK628" i="2" s="1"/>
  <c r="Q629" i="2"/>
  <c r="AB629" i="2"/>
  <c r="AC629" i="2"/>
  <c r="AF629" i="2"/>
  <c r="AG629" i="2"/>
  <c r="AO629" i="2"/>
  <c r="BF629" i="2"/>
  <c r="BJ629" i="2" s="1"/>
  <c r="CC629" i="2"/>
  <c r="CE629" i="2" s="1"/>
  <c r="Q630" i="2"/>
  <c r="AB630" i="2"/>
  <c r="AC630" i="2"/>
  <c r="AF630" i="2"/>
  <c r="AG630" i="2"/>
  <c r="AO630" i="2"/>
  <c r="BF630" i="2"/>
  <c r="BJ630" i="2" s="1"/>
  <c r="CM630" i="2" s="1"/>
  <c r="CC630" i="2"/>
  <c r="CE630" i="2" s="1"/>
  <c r="Q631" i="2"/>
  <c r="AB631" i="2"/>
  <c r="AC631" i="2"/>
  <c r="AF631" i="2"/>
  <c r="AG631" i="2"/>
  <c r="AO631" i="2"/>
  <c r="BF631" i="2"/>
  <c r="BJ631" i="2" s="1"/>
  <c r="CM631" i="2" s="1"/>
  <c r="CC631" i="2"/>
  <c r="CE631" i="2" s="1"/>
  <c r="Q632" i="2"/>
  <c r="AB632" i="2"/>
  <c r="AC632" i="2"/>
  <c r="AF632" i="2"/>
  <c r="AG632" i="2"/>
  <c r="AO632" i="2"/>
  <c r="BF632" i="2"/>
  <c r="BJ632" i="2" s="1"/>
  <c r="CC632" i="2"/>
  <c r="CE632" i="2" s="1"/>
  <c r="Q633" i="2"/>
  <c r="AB633" i="2"/>
  <c r="AC633" i="2"/>
  <c r="AF633" i="2"/>
  <c r="AG633" i="2"/>
  <c r="AO633" i="2"/>
  <c r="BF633" i="2"/>
  <c r="CC633" i="2"/>
  <c r="CE633" i="2" s="1"/>
  <c r="Q634" i="2"/>
  <c r="AB634" i="2"/>
  <c r="AC634" i="2"/>
  <c r="AF634" i="2"/>
  <c r="AG634" i="2"/>
  <c r="AO634" i="2"/>
  <c r="BF634" i="2"/>
  <c r="BI634" i="2" s="1"/>
  <c r="CC634" i="2"/>
  <c r="CE634" i="2" s="1"/>
  <c r="Q635" i="2"/>
  <c r="AB635" i="2"/>
  <c r="AC635" i="2"/>
  <c r="AF635" i="2"/>
  <c r="AG635" i="2"/>
  <c r="AO635" i="2"/>
  <c r="BF635" i="2"/>
  <c r="BI635" i="2" s="1"/>
  <c r="CC635" i="2"/>
  <c r="CE635" i="2" s="1"/>
  <c r="CK635" i="2" s="1"/>
  <c r="Q636" i="2"/>
  <c r="AB636" i="2"/>
  <c r="AC636" i="2"/>
  <c r="AF636" i="2"/>
  <c r="AG636" i="2"/>
  <c r="AO636" i="2"/>
  <c r="BF636" i="2"/>
  <c r="CC636" i="2"/>
  <c r="CE636" i="2" s="1"/>
  <c r="Q637" i="2"/>
  <c r="AB637" i="2"/>
  <c r="AC637" i="2"/>
  <c r="AF637" i="2"/>
  <c r="AG637" i="2"/>
  <c r="AO637" i="2"/>
  <c r="BF637" i="2"/>
  <c r="CC637" i="2"/>
  <c r="CE637" i="2" s="1"/>
  <c r="Q638" i="2"/>
  <c r="AB638" i="2"/>
  <c r="AC638" i="2"/>
  <c r="AF638" i="2"/>
  <c r="AG638" i="2"/>
  <c r="AO638" i="2"/>
  <c r="BF638" i="2"/>
  <c r="CC638" i="2"/>
  <c r="CE638" i="2" s="1"/>
  <c r="Q639" i="2"/>
  <c r="AB639" i="2"/>
  <c r="AC639" i="2"/>
  <c r="AF639" i="2"/>
  <c r="AG639" i="2"/>
  <c r="AO639" i="2"/>
  <c r="BF639" i="2"/>
  <c r="CC639" i="2"/>
  <c r="CE639" i="2" s="1"/>
  <c r="Q640" i="2"/>
  <c r="AB640" i="2"/>
  <c r="AC640" i="2"/>
  <c r="AF640" i="2"/>
  <c r="AG640" i="2"/>
  <c r="AO640" i="2"/>
  <c r="BF640" i="2"/>
  <c r="CC640" i="2"/>
  <c r="CE640" i="2" s="1"/>
  <c r="Q641" i="2"/>
  <c r="AB641" i="2"/>
  <c r="AC641" i="2"/>
  <c r="AF641" i="2"/>
  <c r="AG641" i="2"/>
  <c r="AO641" i="2"/>
  <c r="BF641" i="2"/>
  <c r="BJ641" i="2" s="1"/>
  <c r="CC641" i="2"/>
  <c r="CE641" i="2" s="1"/>
  <c r="CK641" i="2" s="1"/>
  <c r="Q642" i="2"/>
  <c r="AB642" i="2"/>
  <c r="AC642" i="2"/>
  <c r="AF642" i="2"/>
  <c r="AG642" i="2"/>
  <c r="AO642" i="2"/>
  <c r="BF642" i="2"/>
  <c r="BJ642" i="2" s="1"/>
  <c r="CC642" i="2"/>
  <c r="CE642" i="2" s="1"/>
  <c r="Q643" i="2"/>
  <c r="AB643" i="2"/>
  <c r="AC643" i="2"/>
  <c r="AF643" i="2"/>
  <c r="AG643" i="2"/>
  <c r="AO643" i="2"/>
  <c r="BF643" i="2"/>
  <c r="BI643" i="2" s="1"/>
  <c r="BJ643" i="2"/>
  <c r="CH643" i="2" s="1"/>
  <c r="CI643" i="2" s="1"/>
  <c r="CC643" i="2"/>
  <c r="CE643" i="2" s="1"/>
  <c r="Q644" i="2"/>
  <c r="AB644" i="2"/>
  <c r="AC644" i="2"/>
  <c r="AF644" i="2"/>
  <c r="AG644" i="2"/>
  <c r="AO644" i="2"/>
  <c r="BF644" i="2"/>
  <c r="CC644" i="2"/>
  <c r="CE644" i="2" s="1"/>
  <c r="CK644" i="2" s="1"/>
  <c r="Q645" i="2"/>
  <c r="AB645" i="2"/>
  <c r="AC645" i="2"/>
  <c r="AF645" i="2"/>
  <c r="AG645" i="2"/>
  <c r="AO645" i="2"/>
  <c r="BF645" i="2"/>
  <c r="CC645" i="2"/>
  <c r="CE645" i="2" s="1"/>
  <c r="CK645" i="2" s="1"/>
  <c r="Q646" i="2"/>
  <c r="AB646" i="2"/>
  <c r="AC646" i="2"/>
  <c r="AF646" i="2"/>
  <c r="AG646" i="2"/>
  <c r="AO646" i="2"/>
  <c r="BF646" i="2"/>
  <c r="CC646" i="2"/>
  <c r="CE646" i="2" s="1"/>
  <c r="Q647" i="2"/>
  <c r="AB647" i="2"/>
  <c r="AC647" i="2"/>
  <c r="AF647" i="2"/>
  <c r="AG647" i="2"/>
  <c r="AO647" i="2"/>
  <c r="BF647" i="2"/>
  <c r="CC647" i="2"/>
  <c r="CE647" i="2" s="1"/>
  <c r="Q648" i="2"/>
  <c r="AB648" i="2"/>
  <c r="AC648" i="2"/>
  <c r="AF648" i="2"/>
  <c r="AG648" i="2"/>
  <c r="AO648" i="2"/>
  <c r="BF648" i="2"/>
  <c r="CC648" i="2"/>
  <c r="CE648" i="2" s="1"/>
  <c r="Q649" i="2"/>
  <c r="AB649" i="2"/>
  <c r="AC649" i="2"/>
  <c r="AF649" i="2"/>
  <c r="AG649" i="2"/>
  <c r="AO649" i="2"/>
  <c r="BF649" i="2"/>
  <c r="BJ649" i="2" s="1"/>
  <c r="CC649" i="2"/>
  <c r="CE649" i="2" s="1"/>
  <c r="Q650" i="2"/>
  <c r="AB650" i="2"/>
  <c r="AC650" i="2"/>
  <c r="AF650" i="2"/>
  <c r="AG650" i="2"/>
  <c r="AO650" i="2"/>
  <c r="BF650" i="2"/>
  <c r="CC650" i="2"/>
  <c r="CE650" i="2" s="1"/>
  <c r="Q651" i="2"/>
  <c r="AB651" i="2"/>
  <c r="AC651" i="2"/>
  <c r="AF651" i="2"/>
  <c r="AG651" i="2"/>
  <c r="AO651" i="2"/>
  <c r="BF651" i="2"/>
  <c r="CC651" i="2"/>
  <c r="CE651" i="2" s="1"/>
  <c r="CK651" i="2" s="1"/>
  <c r="Q652" i="2"/>
  <c r="AB652" i="2"/>
  <c r="AC652" i="2"/>
  <c r="AF652" i="2"/>
  <c r="AG652" i="2"/>
  <c r="AO652" i="2"/>
  <c r="BF652" i="2"/>
  <c r="CC652" i="2"/>
  <c r="CE652" i="2"/>
  <c r="CK652" i="2" s="1"/>
  <c r="Q653" i="2"/>
  <c r="AB653" i="2"/>
  <c r="AC653" i="2"/>
  <c r="AF653" i="2"/>
  <c r="AG653" i="2"/>
  <c r="AO653" i="2"/>
  <c r="BF653" i="2"/>
  <c r="CC653" i="2"/>
  <c r="CE653" i="2" s="1"/>
  <c r="Q654" i="2"/>
  <c r="AB654" i="2"/>
  <c r="AC654" i="2"/>
  <c r="AF654" i="2"/>
  <c r="AG654" i="2"/>
  <c r="AO654" i="2"/>
  <c r="BF654" i="2"/>
  <c r="BJ654" i="2" s="1"/>
  <c r="CC654" i="2"/>
  <c r="CE654" i="2" s="1"/>
  <c r="Q655" i="2"/>
  <c r="AB655" i="2"/>
  <c r="AC655" i="2"/>
  <c r="AF655" i="2"/>
  <c r="AG655" i="2"/>
  <c r="AO655" i="2"/>
  <c r="BF655" i="2"/>
  <c r="CC655" i="2"/>
  <c r="CE655" i="2" s="1"/>
  <c r="Q656" i="2"/>
  <c r="AB656" i="2"/>
  <c r="AC656" i="2"/>
  <c r="AF656" i="2"/>
  <c r="AG656" i="2"/>
  <c r="AO656" i="2"/>
  <c r="BF656" i="2"/>
  <c r="CC656" i="2"/>
  <c r="CE656" i="2" s="1"/>
  <c r="Q657" i="2"/>
  <c r="AB657" i="2"/>
  <c r="AC657" i="2"/>
  <c r="AF657" i="2"/>
  <c r="AG657" i="2"/>
  <c r="AO657" i="2"/>
  <c r="BF657" i="2"/>
  <c r="BJ657" i="2" s="1"/>
  <c r="CH657" i="2" s="1"/>
  <c r="CI657" i="2" s="1"/>
  <c r="CC657" i="2"/>
  <c r="CE657" i="2" s="1"/>
  <c r="CK657" i="2" s="1"/>
  <c r="Q658" i="2"/>
  <c r="AB658" i="2"/>
  <c r="AC658" i="2"/>
  <c r="AF658" i="2"/>
  <c r="AG658" i="2"/>
  <c r="AO658" i="2"/>
  <c r="BF658" i="2"/>
  <c r="CC658" i="2"/>
  <c r="CE658" i="2" s="1"/>
  <c r="CK658" i="2" s="1"/>
  <c r="Q659" i="2"/>
  <c r="AB659" i="2"/>
  <c r="AC659" i="2"/>
  <c r="AF659" i="2"/>
  <c r="AG659" i="2"/>
  <c r="AO659" i="2"/>
  <c r="BF659" i="2"/>
  <c r="CC659" i="2"/>
  <c r="CE659" i="2" s="1"/>
  <c r="CK659" i="2" s="1"/>
  <c r="Q660" i="2"/>
  <c r="AB660" i="2"/>
  <c r="AC660" i="2"/>
  <c r="AF660" i="2"/>
  <c r="AG660" i="2"/>
  <c r="AO660" i="2"/>
  <c r="BF660" i="2"/>
  <c r="CC660" i="2"/>
  <c r="CE660" i="2" s="1"/>
  <c r="Q661" i="2"/>
  <c r="AB661" i="2"/>
  <c r="AC661" i="2"/>
  <c r="AF661" i="2"/>
  <c r="AG661" i="2"/>
  <c r="AO661" i="2"/>
  <c r="BF661" i="2"/>
  <c r="CC661" i="2"/>
  <c r="CE661" i="2" s="1"/>
  <c r="Q662" i="2"/>
  <c r="AB662" i="2"/>
  <c r="AC662" i="2"/>
  <c r="AO662" i="2"/>
  <c r="BF662" i="2"/>
  <c r="CC662" i="2"/>
  <c r="CE662" i="2" s="1"/>
  <c r="Q663" i="2"/>
  <c r="AB663" i="2"/>
  <c r="AC663" i="2"/>
  <c r="AF663" i="2"/>
  <c r="AG663" i="2"/>
  <c r="AO663" i="2"/>
  <c r="BF663" i="2"/>
  <c r="BJ663" i="2" s="1"/>
  <c r="CH663" i="2" s="1"/>
  <c r="CI663" i="2" s="1"/>
  <c r="CC663" i="2"/>
  <c r="CE663" i="2" s="1"/>
  <c r="Q664" i="2"/>
  <c r="AB664" i="2"/>
  <c r="AC664" i="2"/>
  <c r="AF664" i="2"/>
  <c r="AG664" i="2"/>
  <c r="AO664" i="2"/>
  <c r="BF664" i="2"/>
  <c r="BJ664" i="2" s="1"/>
  <c r="CM664" i="2" s="1"/>
  <c r="CC664" i="2"/>
  <c r="CE664" i="2" s="1"/>
  <c r="Q665" i="2"/>
  <c r="AB665" i="2"/>
  <c r="AC665" i="2"/>
  <c r="AF665" i="2"/>
  <c r="AG665" i="2"/>
  <c r="AO665" i="2"/>
  <c r="BF665" i="2"/>
  <c r="CC665" i="2"/>
  <c r="CE665" i="2" s="1"/>
  <c r="CK665" i="2" s="1"/>
  <c r="Q666" i="2"/>
  <c r="AB666" i="2"/>
  <c r="AC666" i="2"/>
  <c r="AF666" i="2"/>
  <c r="AG666" i="2"/>
  <c r="AO666" i="2"/>
  <c r="BF666" i="2"/>
  <c r="CC666" i="2"/>
  <c r="CE666" i="2"/>
  <c r="CK666" i="2" s="1"/>
  <c r="Q667" i="2"/>
  <c r="AB667" i="2"/>
  <c r="AC667" i="2"/>
  <c r="AF667" i="2"/>
  <c r="AG667" i="2"/>
  <c r="AO667" i="2"/>
  <c r="BF667" i="2"/>
  <c r="BJ667" i="2" s="1"/>
  <c r="CC667" i="2"/>
  <c r="CE667" i="2" s="1"/>
  <c r="CK667" i="2" s="1"/>
  <c r="Q668" i="2"/>
  <c r="AB668" i="2"/>
  <c r="AC668" i="2"/>
  <c r="AF668" i="2"/>
  <c r="AG668" i="2"/>
  <c r="AO668" i="2"/>
  <c r="BF668" i="2"/>
  <c r="CC668" i="2"/>
  <c r="CE668" i="2" s="1"/>
  <c r="Q669" i="2"/>
  <c r="AB669" i="2"/>
  <c r="AC669" i="2"/>
  <c r="AF669" i="2"/>
  <c r="AG669" i="2"/>
  <c r="AO669" i="2"/>
  <c r="BF669" i="2"/>
  <c r="CC669" i="2"/>
  <c r="CE669" i="2" s="1"/>
  <c r="Q670" i="2"/>
  <c r="AB670" i="2"/>
  <c r="AC670" i="2"/>
  <c r="AF670" i="2"/>
  <c r="AG670" i="2"/>
  <c r="AO670" i="2"/>
  <c r="BF670" i="2"/>
  <c r="CC670" i="2"/>
  <c r="CE670" i="2" s="1"/>
  <c r="CK670" i="2" s="1"/>
  <c r="Q671" i="2"/>
  <c r="AB671" i="2"/>
  <c r="AC671" i="2"/>
  <c r="AF671" i="2"/>
  <c r="AG671" i="2"/>
  <c r="AO671" i="2"/>
  <c r="BF671" i="2"/>
  <c r="BJ671" i="2" s="1"/>
  <c r="CC671" i="2"/>
  <c r="CE671" i="2" s="1"/>
  <c r="Q672" i="2"/>
  <c r="AB672" i="2"/>
  <c r="AC672" i="2"/>
  <c r="AF672" i="2"/>
  <c r="AG672" i="2"/>
  <c r="AO672" i="2"/>
  <c r="BF672" i="2"/>
  <c r="CC672" i="2"/>
  <c r="CE672" i="2" s="1"/>
  <c r="Q673" i="2"/>
  <c r="AB673" i="2"/>
  <c r="AC673" i="2"/>
  <c r="AF673" i="2"/>
  <c r="AG673" i="2"/>
  <c r="AO673" i="2"/>
  <c r="BF673" i="2"/>
  <c r="CC673" i="2"/>
  <c r="CE673" i="2" s="1"/>
  <c r="Q674" i="2"/>
  <c r="AB674" i="2"/>
  <c r="AC674" i="2"/>
  <c r="AF674" i="2"/>
  <c r="AG674" i="2"/>
  <c r="AO674" i="2"/>
  <c r="BF674" i="2"/>
  <c r="CE674" i="2"/>
  <c r="CK674" i="2" s="1"/>
  <c r="Q675" i="2"/>
  <c r="AB675" i="2"/>
  <c r="AC675" i="2"/>
  <c r="AF675" i="2"/>
  <c r="AG675" i="2"/>
  <c r="AO675" i="2"/>
  <c r="BF675" i="2"/>
  <c r="CC675" i="2"/>
  <c r="CE675" i="2" s="1"/>
  <c r="Q676" i="2"/>
  <c r="AB676" i="2"/>
  <c r="AC676" i="2"/>
  <c r="AF676" i="2"/>
  <c r="AG676" i="2"/>
  <c r="AO676" i="2"/>
  <c r="BF676" i="2"/>
  <c r="BJ676" i="2" s="1"/>
  <c r="CC676" i="2"/>
  <c r="CE676" i="2" s="1"/>
  <c r="Q677" i="2"/>
  <c r="AB677" i="2"/>
  <c r="AC677" i="2"/>
  <c r="AF677" i="2"/>
  <c r="AG677" i="2"/>
  <c r="AO677" i="2"/>
  <c r="BF677" i="2"/>
  <c r="CC677" i="2"/>
  <c r="CE677" i="2" s="1"/>
  <c r="Q678" i="2"/>
  <c r="AB678" i="2"/>
  <c r="AC678" i="2"/>
  <c r="AF678" i="2"/>
  <c r="AG678" i="2"/>
  <c r="AO678" i="2"/>
  <c r="BF678" i="2"/>
  <c r="BJ678" i="2" s="1"/>
  <c r="CC678" i="2"/>
  <c r="CE678" i="2" s="1"/>
  <c r="CK678" i="2" s="1"/>
  <c r="Q679" i="2"/>
  <c r="AB679" i="2"/>
  <c r="AC679" i="2"/>
  <c r="AF679" i="2"/>
  <c r="AG679" i="2"/>
  <c r="AO679" i="2"/>
  <c r="BF679" i="2"/>
  <c r="CC679" i="2"/>
  <c r="CE679" i="2" s="1"/>
  <c r="Q680" i="2"/>
  <c r="AB680" i="2"/>
  <c r="AC680" i="2"/>
  <c r="AF680" i="2"/>
  <c r="AG680" i="2"/>
  <c r="AO680" i="2"/>
  <c r="BF680" i="2"/>
  <c r="CC680" i="2"/>
  <c r="CE680" i="2" s="1"/>
  <c r="Q681" i="2"/>
  <c r="AB681" i="2"/>
  <c r="AC681" i="2"/>
  <c r="AF681" i="2"/>
  <c r="AG681" i="2"/>
  <c r="AO681" i="2"/>
  <c r="BF681" i="2"/>
  <c r="BJ681" i="2" s="1"/>
  <c r="CH681" i="2" s="1"/>
  <c r="CI681" i="2" s="1"/>
  <c r="CC681" i="2"/>
  <c r="CE681" i="2" s="1"/>
  <c r="Q682" i="2"/>
  <c r="AB682" i="2"/>
  <c r="AC682" i="2"/>
  <c r="AF682" i="2"/>
  <c r="AG682" i="2"/>
  <c r="AO682" i="2"/>
  <c r="BF682" i="2"/>
  <c r="BJ682" i="2"/>
  <c r="CM682" i="2" s="1"/>
  <c r="CC682" i="2"/>
  <c r="CE682" i="2" s="1"/>
  <c r="Q683" i="2"/>
  <c r="AB683" i="2"/>
  <c r="AC683" i="2"/>
  <c r="AF683" i="2"/>
  <c r="AG683" i="2"/>
  <c r="AO683" i="2"/>
  <c r="BF683" i="2"/>
  <c r="BJ683" i="2" s="1"/>
  <c r="CH683" i="2" s="1"/>
  <c r="CI683" i="2" s="1"/>
  <c r="CC683" i="2"/>
  <c r="CE683" i="2" s="1"/>
  <c r="Q684" i="2"/>
  <c r="AB684" i="2"/>
  <c r="AC684" i="2"/>
  <c r="AF684" i="2"/>
  <c r="AG684" i="2"/>
  <c r="AO684" i="2"/>
  <c r="BF684" i="2"/>
  <c r="CC684" i="2"/>
  <c r="CE684" i="2" s="1"/>
  <c r="CK684" i="2" s="1"/>
  <c r="Q685" i="2"/>
  <c r="AB685" i="2"/>
  <c r="AC685" i="2"/>
  <c r="AF685" i="2"/>
  <c r="AG685" i="2"/>
  <c r="AO685" i="2"/>
  <c r="BF685" i="2"/>
  <c r="CC685" i="2"/>
  <c r="CE685" i="2" s="1"/>
  <c r="CK685" i="2" s="1"/>
  <c r="Q686" i="2"/>
  <c r="AB686" i="2"/>
  <c r="AC686" i="2"/>
  <c r="AF686" i="2"/>
  <c r="AG686" i="2"/>
  <c r="AO686" i="2"/>
  <c r="BF686" i="2"/>
  <c r="BJ686" i="2" s="1"/>
  <c r="CC686" i="2"/>
  <c r="CE686" i="2" s="1"/>
  <c r="CK686" i="2" s="1"/>
  <c r="Q687" i="2"/>
  <c r="AB687" i="2"/>
  <c r="AC687" i="2"/>
  <c r="AF687" i="2"/>
  <c r="AG687" i="2"/>
  <c r="AO687" i="2"/>
  <c r="BF687" i="2"/>
  <c r="CC687" i="2"/>
  <c r="CE687" i="2" s="1"/>
  <c r="Q688" i="2"/>
  <c r="AB688" i="2"/>
  <c r="AC688" i="2"/>
  <c r="AF688" i="2"/>
  <c r="AG688" i="2"/>
  <c r="AO688" i="2"/>
  <c r="BF688" i="2"/>
  <c r="CC688" i="2"/>
  <c r="CE688" i="2" s="1"/>
  <c r="Q689" i="2"/>
  <c r="AB689" i="2"/>
  <c r="AC689" i="2"/>
  <c r="AF689" i="2"/>
  <c r="AG689" i="2"/>
  <c r="AO689" i="2"/>
  <c r="BF689" i="2"/>
  <c r="CC689" i="2"/>
  <c r="CE689" i="2" s="1"/>
  <c r="Q690" i="2"/>
  <c r="AB690" i="2"/>
  <c r="AC690" i="2"/>
  <c r="AF690" i="2"/>
  <c r="AG690" i="2"/>
  <c r="AO690" i="2"/>
  <c r="BF690" i="2"/>
  <c r="CC690" i="2"/>
  <c r="CE690" i="2" s="1"/>
  <c r="Q691" i="2"/>
  <c r="AB691" i="2"/>
  <c r="AC691" i="2"/>
  <c r="AF691" i="2"/>
  <c r="AG691" i="2"/>
  <c r="AO691" i="2"/>
  <c r="BF691" i="2"/>
  <c r="CC691" i="2"/>
  <c r="CE691" i="2" s="1"/>
  <c r="CK691" i="2" s="1"/>
  <c r="Q692" i="2"/>
  <c r="AB692" i="2"/>
  <c r="AC692" i="2"/>
  <c r="AF692" i="2"/>
  <c r="AG692" i="2"/>
  <c r="AO692" i="2"/>
  <c r="BF692" i="2"/>
  <c r="CC692" i="2"/>
  <c r="CE692" i="2" s="1"/>
  <c r="Q693" i="2"/>
  <c r="AB693" i="2"/>
  <c r="AC693" i="2"/>
  <c r="AF693" i="2"/>
  <c r="AG693" i="2"/>
  <c r="AO693" i="2"/>
  <c r="BF693" i="2"/>
  <c r="CC693" i="2"/>
  <c r="CE693" i="2" s="1"/>
  <c r="Q694" i="2"/>
  <c r="AB694" i="2"/>
  <c r="AC694" i="2"/>
  <c r="AF694" i="2"/>
  <c r="AG694" i="2"/>
  <c r="AO694" i="2"/>
  <c r="BF694" i="2"/>
  <c r="BJ694" i="2" s="1"/>
  <c r="CC694" i="2"/>
  <c r="CE694" i="2" s="1"/>
  <c r="Q695" i="2"/>
  <c r="AB695" i="2"/>
  <c r="AC695" i="2"/>
  <c r="AF695" i="2"/>
  <c r="AG695" i="2"/>
  <c r="AO695" i="2"/>
  <c r="BF695" i="2"/>
  <c r="CC695" i="2"/>
  <c r="CE695" i="2" s="1"/>
  <c r="Q696" i="2"/>
  <c r="AB696" i="2"/>
  <c r="AC696" i="2"/>
  <c r="AF696" i="2"/>
  <c r="AG696" i="2"/>
  <c r="AO696" i="2"/>
  <c r="BF696" i="2"/>
  <c r="BJ696" i="2" s="1"/>
  <c r="CC696" i="2"/>
  <c r="CE696" i="2" s="1"/>
  <c r="Q697" i="2"/>
  <c r="AB697" i="2"/>
  <c r="AC697" i="2"/>
  <c r="AF697" i="2"/>
  <c r="AG697" i="2"/>
  <c r="AO697" i="2"/>
  <c r="BF697" i="2"/>
  <c r="BJ697" i="2" s="1"/>
  <c r="CC697" i="2"/>
  <c r="CE697" i="2" s="1"/>
  <c r="Q698" i="2"/>
  <c r="AB698" i="2"/>
  <c r="AC698" i="2"/>
  <c r="AF698" i="2"/>
  <c r="AG698" i="2"/>
  <c r="AO698" i="2"/>
  <c r="BF698" i="2"/>
  <c r="CC698" i="2"/>
  <c r="CE698" i="2" s="1"/>
  <c r="Q699" i="2"/>
  <c r="AB699" i="2"/>
  <c r="AC699" i="2"/>
  <c r="AF699" i="2"/>
  <c r="AG699" i="2"/>
  <c r="AO699" i="2"/>
  <c r="BF699" i="2"/>
  <c r="CC699" i="2"/>
  <c r="CE699" i="2"/>
  <c r="CK699" i="2" s="1"/>
  <c r="BF700" i="2"/>
  <c r="BI700" i="2" s="1"/>
  <c r="CC700" i="2"/>
  <c r="CE700" i="2" s="1"/>
  <c r="CK700" i="2" s="1"/>
  <c r="AG971" i="2"/>
  <c r="AF971" i="2"/>
  <c r="AC971" i="2"/>
  <c r="AB971" i="2"/>
  <c r="AG916" i="2"/>
  <c r="AF916" i="2"/>
  <c r="AC916" i="2"/>
  <c r="AB916" i="2"/>
  <c r="AG911" i="2"/>
  <c r="AF911" i="2"/>
  <c r="AC911" i="2"/>
  <c r="AB911" i="2"/>
  <c r="AG909" i="2"/>
  <c r="AF909" i="2"/>
  <c r="AC909" i="2"/>
  <c r="AB909" i="2"/>
  <c r="AG902" i="2"/>
  <c r="AF902" i="2"/>
  <c r="AC902" i="2"/>
  <c r="AB902" i="2"/>
  <c r="AG900" i="2"/>
  <c r="AF900" i="2"/>
  <c r="AC900" i="2"/>
  <c r="AB900" i="2"/>
  <c r="AG895" i="2"/>
  <c r="AF895" i="2"/>
  <c r="AC895" i="2"/>
  <c r="AB895" i="2"/>
  <c r="AG866" i="2"/>
  <c r="AF866" i="2"/>
  <c r="AC866" i="2"/>
  <c r="AB866" i="2"/>
  <c r="AG860" i="2"/>
  <c r="AF860" i="2"/>
  <c r="AC860" i="2"/>
  <c r="AB860" i="2"/>
  <c r="AG830" i="2"/>
  <c r="AF830" i="2"/>
  <c r="AC830" i="2"/>
  <c r="AB830" i="2"/>
  <c r="AG828" i="2"/>
  <c r="AF828" i="2"/>
  <c r="AC828" i="2"/>
  <c r="AB828" i="2"/>
  <c r="AG815" i="2"/>
  <c r="AF815" i="2"/>
  <c r="AC815" i="2"/>
  <c r="AB815" i="2"/>
  <c r="AG795" i="2"/>
  <c r="AF795" i="2"/>
  <c r="AC795" i="2"/>
  <c r="AB795" i="2"/>
  <c r="AG770" i="2"/>
  <c r="AF770" i="2"/>
  <c r="AC770" i="2"/>
  <c r="AB770" i="2"/>
  <c r="AG769" i="2"/>
  <c r="AF769" i="2"/>
  <c r="AC769" i="2"/>
  <c r="AB769" i="2"/>
  <c r="AG768" i="2"/>
  <c r="AF768" i="2"/>
  <c r="AC768" i="2"/>
  <c r="AB768" i="2"/>
  <c r="AG744" i="2"/>
  <c r="AF744" i="2"/>
  <c r="AC744" i="2"/>
  <c r="AB744" i="2"/>
  <c r="AG743" i="2"/>
  <c r="AF743" i="2"/>
  <c r="AC743" i="2"/>
  <c r="AB743" i="2"/>
  <c r="AG740" i="2"/>
  <c r="AF740" i="2"/>
  <c r="AC740" i="2"/>
  <c r="AB740" i="2"/>
  <c r="AG737" i="2"/>
  <c r="AF737" i="2"/>
  <c r="AC737" i="2"/>
  <c r="AB737" i="2"/>
  <c r="AG736" i="2"/>
  <c r="AF736" i="2"/>
  <c r="AC736" i="2"/>
  <c r="AB736" i="2"/>
  <c r="AG735" i="2"/>
  <c r="AF735" i="2"/>
  <c r="AC735" i="2"/>
  <c r="AB735" i="2"/>
  <c r="AG731" i="2"/>
  <c r="AF731" i="2"/>
  <c r="AC731" i="2"/>
  <c r="AB731" i="2"/>
  <c r="AG729" i="2"/>
  <c r="AF729" i="2"/>
  <c r="AC729" i="2"/>
  <c r="AB729" i="2"/>
  <c r="AG719" i="2"/>
  <c r="AF719" i="2"/>
  <c r="AC719" i="2"/>
  <c r="AB719" i="2"/>
  <c r="AG717" i="2"/>
  <c r="AF717" i="2"/>
  <c r="AC717" i="2"/>
  <c r="AB717" i="2"/>
  <c r="AG716" i="2"/>
  <c r="AF716" i="2"/>
  <c r="AC716" i="2"/>
  <c r="AB716" i="2"/>
  <c r="AG714" i="2"/>
  <c r="AF714" i="2"/>
  <c r="AC714" i="2"/>
  <c r="AB714" i="2"/>
  <c r="AG713" i="2"/>
  <c r="AF713" i="2"/>
  <c r="AC713" i="2"/>
  <c r="AB713" i="2"/>
  <c r="AG709" i="2"/>
  <c r="AF709" i="2"/>
  <c r="AC709" i="2"/>
  <c r="AB709" i="2"/>
  <c r="AG708" i="2"/>
  <c r="AF708" i="2"/>
  <c r="AC708" i="2"/>
  <c r="AB708" i="2"/>
  <c r="AG707" i="2"/>
  <c r="AF707" i="2"/>
  <c r="AC707" i="2"/>
  <c r="AB707" i="2"/>
  <c r="AG704" i="2"/>
  <c r="AF704" i="2"/>
  <c r="AC704" i="2"/>
  <c r="AB704" i="2"/>
  <c r="AG703" i="2"/>
  <c r="AF703" i="2"/>
  <c r="AC703" i="2"/>
  <c r="AB703" i="2"/>
  <c r="AG702" i="2"/>
  <c r="AF702" i="2"/>
  <c r="AC702" i="2"/>
  <c r="AB702" i="2"/>
  <c r="AG701" i="2"/>
  <c r="AF701" i="2"/>
  <c r="AC701" i="2"/>
  <c r="AB701" i="2"/>
  <c r="AF29" i="5"/>
  <c r="AG29" i="5" s="1"/>
  <c r="AE113" i="4"/>
  <c r="AF113" i="4" s="1"/>
  <c r="AB113" i="4"/>
  <c r="AA113" i="4"/>
  <c r="X113" i="4"/>
  <c r="W113" i="4"/>
  <c r="U113" i="4"/>
  <c r="Q113" i="4"/>
  <c r="P113" i="4"/>
  <c r="P32" i="5"/>
  <c r="P33" i="5"/>
  <c r="P22" i="5"/>
  <c r="P23" i="5"/>
  <c r="P24" i="5"/>
  <c r="P25" i="5"/>
  <c r="P26" i="5"/>
  <c r="P27" i="5"/>
  <c r="P28" i="5"/>
  <c r="P29" i="5"/>
  <c r="P30" i="5"/>
  <c r="P31" i="5"/>
  <c r="AL58" i="6"/>
  <c r="U112" i="4"/>
  <c r="AH112" i="4" s="1"/>
  <c r="AE112" i="4"/>
  <c r="AF112" i="4" s="1"/>
  <c r="AB112" i="4"/>
  <c r="AA112" i="4"/>
  <c r="X112" i="4"/>
  <c r="W112" i="4"/>
  <c r="Q112" i="4"/>
  <c r="P112" i="4"/>
  <c r="S32" i="5"/>
  <c r="S31" i="5"/>
  <c r="AB962" i="2"/>
  <c r="AC969" i="2"/>
  <c r="AC970" i="2"/>
  <c r="AB969" i="2"/>
  <c r="AB970" i="2"/>
  <c r="S25" i="5"/>
  <c r="S24" i="5"/>
  <c r="S33" i="5"/>
  <c r="U111" i="4"/>
  <c r="R110" i="4"/>
  <c r="BF979" i="2"/>
  <c r="BI979" i="2" s="1"/>
  <c r="CC979" i="2"/>
  <c r="CE979" i="2" s="1"/>
  <c r="CK979" i="2" s="1"/>
  <c r="F956" i="3"/>
  <c r="F957" i="3"/>
  <c r="F958" i="3"/>
  <c r="U109" i="4"/>
  <c r="U107" i="4"/>
  <c r="S106" i="4"/>
  <c r="R106" i="4"/>
  <c r="R104" i="4"/>
  <c r="R103" i="4"/>
  <c r="U102" i="4"/>
  <c r="R101" i="4"/>
  <c r="R100" i="4"/>
  <c r="R98" i="4"/>
  <c r="R99" i="4"/>
  <c r="S95" i="4"/>
  <c r="R94" i="4"/>
  <c r="S93" i="4"/>
  <c r="U92" i="4"/>
  <c r="S91" i="4"/>
  <c r="U90" i="4"/>
  <c r="S89" i="4"/>
  <c r="U89" i="4" s="1"/>
  <c r="S88" i="4"/>
  <c r="R88" i="4"/>
  <c r="S87" i="4"/>
  <c r="U87" i="4" s="1"/>
  <c r="U86" i="4"/>
  <c r="U84" i="4"/>
  <c r="U83" i="4"/>
  <c r="U82" i="4"/>
  <c r="U81" i="4"/>
  <c r="U80" i="4"/>
  <c r="AO968" i="2"/>
  <c r="AB968" i="2"/>
  <c r="AG965" i="2"/>
  <c r="AF965" i="2"/>
  <c r="AC966" i="2"/>
  <c r="AB966" i="2"/>
  <c r="AC954" i="2"/>
  <c r="AB954" i="2"/>
  <c r="F945" i="3"/>
  <c r="AB949" i="2"/>
  <c r="BN52" i="6"/>
  <c r="BS52" i="6"/>
  <c r="F937" i="3"/>
  <c r="F938" i="3"/>
  <c r="BN48" i="6"/>
  <c r="W47" i="6"/>
  <c r="AO944" i="2"/>
  <c r="U75" i="4"/>
  <c r="R73" i="4"/>
  <c r="U72" i="4"/>
  <c r="R71" i="4"/>
  <c r="R70" i="4"/>
  <c r="S69" i="4"/>
  <c r="U69" i="4" s="1"/>
  <c r="U68" i="4"/>
  <c r="R67" i="4"/>
  <c r="U66" i="4"/>
  <c r="F934" i="3"/>
  <c r="F935" i="3"/>
  <c r="F936" i="3"/>
  <c r="CC916" i="2"/>
  <c r="CE916" i="2" s="1"/>
  <c r="BF916" i="2"/>
  <c r="BJ916" i="2" s="1"/>
  <c r="Q916" i="2"/>
  <c r="AO939" i="2"/>
  <c r="AH16" i="5"/>
  <c r="AI16" i="5"/>
  <c r="AI22" i="5"/>
  <c r="AI23" i="5"/>
  <c r="AI24" i="5"/>
  <c r="AI25" i="5"/>
  <c r="AI26" i="5"/>
  <c r="AI30" i="5"/>
  <c r="AI32" i="5"/>
  <c r="AI35" i="5"/>
  <c r="AI36" i="5"/>
  <c r="AG18" i="5"/>
  <c r="AF17" i="5"/>
  <c r="AF18" i="5"/>
  <c r="AF19" i="5"/>
  <c r="AG17" i="5"/>
  <c r="AG15" i="5"/>
  <c r="AG19" i="5"/>
  <c r="AG14" i="5"/>
  <c r="AG9" i="5"/>
  <c r="AG10" i="5"/>
  <c r="AF6" i="5"/>
  <c r="AG6" i="5" s="1"/>
  <c r="AF7" i="5"/>
  <c r="AG7" i="5" s="1"/>
  <c r="AF8" i="5"/>
  <c r="AG8" i="5" s="1"/>
  <c r="AF9" i="5"/>
  <c r="AF10" i="5"/>
  <c r="AF11" i="5"/>
  <c r="AG11" i="5" s="1"/>
  <c r="AF12" i="5"/>
  <c r="AG12" i="5" s="1"/>
  <c r="AF13" i="5"/>
  <c r="AG13" i="5" s="1"/>
  <c r="AF14" i="5"/>
  <c r="AF15" i="5"/>
  <c r="AF16" i="5"/>
  <c r="AG16" i="5" s="1"/>
  <c r="AF20" i="5"/>
  <c r="AG20" i="5" s="1"/>
  <c r="AF21" i="5"/>
  <c r="AG21" i="5" s="1"/>
  <c r="AF22" i="5"/>
  <c r="AG22" i="5" s="1"/>
  <c r="AF23" i="5"/>
  <c r="AG23" i="5" s="1"/>
  <c r="AF33" i="5"/>
  <c r="AG33" i="5" s="1"/>
  <c r="AF24" i="5"/>
  <c r="AG24" i="5" s="1"/>
  <c r="P19" i="5"/>
  <c r="O19" i="5"/>
  <c r="CC161" i="2"/>
  <c r="CE161" i="2" s="1"/>
  <c r="V21" i="5"/>
  <c r="AI21" i="5" s="1"/>
  <c r="P21" i="5"/>
  <c r="O21" i="5"/>
  <c r="AC21" i="5"/>
  <c r="AB21" i="5"/>
  <c r="Q19" i="5"/>
  <c r="Q18" i="5"/>
  <c r="Q17" i="5"/>
  <c r="O20" i="5"/>
  <c r="P20" i="5"/>
  <c r="V20" i="5"/>
  <c r="AI20" i="5" s="1"/>
  <c r="V19" i="5"/>
  <c r="AF25" i="5"/>
  <c r="AG25" i="5" s="1"/>
  <c r="AF26" i="5"/>
  <c r="AG26" i="5" s="1"/>
  <c r="AF28" i="5"/>
  <c r="AG28" i="5" s="1"/>
  <c r="AF30" i="5"/>
  <c r="AG30" i="5" s="1"/>
  <c r="AF31" i="5"/>
  <c r="AG31" i="5" s="1"/>
  <c r="AC10" i="5"/>
  <c r="AC8" i="5"/>
  <c r="AC9" i="5"/>
  <c r="AC14" i="5"/>
  <c r="AC19" i="5"/>
  <c r="AC20" i="5"/>
  <c r="AC17" i="5"/>
  <c r="AC18" i="5"/>
  <c r="AB20" i="5"/>
  <c r="AB18" i="5"/>
  <c r="AB19" i="5"/>
  <c r="AB16" i="5"/>
  <c r="AB17" i="5"/>
  <c r="AB13" i="5"/>
  <c r="AB14" i="5"/>
  <c r="AB15" i="5"/>
  <c r="AB12" i="5"/>
  <c r="AB10" i="5"/>
  <c r="AB11" i="5"/>
  <c r="AB8" i="5"/>
  <c r="AB9" i="5"/>
  <c r="AB7" i="5"/>
  <c r="AB6" i="5"/>
  <c r="AB47" i="6"/>
  <c r="AA47" i="6"/>
  <c r="X47" i="6"/>
  <c r="AA46" i="6"/>
  <c r="AB46" i="6"/>
  <c r="W46" i="6"/>
  <c r="X46" i="6"/>
  <c r="V18" i="5"/>
  <c r="P18" i="5"/>
  <c r="O18" i="5"/>
  <c r="V17" i="5"/>
  <c r="P17" i="5"/>
  <c r="O17" i="5"/>
  <c r="AE63" i="4"/>
  <c r="S63" i="4"/>
  <c r="U63" i="4" s="1"/>
  <c r="R62" i="4"/>
  <c r="U61" i="4"/>
  <c r="U60" i="4"/>
  <c r="U59" i="4"/>
  <c r="U58" i="4"/>
  <c r="U57" i="4"/>
  <c r="Q911" i="2"/>
  <c r="AO911" i="2"/>
  <c r="BF911" i="2"/>
  <c r="BJ911" i="2" s="1"/>
  <c r="CC911" i="2"/>
  <c r="CE911" i="2" s="1"/>
  <c r="AO907" i="2"/>
  <c r="Q15" i="5"/>
  <c r="Q16" i="5"/>
  <c r="Q14" i="5"/>
  <c r="P16" i="5"/>
  <c r="P15" i="5"/>
  <c r="P14" i="5"/>
  <c r="O15" i="5"/>
  <c r="O16" i="5"/>
  <c r="O14" i="5"/>
  <c r="AB37" i="6"/>
  <c r="AA37" i="6"/>
  <c r="AI8" i="5"/>
  <c r="AI9" i="5"/>
  <c r="AI10" i="5"/>
  <c r="AH8" i="5"/>
  <c r="AH9" i="5"/>
  <c r="AH10" i="5"/>
  <c r="V15" i="5"/>
  <c r="AC15" i="5"/>
  <c r="X15" i="5"/>
  <c r="Y15" i="5"/>
  <c r="AA35" i="6"/>
  <c r="P35" i="6"/>
  <c r="U56" i="4"/>
  <c r="R55" i="4"/>
  <c r="U53" i="4"/>
  <c r="U51" i="4"/>
  <c r="R50" i="4"/>
  <c r="U49" i="4"/>
  <c r="S48" i="4"/>
  <c r="U47" i="4"/>
  <c r="AH47" i="4" s="1"/>
  <c r="F893" i="3"/>
  <c r="BI616" i="2" l="1"/>
  <c r="BI612" i="2"/>
  <c r="BI604" i="2"/>
  <c r="BI470" i="2"/>
  <c r="BI467" i="2"/>
  <c r="BI307" i="2"/>
  <c r="BI226" i="2"/>
  <c r="BI190" i="2"/>
  <c r="BI182" i="2"/>
  <c r="BI321" i="2"/>
  <c r="BI255" i="2"/>
  <c r="BI251" i="2"/>
  <c r="CH409" i="2"/>
  <c r="CI409" i="2" s="1"/>
  <c r="BI299" i="2"/>
  <c r="BI649" i="2"/>
  <c r="CM599" i="2"/>
  <c r="BI462" i="2"/>
  <c r="BI599" i="2"/>
  <c r="CH593" i="2"/>
  <c r="CI593" i="2" s="1"/>
  <c r="BI442" i="2"/>
  <c r="BI440" i="2"/>
  <c r="BJ700" i="2"/>
  <c r="CM700" i="2" s="1"/>
  <c r="BI538" i="2"/>
  <c r="CM532" i="2"/>
  <c r="CH318" i="2"/>
  <c r="CI318" i="2" s="1"/>
  <c r="BI290" i="2"/>
  <c r="BI286" i="2"/>
  <c r="BI283" i="2"/>
  <c r="CM454" i="2"/>
  <c r="CH454" i="2"/>
  <c r="CI454" i="2" s="1"/>
  <c r="BI608" i="2"/>
  <c r="CG608" i="2" s="1"/>
  <c r="CJ608" i="2" s="1"/>
  <c r="BI466" i="2"/>
  <c r="CG466" i="2" s="1"/>
  <c r="CJ466" i="2" s="1"/>
  <c r="BI463" i="2"/>
  <c r="BI322" i="2"/>
  <c r="BI624" i="2"/>
  <c r="CG500" i="2"/>
  <c r="CJ500" i="2" s="1"/>
  <c r="BI484" i="2"/>
  <c r="BI454" i="2"/>
  <c r="BI363" i="2"/>
  <c r="BI362" i="2"/>
  <c r="BI280" i="2"/>
  <c r="BI276" i="2"/>
  <c r="BI200" i="2"/>
  <c r="BI594" i="2"/>
  <c r="BI330" i="2"/>
  <c r="BI328" i="2"/>
  <c r="BI681" i="2"/>
  <c r="BI541" i="2"/>
  <c r="CG541" i="2" s="1"/>
  <c r="CJ541" i="2" s="1"/>
  <c r="BI406" i="2"/>
  <c r="BI295" i="2"/>
  <c r="CH218" i="2"/>
  <c r="CI218" i="2" s="1"/>
  <c r="BI553" i="2"/>
  <c r="BI493" i="2"/>
  <c r="CG493" i="2" s="1"/>
  <c r="CJ493" i="2" s="1"/>
  <c r="BI415" i="2"/>
  <c r="CG415" i="2" s="1"/>
  <c r="CJ415" i="2" s="1"/>
  <c r="CH394" i="2"/>
  <c r="CI394" i="2" s="1"/>
  <c r="CM283" i="2"/>
  <c r="CH283" i="2"/>
  <c r="CI283" i="2" s="1"/>
  <c r="CM447" i="2"/>
  <c r="CH447" i="2"/>
  <c r="CI447" i="2" s="1"/>
  <c r="BI496" i="2"/>
  <c r="CG496" i="2" s="1"/>
  <c r="CJ496" i="2" s="1"/>
  <c r="BI659" i="2"/>
  <c r="CG659" i="2" s="1"/>
  <c r="CJ659" i="2" s="1"/>
  <c r="BI658" i="2"/>
  <c r="BI508" i="2"/>
  <c r="BI487" i="2"/>
  <c r="BI485" i="2"/>
  <c r="CG485" i="2" s="1"/>
  <c r="CJ485" i="2" s="1"/>
  <c r="BI427" i="2"/>
  <c r="BI420" i="2"/>
  <c r="BI371" i="2"/>
  <c r="BI355" i="2"/>
  <c r="CG355" i="2" s="1"/>
  <c r="CJ355" i="2" s="1"/>
  <c r="BI315" i="2"/>
  <c r="BI301" i="2"/>
  <c r="BI300" i="2"/>
  <c r="CG300" i="2" s="1"/>
  <c r="CJ300" i="2" s="1"/>
  <c r="BJ255" i="2"/>
  <c r="BI217" i="2"/>
  <c r="BI665" i="2"/>
  <c r="BI655" i="2"/>
  <c r="BI653" i="2"/>
  <c r="BI695" i="2"/>
  <c r="BI691" i="2"/>
  <c r="CG691" i="2" s="1"/>
  <c r="CJ691" i="2" s="1"/>
  <c r="BI690" i="2"/>
  <c r="BI688" i="2"/>
  <c r="BI617" i="2"/>
  <c r="BI596" i="2"/>
  <c r="BI591" i="2"/>
  <c r="BI590" i="2"/>
  <c r="BI550" i="2"/>
  <c r="BI549" i="2"/>
  <c r="BI525" i="2"/>
  <c r="CG525" i="2" s="1"/>
  <c r="CJ525" i="2" s="1"/>
  <c r="BI518" i="2"/>
  <c r="BI501" i="2"/>
  <c r="BJ493" i="2"/>
  <c r="CH493" i="2" s="1"/>
  <c r="CI493" i="2" s="1"/>
  <c r="BI447" i="2"/>
  <c r="CH436" i="2"/>
  <c r="CI436" i="2" s="1"/>
  <c r="BI405" i="2"/>
  <c r="BI387" i="2"/>
  <c r="BI386" i="2"/>
  <c r="BI366" i="2"/>
  <c r="CG366" i="2" s="1"/>
  <c r="CJ366" i="2" s="1"/>
  <c r="BI187" i="2"/>
  <c r="BI685" i="2"/>
  <c r="CH682" i="2"/>
  <c r="CI682" i="2" s="1"/>
  <c r="BI647" i="2"/>
  <c r="BI646" i="2"/>
  <c r="BI645" i="2"/>
  <c r="CG645" i="2" s="1"/>
  <c r="CJ645" i="2" s="1"/>
  <c r="BJ608" i="2"/>
  <c r="BI566" i="2"/>
  <c r="BJ500" i="2"/>
  <c r="CH500" i="2" s="1"/>
  <c r="CI500" i="2" s="1"/>
  <c r="BI479" i="2"/>
  <c r="BJ466" i="2"/>
  <c r="BI408" i="2"/>
  <c r="CG408" i="2" s="1"/>
  <c r="CJ408" i="2" s="1"/>
  <c r="BJ344" i="2"/>
  <c r="CM344" i="2" s="1"/>
  <c r="BI310" i="2"/>
  <c r="BI234" i="2"/>
  <c r="CG234" i="2" s="1"/>
  <c r="CJ234" i="2" s="1"/>
  <c r="BI233" i="2"/>
  <c r="BI232" i="2"/>
  <c r="BI227" i="2"/>
  <c r="BJ210" i="2"/>
  <c r="CH210" i="2" s="1"/>
  <c r="CI210" i="2" s="1"/>
  <c r="BI629" i="2"/>
  <c r="BI515" i="2"/>
  <c r="BJ477" i="2"/>
  <c r="CM477" i="2" s="1"/>
  <c r="BI401" i="2"/>
  <c r="BI267" i="2"/>
  <c r="CG267" i="2" s="1"/>
  <c r="CJ267" i="2" s="1"/>
  <c r="BI180" i="2"/>
  <c r="BI533" i="2"/>
  <c r="BI512" i="2"/>
  <c r="BI510" i="2"/>
  <c r="CG510" i="2" s="1"/>
  <c r="CJ510" i="2" s="1"/>
  <c r="CM496" i="2"/>
  <c r="CH444" i="2"/>
  <c r="CI444" i="2" s="1"/>
  <c r="BI444" i="2"/>
  <c r="CG444" i="2" s="1"/>
  <c r="CJ444" i="2" s="1"/>
  <c r="CG290" i="2"/>
  <c r="CJ290" i="2" s="1"/>
  <c r="BI627" i="2"/>
  <c r="BI626" i="2"/>
  <c r="BI581" i="2"/>
  <c r="BI544" i="2"/>
  <c r="CG544" i="2" s="1"/>
  <c r="CJ544" i="2" s="1"/>
  <c r="BI542" i="2"/>
  <c r="CG542" i="2" s="1"/>
  <c r="CJ542" i="2" s="1"/>
  <c r="BI534" i="2"/>
  <c r="BI460" i="2"/>
  <c r="BI397" i="2"/>
  <c r="BI336" i="2"/>
  <c r="BI324" i="2"/>
  <c r="BJ322" i="2"/>
  <c r="CM322" i="2" s="1"/>
  <c r="BJ276" i="2"/>
  <c r="CM276" i="2" s="1"/>
  <c r="BI264" i="2"/>
  <c r="BI261" i="2"/>
  <c r="BI259" i="2"/>
  <c r="BI206" i="2"/>
  <c r="BI201" i="2"/>
  <c r="CH514" i="2"/>
  <c r="CI514" i="2" s="1"/>
  <c r="CM514" i="2"/>
  <c r="CM470" i="2"/>
  <c r="CH470" i="2"/>
  <c r="CI470" i="2" s="1"/>
  <c r="CM375" i="2"/>
  <c r="CH375" i="2"/>
  <c r="CI375" i="2" s="1"/>
  <c r="CM642" i="2"/>
  <c r="CH642" i="2"/>
  <c r="CI642" i="2" s="1"/>
  <c r="CM441" i="2"/>
  <c r="CH441" i="2"/>
  <c r="CI441" i="2" s="1"/>
  <c r="CK559" i="2"/>
  <c r="CM435" i="2"/>
  <c r="CH435" i="2"/>
  <c r="CI435" i="2" s="1"/>
  <c r="CM580" i="2"/>
  <c r="CH580" i="2"/>
  <c r="CI580" i="2" s="1"/>
  <c r="CG533" i="2"/>
  <c r="CJ533" i="2" s="1"/>
  <c r="CM683" i="2"/>
  <c r="CM643" i="2"/>
  <c r="CH559" i="2"/>
  <c r="CI559" i="2" s="1"/>
  <c r="BI413" i="2"/>
  <c r="BI412" i="2"/>
  <c r="BI398" i="2"/>
  <c r="CH359" i="2"/>
  <c r="CI359" i="2" s="1"/>
  <c r="BJ355" i="2"/>
  <c r="CM355" i="2" s="1"/>
  <c r="BI323" i="2"/>
  <c r="BI663" i="2"/>
  <c r="BJ590" i="2"/>
  <c r="BI572" i="2"/>
  <c r="BJ547" i="2"/>
  <c r="CH547" i="2" s="1"/>
  <c r="CI547" i="2" s="1"/>
  <c r="BI543" i="2"/>
  <c r="BI536" i="2"/>
  <c r="BI526" i="2"/>
  <c r="CG526" i="2" s="1"/>
  <c r="CJ526" i="2" s="1"/>
  <c r="CM525" i="2"/>
  <c r="BJ463" i="2"/>
  <c r="CG462" i="2"/>
  <c r="CJ462" i="2" s="1"/>
  <c r="BI449" i="2"/>
  <c r="BI431" i="2"/>
  <c r="CG431" i="2" s="1"/>
  <c r="CJ431" i="2" s="1"/>
  <c r="BI383" i="2"/>
  <c r="BI373" i="2"/>
  <c r="BI343" i="2"/>
  <c r="CG330" i="2"/>
  <c r="CJ330" i="2" s="1"/>
  <c r="BJ328" i="2"/>
  <c r="CM328" i="2" s="1"/>
  <c r="BI319" i="2"/>
  <c r="BI273" i="2"/>
  <c r="BI244" i="2"/>
  <c r="CG244" i="2" s="1"/>
  <c r="CJ244" i="2" s="1"/>
  <c r="BI235" i="2"/>
  <c r="CH192" i="2"/>
  <c r="CI192" i="2" s="1"/>
  <c r="BI179" i="2"/>
  <c r="CG371" i="2"/>
  <c r="CJ371" i="2" s="1"/>
  <c r="CG534" i="2"/>
  <c r="CJ534" i="2" s="1"/>
  <c r="CG420" i="2"/>
  <c r="CJ420" i="2" s="1"/>
  <c r="Q20" i="5"/>
  <c r="BJ688" i="2"/>
  <c r="CM681" i="2"/>
  <c r="BI651" i="2"/>
  <c r="CG651" i="2" s="1"/>
  <c r="CJ651" i="2" s="1"/>
  <c r="BI622" i="2"/>
  <c r="BI621" i="2"/>
  <c r="CG621" i="2" s="1"/>
  <c r="CJ621" i="2" s="1"/>
  <c r="BI615" i="2"/>
  <c r="CM610" i="2"/>
  <c r="BI597" i="2"/>
  <c r="CG597" i="2" s="1"/>
  <c r="CJ597" i="2" s="1"/>
  <c r="BJ596" i="2"/>
  <c r="CM596" i="2" s="1"/>
  <c r="BI562" i="2"/>
  <c r="BI559" i="2"/>
  <c r="CG559" i="2" s="1"/>
  <c r="CJ559" i="2" s="1"/>
  <c r="BI558" i="2"/>
  <c r="CG454" i="2"/>
  <c r="CJ454" i="2" s="1"/>
  <c r="BI436" i="2"/>
  <c r="BI428" i="2"/>
  <c r="BI409" i="2"/>
  <c r="BI369" i="2"/>
  <c r="BI357" i="2"/>
  <c r="CM356" i="2"/>
  <c r="BI351" i="2"/>
  <c r="BI342" i="2"/>
  <c r="CG342" i="2" s="1"/>
  <c r="CJ342" i="2" s="1"/>
  <c r="BI318" i="2"/>
  <c r="CG318" i="2" s="1"/>
  <c r="CJ318" i="2" s="1"/>
  <c r="BI298" i="2"/>
  <c r="CM275" i="2"/>
  <c r="BI268" i="2"/>
  <c r="BI258" i="2"/>
  <c r="BI257" i="2"/>
  <c r="BI243" i="2"/>
  <c r="CG243" i="2" s="1"/>
  <c r="CJ243" i="2" s="1"/>
  <c r="BI231" i="2"/>
  <c r="CG231" i="2" s="1"/>
  <c r="CJ231" i="2" s="1"/>
  <c r="BJ200" i="2"/>
  <c r="CH200" i="2" s="1"/>
  <c r="CI200" i="2" s="1"/>
  <c r="BI178" i="2"/>
  <c r="BI177" i="2"/>
  <c r="BI176" i="2"/>
  <c r="BI682" i="2"/>
  <c r="BI642" i="2"/>
  <c r="BI640" i="2"/>
  <c r="BI639" i="2"/>
  <c r="CG639" i="2" s="1"/>
  <c r="CJ639" i="2" s="1"/>
  <c r="BI637" i="2"/>
  <c r="BI636" i="2"/>
  <c r="BI602" i="2"/>
  <c r="CG596" i="2"/>
  <c r="CJ596" i="2" s="1"/>
  <c r="BI588" i="2"/>
  <c r="BI580" i="2"/>
  <c r="BI579" i="2"/>
  <c r="BI563" i="2"/>
  <c r="CG563" i="2" s="1"/>
  <c r="CJ563" i="2" s="1"/>
  <c r="BI517" i="2"/>
  <c r="CM427" i="2"/>
  <c r="BI379" i="2"/>
  <c r="CM349" i="2"/>
  <c r="BI338" i="2"/>
  <c r="CG338" i="2" s="1"/>
  <c r="CJ338" i="2" s="1"/>
  <c r="BI308" i="2"/>
  <c r="BI296" i="2"/>
  <c r="CG296" i="2" s="1"/>
  <c r="CJ296" i="2" s="1"/>
  <c r="BI293" i="2"/>
  <c r="BI198" i="2"/>
  <c r="BJ646" i="2"/>
  <c r="CM646" i="2" s="1"/>
  <c r="BI586" i="2"/>
  <c r="CG586" i="2" s="1"/>
  <c r="CJ586" i="2" s="1"/>
  <c r="BJ544" i="2"/>
  <c r="CH544" i="2" s="1"/>
  <c r="CI544" i="2" s="1"/>
  <c r="BI391" i="2"/>
  <c r="BI332" i="2"/>
  <c r="CG332" i="2" s="1"/>
  <c r="CJ332" i="2" s="1"/>
  <c r="BI326" i="2"/>
  <c r="BI311" i="2"/>
  <c r="CG311" i="2" s="1"/>
  <c r="CJ311" i="2" s="1"/>
  <c r="BI289" i="2"/>
  <c r="BI252" i="2"/>
  <c r="BJ187" i="2"/>
  <c r="AK112" i="4"/>
  <c r="AG112" i="4" s="1"/>
  <c r="BJ979" i="2"/>
  <c r="CM979" i="2" s="1"/>
  <c r="BI674" i="2"/>
  <c r="CG674" i="2" s="1"/>
  <c r="CJ674" i="2" s="1"/>
  <c r="BI673" i="2"/>
  <c r="BI672" i="2"/>
  <c r="BI633" i="2"/>
  <c r="BI610" i="2"/>
  <c r="BI600" i="2"/>
  <c r="BJ591" i="2"/>
  <c r="CM591" i="2" s="1"/>
  <c r="CH585" i="2"/>
  <c r="CI585" i="2" s="1"/>
  <c r="BI575" i="2"/>
  <c r="BI561" i="2"/>
  <c r="BI540" i="2"/>
  <c r="BI530" i="2"/>
  <c r="BI529" i="2"/>
  <c r="CG529" i="2" s="1"/>
  <c r="CJ529" i="2" s="1"/>
  <c r="BI506" i="2"/>
  <c r="CG506" i="2" s="1"/>
  <c r="CJ506" i="2" s="1"/>
  <c r="BI497" i="2"/>
  <c r="CG497" i="2" s="1"/>
  <c r="CJ497" i="2" s="1"/>
  <c r="CK496" i="2"/>
  <c r="BI465" i="2"/>
  <c r="BI452" i="2"/>
  <c r="BJ403" i="2"/>
  <c r="CM403" i="2" s="1"/>
  <c r="BI394" i="2"/>
  <c r="BI392" i="2"/>
  <c r="BI349" i="2"/>
  <c r="CG349" i="2" s="1"/>
  <c r="CJ349" i="2" s="1"/>
  <c r="BI329" i="2"/>
  <c r="CH310" i="2"/>
  <c r="CI310" i="2" s="1"/>
  <c r="BI291" i="2"/>
  <c r="BI287" i="2"/>
  <c r="BI279" i="2"/>
  <c r="BI275" i="2"/>
  <c r="CG275" i="2" s="1"/>
  <c r="CJ275" i="2" s="1"/>
  <c r="CH273" i="2"/>
  <c r="CI273" i="2" s="1"/>
  <c r="CG261" i="2"/>
  <c r="CJ261" i="2" s="1"/>
  <c r="CH260" i="2"/>
  <c r="CI260" i="2" s="1"/>
  <c r="BJ207" i="2"/>
  <c r="CH207" i="2" s="1"/>
  <c r="CI207" i="2" s="1"/>
  <c r="BI172" i="2"/>
  <c r="CM697" i="2"/>
  <c r="CH697" i="2"/>
  <c r="CI697" i="2" s="1"/>
  <c r="BI699" i="2"/>
  <c r="CG699" i="2" s="1"/>
  <c r="CJ699" i="2" s="1"/>
  <c r="BI698" i="2"/>
  <c r="BI687" i="2"/>
  <c r="BI664" i="2"/>
  <c r="CK432" i="2"/>
  <c r="BI697" i="2"/>
  <c r="BI696" i="2"/>
  <c r="BI670" i="2"/>
  <c r="CG670" i="2" s="1"/>
  <c r="CJ670" i="2" s="1"/>
  <c r="BI669" i="2"/>
  <c r="BI668" i="2"/>
  <c r="CM657" i="2"/>
  <c r="CK649" i="2"/>
  <c r="CG649" i="2"/>
  <c r="CJ649" i="2" s="1"/>
  <c r="CG643" i="2"/>
  <c r="CJ643" i="2" s="1"/>
  <c r="CK643" i="2"/>
  <c r="CH530" i="2"/>
  <c r="CI530" i="2" s="1"/>
  <c r="CM530" i="2"/>
  <c r="CK689" i="2"/>
  <c r="BI650" i="2"/>
  <c r="BJ650" i="2"/>
  <c r="CK624" i="2"/>
  <c r="CG624" i="2"/>
  <c r="CJ624" i="2" s="1"/>
  <c r="BI667" i="2"/>
  <c r="CG667" i="2" s="1"/>
  <c r="CJ667" i="2" s="1"/>
  <c r="BI662" i="2"/>
  <c r="CG662" i="2" s="1"/>
  <c r="CJ662" i="2" s="1"/>
  <c r="BJ662" i="2"/>
  <c r="BI625" i="2"/>
  <c r="CG625" i="2" s="1"/>
  <c r="CJ625" i="2" s="1"/>
  <c r="BJ625" i="2"/>
  <c r="BI605" i="2"/>
  <c r="CG605" i="2" s="1"/>
  <c r="CJ605" i="2" s="1"/>
  <c r="BJ605" i="2"/>
  <c r="CM567" i="2"/>
  <c r="CH567" i="2"/>
  <c r="CI567" i="2" s="1"/>
  <c r="CH526" i="2"/>
  <c r="CI526" i="2" s="1"/>
  <c r="CM526" i="2"/>
  <c r="CG979" i="2"/>
  <c r="CJ979" i="2" s="1"/>
  <c r="CK654" i="2"/>
  <c r="CK565" i="2"/>
  <c r="CH537" i="2"/>
  <c r="CI537" i="2" s="1"/>
  <c r="CM537" i="2"/>
  <c r="CM462" i="2"/>
  <c r="CH462" i="2"/>
  <c r="CI462" i="2" s="1"/>
  <c r="CK423" i="2"/>
  <c r="BI689" i="2"/>
  <c r="CG689" i="2" s="1"/>
  <c r="CJ689" i="2" s="1"/>
  <c r="BI684" i="2"/>
  <c r="CG684" i="2" s="1"/>
  <c r="CJ684" i="2" s="1"/>
  <c r="CH664" i="2"/>
  <c r="CI664" i="2" s="1"/>
  <c r="BJ656" i="2"/>
  <c r="BI656" i="2"/>
  <c r="CG656" i="2" s="1"/>
  <c r="CJ656" i="2" s="1"/>
  <c r="BI638" i="2"/>
  <c r="BJ638" i="2"/>
  <c r="CM638" i="2" s="1"/>
  <c r="CM616" i="2"/>
  <c r="CH616" i="2"/>
  <c r="CI616" i="2" s="1"/>
  <c r="CH613" i="2"/>
  <c r="CI613" i="2" s="1"/>
  <c r="CM613" i="2"/>
  <c r="CG612" i="2"/>
  <c r="CJ612" i="2" s="1"/>
  <c r="CH521" i="2"/>
  <c r="CI521" i="2" s="1"/>
  <c r="CM521" i="2"/>
  <c r="CH510" i="2"/>
  <c r="CI510" i="2" s="1"/>
  <c r="CM510" i="2"/>
  <c r="CG700" i="2"/>
  <c r="CJ700" i="2" s="1"/>
  <c r="BI680" i="2"/>
  <c r="BI679" i="2"/>
  <c r="BI654" i="2"/>
  <c r="CG654" i="2" s="1"/>
  <c r="CJ654" i="2" s="1"/>
  <c r="CH621" i="2"/>
  <c r="CI621" i="2" s="1"/>
  <c r="CM621" i="2"/>
  <c r="CG549" i="2"/>
  <c r="CJ549" i="2" s="1"/>
  <c r="CH438" i="2"/>
  <c r="CI438" i="2" s="1"/>
  <c r="CM438" i="2"/>
  <c r="CM433" i="2"/>
  <c r="CH433" i="2"/>
  <c r="CI433" i="2" s="1"/>
  <c r="BI417" i="2"/>
  <c r="CG417" i="2" s="1"/>
  <c r="CJ417" i="2" s="1"/>
  <c r="CK415" i="2"/>
  <c r="BI395" i="2"/>
  <c r="CG395" i="2" s="1"/>
  <c r="CJ395" i="2" s="1"/>
  <c r="BJ395" i="2"/>
  <c r="CK377" i="2"/>
  <c r="CM371" i="2"/>
  <c r="CH371" i="2"/>
  <c r="CI371" i="2" s="1"/>
  <c r="BI370" i="2"/>
  <c r="CG370" i="2" s="1"/>
  <c r="CJ370" i="2" s="1"/>
  <c r="BJ370" i="2"/>
  <c r="BJ331" i="2"/>
  <c r="BI331" i="2"/>
  <c r="BJ325" i="2"/>
  <c r="BI325" i="2"/>
  <c r="CG325" i="2" s="1"/>
  <c r="CJ325" i="2" s="1"/>
  <c r="CK300" i="2"/>
  <c r="CM186" i="2"/>
  <c r="CH186" i="2"/>
  <c r="CI186" i="2" s="1"/>
  <c r="BI548" i="2"/>
  <c r="BI511" i="2"/>
  <c r="CG511" i="2" s="1"/>
  <c r="CJ511" i="2" s="1"/>
  <c r="BI459" i="2"/>
  <c r="BI425" i="2"/>
  <c r="BI416" i="2"/>
  <c r="CG416" i="2" s="1"/>
  <c r="CJ416" i="2" s="1"/>
  <c r="BJ416" i="2"/>
  <c r="CM378" i="2"/>
  <c r="CH378" i="2"/>
  <c r="CI378" i="2" s="1"/>
  <c r="BJ302" i="2"/>
  <c r="BI302" i="2"/>
  <c r="CG302" i="2" s="1"/>
  <c r="CJ302" i="2" s="1"/>
  <c r="CK284" i="2"/>
  <c r="BJ238" i="2"/>
  <c r="BI238" i="2"/>
  <c r="CG238" i="2" s="1"/>
  <c r="CJ238" i="2" s="1"/>
  <c r="CM195" i="2"/>
  <c r="CH195" i="2"/>
  <c r="CI195" i="2" s="1"/>
  <c r="BI185" i="2"/>
  <c r="CG616" i="2"/>
  <c r="CJ616" i="2" s="1"/>
  <c r="BI595" i="2"/>
  <c r="BI565" i="2"/>
  <c r="CG565" i="2" s="1"/>
  <c r="CJ565" i="2" s="1"/>
  <c r="BI557" i="2"/>
  <c r="CG557" i="2" s="1"/>
  <c r="CJ557" i="2" s="1"/>
  <c r="BI532" i="2"/>
  <c r="BI519" i="2"/>
  <c r="CG519" i="2" s="1"/>
  <c r="CJ519" i="2" s="1"/>
  <c r="CG501" i="2"/>
  <c r="CJ501" i="2" s="1"/>
  <c r="BI468" i="2"/>
  <c r="CK444" i="2"/>
  <c r="CK431" i="2"/>
  <c r="BI424" i="2"/>
  <c r="CG424" i="2" s="1"/>
  <c r="CJ424" i="2" s="1"/>
  <c r="BJ424" i="2"/>
  <c r="CK393" i="2"/>
  <c r="CH340" i="2"/>
  <c r="CI340" i="2" s="1"/>
  <c r="CK297" i="2"/>
  <c r="CM219" i="2"/>
  <c r="CH219" i="2"/>
  <c r="CI219" i="2" s="1"/>
  <c r="BI195" i="2"/>
  <c r="CK193" i="2"/>
  <c r="BI693" i="2"/>
  <c r="CG693" i="2" s="1"/>
  <c r="CJ693" i="2" s="1"/>
  <c r="BI692" i="2"/>
  <c r="CG692" i="2" s="1"/>
  <c r="CJ692" i="2" s="1"/>
  <c r="BI683" i="2"/>
  <c r="CG683" i="2" s="1"/>
  <c r="CJ683" i="2" s="1"/>
  <c r="BI677" i="2"/>
  <c r="CG677" i="2" s="1"/>
  <c r="CJ677" i="2" s="1"/>
  <c r="BI676" i="2"/>
  <c r="CG676" i="2" s="1"/>
  <c r="CJ676" i="2" s="1"/>
  <c r="BI661" i="2"/>
  <c r="BI660" i="2"/>
  <c r="CG660" i="2" s="1"/>
  <c r="CJ660" i="2" s="1"/>
  <c r="BI652" i="2"/>
  <c r="CG652" i="2" s="1"/>
  <c r="CJ652" i="2" s="1"/>
  <c r="BI644" i="2"/>
  <c r="CG644" i="2" s="1"/>
  <c r="CJ644" i="2" s="1"/>
  <c r="BI628" i="2"/>
  <c r="CG628" i="2" s="1"/>
  <c r="CJ628" i="2" s="1"/>
  <c r="BI620" i="2"/>
  <c r="CH619" i="2"/>
  <c r="CI619" i="2" s="1"/>
  <c r="BI611" i="2"/>
  <c r="CG611" i="2" s="1"/>
  <c r="CJ611" i="2" s="1"/>
  <c r="CH566" i="2"/>
  <c r="CI566" i="2" s="1"/>
  <c r="BI564" i="2"/>
  <c r="CM563" i="2"/>
  <c r="BI556" i="2"/>
  <c r="BI554" i="2"/>
  <c r="CG554" i="2" s="1"/>
  <c r="CJ554" i="2" s="1"/>
  <c r="BI551" i="2"/>
  <c r="CG551" i="2" s="1"/>
  <c r="CJ551" i="2" s="1"/>
  <c r="CG538" i="2"/>
  <c r="CJ538" i="2" s="1"/>
  <c r="BI531" i="2"/>
  <c r="BI527" i="2"/>
  <c r="CG527" i="2" s="1"/>
  <c r="CJ527" i="2" s="1"/>
  <c r="BI523" i="2"/>
  <c r="BI514" i="2"/>
  <c r="CG514" i="2" s="1"/>
  <c r="CJ514" i="2" s="1"/>
  <c r="CH509" i="2"/>
  <c r="CI509" i="2" s="1"/>
  <c r="BI507" i="2"/>
  <c r="CG507" i="2" s="1"/>
  <c r="CJ507" i="2" s="1"/>
  <c r="CM492" i="2"/>
  <c r="BI482" i="2"/>
  <c r="CG482" i="2" s="1"/>
  <c r="CJ482" i="2" s="1"/>
  <c r="BI448" i="2"/>
  <c r="CG448" i="2" s="1"/>
  <c r="CJ448" i="2" s="1"/>
  <c r="BI432" i="2"/>
  <c r="CG432" i="2" s="1"/>
  <c r="CJ432" i="2" s="1"/>
  <c r="BJ432" i="2"/>
  <c r="BI423" i="2"/>
  <c r="CG423" i="2" s="1"/>
  <c r="CJ423" i="2" s="1"/>
  <c r="BI421" i="2"/>
  <c r="CG401" i="2"/>
  <c r="CJ401" i="2" s="1"/>
  <c r="CK401" i="2"/>
  <c r="CM367" i="2"/>
  <c r="CH367" i="2"/>
  <c r="CI367" i="2" s="1"/>
  <c r="BJ350" i="2"/>
  <c r="BI350" i="2"/>
  <c r="CG350" i="2" s="1"/>
  <c r="CJ350" i="2" s="1"/>
  <c r="CK339" i="2"/>
  <c r="CM299" i="2"/>
  <c r="CH299" i="2"/>
  <c r="CI299" i="2" s="1"/>
  <c r="CG298" i="2"/>
  <c r="CJ298" i="2" s="1"/>
  <c r="BI256" i="2"/>
  <c r="BJ256" i="2"/>
  <c r="CM202" i="2"/>
  <c r="CH202" i="2"/>
  <c r="CI202" i="2" s="1"/>
  <c r="CG200" i="2"/>
  <c r="CJ200" i="2" s="1"/>
  <c r="CK200" i="2"/>
  <c r="BJ193" i="2"/>
  <c r="BI193" i="2"/>
  <c r="CG193" i="2" s="1"/>
  <c r="CJ193" i="2" s="1"/>
  <c r="BI675" i="2"/>
  <c r="CG675" i="2" s="1"/>
  <c r="CJ675" i="2" s="1"/>
  <c r="BI666" i="2"/>
  <c r="CG666" i="2" s="1"/>
  <c r="CJ666" i="2" s="1"/>
  <c r="BI657" i="2"/>
  <c r="CG657" i="2" s="1"/>
  <c r="CJ657" i="2" s="1"/>
  <c r="BI648" i="2"/>
  <c r="CG648" i="2" s="1"/>
  <c r="CJ648" i="2" s="1"/>
  <c r="BJ647" i="2"/>
  <c r="CM647" i="2" s="1"/>
  <c r="BJ633" i="2"/>
  <c r="BI623" i="2"/>
  <c r="CG623" i="2" s="1"/>
  <c r="CJ623" i="2" s="1"/>
  <c r="BJ622" i="2"/>
  <c r="CM622" i="2" s="1"/>
  <c r="CG610" i="2"/>
  <c r="CJ610" i="2" s="1"/>
  <c r="BI603" i="2"/>
  <c r="CG603" i="2" s="1"/>
  <c r="CJ603" i="2" s="1"/>
  <c r="CM601" i="2"/>
  <c r="BI570" i="2"/>
  <c r="CG570" i="2" s="1"/>
  <c r="CJ570" i="2" s="1"/>
  <c r="BI567" i="2"/>
  <c r="CG567" i="2" s="1"/>
  <c r="CJ567" i="2" s="1"/>
  <c r="BI555" i="2"/>
  <c r="CG553" i="2"/>
  <c r="CJ553" i="2" s="1"/>
  <c r="BJ550" i="2"/>
  <c r="BJ534" i="2"/>
  <c r="BJ487" i="2"/>
  <c r="BI458" i="2"/>
  <c r="CG458" i="2" s="1"/>
  <c r="CJ458" i="2" s="1"/>
  <c r="BJ411" i="2"/>
  <c r="CH411" i="2" s="1"/>
  <c r="CI411" i="2" s="1"/>
  <c r="BI411" i="2"/>
  <c r="CM402" i="2"/>
  <c r="CH402" i="2"/>
  <c r="CI402" i="2" s="1"/>
  <c r="CK361" i="2"/>
  <c r="BI339" i="2"/>
  <c r="CG339" i="2" s="1"/>
  <c r="CJ339" i="2" s="1"/>
  <c r="BJ339" i="2"/>
  <c r="CM315" i="2"/>
  <c r="CH315" i="2"/>
  <c r="CI315" i="2" s="1"/>
  <c r="CM295" i="2"/>
  <c r="CH295" i="2"/>
  <c r="CI295" i="2" s="1"/>
  <c r="CM271" i="2"/>
  <c r="CH271" i="2"/>
  <c r="CI271" i="2" s="1"/>
  <c r="CM227" i="2"/>
  <c r="CH227" i="2"/>
  <c r="CI227" i="2" s="1"/>
  <c r="CH211" i="2"/>
  <c r="CI211" i="2" s="1"/>
  <c r="BJ639" i="2"/>
  <c r="CM639" i="2" s="1"/>
  <c r="BI632" i="2"/>
  <c r="CG632" i="2" s="1"/>
  <c r="CJ632" i="2" s="1"/>
  <c r="BJ615" i="2"/>
  <c r="CH615" i="2" s="1"/>
  <c r="CI615" i="2" s="1"/>
  <c r="BI585" i="2"/>
  <c r="CG585" i="2" s="1"/>
  <c r="CJ585" i="2" s="1"/>
  <c r="CH581" i="2"/>
  <c r="CI581" i="2" s="1"/>
  <c r="BJ579" i="2"/>
  <c r="CG530" i="2"/>
  <c r="CJ530" i="2" s="1"/>
  <c r="BI522" i="2"/>
  <c r="CG522" i="2" s="1"/>
  <c r="CJ522" i="2" s="1"/>
  <c r="BJ517" i="2"/>
  <c r="CG512" i="2"/>
  <c r="CJ512" i="2" s="1"/>
  <c r="CM508" i="2"/>
  <c r="BI504" i="2"/>
  <c r="CG504" i="2" s="1"/>
  <c r="CJ504" i="2" s="1"/>
  <c r="BI492" i="2"/>
  <c r="CH479" i="2"/>
  <c r="CI479" i="2" s="1"/>
  <c r="BI476" i="2"/>
  <c r="BI457" i="2"/>
  <c r="BI451" i="2"/>
  <c r="BI429" i="2"/>
  <c r="BJ419" i="2"/>
  <c r="BI419" i="2"/>
  <c r="CG419" i="2" s="1"/>
  <c r="CJ419" i="2" s="1"/>
  <c r="CH417" i="2"/>
  <c r="CI417" i="2" s="1"/>
  <c r="CG409" i="2"/>
  <c r="CJ409" i="2" s="1"/>
  <c r="CK409" i="2"/>
  <c r="CG387" i="2"/>
  <c r="CJ387" i="2" s="1"/>
  <c r="CK385" i="2"/>
  <c r="CK334" i="2"/>
  <c r="BI271" i="2"/>
  <c r="CG271" i="2" s="1"/>
  <c r="CJ271" i="2" s="1"/>
  <c r="CG255" i="2"/>
  <c r="CJ255" i="2" s="1"/>
  <c r="BJ214" i="2"/>
  <c r="BI214" i="2"/>
  <c r="CG214" i="2" s="1"/>
  <c r="CJ214" i="2" s="1"/>
  <c r="CM179" i="2"/>
  <c r="CH179" i="2"/>
  <c r="CI179" i="2" s="1"/>
  <c r="BI630" i="2"/>
  <c r="CG600" i="2"/>
  <c r="CJ600" i="2" s="1"/>
  <c r="CG591" i="2"/>
  <c r="CJ591" i="2" s="1"/>
  <c r="CG579" i="2"/>
  <c r="CJ579" i="2" s="1"/>
  <c r="CG561" i="2"/>
  <c r="CJ561" i="2" s="1"/>
  <c r="BJ558" i="2"/>
  <c r="CK551" i="2"/>
  <c r="BI521" i="2"/>
  <c r="CG521" i="2" s="1"/>
  <c r="CJ521" i="2" s="1"/>
  <c r="CG517" i="2"/>
  <c r="CJ517" i="2" s="1"/>
  <c r="CG515" i="2"/>
  <c r="CJ515" i="2" s="1"/>
  <c r="CK511" i="2"/>
  <c r="BI509" i="2"/>
  <c r="CG509" i="2" s="1"/>
  <c r="CJ509" i="2" s="1"/>
  <c r="CH495" i="2"/>
  <c r="CI495" i="2" s="1"/>
  <c r="BJ489" i="2"/>
  <c r="BI480" i="2"/>
  <c r="BI456" i="2"/>
  <c r="CM446" i="2"/>
  <c r="BI430" i="2"/>
  <c r="CH425" i="2"/>
  <c r="CI425" i="2" s="1"/>
  <c r="CK346" i="2"/>
  <c r="CK345" i="2"/>
  <c r="BI335" i="2"/>
  <c r="CG335" i="2" s="1"/>
  <c r="CJ335" i="2" s="1"/>
  <c r="BJ335" i="2"/>
  <c r="BJ313" i="2"/>
  <c r="BI313" i="2"/>
  <c r="CK305" i="2"/>
  <c r="CG289" i="2"/>
  <c r="CJ289" i="2" s="1"/>
  <c r="CK289" i="2"/>
  <c r="CM267" i="2"/>
  <c r="CH267" i="2"/>
  <c r="CI267" i="2" s="1"/>
  <c r="CM252" i="2"/>
  <c r="CH252" i="2"/>
  <c r="CI252" i="2" s="1"/>
  <c r="CG658" i="2"/>
  <c r="CJ658" i="2" s="1"/>
  <c r="BI631" i="2"/>
  <c r="CG631" i="2" s="1"/>
  <c r="CJ631" i="2" s="1"/>
  <c r="BI619" i="2"/>
  <c r="BI609" i="2"/>
  <c r="CG609" i="2" s="1"/>
  <c r="CJ609" i="2" s="1"/>
  <c r="CH604" i="2"/>
  <c r="CI604" i="2" s="1"/>
  <c r="BJ597" i="2"/>
  <c r="CH596" i="2"/>
  <c r="CI596" i="2" s="1"/>
  <c r="BI589" i="2"/>
  <c r="CG589" i="2" s="1"/>
  <c r="CJ589" i="2" s="1"/>
  <c r="BI578" i="2"/>
  <c r="BI576" i="2"/>
  <c r="CG576" i="2" s="1"/>
  <c r="CJ576" i="2" s="1"/>
  <c r="BI569" i="2"/>
  <c r="CG569" i="2" s="1"/>
  <c r="CJ569" i="2" s="1"/>
  <c r="CH551" i="2"/>
  <c r="CI551" i="2" s="1"/>
  <c r="BJ549" i="2"/>
  <c r="CH549" i="2" s="1"/>
  <c r="CI549" i="2" s="1"/>
  <c r="CK544" i="2"/>
  <c r="BJ540" i="2"/>
  <c r="CG508" i="2"/>
  <c r="CJ508" i="2" s="1"/>
  <c r="BI503" i="2"/>
  <c r="CG503" i="2" s="1"/>
  <c r="CJ503" i="2" s="1"/>
  <c r="BI499" i="2"/>
  <c r="BJ485" i="2"/>
  <c r="CM485" i="2" s="1"/>
  <c r="BI475" i="2"/>
  <c r="BJ460" i="2"/>
  <c r="CM460" i="2" s="1"/>
  <c r="CH459" i="2"/>
  <c r="CI459" i="2" s="1"/>
  <c r="BI450" i="2"/>
  <c r="BI438" i="2"/>
  <c r="CG438" i="2" s="1"/>
  <c r="CJ438" i="2" s="1"/>
  <c r="BI433" i="2"/>
  <c r="CG433" i="2" s="1"/>
  <c r="CJ433" i="2" s="1"/>
  <c r="CG425" i="2"/>
  <c r="CJ425" i="2" s="1"/>
  <c r="CM408" i="2"/>
  <c r="CH408" i="2"/>
  <c r="CI408" i="2" s="1"/>
  <c r="CK407" i="2"/>
  <c r="CK395" i="2"/>
  <c r="BJ381" i="2"/>
  <c r="BI381" i="2"/>
  <c r="CG369" i="2"/>
  <c r="CJ369" i="2" s="1"/>
  <c r="CM347" i="2"/>
  <c r="CH347" i="2"/>
  <c r="CI347" i="2" s="1"/>
  <c r="CM332" i="2"/>
  <c r="CH332" i="2"/>
  <c r="CI332" i="2" s="1"/>
  <c r="BJ281" i="2"/>
  <c r="BI281" i="2"/>
  <c r="CG281" i="2" s="1"/>
  <c r="CJ281" i="2" s="1"/>
  <c r="BI274" i="2"/>
  <c r="CG274" i="2" s="1"/>
  <c r="CJ274" i="2" s="1"/>
  <c r="BJ274" i="2"/>
  <c r="BI263" i="2"/>
  <c r="CG263" i="2" s="1"/>
  <c r="CJ263" i="2" s="1"/>
  <c r="BJ263" i="2"/>
  <c r="BI224" i="2"/>
  <c r="CG224" i="2" s="1"/>
  <c r="CJ224" i="2" s="1"/>
  <c r="BJ224" i="2"/>
  <c r="CH224" i="2" s="1"/>
  <c r="CI224" i="2" s="1"/>
  <c r="CK185" i="2"/>
  <c r="CG185" i="2"/>
  <c r="CJ185" i="2" s="1"/>
  <c r="BI399" i="2"/>
  <c r="BI393" i="2"/>
  <c r="CG393" i="2" s="1"/>
  <c r="CJ393" i="2" s="1"/>
  <c r="BJ387" i="2"/>
  <c r="CH379" i="2"/>
  <c r="CI379" i="2" s="1"/>
  <c r="CK371" i="2"/>
  <c r="BI365" i="2"/>
  <c r="BI346" i="2"/>
  <c r="CG346" i="2" s="1"/>
  <c r="CJ346" i="2" s="1"/>
  <c r="BI340" i="2"/>
  <c r="CH336" i="2"/>
  <c r="CI336" i="2" s="1"/>
  <c r="CH322" i="2"/>
  <c r="CI322" i="2" s="1"/>
  <c r="CG310" i="2"/>
  <c r="CJ310" i="2" s="1"/>
  <c r="CH291" i="2"/>
  <c r="CI291" i="2" s="1"/>
  <c r="CH287" i="2"/>
  <c r="CI287" i="2" s="1"/>
  <c r="BI284" i="2"/>
  <c r="CG284" i="2" s="1"/>
  <c r="CJ284" i="2" s="1"/>
  <c r="BI260" i="2"/>
  <c r="BJ251" i="2"/>
  <c r="CH251" i="2" s="1"/>
  <c r="CI251" i="2" s="1"/>
  <c r="CH244" i="2"/>
  <c r="CI244" i="2" s="1"/>
  <c r="CH235" i="2"/>
  <c r="CI235" i="2" s="1"/>
  <c r="BI219" i="2"/>
  <c r="CG219" i="2" s="1"/>
  <c r="CJ219" i="2" s="1"/>
  <c r="BI218" i="2"/>
  <c r="BI212" i="2"/>
  <c r="CG212" i="2" s="1"/>
  <c r="CJ212" i="2" s="1"/>
  <c r="BI211" i="2"/>
  <c r="CG211" i="2" s="1"/>
  <c r="CJ211" i="2" s="1"/>
  <c r="CG207" i="2"/>
  <c r="CJ207" i="2" s="1"/>
  <c r="CH201" i="2"/>
  <c r="CI201" i="2" s="1"/>
  <c r="CH194" i="2"/>
  <c r="CI194" i="2" s="1"/>
  <c r="BI189" i="2"/>
  <c r="CG189" i="2" s="1"/>
  <c r="CJ189" i="2" s="1"/>
  <c r="CG180" i="2"/>
  <c r="CJ180" i="2" s="1"/>
  <c r="BI400" i="2"/>
  <c r="BI385" i="2"/>
  <c r="CG385" i="2" s="1"/>
  <c r="CJ385" i="2" s="1"/>
  <c r="CG379" i="2"/>
  <c r="CJ379" i="2" s="1"/>
  <c r="BI377" i="2"/>
  <c r="CG377" i="2" s="1"/>
  <c r="CJ377" i="2" s="1"/>
  <c r="BI361" i="2"/>
  <c r="CG361" i="2" s="1"/>
  <c r="CJ361" i="2" s="1"/>
  <c r="BI353" i="2"/>
  <c r="BI337" i="2"/>
  <c r="BI334" i="2"/>
  <c r="CG334" i="2" s="1"/>
  <c r="CJ334" i="2" s="1"/>
  <c r="BI306" i="2"/>
  <c r="CG306" i="2" s="1"/>
  <c r="CJ306" i="2" s="1"/>
  <c r="BJ300" i="2"/>
  <c r="CM300" i="2" s="1"/>
  <c r="BI297" i="2"/>
  <c r="CG297" i="2" s="1"/>
  <c r="CJ297" i="2" s="1"/>
  <c r="BI292" i="2"/>
  <c r="BI288" i="2"/>
  <c r="BI265" i="2"/>
  <c r="BJ264" i="2"/>
  <c r="CG259" i="2"/>
  <c r="CJ259" i="2" s="1"/>
  <c r="BI245" i="2"/>
  <c r="BI241" i="2"/>
  <c r="BI240" i="2"/>
  <c r="CG240" i="2" s="1"/>
  <c r="CJ240" i="2" s="1"/>
  <c r="BI236" i="2"/>
  <c r="CG236" i="2" s="1"/>
  <c r="CJ236" i="2" s="1"/>
  <c r="BJ231" i="2"/>
  <c r="BI223" i="2"/>
  <c r="BI202" i="2"/>
  <c r="BI199" i="2"/>
  <c r="CG198" i="2"/>
  <c r="CJ198" i="2" s="1"/>
  <c r="BI184" i="2"/>
  <c r="BJ180" i="2"/>
  <c r="BI175" i="2"/>
  <c r="CG175" i="2" s="1"/>
  <c r="CJ175" i="2" s="1"/>
  <c r="CG326" i="2"/>
  <c r="CJ326" i="2" s="1"/>
  <c r="BI422" i="2"/>
  <c r="BI414" i="2"/>
  <c r="BI407" i="2"/>
  <c r="CG407" i="2" s="1"/>
  <c r="CJ407" i="2" s="1"/>
  <c r="BI390" i="2"/>
  <c r="CG390" i="2" s="1"/>
  <c r="CJ390" i="2" s="1"/>
  <c r="BI384" i="2"/>
  <c r="BI376" i="2"/>
  <c r="CG363" i="2"/>
  <c r="CJ363" i="2" s="1"/>
  <c r="BI360" i="2"/>
  <c r="BI356" i="2"/>
  <c r="CH355" i="2"/>
  <c r="CI355" i="2" s="1"/>
  <c r="BI345" i="2"/>
  <c r="CG345" i="2" s="1"/>
  <c r="CJ345" i="2" s="1"/>
  <c r="BI309" i="2"/>
  <c r="CG309" i="2" s="1"/>
  <c r="CJ309" i="2" s="1"/>
  <c r="BI305" i="2"/>
  <c r="CG305" i="2" s="1"/>
  <c r="CJ305" i="2" s="1"/>
  <c r="BI303" i="2"/>
  <c r="BI269" i="2"/>
  <c r="BI250" i="2"/>
  <c r="BI249" i="2"/>
  <c r="BI216" i="2"/>
  <c r="BI205" i="2"/>
  <c r="CG205" i="2" s="1"/>
  <c r="CJ205" i="2" s="1"/>
  <c r="BI194" i="2"/>
  <c r="BI192" i="2"/>
  <c r="BI191" i="2"/>
  <c r="BI402" i="2"/>
  <c r="CG402" i="2" s="1"/>
  <c r="CJ402" i="2" s="1"/>
  <c r="BI382" i="2"/>
  <c r="CG382" i="2" s="1"/>
  <c r="CJ382" i="2" s="1"/>
  <c r="BI368" i="2"/>
  <c r="BJ363" i="2"/>
  <c r="CG331" i="2"/>
  <c r="CJ331" i="2" s="1"/>
  <c r="BI317" i="2"/>
  <c r="CG317" i="2" s="1"/>
  <c r="CJ317" i="2" s="1"/>
  <c r="BI316" i="2"/>
  <c r="CH307" i="2"/>
  <c r="CI307" i="2" s="1"/>
  <c r="BI304" i="2"/>
  <c r="CG286" i="2"/>
  <c r="CJ286" i="2" s="1"/>
  <c r="CG276" i="2"/>
  <c r="CJ276" i="2" s="1"/>
  <c r="BI272" i="2"/>
  <c r="BI239" i="2"/>
  <c r="CG239" i="2" s="1"/>
  <c r="CJ239" i="2" s="1"/>
  <c r="BJ234" i="2"/>
  <c r="CH234" i="2" s="1"/>
  <c r="CI234" i="2" s="1"/>
  <c r="BI230" i="2"/>
  <c r="CG230" i="2" s="1"/>
  <c r="CJ230" i="2" s="1"/>
  <c r="BI225" i="2"/>
  <c r="BI221" i="2"/>
  <c r="CG221" i="2" s="1"/>
  <c r="CJ221" i="2" s="1"/>
  <c r="BI215" i="2"/>
  <c r="CG215" i="2" s="1"/>
  <c r="CJ215" i="2" s="1"/>
  <c r="BI197" i="2"/>
  <c r="CG197" i="2" s="1"/>
  <c r="CJ197" i="2" s="1"/>
  <c r="CG190" i="2"/>
  <c r="CJ190" i="2" s="1"/>
  <c r="CG182" i="2"/>
  <c r="CJ182" i="2" s="1"/>
  <c r="BI443" i="2"/>
  <c r="BI435" i="2"/>
  <c r="CG394" i="2"/>
  <c r="CJ394" i="2" s="1"/>
  <c r="BI389" i="2"/>
  <c r="BJ386" i="2"/>
  <c r="BI375" i="2"/>
  <c r="BI374" i="2"/>
  <c r="CG374" i="2" s="1"/>
  <c r="CJ374" i="2" s="1"/>
  <c r="BI359" i="2"/>
  <c r="BI358" i="2"/>
  <c r="BJ321" i="2"/>
  <c r="BI294" i="2"/>
  <c r="CG294" i="2" s="1"/>
  <c r="CJ294" i="2" s="1"/>
  <c r="BI285" i="2"/>
  <c r="BI282" i="2"/>
  <c r="CG282" i="2" s="1"/>
  <c r="CJ282" i="2" s="1"/>
  <c r="BI247" i="2"/>
  <c r="CG247" i="2" s="1"/>
  <c r="CJ247" i="2" s="1"/>
  <c r="BI228" i="2"/>
  <c r="CG228" i="2" s="1"/>
  <c r="CJ228" i="2" s="1"/>
  <c r="BI204" i="2"/>
  <c r="CG204" i="2" s="1"/>
  <c r="CJ204" i="2" s="1"/>
  <c r="BI186" i="2"/>
  <c r="CG386" i="2"/>
  <c r="CJ386" i="2" s="1"/>
  <c r="BI378" i="2"/>
  <c r="BI367" i="2"/>
  <c r="BI347" i="2"/>
  <c r="CG347" i="2" s="1"/>
  <c r="CJ347" i="2" s="1"/>
  <c r="CG321" i="2"/>
  <c r="CJ321" i="2" s="1"/>
  <c r="CG319" i="2"/>
  <c r="CJ319" i="2" s="1"/>
  <c r="BI253" i="2"/>
  <c r="CG195" i="2"/>
  <c r="CJ195" i="2" s="1"/>
  <c r="BI173" i="2"/>
  <c r="CG173" i="2" s="1"/>
  <c r="CJ173" i="2" s="1"/>
  <c r="CG669" i="2"/>
  <c r="CJ669" i="2" s="1"/>
  <c r="CK669" i="2"/>
  <c r="CG696" i="2"/>
  <c r="CJ696" i="2" s="1"/>
  <c r="CK696" i="2"/>
  <c r="CK683" i="2"/>
  <c r="CH629" i="2"/>
  <c r="CI629" i="2" s="1"/>
  <c r="CM629" i="2"/>
  <c r="CG695" i="2"/>
  <c r="CJ695" i="2" s="1"/>
  <c r="CK695" i="2"/>
  <c r="CK694" i="2"/>
  <c r="CK693" i="2"/>
  <c r="CK692" i="2"/>
  <c r="CK677" i="2"/>
  <c r="CK676" i="2"/>
  <c r="CH667" i="2"/>
  <c r="CI667" i="2" s="1"/>
  <c r="CM667" i="2"/>
  <c r="CK661" i="2"/>
  <c r="CG661" i="2"/>
  <c r="CJ661" i="2" s="1"/>
  <c r="CK660" i="2"/>
  <c r="CG633" i="2"/>
  <c r="CJ633" i="2" s="1"/>
  <c r="CK623" i="2"/>
  <c r="CM654" i="2"/>
  <c r="CH654" i="2"/>
  <c r="CI654" i="2" s="1"/>
  <c r="CG642" i="2"/>
  <c r="CJ642" i="2" s="1"/>
  <c r="CK642" i="2"/>
  <c r="CH696" i="2"/>
  <c r="CI696" i="2" s="1"/>
  <c r="CM696" i="2"/>
  <c r="CH694" i="2"/>
  <c r="CI694" i="2" s="1"/>
  <c r="CM694" i="2"/>
  <c r="CK682" i="2"/>
  <c r="CG682" i="2"/>
  <c r="CJ682" i="2" s="1"/>
  <c r="CH678" i="2"/>
  <c r="CI678" i="2" s="1"/>
  <c r="CM678" i="2"/>
  <c r="CK675" i="2"/>
  <c r="CH649" i="2"/>
  <c r="CI649" i="2" s="1"/>
  <c r="CM649" i="2"/>
  <c r="CG647" i="2"/>
  <c r="CJ647" i="2" s="1"/>
  <c r="CK647" i="2"/>
  <c r="CG627" i="2"/>
  <c r="CJ627" i="2" s="1"/>
  <c r="CH624" i="2"/>
  <c r="CI624" i="2" s="1"/>
  <c r="CM624" i="2"/>
  <c r="CK622" i="2"/>
  <c r="CG622" i="2"/>
  <c r="CJ622" i="2" s="1"/>
  <c r="CG602" i="2"/>
  <c r="CJ602" i="2" s="1"/>
  <c r="CK602" i="2"/>
  <c r="CG687" i="2"/>
  <c r="CJ687" i="2" s="1"/>
  <c r="CK687" i="2"/>
  <c r="CK690" i="2"/>
  <c r="CG690" i="2"/>
  <c r="CJ690" i="2" s="1"/>
  <c r="CH686" i="2"/>
  <c r="CI686" i="2" s="1"/>
  <c r="CM686" i="2"/>
  <c r="CG685" i="2"/>
  <c r="CJ685" i="2" s="1"/>
  <c r="CM676" i="2"/>
  <c r="CH676" i="2"/>
  <c r="CI676" i="2" s="1"/>
  <c r="CG673" i="2"/>
  <c r="CJ673" i="2" s="1"/>
  <c r="CK673" i="2"/>
  <c r="CG672" i="2"/>
  <c r="CJ672" i="2" s="1"/>
  <c r="CK672" i="2"/>
  <c r="CK671" i="2"/>
  <c r="CG665" i="2"/>
  <c r="CJ665" i="2" s="1"/>
  <c r="CK646" i="2"/>
  <c r="CG646" i="2"/>
  <c r="CJ646" i="2" s="1"/>
  <c r="CG640" i="2"/>
  <c r="CJ640" i="2" s="1"/>
  <c r="CK640" i="2"/>
  <c r="CK639" i="2"/>
  <c r="CK632" i="2"/>
  <c r="CG626" i="2"/>
  <c r="CJ626" i="2" s="1"/>
  <c r="CK626" i="2"/>
  <c r="CH671" i="2"/>
  <c r="CI671" i="2" s="1"/>
  <c r="CM671" i="2"/>
  <c r="CG655" i="2"/>
  <c r="CJ655" i="2" s="1"/>
  <c r="CK655" i="2"/>
  <c r="CH641" i="2"/>
  <c r="CI641" i="2" s="1"/>
  <c r="CM641" i="2"/>
  <c r="CK638" i="2"/>
  <c r="CG638" i="2"/>
  <c r="CJ638" i="2" s="1"/>
  <c r="CK631" i="2"/>
  <c r="CK614" i="2"/>
  <c r="CK668" i="2"/>
  <c r="CG668" i="2"/>
  <c r="CJ668" i="2" s="1"/>
  <c r="CG664" i="2"/>
  <c r="CJ664" i="2" s="1"/>
  <c r="CK664" i="2"/>
  <c r="CG650" i="2"/>
  <c r="CJ650" i="2" s="1"/>
  <c r="CK650" i="2"/>
  <c r="CH632" i="2"/>
  <c r="CI632" i="2" s="1"/>
  <c r="CM632" i="2"/>
  <c r="CK630" i="2"/>
  <c r="CG630" i="2"/>
  <c r="CJ630" i="2" s="1"/>
  <c r="CK621" i="2"/>
  <c r="CG663" i="2"/>
  <c r="CJ663" i="2" s="1"/>
  <c r="CK663" i="2"/>
  <c r="CK629" i="2"/>
  <c r="CG629" i="2"/>
  <c r="CJ629" i="2" s="1"/>
  <c r="CK613" i="2"/>
  <c r="CG681" i="2"/>
  <c r="CJ681" i="2" s="1"/>
  <c r="CK681" i="2"/>
  <c r="CH656" i="2"/>
  <c r="CI656" i="2" s="1"/>
  <c r="CM656" i="2"/>
  <c r="CK698" i="2"/>
  <c r="CG698" i="2"/>
  <c r="CJ698" i="2" s="1"/>
  <c r="CG688" i="2"/>
  <c r="CJ688" i="2" s="1"/>
  <c r="CK688" i="2"/>
  <c r="CK637" i="2"/>
  <c r="CG637" i="2"/>
  <c r="CJ637" i="2" s="1"/>
  <c r="CG636" i="2"/>
  <c r="CJ636" i="2" s="1"/>
  <c r="CK636" i="2"/>
  <c r="CG617" i="2"/>
  <c r="CJ617" i="2" s="1"/>
  <c r="CK617" i="2"/>
  <c r="CG697" i="2"/>
  <c r="CJ697" i="2" s="1"/>
  <c r="CK697" i="2"/>
  <c r="CG680" i="2"/>
  <c r="CJ680" i="2" s="1"/>
  <c r="CK680" i="2"/>
  <c r="CG679" i="2"/>
  <c r="CJ679" i="2" s="1"/>
  <c r="CK679" i="2"/>
  <c r="CK653" i="2"/>
  <c r="CG653" i="2"/>
  <c r="CJ653" i="2" s="1"/>
  <c r="CG635" i="2"/>
  <c r="CJ635" i="2" s="1"/>
  <c r="CG634" i="2"/>
  <c r="CJ634" i="2" s="1"/>
  <c r="CK634" i="2"/>
  <c r="BJ695" i="2"/>
  <c r="BI694" i="2"/>
  <c r="CG694" i="2" s="1"/>
  <c r="CJ694" i="2" s="1"/>
  <c r="BJ687" i="2"/>
  <c r="BI686" i="2"/>
  <c r="CG686" i="2" s="1"/>
  <c r="CJ686" i="2" s="1"/>
  <c r="BJ679" i="2"/>
  <c r="BI678" i="2"/>
  <c r="CG678" i="2" s="1"/>
  <c r="CJ678" i="2" s="1"/>
  <c r="BJ672" i="2"/>
  <c r="BI671" i="2"/>
  <c r="CG671" i="2" s="1"/>
  <c r="CJ671" i="2" s="1"/>
  <c r="BJ658" i="2"/>
  <c r="CH646" i="2"/>
  <c r="CI646" i="2" s="1"/>
  <c r="BI641" i="2"/>
  <c r="CG641" i="2" s="1"/>
  <c r="CJ641" i="2" s="1"/>
  <c r="CH638" i="2"/>
  <c r="CI638" i="2" s="1"/>
  <c r="BJ634" i="2"/>
  <c r="CH630" i="2"/>
  <c r="CI630" i="2" s="1"/>
  <c r="BJ626" i="2"/>
  <c r="CH622" i="2"/>
  <c r="CI622" i="2" s="1"/>
  <c r="CM618" i="2"/>
  <c r="CH617" i="2"/>
  <c r="CI617" i="2" s="1"/>
  <c r="CK612" i="2"/>
  <c r="CH607" i="2"/>
  <c r="CI607" i="2" s="1"/>
  <c r="CK600" i="2"/>
  <c r="CH576" i="2"/>
  <c r="CI576" i="2" s="1"/>
  <c r="CM576" i="2"/>
  <c r="CH575" i="2"/>
  <c r="CI575" i="2" s="1"/>
  <c r="CG543" i="2"/>
  <c r="CJ543" i="2" s="1"/>
  <c r="CK543" i="2"/>
  <c r="CG523" i="2"/>
  <c r="CJ523" i="2" s="1"/>
  <c r="CK523" i="2"/>
  <c r="BJ680" i="2"/>
  <c r="BJ673" i="2"/>
  <c r="BJ665" i="2"/>
  <c r="CM663" i="2"/>
  <c r="CK662" i="2"/>
  <c r="BJ659" i="2"/>
  <c r="CK656" i="2"/>
  <c r="BJ651" i="2"/>
  <c r="CK648" i="2"/>
  <c r="BJ635" i="2"/>
  <c r="CH631" i="2"/>
  <c r="CI631" i="2" s="1"/>
  <c r="BJ627" i="2"/>
  <c r="CH623" i="2"/>
  <c r="CI623" i="2" s="1"/>
  <c r="BJ620" i="2"/>
  <c r="BI613" i="2"/>
  <c r="CG613" i="2" s="1"/>
  <c r="CJ613" i="2" s="1"/>
  <c r="CH612" i="2"/>
  <c r="CI612" i="2" s="1"/>
  <c r="CK607" i="2"/>
  <c r="BI601" i="2"/>
  <c r="CG601" i="2" s="1"/>
  <c r="CJ601" i="2" s="1"/>
  <c r="CG575" i="2"/>
  <c r="CJ575" i="2" s="1"/>
  <c r="CH572" i="2"/>
  <c r="CI572" i="2" s="1"/>
  <c r="CM572" i="2"/>
  <c r="CK571" i="2"/>
  <c r="CK570" i="2"/>
  <c r="BI568" i="2"/>
  <c r="CG568" i="2" s="1"/>
  <c r="CJ568" i="2" s="1"/>
  <c r="BJ568" i="2"/>
  <c r="BI524" i="2"/>
  <c r="CG524" i="2" s="1"/>
  <c r="CJ524" i="2" s="1"/>
  <c r="BJ524" i="2"/>
  <c r="BJ689" i="2"/>
  <c r="BJ674" i="2"/>
  <c r="BJ666" i="2"/>
  <c r="BJ660" i="2"/>
  <c r="BJ652" i="2"/>
  <c r="BJ644" i="2"/>
  <c r="BJ636" i="2"/>
  <c r="CK633" i="2"/>
  <c r="BJ628" i="2"/>
  <c r="CG615" i="2"/>
  <c r="CJ615" i="2" s="1"/>
  <c r="BJ611" i="2"/>
  <c r="BJ603" i="2"/>
  <c r="CG595" i="2"/>
  <c r="CJ595" i="2" s="1"/>
  <c r="CK595" i="2"/>
  <c r="BI593" i="2"/>
  <c r="CG593" i="2" s="1"/>
  <c r="CJ593" i="2" s="1"/>
  <c r="CK590" i="2"/>
  <c r="CG590" i="2"/>
  <c r="CJ590" i="2" s="1"/>
  <c r="CH588" i="2"/>
  <c r="CI588" i="2" s="1"/>
  <c r="CM588" i="2"/>
  <c r="CK587" i="2"/>
  <c r="BI584" i="2"/>
  <c r="CG584" i="2" s="1"/>
  <c r="CJ584" i="2" s="1"/>
  <c r="BJ584" i="2"/>
  <c r="BI571" i="2"/>
  <c r="CG571" i="2" s="1"/>
  <c r="CJ571" i="2" s="1"/>
  <c r="BJ571" i="2"/>
  <c r="CG564" i="2"/>
  <c r="CJ564" i="2" s="1"/>
  <c r="CK564" i="2"/>
  <c r="CH561" i="2"/>
  <c r="CI561" i="2" s="1"/>
  <c r="CM561" i="2"/>
  <c r="CK560" i="2"/>
  <c r="CH553" i="2"/>
  <c r="CI553" i="2" s="1"/>
  <c r="CM553" i="2"/>
  <c r="CK552" i="2"/>
  <c r="CM527" i="2"/>
  <c r="CH527" i="2"/>
  <c r="CI527" i="2" s="1"/>
  <c r="BJ698" i="2"/>
  <c r="BJ690" i="2"/>
  <c r="BJ661" i="2"/>
  <c r="BJ653" i="2"/>
  <c r="BJ645" i="2"/>
  <c r="BJ637" i="2"/>
  <c r="BI614" i="2"/>
  <c r="CG614" i="2" s="1"/>
  <c r="CJ614" i="2" s="1"/>
  <c r="BJ609" i="2"/>
  <c r="BI607" i="2"/>
  <c r="CG607" i="2" s="1"/>
  <c r="CJ607" i="2" s="1"/>
  <c r="CG604" i="2"/>
  <c r="CJ604" i="2" s="1"/>
  <c r="CH600" i="2"/>
  <c r="CI600" i="2" s="1"/>
  <c r="CM600" i="2"/>
  <c r="CK597" i="2"/>
  <c r="BJ595" i="2"/>
  <c r="BI587" i="2"/>
  <c r="CG587" i="2" s="1"/>
  <c r="CJ587" i="2" s="1"/>
  <c r="BJ587" i="2"/>
  <c r="CG581" i="2"/>
  <c r="CJ581" i="2" s="1"/>
  <c r="CH579" i="2"/>
  <c r="CI579" i="2" s="1"/>
  <c r="CM579" i="2"/>
  <c r="CG578" i="2"/>
  <c r="CJ578" i="2" s="1"/>
  <c r="CK578" i="2"/>
  <c r="CH570" i="2"/>
  <c r="CI570" i="2" s="1"/>
  <c r="CM570" i="2"/>
  <c r="CH569" i="2"/>
  <c r="CI569" i="2" s="1"/>
  <c r="BI560" i="2"/>
  <c r="CG560" i="2" s="1"/>
  <c r="CJ560" i="2" s="1"/>
  <c r="BJ560" i="2"/>
  <c r="BI552" i="2"/>
  <c r="CG552" i="2" s="1"/>
  <c r="CJ552" i="2" s="1"/>
  <c r="BJ552" i="2"/>
  <c r="CG546" i="2"/>
  <c r="CJ546" i="2" s="1"/>
  <c r="CK546" i="2"/>
  <c r="CH543" i="2"/>
  <c r="CI543" i="2" s="1"/>
  <c r="CM543" i="2"/>
  <c r="CH541" i="2"/>
  <c r="CI541" i="2" s="1"/>
  <c r="CM541" i="2"/>
  <c r="BJ699" i="2"/>
  <c r="BJ691" i="2"/>
  <c r="BJ675" i="2"/>
  <c r="BJ668" i="2"/>
  <c r="BI598" i="2"/>
  <c r="CG598" i="2" s="1"/>
  <c r="CJ598" i="2" s="1"/>
  <c r="BJ598" i="2"/>
  <c r="CG594" i="2"/>
  <c r="CJ594" i="2" s="1"/>
  <c r="CH586" i="2"/>
  <c r="CI586" i="2" s="1"/>
  <c r="CM586" i="2"/>
  <c r="CG556" i="2"/>
  <c r="CJ556" i="2" s="1"/>
  <c r="CK556" i="2"/>
  <c r="CG548" i="2"/>
  <c r="CJ548" i="2" s="1"/>
  <c r="CK548" i="2"/>
  <c r="CH533" i="2"/>
  <c r="CI533" i="2" s="1"/>
  <c r="CM533" i="2"/>
  <c r="BJ692" i="2"/>
  <c r="BJ684" i="2"/>
  <c r="BJ669" i="2"/>
  <c r="BJ655" i="2"/>
  <c r="CG619" i="2"/>
  <c r="CJ619" i="2" s="1"/>
  <c r="CH594" i="2"/>
  <c r="CI594" i="2" s="1"/>
  <c r="CM594" i="2"/>
  <c r="CK566" i="2"/>
  <c r="CG566" i="2"/>
  <c r="CJ566" i="2" s="1"/>
  <c r="CH564" i="2"/>
  <c r="CI564" i="2" s="1"/>
  <c r="CM564" i="2"/>
  <c r="CK563" i="2"/>
  <c r="CK545" i="2"/>
  <c r="CG539" i="2"/>
  <c r="CJ539" i="2" s="1"/>
  <c r="CK539" i="2"/>
  <c r="BJ693" i="2"/>
  <c r="BJ685" i="2"/>
  <c r="BJ677" i="2"/>
  <c r="BJ670" i="2"/>
  <c r="BJ648" i="2"/>
  <c r="BJ640" i="2"/>
  <c r="BI618" i="2"/>
  <c r="CG618" i="2" s="1"/>
  <c r="CJ618" i="2" s="1"/>
  <c r="CM614" i="2"/>
  <c r="CH608" i="2"/>
  <c r="CI608" i="2" s="1"/>
  <c r="CM608" i="2"/>
  <c r="CH602" i="2"/>
  <c r="CI602" i="2" s="1"/>
  <c r="CM602" i="2"/>
  <c r="CG599" i="2"/>
  <c r="CJ599" i="2" s="1"/>
  <c r="BI592" i="2"/>
  <c r="CG592" i="2" s="1"/>
  <c r="CJ592" i="2" s="1"/>
  <c r="BJ592" i="2"/>
  <c r="CK580" i="2"/>
  <c r="CG580" i="2"/>
  <c r="CJ580" i="2" s="1"/>
  <c r="CH578" i="2"/>
  <c r="CI578" i="2" s="1"/>
  <c r="CM578" i="2"/>
  <c r="CK577" i="2"/>
  <c r="CK576" i="2"/>
  <c r="BI574" i="2"/>
  <c r="CG574" i="2" s="1"/>
  <c r="CJ574" i="2" s="1"/>
  <c r="BJ574" i="2"/>
  <c r="CH573" i="2"/>
  <c r="CI573" i="2" s="1"/>
  <c r="CM573" i="2"/>
  <c r="CG572" i="2"/>
  <c r="CJ572" i="2" s="1"/>
  <c r="CK572" i="2"/>
  <c r="CG562" i="2"/>
  <c r="CJ562" i="2" s="1"/>
  <c r="CK562" i="2"/>
  <c r="CG555" i="2"/>
  <c r="CJ555" i="2" s="1"/>
  <c r="CK555" i="2"/>
  <c r="CK554" i="2"/>
  <c r="CG547" i="2"/>
  <c r="CJ547" i="2" s="1"/>
  <c r="CK547" i="2"/>
  <c r="BI545" i="2"/>
  <c r="CG545" i="2" s="1"/>
  <c r="CJ545" i="2" s="1"/>
  <c r="BJ545" i="2"/>
  <c r="BI520" i="2"/>
  <c r="BJ520" i="2"/>
  <c r="CG620" i="2"/>
  <c r="CJ620" i="2" s="1"/>
  <c r="BI606" i="2"/>
  <c r="CG606" i="2" s="1"/>
  <c r="CJ606" i="2" s="1"/>
  <c r="BJ606" i="2"/>
  <c r="CK601" i="2"/>
  <c r="CH589" i="2"/>
  <c r="CI589" i="2" s="1"/>
  <c r="CM589" i="2"/>
  <c r="CG588" i="2"/>
  <c r="CJ588" i="2" s="1"/>
  <c r="CK588" i="2"/>
  <c r="BI577" i="2"/>
  <c r="CG577" i="2" s="1"/>
  <c r="CJ577" i="2" s="1"/>
  <c r="BJ577" i="2"/>
  <c r="BI573" i="2"/>
  <c r="CG573" i="2" s="1"/>
  <c r="CJ573" i="2" s="1"/>
  <c r="CH562" i="2"/>
  <c r="CI562" i="2" s="1"/>
  <c r="CM562" i="2"/>
  <c r="CK558" i="2"/>
  <c r="CG558" i="2"/>
  <c r="CJ558" i="2" s="1"/>
  <c r="CH556" i="2"/>
  <c r="CI556" i="2" s="1"/>
  <c r="CM556" i="2"/>
  <c r="CH554" i="2"/>
  <c r="CI554" i="2" s="1"/>
  <c r="CM554" i="2"/>
  <c r="CK550" i="2"/>
  <c r="CG550" i="2"/>
  <c r="CJ550" i="2" s="1"/>
  <c r="CH548" i="2"/>
  <c r="CI548" i="2" s="1"/>
  <c r="CM548" i="2"/>
  <c r="CH517" i="2"/>
  <c r="CI517" i="2" s="1"/>
  <c r="CM517" i="2"/>
  <c r="CK516" i="2"/>
  <c r="BI488" i="2"/>
  <c r="BJ488" i="2"/>
  <c r="BI486" i="2"/>
  <c r="CG486" i="2" s="1"/>
  <c r="CJ486" i="2" s="1"/>
  <c r="BJ486" i="2"/>
  <c r="CH475" i="2"/>
  <c r="CI475" i="2" s="1"/>
  <c r="CM475" i="2"/>
  <c r="CG474" i="2"/>
  <c r="CJ474" i="2" s="1"/>
  <c r="CK474" i="2"/>
  <c r="CK459" i="2"/>
  <c r="CG459" i="2"/>
  <c r="CJ459" i="2" s="1"/>
  <c r="CG440" i="2"/>
  <c r="CJ440" i="2" s="1"/>
  <c r="CK440" i="2"/>
  <c r="BI437" i="2"/>
  <c r="CG437" i="2" s="1"/>
  <c r="CJ437" i="2" s="1"/>
  <c r="BJ437" i="2"/>
  <c r="CH350" i="2"/>
  <c r="CI350" i="2" s="1"/>
  <c r="CM350" i="2"/>
  <c r="CH302" i="2"/>
  <c r="CI302" i="2" s="1"/>
  <c r="CM302" i="2"/>
  <c r="CH281" i="2"/>
  <c r="CI281" i="2" s="1"/>
  <c r="CM281" i="2"/>
  <c r="BJ555" i="2"/>
  <c r="BI516" i="2"/>
  <c r="CG516" i="2" s="1"/>
  <c r="CJ516" i="2" s="1"/>
  <c r="BJ516" i="2"/>
  <c r="BI513" i="2"/>
  <c r="CG513" i="2" s="1"/>
  <c r="CJ513" i="2" s="1"/>
  <c r="BJ513" i="2"/>
  <c r="CM506" i="2"/>
  <c r="CH499" i="2"/>
  <c r="CI499" i="2" s="1"/>
  <c r="CG492" i="2"/>
  <c r="CJ492" i="2" s="1"/>
  <c r="CK492" i="2"/>
  <c r="CH482" i="2"/>
  <c r="CI482" i="2" s="1"/>
  <c r="CM482" i="2"/>
  <c r="CK481" i="2"/>
  <c r="CG449" i="2"/>
  <c r="CJ449" i="2" s="1"/>
  <c r="CK449" i="2"/>
  <c r="CK417" i="2"/>
  <c r="CG414" i="2"/>
  <c r="CJ414" i="2" s="1"/>
  <c r="CK414" i="2"/>
  <c r="CK599" i="2"/>
  <c r="CK593" i="2"/>
  <c r="CK585" i="2"/>
  <c r="CK575" i="2"/>
  <c r="CK569" i="2"/>
  <c r="CK561" i="2"/>
  <c r="CK553" i="2"/>
  <c r="BJ539" i="2"/>
  <c r="CH539" i="2" s="1"/>
  <c r="CI539" i="2" s="1"/>
  <c r="CG532" i="2"/>
  <c r="CJ532" i="2" s="1"/>
  <c r="CK532" i="2"/>
  <c r="CM529" i="2"/>
  <c r="CM523" i="2"/>
  <c r="CH523" i="2"/>
  <c r="CI523" i="2" s="1"/>
  <c r="CH518" i="2"/>
  <c r="CI518" i="2" s="1"/>
  <c r="CH515" i="2"/>
  <c r="CI515" i="2" s="1"/>
  <c r="CM515" i="2"/>
  <c r="CK508" i="2"/>
  <c r="CH507" i="2"/>
  <c r="CI507" i="2" s="1"/>
  <c r="CM507" i="2"/>
  <c r="CH503" i="2"/>
  <c r="CI503" i="2" s="1"/>
  <c r="CM503" i="2"/>
  <c r="CK502" i="2"/>
  <c r="CG499" i="2"/>
  <c r="CJ499" i="2" s="1"/>
  <c r="BI490" i="2"/>
  <c r="CG490" i="2" s="1"/>
  <c r="CJ490" i="2" s="1"/>
  <c r="CG489" i="2"/>
  <c r="CJ489" i="2" s="1"/>
  <c r="CG487" i="2"/>
  <c r="CJ487" i="2" s="1"/>
  <c r="CH484" i="2"/>
  <c r="CI484" i="2" s="1"/>
  <c r="BI481" i="2"/>
  <c r="CG481" i="2" s="1"/>
  <c r="CJ481" i="2" s="1"/>
  <c r="BJ481" i="2"/>
  <c r="CG480" i="2"/>
  <c r="CJ480" i="2" s="1"/>
  <c r="BI478" i="2"/>
  <c r="CG478" i="2" s="1"/>
  <c r="CJ478" i="2" s="1"/>
  <c r="BJ478" i="2"/>
  <c r="CG477" i="2"/>
  <c r="CJ477" i="2" s="1"/>
  <c r="CH466" i="2"/>
  <c r="CI466" i="2" s="1"/>
  <c r="CM466" i="2"/>
  <c r="CG465" i="2"/>
  <c r="CJ465" i="2" s="1"/>
  <c r="CK465" i="2"/>
  <c r="BI372" i="2"/>
  <c r="BJ372" i="2"/>
  <c r="CH365" i="2"/>
  <c r="CI365" i="2" s="1"/>
  <c r="CM365" i="2"/>
  <c r="CG540" i="2"/>
  <c r="CJ540" i="2" s="1"/>
  <c r="CK518" i="2"/>
  <c r="CG518" i="2"/>
  <c r="CJ518" i="2" s="1"/>
  <c r="CM512" i="2"/>
  <c r="CH512" i="2"/>
  <c r="CI512" i="2" s="1"/>
  <c r="BI502" i="2"/>
  <c r="CG502" i="2" s="1"/>
  <c r="CJ502" i="2" s="1"/>
  <c r="BJ502" i="2"/>
  <c r="CK498" i="2"/>
  <c r="CK484" i="2"/>
  <c r="CG484" i="2"/>
  <c r="CJ484" i="2" s="1"/>
  <c r="CH480" i="2"/>
  <c r="CI480" i="2" s="1"/>
  <c r="CM480" i="2"/>
  <c r="CH474" i="2"/>
  <c r="CI474" i="2" s="1"/>
  <c r="CM474" i="2"/>
  <c r="CK472" i="2"/>
  <c r="CG457" i="2"/>
  <c r="CJ457" i="2" s="1"/>
  <c r="CK457" i="2"/>
  <c r="CK453" i="2"/>
  <c r="CH377" i="2"/>
  <c r="CI377" i="2" s="1"/>
  <c r="CM377" i="2"/>
  <c r="CM538" i="2"/>
  <c r="CG531" i="2"/>
  <c r="CJ531" i="2" s="1"/>
  <c r="CK504" i="2"/>
  <c r="BI498" i="2"/>
  <c r="CG498" i="2" s="1"/>
  <c r="CJ498" i="2" s="1"/>
  <c r="BJ498" i="2"/>
  <c r="CG479" i="2"/>
  <c r="CJ479" i="2" s="1"/>
  <c r="CH476" i="2"/>
  <c r="CI476" i="2" s="1"/>
  <c r="BI472" i="2"/>
  <c r="CG472" i="2" s="1"/>
  <c r="CJ472" i="2" s="1"/>
  <c r="BJ472" i="2"/>
  <c r="BI469" i="2"/>
  <c r="CG469" i="2" s="1"/>
  <c r="CJ469" i="2" s="1"/>
  <c r="BJ469" i="2"/>
  <c r="CG468" i="2"/>
  <c r="CJ468" i="2" s="1"/>
  <c r="CK461" i="2"/>
  <c r="BI453" i="2"/>
  <c r="CG453" i="2" s="1"/>
  <c r="CJ453" i="2" s="1"/>
  <c r="BJ453" i="2"/>
  <c r="CG452" i="2"/>
  <c r="CJ452" i="2" s="1"/>
  <c r="CH449" i="2"/>
  <c r="CI449" i="2" s="1"/>
  <c r="CM449" i="2"/>
  <c r="CG442" i="2"/>
  <c r="CJ442" i="2" s="1"/>
  <c r="CK442" i="2"/>
  <c r="BI439" i="2"/>
  <c r="CG439" i="2" s="1"/>
  <c r="CJ439" i="2" s="1"/>
  <c r="BJ439" i="2"/>
  <c r="CM565" i="2"/>
  <c r="CM557" i="2"/>
  <c r="CH522" i="2"/>
  <c r="CI522" i="2" s="1"/>
  <c r="CM522" i="2"/>
  <c r="BI505" i="2"/>
  <c r="CG505" i="2" s="1"/>
  <c r="CJ505" i="2" s="1"/>
  <c r="BJ505" i="2"/>
  <c r="CK494" i="2"/>
  <c r="CK476" i="2"/>
  <c r="CG476" i="2"/>
  <c r="CJ476" i="2" s="1"/>
  <c r="CH471" i="2"/>
  <c r="CI471" i="2" s="1"/>
  <c r="CM471" i="2"/>
  <c r="CH465" i="2"/>
  <c r="CI465" i="2" s="1"/>
  <c r="CM465" i="2"/>
  <c r="CK464" i="2"/>
  <c r="BI461" i="2"/>
  <c r="CG461" i="2" s="1"/>
  <c r="CJ461" i="2" s="1"/>
  <c r="BJ461" i="2"/>
  <c r="CG460" i="2"/>
  <c r="CJ460" i="2" s="1"/>
  <c r="CG456" i="2"/>
  <c r="CJ456" i="2" s="1"/>
  <c r="CK456" i="2"/>
  <c r="CK455" i="2"/>
  <c r="CH451" i="2"/>
  <c r="CI451" i="2" s="1"/>
  <c r="CH448" i="2"/>
  <c r="CI448" i="2" s="1"/>
  <c r="CM448" i="2"/>
  <c r="CG434" i="2"/>
  <c r="CJ434" i="2" s="1"/>
  <c r="CK434" i="2"/>
  <c r="BI537" i="2"/>
  <c r="CG537" i="2" s="1"/>
  <c r="CJ537" i="2" s="1"/>
  <c r="CH536" i="2"/>
  <c r="CI536" i="2" s="1"/>
  <c r="CM531" i="2"/>
  <c r="CH531" i="2"/>
  <c r="CI531" i="2" s="1"/>
  <c r="BI528" i="2"/>
  <c r="CG528" i="2" s="1"/>
  <c r="CJ528" i="2" s="1"/>
  <c r="BJ528" i="2"/>
  <c r="CH511" i="2"/>
  <c r="CI511" i="2" s="1"/>
  <c r="CM511" i="2"/>
  <c r="BI495" i="2"/>
  <c r="CG495" i="2" s="1"/>
  <c r="CJ495" i="2" s="1"/>
  <c r="BI494" i="2"/>
  <c r="CG494" i="2" s="1"/>
  <c r="CJ494" i="2" s="1"/>
  <c r="BJ494" i="2"/>
  <c r="CG488" i="2"/>
  <c r="CJ488" i="2" s="1"/>
  <c r="CH483" i="2"/>
  <c r="CI483" i="2" s="1"/>
  <c r="CM483" i="2"/>
  <c r="CK482" i="2"/>
  <c r="CG475" i="2"/>
  <c r="CJ475" i="2" s="1"/>
  <c r="BI471" i="2"/>
  <c r="CG471" i="2" s="1"/>
  <c r="CJ471" i="2" s="1"/>
  <c r="CG470" i="2"/>
  <c r="CJ470" i="2" s="1"/>
  <c r="CH467" i="2"/>
  <c r="CI467" i="2" s="1"/>
  <c r="BI464" i="2"/>
  <c r="CG464" i="2" s="1"/>
  <c r="CJ464" i="2" s="1"/>
  <c r="BJ464" i="2"/>
  <c r="CG463" i="2"/>
  <c r="CJ463" i="2" s="1"/>
  <c r="CH457" i="2"/>
  <c r="CI457" i="2" s="1"/>
  <c r="CM457" i="2"/>
  <c r="CH455" i="2"/>
  <c r="CI455" i="2" s="1"/>
  <c r="CM455" i="2"/>
  <c r="CK451" i="2"/>
  <c r="CG451" i="2"/>
  <c r="CJ451" i="2" s="1"/>
  <c r="CG447" i="2"/>
  <c r="CJ447" i="2" s="1"/>
  <c r="CG403" i="2"/>
  <c r="CJ403" i="2" s="1"/>
  <c r="CK403" i="2"/>
  <c r="CM544" i="2"/>
  <c r="CG536" i="2"/>
  <c r="CJ536" i="2" s="1"/>
  <c r="CG520" i="2"/>
  <c r="CJ520" i="2" s="1"/>
  <c r="CK519" i="2"/>
  <c r="CM504" i="2"/>
  <c r="CH504" i="2"/>
  <c r="CI504" i="2" s="1"/>
  <c r="CM490" i="2"/>
  <c r="CK485" i="2"/>
  <c r="BI483" i="2"/>
  <c r="CG483" i="2" s="1"/>
  <c r="CJ483" i="2" s="1"/>
  <c r="CK467" i="2"/>
  <c r="CG467" i="2"/>
  <c r="CJ467" i="2" s="1"/>
  <c r="CH463" i="2"/>
  <c r="CI463" i="2" s="1"/>
  <c r="CM463" i="2"/>
  <c r="BI455" i="2"/>
  <c r="CG455" i="2" s="1"/>
  <c r="CJ455" i="2" s="1"/>
  <c r="CG450" i="2"/>
  <c r="CJ450" i="2" s="1"/>
  <c r="CK441" i="2"/>
  <c r="CH519" i="2"/>
  <c r="CI519" i="2" s="1"/>
  <c r="BI491" i="2"/>
  <c r="CG491" i="2" s="1"/>
  <c r="CJ491" i="2" s="1"/>
  <c r="CH485" i="2"/>
  <c r="CI485" i="2" s="1"/>
  <c r="CH477" i="2"/>
  <c r="CI477" i="2" s="1"/>
  <c r="CH468" i="2"/>
  <c r="CI468" i="2" s="1"/>
  <c r="CH460" i="2"/>
  <c r="CI460" i="2" s="1"/>
  <c r="BJ456" i="2"/>
  <c r="CH440" i="2"/>
  <c r="CI440" i="2" s="1"/>
  <c r="CM440" i="2"/>
  <c r="CG436" i="2"/>
  <c r="CJ436" i="2" s="1"/>
  <c r="CG430" i="2"/>
  <c r="CJ430" i="2" s="1"/>
  <c r="CK430" i="2"/>
  <c r="CH415" i="2"/>
  <c r="CI415" i="2" s="1"/>
  <c r="CM415" i="2"/>
  <c r="CG413" i="2"/>
  <c r="CJ413" i="2" s="1"/>
  <c r="CK413" i="2"/>
  <c r="BI410" i="2"/>
  <c r="BJ410" i="2"/>
  <c r="CG406" i="2"/>
  <c r="CJ406" i="2" s="1"/>
  <c r="CG400" i="2"/>
  <c r="CJ400" i="2" s="1"/>
  <c r="CK400" i="2"/>
  <c r="BI396" i="2"/>
  <c r="CG396" i="2" s="1"/>
  <c r="CJ396" i="2" s="1"/>
  <c r="BJ396" i="2"/>
  <c r="CH389" i="2"/>
  <c r="CI389" i="2" s="1"/>
  <c r="CM389" i="2"/>
  <c r="CG375" i="2"/>
  <c r="CJ375" i="2" s="1"/>
  <c r="CK375" i="2"/>
  <c r="CG368" i="2"/>
  <c r="CJ368" i="2" s="1"/>
  <c r="CK368" i="2"/>
  <c r="CH357" i="2"/>
  <c r="CI357" i="2" s="1"/>
  <c r="CM357" i="2"/>
  <c r="CG353" i="2"/>
  <c r="CJ353" i="2" s="1"/>
  <c r="CK353" i="2"/>
  <c r="CK352" i="2"/>
  <c r="CG340" i="2"/>
  <c r="CJ340" i="2" s="1"/>
  <c r="CK340" i="2"/>
  <c r="CK528" i="2"/>
  <c r="CK524" i="2"/>
  <c r="CK520" i="2"/>
  <c r="CK513" i="2"/>
  <c r="CK509" i="2"/>
  <c r="CK505" i="2"/>
  <c r="CM501" i="2"/>
  <c r="CM497" i="2"/>
  <c r="CM493" i="2"/>
  <c r="CK489" i="2"/>
  <c r="CK487" i="2"/>
  <c r="CK479" i="2"/>
  <c r="CK470" i="2"/>
  <c r="CK462" i="2"/>
  <c r="CK454" i="2"/>
  <c r="CK447" i="2"/>
  <c r="CG443" i="2"/>
  <c r="CJ443" i="2" s="1"/>
  <c r="CH431" i="2"/>
  <c r="CI431" i="2" s="1"/>
  <c r="CM431" i="2"/>
  <c r="CG429" i="2"/>
  <c r="CJ429" i="2" s="1"/>
  <c r="CK429" i="2"/>
  <c r="CH420" i="2"/>
  <c r="CI420" i="2" s="1"/>
  <c r="CM420" i="2"/>
  <c r="CK419" i="2"/>
  <c r="CG412" i="2"/>
  <c r="CJ412" i="2" s="1"/>
  <c r="CH401" i="2"/>
  <c r="CI401" i="2" s="1"/>
  <c r="CM401" i="2"/>
  <c r="CG399" i="2"/>
  <c r="CJ399" i="2" s="1"/>
  <c r="CK399" i="2"/>
  <c r="CK387" i="2"/>
  <c r="CH382" i="2"/>
  <c r="CI382" i="2" s="1"/>
  <c r="CM382" i="2"/>
  <c r="CG381" i="2"/>
  <c r="CJ381" i="2" s="1"/>
  <c r="CK381" i="2"/>
  <c r="CK378" i="2"/>
  <c r="CG378" i="2"/>
  <c r="CJ378" i="2" s="1"/>
  <c r="CH369" i="2"/>
  <c r="CI369" i="2" s="1"/>
  <c r="CM369" i="2"/>
  <c r="BI364" i="2"/>
  <c r="CG364" i="2" s="1"/>
  <c r="CJ364" i="2" s="1"/>
  <c r="BJ364" i="2"/>
  <c r="CG360" i="2"/>
  <c r="CJ360" i="2" s="1"/>
  <c r="CK360" i="2"/>
  <c r="CG428" i="2"/>
  <c r="CJ428" i="2" s="1"/>
  <c r="CH406" i="2"/>
  <c r="CI406" i="2" s="1"/>
  <c r="CM406" i="2"/>
  <c r="CG405" i="2"/>
  <c r="CJ405" i="2" s="1"/>
  <c r="CK405" i="2"/>
  <c r="CG398" i="2"/>
  <c r="CJ398" i="2" s="1"/>
  <c r="CG392" i="2"/>
  <c r="CJ392" i="2" s="1"/>
  <c r="CK392" i="2"/>
  <c r="BI388" i="2"/>
  <c r="CG388" i="2" s="1"/>
  <c r="CJ388" i="2" s="1"/>
  <c r="BJ388" i="2"/>
  <c r="CG367" i="2"/>
  <c r="CJ367" i="2" s="1"/>
  <c r="CK367" i="2"/>
  <c r="CH361" i="2"/>
  <c r="CI361" i="2" s="1"/>
  <c r="CM361" i="2"/>
  <c r="CG344" i="2"/>
  <c r="CJ344" i="2" s="1"/>
  <c r="CK344" i="2"/>
  <c r="CK533" i="2"/>
  <c r="CK529" i="2"/>
  <c r="CK525" i="2"/>
  <c r="CK521" i="2"/>
  <c r="CK514" i="2"/>
  <c r="CK510" i="2"/>
  <c r="CK506" i="2"/>
  <c r="CK490" i="2"/>
  <c r="BI445" i="2"/>
  <c r="CG445" i="2" s="1"/>
  <c r="CJ445" i="2" s="1"/>
  <c r="CG435" i="2"/>
  <c r="CJ435" i="2" s="1"/>
  <c r="CK425" i="2"/>
  <c r="CH419" i="2"/>
  <c r="CI419" i="2" s="1"/>
  <c r="CM419" i="2"/>
  <c r="CH412" i="2"/>
  <c r="CI412" i="2" s="1"/>
  <c r="CM412" i="2"/>
  <c r="CG411" i="2"/>
  <c r="CJ411" i="2" s="1"/>
  <c r="CK411" i="2"/>
  <c r="CH407" i="2"/>
  <c r="CI407" i="2" s="1"/>
  <c r="CM407" i="2"/>
  <c r="CH393" i="2"/>
  <c r="CI393" i="2" s="1"/>
  <c r="CM393" i="2"/>
  <c r="CG391" i="2"/>
  <c r="CJ391" i="2" s="1"/>
  <c r="CK391" i="2"/>
  <c r="CH381" i="2"/>
  <c r="CI381" i="2" s="1"/>
  <c r="CM381" i="2"/>
  <c r="CH374" i="2"/>
  <c r="CI374" i="2" s="1"/>
  <c r="CM374" i="2"/>
  <c r="CG373" i="2"/>
  <c r="CJ373" i="2" s="1"/>
  <c r="CK373" i="2"/>
  <c r="CK370" i="2"/>
  <c r="CG359" i="2"/>
  <c r="CJ359" i="2" s="1"/>
  <c r="CK359" i="2"/>
  <c r="CM458" i="2"/>
  <c r="BJ452" i="2"/>
  <c r="CM450" i="2"/>
  <c r="BI446" i="2"/>
  <c r="CG446" i="2" s="1"/>
  <c r="CJ446" i="2" s="1"/>
  <c r="CM445" i="2"/>
  <c r="BJ443" i="2"/>
  <c r="CH428" i="2"/>
  <c r="CI428" i="2" s="1"/>
  <c r="CM428" i="2"/>
  <c r="BI426" i="2"/>
  <c r="CG426" i="2" s="1"/>
  <c r="CJ426" i="2" s="1"/>
  <c r="BJ426" i="2"/>
  <c r="CH405" i="2"/>
  <c r="CI405" i="2" s="1"/>
  <c r="CM405" i="2"/>
  <c r="CH398" i="2"/>
  <c r="CI398" i="2" s="1"/>
  <c r="CM398" i="2"/>
  <c r="CG397" i="2"/>
  <c r="CJ397" i="2" s="1"/>
  <c r="CK397" i="2"/>
  <c r="CG358" i="2"/>
  <c r="CJ358" i="2" s="1"/>
  <c r="BI348" i="2"/>
  <c r="CG348" i="2" s="1"/>
  <c r="CJ348" i="2" s="1"/>
  <c r="BJ348" i="2"/>
  <c r="CG422" i="2"/>
  <c r="CJ422" i="2" s="1"/>
  <c r="CK422" i="2"/>
  <c r="CG384" i="2"/>
  <c r="CJ384" i="2" s="1"/>
  <c r="CK384" i="2"/>
  <c r="BI380" i="2"/>
  <c r="CG380" i="2" s="1"/>
  <c r="CJ380" i="2" s="1"/>
  <c r="BJ380" i="2"/>
  <c r="CH373" i="2"/>
  <c r="CI373" i="2" s="1"/>
  <c r="CM373" i="2"/>
  <c r="CG372" i="2"/>
  <c r="CJ372" i="2" s="1"/>
  <c r="CH366" i="2"/>
  <c r="CI366" i="2" s="1"/>
  <c r="CM366" i="2"/>
  <c r="CG365" i="2"/>
  <c r="CJ365" i="2" s="1"/>
  <c r="CK365" i="2"/>
  <c r="CK362" i="2"/>
  <c r="CG362" i="2"/>
  <c r="CJ362" i="2" s="1"/>
  <c r="BI441" i="2"/>
  <c r="CG441" i="2" s="1"/>
  <c r="CJ441" i="2" s="1"/>
  <c r="CG427" i="2"/>
  <c r="CJ427" i="2" s="1"/>
  <c r="CK427" i="2"/>
  <c r="CH423" i="2"/>
  <c r="CI423" i="2" s="1"/>
  <c r="CM423" i="2"/>
  <c r="CG421" i="2"/>
  <c r="CJ421" i="2" s="1"/>
  <c r="CK421" i="2"/>
  <c r="BI418" i="2"/>
  <c r="CG418" i="2" s="1"/>
  <c r="CJ418" i="2" s="1"/>
  <c r="BJ418" i="2"/>
  <c r="CG410" i="2"/>
  <c r="CJ410" i="2" s="1"/>
  <c r="BI404" i="2"/>
  <c r="CG404" i="2" s="1"/>
  <c r="CJ404" i="2" s="1"/>
  <c r="BJ404" i="2"/>
  <c r="CH397" i="2"/>
  <c r="CI397" i="2" s="1"/>
  <c r="CM397" i="2"/>
  <c r="CH390" i="2"/>
  <c r="CI390" i="2" s="1"/>
  <c r="CM390" i="2"/>
  <c r="CG389" i="2"/>
  <c r="CJ389" i="2" s="1"/>
  <c r="CK389" i="2"/>
  <c r="CH385" i="2"/>
  <c r="CI385" i="2" s="1"/>
  <c r="CM385" i="2"/>
  <c r="CG383" i="2"/>
  <c r="CJ383" i="2" s="1"/>
  <c r="CK383" i="2"/>
  <c r="CG376" i="2"/>
  <c r="CJ376" i="2" s="1"/>
  <c r="CK376" i="2"/>
  <c r="CH358" i="2"/>
  <c r="CI358" i="2" s="1"/>
  <c r="CM358" i="2"/>
  <c r="CG357" i="2"/>
  <c r="CJ357" i="2" s="1"/>
  <c r="CK357" i="2"/>
  <c r="CK404" i="2"/>
  <c r="CK396" i="2"/>
  <c r="CK388" i="2"/>
  <c r="CK380" i="2"/>
  <c r="CK372" i="2"/>
  <c r="CK364" i="2"/>
  <c r="CG316" i="2"/>
  <c r="CJ316" i="2" s="1"/>
  <c r="CK316" i="2"/>
  <c r="CH314" i="2"/>
  <c r="CI314" i="2" s="1"/>
  <c r="CM314" i="2"/>
  <c r="CG288" i="2"/>
  <c r="CJ288" i="2" s="1"/>
  <c r="CK288" i="2"/>
  <c r="CK283" i="2"/>
  <c r="CG283" i="2"/>
  <c r="CJ283" i="2" s="1"/>
  <c r="BJ430" i="2"/>
  <c r="BJ422" i="2"/>
  <c r="BJ414" i="2"/>
  <c r="BJ400" i="2"/>
  <c r="BJ392" i="2"/>
  <c r="BJ384" i="2"/>
  <c r="BJ376" i="2"/>
  <c r="BJ368" i="2"/>
  <c r="BJ360" i="2"/>
  <c r="CM352" i="2"/>
  <c r="CH352" i="2"/>
  <c r="CI352" i="2" s="1"/>
  <c r="CK351" i="2"/>
  <c r="CG351" i="2"/>
  <c r="CJ351" i="2" s="1"/>
  <c r="CH346" i="2"/>
  <c r="CI346" i="2" s="1"/>
  <c r="CK343" i="2"/>
  <c r="CG343" i="2"/>
  <c r="CJ343" i="2" s="1"/>
  <c r="CK336" i="2"/>
  <c r="CG336" i="2"/>
  <c r="CJ336" i="2" s="1"/>
  <c r="CG329" i="2"/>
  <c r="CJ329" i="2" s="1"/>
  <c r="CK329" i="2"/>
  <c r="CG324" i="2"/>
  <c r="CJ324" i="2" s="1"/>
  <c r="CH321" i="2"/>
  <c r="CI321" i="2" s="1"/>
  <c r="CM321" i="2"/>
  <c r="CK320" i="2"/>
  <c r="BI314" i="2"/>
  <c r="CG314" i="2" s="1"/>
  <c r="CJ314" i="2" s="1"/>
  <c r="CG313" i="2"/>
  <c r="CJ313" i="2" s="1"/>
  <c r="CK296" i="2"/>
  <c r="CK291" i="2"/>
  <c r="CG291" i="2"/>
  <c r="CJ291" i="2" s="1"/>
  <c r="CH289" i="2"/>
  <c r="CI289" i="2" s="1"/>
  <c r="CM289" i="2"/>
  <c r="CG287" i="2"/>
  <c r="CJ287" i="2" s="1"/>
  <c r="CK287" i="2"/>
  <c r="CK439" i="2"/>
  <c r="CM429" i="2"/>
  <c r="CK428" i="2"/>
  <c r="CM421" i="2"/>
  <c r="CK420" i="2"/>
  <c r="CM413" i="2"/>
  <c r="CK412" i="2"/>
  <c r="CK406" i="2"/>
  <c r="CM399" i="2"/>
  <c r="CK398" i="2"/>
  <c r="CM391" i="2"/>
  <c r="CK390" i="2"/>
  <c r="CM383" i="2"/>
  <c r="CK382" i="2"/>
  <c r="CK374" i="2"/>
  <c r="CK366" i="2"/>
  <c r="CK358" i="2"/>
  <c r="CG356" i="2"/>
  <c r="CJ356" i="2" s="1"/>
  <c r="BI352" i="2"/>
  <c r="CG352" i="2" s="1"/>
  <c r="CJ352" i="2" s="1"/>
  <c r="CM351" i="2"/>
  <c r="CH351" i="2"/>
  <c r="CI351" i="2" s="1"/>
  <c r="CH334" i="2"/>
  <c r="CI334" i="2" s="1"/>
  <c r="CM334" i="2"/>
  <c r="CK333" i="2"/>
  <c r="CK332" i="2"/>
  <c r="CG323" i="2"/>
  <c r="CJ323" i="2" s="1"/>
  <c r="CK323" i="2"/>
  <c r="BI320" i="2"/>
  <c r="CG320" i="2" s="1"/>
  <c r="CJ320" i="2" s="1"/>
  <c r="BJ320" i="2"/>
  <c r="CG308" i="2"/>
  <c r="CJ308" i="2" s="1"/>
  <c r="CK299" i="2"/>
  <c r="CG299" i="2"/>
  <c r="CJ299" i="2" s="1"/>
  <c r="CH297" i="2"/>
  <c r="CI297" i="2" s="1"/>
  <c r="CM297" i="2"/>
  <c r="CG295" i="2"/>
  <c r="CJ295" i="2" s="1"/>
  <c r="CK295" i="2"/>
  <c r="BJ362" i="2"/>
  <c r="BI333" i="2"/>
  <c r="CG333" i="2" s="1"/>
  <c r="CJ333" i="2" s="1"/>
  <c r="BJ333" i="2"/>
  <c r="CK315" i="2"/>
  <c r="CG315" i="2"/>
  <c r="CJ315" i="2" s="1"/>
  <c r="CG304" i="2"/>
  <c r="CJ304" i="2" s="1"/>
  <c r="CK304" i="2"/>
  <c r="CG303" i="2"/>
  <c r="CJ303" i="2" s="1"/>
  <c r="CK303" i="2"/>
  <c r="CM442" i="2"/>
  <c r="CK328" i="2"/>
  <c r="CG328" i="2"/>
  <c r="CJ328" i="2" s="1"/>
  <c r="CH313" i="2"/>
  <c r="CI313" i="2" s="1"/>
  <c r="CM313" i="2"/>
  <c r="CK312" i="2"/>
  <c r="CK311" i="2"/>
  <c r="CH305" i="2"/>
  <c r="CI305" i="2" s="1"/>
  <c r="CM305" i="2"/>
  <c r="CG285" i="2"/>
  <c r="CJ285" i="2" s="1"/>
  <c r="CK285" i="2"/>
  <c r="BJ354" i="2"/>
  <c r="BI354" i="2"/>
  <c r="CG354" i="2" s="1"/>
  <c r="CJ354" i="2" s="1"/>
  <c r="CH342" i="2"/>
  <c r="CI342" i="2" s="1"/>
  <c r="CM342" i="2"/>
  <c r="CK341" i="2"/>
  <c r="CK322" i="2"/>
  <c r="CG322" i="2"/>
  <c r="CJ322" i="2" s="1"/>
  <c r="BI312" i="2"/>
  <c r="CG312" i="2" s="1"/>
  <c r="CJ312" i="2" s="1"/>
  <c r="BJ312" i="2"/>
  <c r="CK307" i="2"/>
  <c r="CG307" i="2"/>
  <c r="CJ307" i="2" s="1"/>
  <c r="CG293" i="2"/>
  <c r="CJ293" i="2" s="1"/>
  <c r="CK293" i="2"/>
  <c r="CH286" i="2"/>
  <c r="CI286" i="2" s="1"/>
  <c r="CM286" i="2"/>
  <c r="CK347" i="2"/>
  <c r="BI341" i="2"/>
  <c r="CG341" i="2" s="1"/>
  <c r="CJ341" i="2" s="1"/>
  <c r="BJ341" i="2"/>
  <c r="CG337" i="2"/>
  <c r="CJ337" i="2" s="1"/>
  <c r="CK337" i="2"/>
  <c r="CH335" i="2"/>
  <c r="CI335" i="2" s="1"/>
  <c r="CM335" i="2"/>
  <c r="CG301" i="2"/>
  <c r="CJ301" i="2" s="1"/>
  <c r="CK301" i="2"/>
  <c r="CH294" i="2"/>
  <c r="CI294" i="2" s="1"/>
  <c r="CM294" i="2"/>
  <c r="CG292" i="2"/>
  <c r="CJ292" i="2" s="1"/>
  <c r="CG280" i="2"/>
  <c r="CJ280" i="2" s="1"/>
  <c r="CK280" i="2"/>
  <c r="CG279" i="2"/>
  <c r="CJ279" i="2" s="1"/>
  <c r="CK279" i="2"/>
  <c r="CH343" i="2"/>
  <c r="CI343" i="2" s="1"/>
  <c r="CK308" i="2"/>
  <c r="CG258" i="2"/>
  <c r="CJ258" i="2" s="1"/>
  <c r="CK258" i="2"/>
  <c r="CG249" i="2"/>
  <c r="CJ249" i="2" s="1"/>
  <c r="CK249" i="2"/>
  <c r="CK248" i="2"/>
  <c r="CK244" i="2"/>
  <c r="BI237" i="2"/>
  <c r="BJ237" i="2"/>
  <c r="BI229" i="2"/>
  <c r="CG229" i="2" s="1"/>
  <c r="CJ229" i="2" s="1"/>
  <c r="BJ229" i="2"/>
  <c r="BI213" i="2"/>
  <c r="CG213" i="2" s="1"/>
  <c r="CJ213" i="2" s="1"/>
  <c r="BJ213" i="2"/>
  <c r="CH204" i="2"/>
  <c r="CI204" i="2" s="1"/>
  <c r="CM204" i="2"/>
  <c r="CG191" i="2"/>
  <c r="CJ191" i="2" s="1"/>
  <c r="CK191" i="2"/>
  <c r="CH183" i="2"/>
  <c r="CI183" i="2" s="1"/>
  <c r="CM183" i="2"/>
  <c r="CH173" i="2"/>
  <c r="CI173" i="2" s="1"/>
  <c r="CM173" i="2"/>
  <c r="CH344" i="2"/>
  <c r="CI344" i="2" s="1"/>
  <c r="CH337" i="2"/>
  <c r="CI337" i="2" s="1"/>
  <c r="CH329" i="2"/>
  <c r="CI329" i="2" s="1"/>
  <c r="CH323" i="2"/>
  <c r="CI323" i="2" s="1"/>
  <c r="CH316" i="2"/>
  <c r="CI316" i="2" s="1"/>
  <c r="CH308" i="2"/>
  <c r="CI308" i="2" s="1"/>
  <c r="BJ304" i="2"/>
  <c r="CH300" i="2"/>
  <c r="CI300" i="2" s="1"/>
  <c r="BJ296" i="2"/>
  <c r="CH292" i="2"/>
  <c r="CI292" i="2" s="1"/>
  <c r="BJ288" i="2"/>
  <c r="CH284" i="2"/>
  <c r="CI284" i="2" s="1"/>
  <c r="BJ280" i="2"/>
  <c r="CM278" i="2"/>
  <c r="CH277" i="2"/>
  <c r="CI277" i="2" s="1"/>
  <c r="CK274" i="2"/>
  <c r="CG273" i="2"/>
  <c r="CJ273" i="2" s="1"/>
  <c r="CK266" i="2"/>
  <c r="CG257" i="2"/>
  <c r="CJ257" i="2" s="1"/>
  <c r="CK257" i="2"/>
  <c r="CG256" i="2"/>
  <c r="CJ256" i="2" s="1"/>
  <c r="CK256" i="2"/>
  <c r="CH248" i="2"/>
  <c r="CI248" i="2" s="1"/>
  <c r="CM248" i="2"/>
  <c r="CH221" i="2"/>
  <c r="CI221" i="2" s="1"/>
  <c r="CM221" i="2"/>
  <c r="CG216" i="2"/>
  <c r="CJ216" i="2" s="1"/>
  <c r="CK216" i="2"/>
  <c r="CK215" i="2"/>
  <c r="CK211" i="2"/>
  <c r="CH197" i="2"/>
  <c r="CI197" i="2" s="1"/>
  <c r="CM197" i="2"/>
  <c r="BI188" i="2"/>
  <c r="CG188" i="2" s="1"/>
  <c r="CJ188" i="2" s="1"/>
  <c r="BJ188" i="2"/>
  <c r="BI183" i="2"/>
  <c r="CG183" i="2" s="1"/>
  <c r="CJ183" i="2" s="1"/>
  <c r="CK331" i="2"/>
  <c r="CM326" i="2"/>
  <c r="CK325" i="2"/>
  <c r="CM319" i="2"/>
  <c r="CK318" i="2"/>
  <c r="CM311" i="2"/>
  <c r="CK310" i="2"/>
  <c r="CM303" i="2"/>
  <c r="CK302" i="2"/>
  <c r="CK294" i="2"/>
  <c r="CM279" i="2"/>
  <c r="BI270" i="2"/>
  <c r="CG270" i="2" s="1"/>
  <c r="CJ270" i="2" s="1"/>
  <c r="BJ270" i="2"/>
  <c r="CG269" i="2"/>
  <c r="CJ269" i="2" s="1"/>
  <c r="CH268" i="2"/>
  <c r="CI268" i="2" s="1"/>
  <c r="CG265" i="2"/>
  <c r="CJ265" i="2" s="1"/>
  <c r="CK265" i="2"/>
  <c r="CG264" i="2"/>
  <c r="CJ264" i="2" s="1"/>
  <c r="CK264" i="2"/>
  <c r="CK261" i="2"/>
  <c r="CH256" i="2"/>
  <c r="CI256" i="2" s="1"/>
  <c r="CM256" i="2"/>
  <c r="BI254" i="2"/>
  <c r="CG254" i="2" s="1"/>
  <c r="CJ254" i="2" s="1"/>
  <c r="BJ254" i="2"/>
  <c r="CG253" i="2"/>
  <c r="CJ253" i="2" s="1"/>
  <c r="BI248" i="2"/>
  <c r="CG248" i="2" s="1"/>
  <c r="CJ248" i="2" s="1"/>
  <c r="CH239" i="2"/>
  <c r="CI239" i="2" s="1"/>
  <c r="CM239" i="2"/>
  <c r="CK235" i="2"/>
  <c r="CG235" i="2"/>
  <c r="CJ235" i="2" s="1"/>
  <c r="CH231" i="2"/>
  <c r="CI231" i="2" s="1"/>
  <c r="CM231" i="2"/>
  <c r="CK227" i="2"/>
  <c r="CG227" i="2"/>
  <c r="CJ227" i="2" s="1"/>
  <c r="CK219" i="2"/>
  <c r="CH215" i="2"/>
  <c r="CI215" i="2" s="1"/>
  <c r="CM215" i="2"/>
  <c r="CG210" i="2"/>
  <c r="CJ210" i="2" s="1"/>
  <c r="BI203" i="2"/>
  <c r="CG203" i="2" s="1"/>
  <c r="CJ203" i="2" s="1"/>
  <c r="BJ203" i="2"/>
  <c r="CK195" i="2"/>
  <c r="CG187" i="2"/>
  <c r="CJ187" i="2" s="1"/>
  <c r="CK179" i="2"/>
  <c r="CG179" i="2"/>
  <c r="CJ179" i="2" s="1"/>
  <c r="BJ306" i="2"/>
  <c r="BJ298" i="2"/>
  <c r="BJ290" i="2"/>
  <c r="BJ282" i="2"/>
  <c r="CK268" i="2"/>
  <c r="CG268" i="2"/>
  <c r="CJ268" i="2" s="1"/>
  <c r="BI266" i="2"/>
  <c r="CG266" i="2" s="1"/>
  <c r="CJ266" i="2" s="1"/>
  <c r="BJ266" i="2"/>
  <c r="CH264" i="2"/>
  <c r="CI264" i="2" s="1"/>
  <c r="CM264" i="2"/>
  <c r="BI262" i="2"/>
  <c r="CG262" i="2" s="1"/>
  <c r="CJ262" i="2" s="1"/>
  <c r="BJ262" i="2"/>
  <c r="CK252" i="2"/>
  <c r="CG252" i="2"/>
  <c r="CJ252" i="2" s="1"/>
  <c r="CG226" i="2"/>
  <c r="CJ226" i="2" s="1"/>
  <c r="BI220" i="2"/>
  <c r="CG220" i="2" s="1"/>
  <c r="CJ220" i="2" s="1"/>
  <c r="BJ220" i="2"/>
  <c r="CG206" i="2"/>
  <c r="CJ206" i="2" s="1"/>
  <c r="CK206" i="2"/>
  <c r="CK205" i="2"/>
  <c r="CG202" i="2"/>
  <c r="CJ202" i="2" s="1"/>
  <c r="CG199" i="2"/>
  <c r="CJ199" i="2" s="1"/>
  <c r="CK199" i="2"/>
  <c r="BI196" i="2"/>
  <c r="CG196" i="2" s="1"/>
  <c r="CJ196" i="2" s="1"/>
  <c r="BJ196" i="2"/>
  <c r="CH190" i="2"/>
  <c r="CI190" i="2" s="1"/>
  <c r="CM190" i="2"/>
  <c r="CG178" i="2"/>
  <c r="CJ178" i="2" s="1"/>
  <c r="CK260" i="2"/>
  <c r="CG260" i="2"/>
  <c r="CJ260" i="2" s="1"/>
  <c r="CG251" i="2"/>
  <c r="CJ251" i="2" s="1"/>
  <c r="CH247" i="2"/>
  <c r="CI247" i="2" s="1"/>
  <c r="CM247" i="2"/>
  <c r="CG242" i="2"/>
  <c r="CJ242" i="2" s="1"/>
  <c r="CK242" i="2"/>
  <c r="CG223" i="2"/>
  <c r="CJ223" i="2" s="1"/>
  <c r="CK223" i="2"/>
  <c r="CK222" i="2"/>
  <c r="CH205" i="2"/>
  <c r="CI205" i="2" s="1"/>
  <c r="CM205" i="2"/>
  <c r="CK186" i="2"/>
  <c r="CG186" i="2"/>
  <c r="CJ186" i="2" s="1"/>
  <c r="CH182" i="2"/>
  <c r="CI182" i="2" s="1"/>
  <c r="CM182" i="2"/>
  <c r="CH174" i="2"/>
  <c r="CI174" i="2" s="1"/>
  <c r="CM174" i="2"/>
  <c r="CK281" i="2"/>
  <c r="CK276" i="2"/>
  <c r="CH222" i="2"/>
  <c r="CI222" i="2" s="1"/>
  <c r="CM222" i="2"/>
  <c r="CG209" i="2"/>
  <c r="CJ209" i="2" s="1"/>
  <c r="CK209" i="2"/>
  <c r="CK201" i="2"/>
  <c r="CG201" i="2"/>
  <c r="CJ201" i="2" s="1"/>
  <c r="CH193" i="2"/>
  <c r="CI193" i="2" s="1"/>
  <c r="CM193" i="2"/>
  <c r="BJ353" i="2"/>
  <c r="BJ345" i="2"/>
  <c r="BJ338" i="2"/>
  <c r="BJ330" i="2"/>
  <c r="BJ324" i="2"/>
  <c r="BJ317" i="2"/>
  <c r="BJ309" i="2"/>
  <c r="BJ301" i="2"/>
  <c r="BJ293" i="2"/>
  <c r="BJ285" i="2"/>
  <c r="BI277" i="2"/>
  <c r="CG277" i="2" s="1"/>
  <c r="CJ277" i="2" s="1"/>
  <c r="CG272" i="2"/>
  <c r="CJ272" i="2" s="1"/>
  <c r="BI246" i="2"/>
  <c r="CG246" i="2" s="1"/>
  <c r="CJ246" i="2" s="1"/>
  <c r="BJ246" i="2"/>
  <c r="CG245" i="2"/>
  <c r="CJ245" i="2" s="1"/>
  <c r="CG241" i="2"/>
  <c r="CJ241" i="2" s="1"/>
  <c r="CK241" i="2"/>
  <c r="CH238" i="2"/>
  <c r="CI238" i="2" s="1"/>
  <c r="CM238" i="2"/>
  <c r="CG237" i="2"/>
  <c r="CJ237" i="2" s="1"/>
  <c r="CG233" i="2"/>
  <c r="CJ233" i="2" s="1"/>
  <c r="CK233" i="2"/>
  <c r="CH230" i="2"/>
  <c r="CI230" i="2" s="1"/>
  <c r="CM230" i="2"/>
  <c r="CG225" i="2"/>
  <c r="CJ225" i="2" s="1"/>
  <c r="CK225" i="2"/>
  <c r="BI222" i="2"/>
  <c r="CG222" i="2" s="1"/>
  <c r="CJ222" i="2" s="1"/>
  <c r="CK218" i="2"/>
  <c r="CG218" i="2"/>
  <c r="CJ218" i="2" s="1"/>
  <c r="CH214" i="2"/>
  <c r="CI214" i="2" s="1"/>
  <c r="CM214" i="2"/>
  <c r="CH198" i="2"/>
  <c r="CI198" i="2" s="1"/>
  <c r="CM198" i="2"/>
  <c r="CG192" i="2"/>
  <c r="CJ192" i="2" s="1"/>
  <c r="CK192" i="2"/>
  <c r="BI181" i="2"/>
  <c r="CG181" i="2" s="1"/>
  <c r="CJ181" i="2" s="1"/>
  <c r="BJ181" i="2"/>
  <c r="CG177" i="2"/>
  <c r="CJ177" i="2" s="1"/>
  <c r="BI278" i="2"/>
  <c r="CG278" i="2" s="1"/>
  <c r="CJ278" i="2" s="1"/>
  <c r="BJ272" i="2"/>
  <c r="CG250" i="2"/>
  <c r="CJ250" i="2" s="1"/>
  <c r="CK250" i="2"/>
  <c r="CK240" i="2"/>
  <c r="CK236" i="2"/>
  <c r="CG232" i="2"/>
  <c r="CJ232" i="2" s="1"/>
  <c r="CK232" i="2"/>
  <c r="CK228" i="2"/>
  <c r="CG217" i="2"/>
  <c r="CJ217" i="2" s="1"/>
  <c r="CK212" i="2"/>
  <c r="CK194" i="2"/>
  <c r="CG194" i="2"/>
  <c r="CJ194" i="2" s="1"/>
  <c r="CH189" i="2"/>
  <c r="CI189" i="2" s="1"/>
  <c r="CM189" i="2"/>
  <c r="CG184" i="2"/>
  <c r="CJ184" i="2" s="1"/>
  <c r="CK184" i="2"/>
  <c r="CK183" i="2"/>
  <c r="CG176" i="2"/>
  <c r="CJ176" i="2" s="1"/>
  <c r="CK176" i="2"/>
  <c r="CG172" i="2"/>
  <c r="CJ172" i="2" s="1"/>
  <c r="CK172" i="2"/>
  <c r="BJ175" i="2"/>
  <c r="BI174" i="2"/>
  <c r="CG174" i="2" s="1"/>
  <c r="CJ174" i="2" s="1"/>
  <c r="BJ265" i="2"/>
  <c r="CK262" i="2"/>
  <c r="BJ257" i="2"/>
  <c r="CK254" i="2"/>
  <c r="BJ249" i="2"/>
  <c r="CK246" i="2"/>
  <c r="CH245" i="2"/>
  <c r="CI245" i="2" s="1"/>
  <c r="BJ242" i="2"/>
  <c r="CH242" i="2" s="1"/>
  <c r="CI242" i="2" s="1"/>
  <c r="BJ240" i="2"/>
  <c r="CK237" i="2"/>
  <c r="CH236" i="2"/>
  <c r="CI236" i="2" s="1"/>
  <c r="BJ232" i="2"/>
  <c r="CK229" i="2"/>
  <c r="CH228" i="2"/>
  <c r="CI228" i="2" s="1"/>
  <c r="BJ223" i="2"/>
  <c r="CK220" i="2"/>
  <c r="BJ216" i="2"/>
  <c r="BJ206" i="2"/>
  <c r="CK203" i="2"/>
  <c r="CK196" i="2"/>
  <c r="BJ191" i="2"/>
  <c r="BJ184" i="2"/>
  <c r="BJ176" i="2"/>
  <c r="BJ258" i="2"/>
  <c r="BJ250" i="2"/>
  <c r="BJ241" i="2"/>
  <c r="BJ233" i="2"/>
  <c r="BJ225" i="2"/>
  <c r="BJ209" i="2"/>
  <c r="BJ199" i="2"/>
  <c r="BJ177" i="2"/>
  <c r="BJ269" i="2"/>
  <c r="BJ261" i="2"/>
  <c r="CM259" i="2"/>
  <c r="BJ253" i="2"/>
  <c r="CM251" i="2"/>
  <c r="CM243" i="2"/>
  <c r="CM234" i="2"/>
  <c r="CM226" i="2"/>
  <c r="CM217" i="2"/>
  <c r="BJ212" i="2"/>
  <c r="CM210" i="2"/>
  <c r="CM200" i="2"/>
  <c r="CM185" i="2"/>
  <c r="CM178" i="2"/>
  <c r="CK177" i="2"/>
  <c r="BJ172" i="2"/>
  <c r="CK788" i="2"/>
  <c r="CK792" i="2"/>
  <c r="CJ792" i="2"/>
  <c r="CK327" i="2"/>
  <c r="CG327" i="2"/>
  <c r="CJ327" i="2" s="1"/>
  <c r="CK911" i="2"/>
  <c r="CK916" i="2"/>
  <c r="AK113" i="4"/>
  <c r="AG113" i="4" s="1"/>
  <c r="AH113" i="4"/>
  <c r="AH15" i="5"/>
  <c r="AI15" i="5"/>
  <c r="AI17" i="5"/>
  <c r="AH17" i="5"/>
  <c r="AI18" i="5"/>
  <c r="AH18" i="5"/>
  <c r="AI19" i="5"/>
  <c r="AH19" i="5"/>
  <c r="Q21" i="5"/>
  <c r="BI916" i="2"/>
  <c r="CG916" i="2" s="1"/>
  <c r="CJ916" i="2" s="1"/>
  <c r="BI911" i="2"/>
  <c r="CG911" i="2" s="1"/>
  <c r="CJ911" i="2" s="1"/>
  <c r="CM916" i="2"/>
  <c r="CH916" i="2"/>
  <c r="CI916" i="2" s="1"/>
  <c r="CM911" i="2"/>
  <c r="CH911" i="2"/>
  <c r="CI911" i="2" s="1"/>
  <c r="AB899" i="2"/>
  <c r="AO889" i="2"/>
  <c r="AO881" i="2"/>
  <c r="AO888" i="2"/>
  <c r="D882" i="3"/>
  <c r="Y887" i="2"/>
  <c r="AF886" i="2"/>
  <c r="AC886" i="2"/>
  <c r="AB886" i="2"/>
  <c r="AB885" i="2"/>
  <c r="CC2" i="2"/>
  <c r="CE2" i="2" s="1"/>
  <c r="CK2" i="2" s="1"/>
  <c r="BF2" i="2"/>
  <c r="AO2" i="2"/>
  <c r="AG2" i="2"/>
  <c r="AF2" i="2"/>
  <c r="AC2" i="2"/>
  <c r="AB2" i="2"/>
  <c r="Q2" i="2"/>
  <c r="AO869" i="2"/>
  <c r="AA33" i="6"/>
  <c r="P33" i="6"/>
  <c r="F859" i="3"/>
  <c r="AB849" i="2"/>
  <c r="AC849" i="2"/>
  <c r="U44" i="4"/>
  <c r="U43" i="4"/>
  <c r="AH43" i="4" s="1"/>
  <c r="D853" i="3"/>
  <c r="AO860" i="2"/>
  <c r="D823" i="3"/>
  <c r="F842" i="3"/>
  <c r="AO844" i="2"/>
  <c r="AO845" i="2"/>
  <c r="AO846" i="2"/>
  <c r="Q27" i="2"/>
  <c r="Q801" i="2"/>
  <c r="D837" i="3"/>
  <c r="Q835" i="2"/>
  <c r="Q837" i="2"/>
  <c r="Q836" i="2"/>
  <c r="Q833" i="2"/>
  <c r="D835" i="3"/>
  <c r="AG836" i="2"/>
  <c r="AF836" i="2"/>
  <c r="AL40" i="4"/>
  <c r="AA27" i="6"/>
  <c r="AA28" i="6"/>
  <c r="AA29" i="6"/>
  <c r="AA25" i="6"/>
  <c r="AA26" i="6"/>
  <c r="Q834" i="2"/>
  <c r="D831" i="3"/>
  <c r="U42" i="4"/>
  <c r="S41" i="4"/>
  <c r="U39" i="4"/>
  <c r="CA28" i="6"/>
  <c r="BN28" i="6"/>
  <c r="BS28" i="6" s="1"/>
  <c r="AL28" i="6"/>
  <c r="X28" i="6"/>
  <c r="W28" i="6"/>
  <c r="AL26" i="6"/>
  <c r="AL27" i="6"/>
  <c r="X27" i="6"/>
  <c r="W27" i="6"/>
  <c r="U36" i="4"/>
  <c r="U35" i="4"/>
  <c r="U34" i="4"/>
  <c r="AH34" i="4" s="1"/>
  <c r="Q13" i="5"/>
  <c r="Q12" i="5"/>
  <c r="O13" i="5"/>
  <c r="O12" i="5"/>
  <c r="P13" i="5"/>
  <c r="P12" i="5"/>
  <c r="P11" i="5"/>
  <c r="P9" i="5"/>
  <c r="P10" i="5"/>
  <c r="P8" i="5"/>
  <c r="P7" i="5"/>
  <c r="V14" i="5"/>
  <c r="F1000" i="3"/>
  <c r="F823" i="3"/>
  <c r="F822" i="3"/>
  <c r="CC34" i="11"/>
  <c r="CE34" i="11" s="1"/>
  <c r="BF34" i="11"/>
  <c r="AO34" i="11"/>
  <c r="AG34" i="11"/>
  <c r="AF34" i="11"/>
  <c r="AC34" i="11"/>
  <c r="AB34" i="11"/>
  <c r="Q34" i="11"/>
  <c r="CC33" i="11"/>
  <c r="CE33" i="11" s="1"/>
  <c r="BF33" i="11"/>
  <c r="AO33" i="11"/>
  <c r="AG33" i="11"/>
  <c r="AF33" i="11"/>
  <c r="AC33" i="11"/>
  <c r="AB33" i="11"/>
  <c r="Q33" i="11"/>
  <c r="CC32" i="11"/>
  <c r="CE32" i="11" s="1"/>
  <c r="BF32" i="11"/>
  <c r="AO32" i="11"/>
  <c r="AG32" i="11"/>
  <c r="AF32" i="11"/>
  <c r="AC32" i="11"/>
  <c r="AB32" i="11"/>
  <c r="Q32" i="11"/>
  <c r="CC31" i="11"/>
  <c r="CE31" i="11" s="1"/>
  <c r="BF31" i="11"/>
  <c r="AO31" i="11"/>
  <c r="AG31" i="11"/>
  <c r="AF31" i="11"/>
  <c r="AC31" i="11"/>
  <c r="AB31" i="11"/>
  <c r="Q31" i="11"/>
  <c r="CC30" i="11"/>
  <c r="CE30" i="11" s="1"/>
  <c r="BF30" i="11"/>
  <c r="AO30" i="11"/>
  <c r="AG30" i="11"/>
  <c r="AF30" i="11"/>
  <c r="AC30" i="11"/>
  <c r="AB30" i="11"/>
  <c r="Q30" i="11"/>
  <c r="CC29" i="11"/>
  <c r="CE29" i="11" s="1"/>
  <c r="BF29" i="11"/>
  <c r="AO29" i="11"/>
  <c r="AG29" i="11"/>
  <c r="AF29" i="11"/>
  <c r="AC29" i="11"/>
  <c r="AB29" i="11"/>
  <c r="Q29" i="11"/>
  <c r="CC28" i="11"/>
  <c r="CE28" i="11" s="1"/>
  <c r="BF28" i="11"/>
  <c r="AO28" i="11"/>
  <c r="AG28" i="11"/>
  <c r="AF28" i="11"/>
  <c r="AC28" i="11"/>
  <c r="AB28" i="11"/>
  <c r="Q28" i="11"/>
  <c r="AO27" i="11"/>
  <c r="AG27" i="11"/>
  <c r="AF27" i="11"/>
  <c r="AB27" i="11"/>
  <c r="Q27" i="11"/>
  <c r="AC824" i="2"/>
  <c r="AB824" i="2"/>
  <c r="AO822" i="2"/>
  <c r="F817" i="3"/>
  <c r="AO819" i="2"/>
  <c r="AF819" i="2"/>
  <c r="AC819" i="2"/>
  <c r="AB819" i="2"/>
  <c r="AO818" i="2"/>
  <c r="AG818" i="2"/>
  <c r="AF818" i="2"/>
  <c r="AC818" i="2"/>
  <c r="AB818" i="2"/>
  <c r="Q818" i="2"/>
  <c r="CK778" i="2"/>
  <c r="CH778" i="2"/>
  <c r="CI778" i="2" s="1"/>
  <c r="CG778" i="2"/>
  <c r="CJ778" i="2" s="1"/>
  <c r="D813" i="3"/>
  <c r="F813" i="3"/>
  <c r="CC814" i="2"/>
  <c r="CE814" i="2" s="1"/>
  <c r="BF814" i="2"/>
  <c r="AO814" i="2"/>
  <c r="AG814" i="2"/>
  <c r="AF814" i="2"/>
  <c r="AC814" i="2"/>
  <c r="AB814" i="2"/>
  <c r="Q814" i="2"/>
  <c r="CC813" i="2"/>
  <c r="CE813" i="2" s="1"/>
  <c r="BF813" i="2"/>
  <c r="AO813" i="2"/>
  <c r="AG813" i="2"/>
  <c r="AF813" i="2"/>
  <c r="AC813" i="2"/>
  <c r="AB813" i="2"/>
  <c r="Q813" i="2"/>
  <c r="AB812" i="2"/>
  <c r="AB811" i="2"/>
  <c r="AB808" i="2"/>
  <c r="AC807" i="2"/>
  <c r="AB807" i="2"/>
  <c r="AO805" i="2"/>
  <c r="AG805" i="2"/>
  <c r="AF805" i="2"/>
  <c r="AC805" i="2"/>
  <c r="AB805" i="2"/>
  <c r="Q805" i="2"/>
  <c r="AC13" i="5"/>
  <c r="Y13" i="5"/>
  <c r="X13" i="5"/>
  <c r="V13" i="5"/>
  <c r="AH13" i="5" s="1"/>
  <c r="AC12" i="5"/>
  <c r="Y12" i="5"/>
  <c r="X12" i="5"/>
  <c r="V12" i="5"/>
  <c r="AI12" i="5" s="1"/>
  <c r="BF801" i="2"/>
  <c r="AO801" i="2"/>
  <c r="V11" i="5"/>
  <c r="AI11" i="5" s="1"/>
  <c r="CA20" i="6"/>
  <c r="CA21" i="6"/>
  <c r="BN20" i="6"/>
  <c r="BS20" i="6" s="1"/>
  <c r="BN21" i="6"/>
  <c r="BS21" i="6" s="1"/>
  <c r="AL20" i="6"/>
  <c r="AP20" i="6" s="1"/>
  <c r="BV20" i="6" s="1"/>
  <c r="AL21" i="6"/>
  <c r="AP21" i="6" s="1"/>
  <c r="BV21" i="6" s="1"/>
  <c r="AO21" i="6"/>
  <c r="AO20" i="6"/>
  <c r="P25" i="6"/>
  <c r="X24" i="6"/>
  <c r="W24" i="6"/>
  <c r="BN22" i="6"/>
  <c r="BS22" i="6" s="1"/>
  <c r="CA22" i="6"/>
  <c r="U30" i="4"/>
  <c r="R26" i="4"/>
  <c r="AE24" i="4"/>
  <c r="AF24" i="4" s="1"/>
  <c r="T23" i="4"/>
  <c r="U21" i="4"/>
  <c r="AO796" i="2"/>
  <c r="AF796" i="2"/>
  <c r="AG796" i="2"/>
  <c r="AC796" i="2"/>
  <c r="AB796" i="2"/>
  <c r="Q796" i="2"/>
  <c r="X8" i="5"/>
  <c r="Y8" i="5"/>
  <c r="O7" i="5"/>
  <c r="O8" i="5"/>
  <c r="AO795" i="2"/>
  <c r="AO788" i="2"/>
  <c r="AO783" i="2"/>
  <c r="AG788" i="2"/>
  <c r="AF788" i="2"/>
  <c r="AC788" i="2"/>
  <c r="AB788" i="2"/>
  <c r="Q788" i="2"/>
  <c r="Q775" i="2"/>
  <c r="AO779" i="2"/>
  <c r="AG779" i="2"/>
  <c r="AF779" i="2"/>
  <c r="AC779" i="2"/>
  <c r="AB779" i="2"/>
  <c r="Q779" i="2"/>
  <c r="D780" i="3"/>
  <c r="F779" i="3"/>
  <c r="U19" i="4"/>
  <c r="R17" i="4"/>
  <c r="U16" i="4"/>
  <c r="R16" i="4"/>
  <c r="U15" i="4"/>
  <c r="U14" i="4"/>
  <c r="S13" i="4"/>
  <c r="U13" i="4" s="1"/>
  <c r="U12" i="4"/>
  <c r="D771" i="3"/>
  <c r="AO770" i="2"/>
  <c r="AO769" i="2"/>
  <c r="AO768" i="2"/>
  <c r="Q768" i="2"/>
  <c r="Q769" i="2"/>
  <c r="AO761" i="2"/>
  <c r="AC758" i="2"/>
  <c r="AB758" i="2"/>
  <c r="AB756" i="2"/>
  <c r="AA19" i="6"/>
  <c r="BN18" i="6"/>
  <c r="BS18" i="6" s="1"/>
  <c r="W18" i="6"/>
  <c r="W17" i="6"/>
  <c r="W16" i="6"/>
  <c r="X15" i="6"/>
  <c r="W15" i="6"/>
  <c r="X14" i="6"/>
  <c r="W14" i="6"/>
  <c r="AA14" i="6"/>
  <c r="AB14" i="6"/>
  <c r="X7" i="6"/>
  <c r="W7" i="6"/>
  <c r="Y7" i="5"/>
  <c r="X7" i="5"/>
  <c r="V7" i="5"/>
  <c r="AI7" i="5" s="1"/>
  <c r="Q7" i="5"/>
  <c r="Q6" i="5"/>
  <c r="O6" i="5"/>
  <c r="P6" i="6"/>
  <c r="AA4" i="6"/>
  <c r="AB4" i="6"/>
  <c r="X9" i="4"/>
  <c r="AF747" i="2"/>
  <c r="AB745" i="2"/>
  <c r="AO744" i="2"/>
  <c r="Q741" i="2"/>
  <c r="D737" i="3"/>
  <c r="BF737" i="2"/>
  <c r="BF736" i="2"/>
  <c r="AO737" i="2"/>
  <c r="AO736" i="2"/>
  <c r="D734" i="3"/>
  <c r="AB3" i="6"/>
  <c r="X4" i="6"/>
  <c r="W4" i="6"/>
  <c r="D729" i="3"/>
  <c r="BF729" i="2"/>
  <c r="AO729" i="2"/>
  <c r="X5" i="5"/>
  <c r="V6" i="5"/>
  <c r="AI6" i="5" s="1"/>
  <c r="V5" i="5"/>
  <c r="AI5" i="5" s="1"/>
  <c r="P6" i="5"/>
  <c r="O5" i="5"/>
  <c r="P5" i="5"/>
  <c r="AF5" i="5"/>
  <c r="AG5" i="5" s="1"/>
  <c r="AC5" i="5"/>
  <c r="AB5" i="5"/>
  <c r="Y5" i="5"/>
  <c r="V4" i="5"/>
  <c r="AI4" i="5" s="1"/>
  <c r="AF3" i="5"/>
  <c r="AG3" i="5" s="1"/>
  <c r="AC3" i="5"/>
  <c r="AB3" i="5"/>
  <c r="Y3" i="5"/>
  <c r="X3" i="5"/>
  <c r="V3" i="5"/>
  <c r="AI3" i="5" s="1"/>
  <c r="P3" i="5"/>
  <c r="O3" i="5"/>
  <c r="O2" i="5"/>
  <c r="AF721" i="2"/>
  <c r="U8" i="4"/>
  <c r="X11" i="5"/>
  <c r="Y11" i="5"/>
  <c r="AC11" i="5"/>
  <c r="P2" i="5"/>
  <c r="AL2" i="5" s="1"/>
  <c r="AH2" i="5" s="1"/>
  <c r="D716" i="3"/>
  <c r="D708" i="3"/>
  <c r="F708" i="3"/>
  <c r="D709" i="3"/>
  <c r="F709" i="3"/>
  <c r="BF704" i="2"/>
  <c r="AO704" i="2"/>
  <c r="D704" i="3"/>
  <c r="Q701" i="2"/>
  <c r="AO701" i="2"/>
  <c r="BF701" i="2"/>
  <c r="CC701" i="2"/>
  <c r="CE701" i="2" s="1"/>
  <c r="Q702" i="2"/>
  <c r="AO702" i="2"/>
  <c r="BF702" i="2"/>
  <c r="BJ702" i="2" s="1"/>
  <c r="CH702" i="2" s="1"/>
  <c r="CI702" i="2" s="1"/>
  <c r="CC702" i="2"/>
  <c r="CE702" i="2" s="1"/>
  <c r="D683" i="3"/>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70" i="2"/>
  <c r="Q771" i="2"/>
  <c r="Q772" i="2"/>
  <c r="Q773" i="2"/>
  <c r="Q774" i="2"/>
  <c r="Q776" i="2"/>
  <c r="Q777" i="2"/>
  <c r="Q780" i="2"/>
  <c r="Q781" i="2"/>
  <c r="Q782" i="2"/>
  <c r="Q783" i="2"/>
  <c r="Q784" i="2"/>
  <c r="Q785" i="2"/>
  <c r="Q786" i="2"/>
  <c r="Q787" i="2"/>
  <c r="Q789" i="2"/>
  <c r="Q790" i="2"/>
  <c r="Q791" i="2"/>
  <c r="Q792" i="2"/>
  <c r="Q793" i="2"/>
  <c r="Q794" i="2"/>
  <c r="Q795" i="2"/>
  <c r="Q797" i="2"/>
  <c r="Q798" i="2"/>
  <c r="Q799" i="2"/>
  <c r="Q800" i="2"/>
  <c r="U5" i="4"/>
  <c r="F663" i="3"/>
  <c r="F662" i="3"/>
  <c r="F661" i="3"/>
  <c r="F660" i="3"/>
  <c r="F655" i="3"/>
  <c r="F653" i="3"/>
  <c r="F654" i="3"/>
  <c r="F650" i="3"/>
  <c r="F651" i="3"/>
  <c r="F652" i="3"/>
  <c r="F643" i="3"/>
  <c r="D629" i="3"/>
  <c r="D593" i="3"/>
  <c r="F571" i="3"/>
  <c r="F556" i="3"/>
  <c r="F557" i="3"/>
  <c r="F558" i="3"/>
  <c r="F554" i="3"/>
  <c r="F555" i="3"/>
  <c r="F543" i="3"/>
  <c r="Q147" i="2"/>
  <c r="F501" i="3"/>
  <c r="D443" i="3"/>
  <c r="U3" i="4"/>
  <c r="R3" i="4"/>
  <c r="U2" i="4"/>
  <c r="R2" i="4"/>
  <c r="F435" i="3"/>
  <c r="F406" i="3"/>
  <c r="D404" i="3"/>
  <c r="F401" i="3"/>
  <c r="F290" i="3"/>
  <c r="F222" i="3"/>
  <c r="F196" i="3"/>
  <c r="AC170" i="2"/>
  <c r="AB170" i="2"/>
  <c r="AC169" i="2"/>
  <c r="AB169" i="2"/>
  <c r="AC168" i="2"/>
  <c r="AB168" i="2"/>
  <c r="AC167" i="2"/>
  <c r="AB167" i="2"/>
  <c r="AC166" i="2"/>
  <c r="AB166" i="2"/>
  <c r="AF163" i="2"/>
  <c r="F160" i="3"/>
  <c r="AF158" i="2"/>
  <c r="AG156" i="2"/>
  <c r="AF156" i="2"/>
  <c r="AB118" i="2"/>
  <c r="F109" i="3"/>
  <c r="F108" i="3"/>
  <c r="AC106" i="2"/>
  <c r="AB106" i="2"/>
  <c r="AC105" i="2"/>
  <c r="AB105" i="2"/>
  <c r="AC104" i="2"/>
  <c r="AB104" i="2"/>
  <c r="AC103" i="2"/>
  <c r="AB103" i="2"/>
  <c r="AC102" i="2"/>
  <c r="AB102" i="2"/>
  <c r="AC101" i="2"/>
  <c r="AB101" i="2"/>
  <c r="F103" i="3"/>
  <c r="F104" i="3"/>
  <c r="D99" i="3"/>
  <c r="Q81" i="2"/>
  <c r="AO75" i="2"/>
  <c r="F68" i="3"/>
  <c r="F62" i="3"/>
  <c r="F57" i="3"/>
  <c r="D53" i="3"/>
  <c r="AO5" i="2"/>
  <c r="AC100" i="2"/>
  <c r="AB100" i="2"/>
  <c r="AC99" i="2"/>
  <c r="AB99" i="2"/>
  <c r="AC98" i="2"/>
  <c r="AB98" i="2"/>
  <c r="AC97" i="2"/>
  <c r="AB97" i="2"/>
  <c r="AC96" i="2"/>
  <c r="AB96" i="2"/>
  <c r="AC95" i="2"/>
  <c r="AB95" i="2"/>
  <c r="AC94" i="2"/>
  <c r="AB94" i="2"/>
  <c r="AC93" i="2"/>
  <c r="AB93" i="2"/>
  <c r="AC92" i="2"/>
  <c r="AB92" i="2"/>
  <c r="AC91" i="2"/>
  <c r="AB91" i="2"/>
  <c r="AC90" i="2"/>
  <c r="AB90" i="2"/>
  <c r="AC89" i="2"/>
  <c r="AB89" i="2"/>
  <c r="AC88" i="2"/>
  <c r="AB88" i="2"/>
  <c r="AC87" i="2"/>
  <c r="AB87" i="2"/>
  <c r="AC86" i="2"/>
  <c r="AB86" i="2"/>
  <c r="AC85" i="2"/>
  <c r="AB85" i="2"/>
  <c r="AC84" i="2"/>
  <c r="AB84" i="2"/>
  <c r="AC83" i="2"/>
  <c r="AB83" i="2"/>
  <c r="AC82" i="2"/>
  <c r="AB82" i="2"/>
  <c r="AC81" i="2"/>
  <c r="AB81" i="2"/>
  <c r="AC80" i="2"/>
  <c r="AB80" i="2"/>
  <c r="AC79" i="2"/>
  <c r="AB79" i="2"/>
  <c r="AC78" i="2"/>
  <c r="AB78" i="2"/>
  <c r="AC77" i="2"/>
  <c r="AB77" i="2"/>
  <c r="AC76" i="2"/>
  <c r="AB76" i="2"/>
  <c r="AC75" i="2"/>
  <c r="AB75" i="2"/>
  <c r="AC74" i="2"/>
  <c r="AB74" i="2"/>
  <c r="AC73" i="2"/>
  <c r="AB73" i="2"/>
  <c r="AC72" i="2"/>
  <c r="AB72" i="2"/>
  <c r="AC71" i="2"/>
  <c r="AB71" i="2"/>
  <c r="AC70" i="2"/>
  <c r="AB70" i="2"/>
  <c r="AC69" i="2"/>
  <c r="AB69" i="2"/>
  <c r="AC68" i="2"/>
  <c r="AB68" i="2"/>
  <c r="AC67" i="2"/>
  <c r="AB67" i="2"/>
  <c r="AC66" i="2"/>
  <c r="AB66" i="2"/>
  <c r="AC65" i="2"/>
  <c r="AB65" i="2"/>
  <c r="AC64" i="2"/>
  <c r="AB64" i="2"/>
  <c r="AC63" i="2"/>
  <c r="AB63" i="2"/>
  <c r="AC62" i="2"/>
  <c r="AB62" i="2"/>
  <c r="AC61" i="2"/>
  <c r="AB61" i="2"/>
  <c r="AC60" i="2"/>
  <c r="AB60" i="2"/>
  <c r="AC59" i="2"/>
  <c r="AB59" i="2"/>
  <c r="AC58" i="2"/>
  <c r="AB58" i="2"/>
  <c r="AC57" i="2"/>
  <c r="AB57" i="2"/>
  <c r="AC56" i="2"/>
  <c r="AB56" i="2"/>
  <c r="AC55" i="2"/>
  <c r="AB55" i="2"/>
  <c r="AC54" i="2"/>
  <c r="AB54" i="2"/>
  <c r="AC53" i="2"/>
  <c r="AB53" i="2"/>
  <c r="AC52" i="2"/>
  <c r="AB52" i="2"/>
  <c r="AC51" i="2"/>
  <c r="AB51" i="2"/>
  <c r="AC50" i="2"/>
  <c r="AB50" i="2"/>
  <c r="AC49" i="2"/>
  <c r="AB49" i="2"/>
  <c r="AC48" i="2"/>
  <c r="AB48" i="2"/>
  <c r="AC47" i="2"/>
  <c r="AB47" i="2"/>
  <c r="AC46" i="2"/>
  <c r="AB46" i="2"/>
  <c r="AC45" i="2"/>
  <c r="AB45" i="2"/>
  <c r="AC44" i="2"/>
  <c r="AB44" i="2"/>
  <c r="AC43" i="2"/>
  <c r="AB43" i="2"/>
  <c r="AC42" i="2"/>
  <c r="AB42" i="2"/>
  <c r="AC41" i="2"/>
  <c r="AB41" i="2"/>
  <c r="AC40" i="2"/>
  <c r="AB40" i="2"/>
  <c r="AC39" i="2"/>
  <c r="AB39" i="2"/>
  <c r="AC38" i="2"/>
  <c r="AB38" i="2"/>
  <c r="AC37" i="2"/>
  <c r="AB37" i="2"/>
  <c r="AC36" i="2"/>
  <c r="AB36" i="2"/>
  <c r="AC35" i="2"/>
  <c r="AB35" i="2"/>
  <c r="AC34" i="2"/>
  <c r="AB34" i="2"/>
  <c r="AC33" i="2"/>
  <c r="AB33" i="2"/>
  <c r="AC32" i="2"/>
  <c r="AB32" i="2"/>
  <c r="AC31" i="2"/>
  <c r="AB31" i="2"/>
  <c r="AC30" i="2"/>
  <c r="AB30" i="2"/>
  <c r="AC29" i="2"/>
  <c r="AB29" i="2"/>
  <c r="AC28" i="2"/>
  <c r="AB28" i="2"/>
  <c r="AC27" i="2"/>
  <c r="AB27" i="2"/>
  <c r="AC26" i="2"/>
  <c r="AB26" i="2"/>
  <c r="AC25" i="2"/>
  <c r="AB25" i="2"/>
  <c r="AC24" i="2"/>
  <c r="AB24" i="2"/>
  <c r="AC23" i="2"/>
  <c r="AB23" i="2"/>
  <c r="AC22" i="2"/>
  <c r="AB22" i="2"/>
  <c r="AC21" i="2"/>
  <c r="AB21" i="2"/>
  <c r="AC20" i="2"/>
  <c r="AB20" i="2"/>
  <c r="AC19" i="2"/>
  <c r="AB19" i="2"/>
  <c r="AC18" i="2"/>
  <c r="AB18" i="2"/>
  <c r="AC17" i="2"/>
  <c r="AB17" i="2"/>
  <c r="AC16" i="2"/>
  <c r="AB16" i="2"/>
  <c r="AC15" i="2"/>
  <c r="AB15" i="2"/>
  <c r="AC14" i="2"/>
  <c r="AB14" i="2"/>
  <c r="AC13" i="2"/>
  <c r="AB13" i="2"/>
  <c r="AC12" i="2"/>
  <c r="AB12" i="2"/>
  <c r="AC11" i="2"/>
  <c r="AB11" i="2"/>
  <c r="AC10" i="2"/>
  <c r="AB10" i="2"/>
  <c r="AC9" i="2"/>
  <c r="AB9" i="2"/>
  <c r="AC8" i="2"/>
  <c r="AB8" i="2"/>
  <c r="AC7" i="2"/>
  <c r="AB7" i="2"/>
  <c r="AC6" i="2"/>
  <c r="AB6" i="2"/>
  <c r="AC5" i="2"/>
  <c r="AB5" i="2"/>
  <c r="AC4" i="2"/>
  <c r="AB4" i="2"/>
  <c r="BN53" i="6"/>
  <c r="BS53" i="6" s="1"/>
  <c r="AL53" i="6"/>
  <c r="AP53" i="6" s="1"/>
  <c r="CA53" i="6" s="1"/>
  <c r="AB53" i="6"/>
  <c r="AA53" i="6"/>
  <c r="X53" i="6"/>
  <c r="W53" i="6"/>
  <c r="P53" i="6"/>
  <c r="AO53" i="6" s="1"/>
  <c r="AL52" i="6"/>
  <c r="AP52" i="6" s="1"/>
  <c r="AB52" i="6"/>
  <c r="AA52" i="6"/>
  <c r="X52" i="6"/>
  <c r="W52" i="6"/>
  <c r="P52" i="6"/>
  <c r="AO52" i="6" s="1"/>
  <c r="BN51" i="6"/>
  <c r="AL51" i="6"/>
  <c r="AP51" i="6" s="1"/>
  <c r="CA51" i="6" s="1"/>
  <c r="AB51" i="6"/>
  <c r="AA51" i="6"/>
  <c r="X51" i="6"/>
  <c r="W51" i="6"/>
  <c r="P51" i="6"/>
  <c r="BN50" i="6"/>
  <c r="AL50" i="6"/>
  <c r="AP50" i="6" s="1"/>
  <c r="CA50" i="6" s="1"/>
  <c r="AB50" i="6"/>
  <c r="AA50" i="6"/>
  <c r="X50" i="6"/>
  <c r="W50" i="6"/>
  <c r="P50" i="6"/>
  <c r="AO50" i="6" s="1"/>
  <c r="BN49" i="6"/>
  <c r="BS49" i="6" s="1"/>
  <c r="AL49" i="6"/>
  <c r="AP49" i="6" s="1"/>
  <c r="AB49" i="6"/>
  <c r="AA49" i="6"/>
  <c r="X49" i="6"/>
  <c r="W49" i="6"/>
  <c r="P49" i="6"/>
  <c r="AO49" i="6" s="1"/>
  <c r="BS48" i="6"/>
  <c r="AL48" i="6"/>
  <c r="AP48" i="6" s="1"/>
  <c r="AB48" i="6"/>
  <c r="AA48" i="6"/>
  <c r="X48" i="6"/>
  <c r="W48" i="6"/>
  <c r="P48" i="6"/>
  <c r="AO48" i="6" s="1"/>
  <c r="BN47" i="6"/>
  <c r="BS47" i="6" s="1"/>
  <c r="BY47" i="6" s="1"/>
  <c r="AL47" i="6"/>
  <c r="AP47" i="6" s="1"/>
  <c r="CA47" i="6" s="1"/>
  <c r="AO47" i="6"/>
  <c r="BN46" i="6"/>
  <c r="BS46" i="6" s="1"/>
  <c r="AL46" i="6"/>
  <c r="AP46" i="6" s="1"/>
  <c r="CA46" i="6" s="1"/>
  <c r="AO46" i="6"/>
  <c r="BN45" i="6"/>
  <c r="BS45" i="6" s="1"/>
  <c r="AL45" i="6"/>
  <c r="AP45" i="6" s="1"/>
  <c r="CA45" i="6" s="1"/>
  <c r="AB45" i="6"/>
  <c r="AA45" i="6"/>
  <c r="X45" i="6"/>
  <c r="W45" i="6"/>
  <c r="P45" i="6"/>
  <c r="AO45" i="6" s="1"/>
  <c r="BN44" i="6"/>
  <c r="BS44" i="6" s="1"/>
  <c r="AL44" i="6"/>
  <c r="AP44" i="6" s="1"/>
  <c r="AB44" i="6"/>
  <c r="AA44" i="6"/>
  <c r="X44" i="6"/>
  <c r="W44" i="6"/>
  <c r="P44" i="6"/>
  <c r="AO44" i="6" s="1"/>
  <c r="BN43" i="6"/>
  <c r="BS43" i="6" s="1"/>
  <c r="AL43" i="6"/>
  <c r="AP43" i="6" s="1"/>
  <c r="CA43" i="6" s="1"/>
  <c r="AB43" i="6"/>
  <c r="AA43" i="6"/>
  <c r="X43" i="6"/>
  <c r="W43" i="6"/>
  <c r="P43" i="6"/>
  <c r="BN42" i="6"/>
  <c r="BS42" i="6" s="1"/>
  <c r="AL42" i="6"/>
  <c r="AP42" i="6" s="1"/>
  <c r="CA42" i="6" s="1"/>
  <c r="AB42" i="6"/>
  <c r="AA42" i="6"/>
  <c r="X42" i="6"/>
  <c r="W42" i="6"/>
  <c r="P42" i="6"/>
  <c r="AO42" i="6" s="1"/>
  <c r="BN41" i="6"/>
  <c r="BS41" i="6" s="1"/>
  <c r="AL41" i="6"/>
  <c r="AP41" i="6" s="1"/>
  <c r="AB41" i="6"/>
  <c r="AA41" i="6"/>
  <c r="X41" i="6"/>
  <c r="W41" i="6"/>
  <c r="P41" i="6"/>
  <c r="AO41" i="6" s="1"/>
  <c r="BN40" i="6"/>
  <c r="BS40" i="6" s="1"/>
  <c r="AL40" i="6"/>
  <c r="AP40" i="6" s="1"/>
  <c r="AB40" i="6"/>
  <c r="AA40" i="6"/>
  <c r="X40" i="6"/>
  <c r="W40" i="6"/>
  <c r="P40" i="6"/>
  <c r="AO40" i="6" s="1"/>
  <c r="BN39" i="6"/>
  <c r="BS39" i="6" s="1"/>
  <c r="BY39" i="6" s="1"/>
  <c r="AL39" i="6"/>
  <c r="AP39" i="6" s="1"/>
  <c r="CA39" i="6" s="1"/>
  <c r="AB39" i="6"/>
  <c r="AA39" i="6"/>
  <c r="X39" i="6"/>
  <c r="W39" i="6"/>
  <c r="P39" i="6"/>
  <c r="AO39" i="6" s="1"/>
  <c r="BN38" i="6"/>
  <c r="BS38" i="6" s="1"/>
  <c r="AL38" i="6"/>
  <c r="AP38" i="6" s="1"/>
  <c r="CA38" i="6" s="1"/>
  <c r="AB38" i="6"/>
  <c r="AA38" i="6"/>
  <c r="X38" i="6"/>
  <c r="W38" i="6"/>
  <c r="P38" i="6"/>
  <c r="AO38" i="6" s="1"/>
  <c r="BN37" i="6"/>
  <c r="BS37" i="6" s="1"/>
  <c r="AL37" i="6"/>
  <c r="AP37" i="6" s="1"/>
  <c r="CA37" i="6" s="1"/>
  <c r="X37" i="6"/>
  <c r="W37" i="6"/>
  <c r="P37" i="6"/>
  <c r="AO37" i="6" s="1"/>
  <c r="BN36" i="6"/>
  <c r="BS36" i="6" s="1"/>
  <c r="BY36" i="6" s="1"/>
  <c r="AL36" i="6"/>
  <c r="AP36" i="6" s="1"/>
  <c r="AB36" i="6"/>
  <c r="AA36" i="6"/>
  <c r="X36" i="6"/>
  <c r="W36" i="6"/>
  <c r="P36" i="6"/>
  <c r="AO36" i="6" s="1"/>
  <c r="BN35" i="6"/>
  <c r="AL35" i="6"/>
  <c r="AP35" i="6" s="1"/>
  <c r="CA35" i="6" s="1"/>
  <c r="AB35" i="6"/>
  <c r="X35" i="6"/>
  <c r="W35" i="6"/>
  <c r="BN34" i="6"/>
  <c r="BS34" i="6" s="1"/>
  <c r="AL34" i="6"/>
  <c r="AP34" i="6" s="1"/>
  <c r="CA34" i="6" s="1"/>
  <c r="AB34" i="6"/>
  <c r="AA34" i="6"/>
  <c r="X34" i="6"/>
  <c r="W34" i="6"/>
  <c r="P34" i="6"/>
  <c r="AO34" i="6" s="1"/>
  <c r="BN33" i="6"/>
  <c r="BS33" i="6" s="1"/>
  <c r="AL33" i="6"/>
  <c r="AP33" i="6" s="1"/>
  <c r="AB33" i="6"/>
  <c r="X33" i="6"/>
  <c r="W33" i="6"/>
  <c r="AO33" i="6"/>
  <c r="BN32" i="6"/>
  <c r="BS32" i="6" s="1"/>
  <c r="AL32" i="6"/>
  <c r="AP32" i="6" s="1"/>
  <c r="AB32" i="6"/>
  <c r="AA32" i="6"/>
  <c r="X32" i="6"/>
  <c r="W32" i="6"/>
  <c r="P32" i="6"/>
  <c r="AO32" i="6" s="1"/>
  <c r="BN31" i="6"/>
  <c r="BS31" i="6" s="1"/>
  <c r="BY31" i="6" s="1"/>
  <c r="AL31" i="6"/>
  <c r="AP31" i="6" s="1"/>
  <c r="CA31" i="6" s="1"/>
  <c r="AB31" i="6"/>
  <c r="AA31" i="6"/>
  <c r="X31" i="6"/>
  <c r="W31" i="6"/>
  <c r="P31" i="6"/>
  <c r="AO31" i="6" s="1"/>
  <c r="BN30" i="6"/>
  <c r="BS30" i="6" s="1"/>
  <c r="AL30" i="6"/>
  <c r="AP30" i="6" s="1"/>
  <c r="CA30" i="6" s="1"/>
  <c r="AB30" i="6"/>
  <c r="AA30" i="6"/>
  <c r="X30" i="6"/>
  <c r="W30" i="6"/>
  <c r="P30" i="6"/>
  <c r="AO30" i="6" s="1"/>
  <c r="BN29" i="6"/>
  <c r="BS29" i="6" s="1"/>
  <c r="AL29" i="6"/>
  <c r="AP29" i="6" s="1"/>
  <c r="CA29" i="6" s="1"/>
  <c r="AB29" i="6"/>
  <c r="X29" i="6"/>
  <c r="W29" i="6"/>
  <c r="P29" i="6"/>
  <c r="AO29" i="6" s="1"/>
  <c r="BN27" i="6"/>
  <c r="AP27" i="6"/>
  <c r="CA27" i="6" s="1"/>
  <c r="BN26" i="6"/>
  <c r="AP26" i="6"/>
  <c r="CA26" i="6" s="1"/>
  <c r="AB26" i="6"/>
  <c r="X26" i="6"/>
  <c r="W26" i="6"/>
  <c r="P26" i="6"/>
  <c r="AO26" i="6" s="1"/>
  <c r="BN25" i="6"/>
  <c r="BS25" i="6" s="1"/>
  <c r="AL25" i="6"/>
  <c r="AP25" i="6" s="1"/>
  <c r="AB25" i="6"/>
  <c r="X25" i="6"/>
  <c r="W25" i="6"/>
  <c r="AO25" i="6"/>
  <c r="BN24" i="6"/>
  <c r="BS24" i="6" s="1"/>
  <c r="AL24" i="6"/>
  <c r="AP24" i="6" s="1"/>
  <c r="AB24" i="6"/>
  <c r="AA24" i="6"/>
  <c r="P24" i="6"/>
  <c r="AO24" i="6" s="1"/>
  <c r="BN23" i="6"/>
  <c r="BS23" i="6" s="1"/>
  <c r="BY23" i="6" s="1"/>
  <c r="AL23" i="6"/>
  <c r="AP23" i="6" s="1"/>
  <c r="CA23" i="6" s="1"/>
  <c r="AB23" i="6"/>
  <c r="AA23" i="6"/>
  <c r="X23" i="6"/>
  <c r="W23" i="6"/>
  <c r="P23" i="6"/>
  <c r="AO23" i="6" s="1"/>
  <c r="AL22" i="6"/>
  <c r="AP22" i="6" s="1"/>
  <c r="AB22" i="6"/>
  <c r="AA22" i="6"/>
  <c r="X22" i="6"/>
  <c r="W22" i="6"/>
  <c r="P22" i="6"/>
  <c r="AO22" i="6" s="1"/>
  <c r="BN19" i="6"/>
  <c r="BS19" i="6" s="1"/>
  <c r="AL19" i="6"/>
  <c r="AP19" i="6" s="1"/>
  <c r="CA19" i="6" s="1"/>
  <c r="AB19" i="6"/>
  <c r="X19" i="6"/>
  <c r="W19" i="6"/>
  <c r="P19" i="6"/>
  <c r="AO19" i="6" s="1"/>
  <c r="BY18" i="6"/>
  <c r="AL18" i="6"/>
  <c r="AP18" i="6" s="1"/>
  <c r="AB18" i="6"/>
  <c r="AA18" i="6"/>
  <c r="X18" i="6"/>
  <c r="P18" i="6"/>
  <c r="AO18" i="6" s="1"/>
  <c r="BN17" i="6"/>
  <c r="BS17" i="6" s="1"/>
  <c r="BY17" i="6" s="1"/>
  <c r="AL17" i="6"/>
  <c r="AP17" i="6" s="1"/>
  <c r="CA17" i="6" s="1"/>
  <c r="AB17" i="6"/>
  <c r="AA17" i="6"/>
  <c r="X17" i="6"/>
  <c r="P17" i="6"/>
  <c r="BN16" i="6"/>
  <c r="BS16" i="6" s="1"/>
  <c r="BY16" i="6" s="1"/>
  <c r="AL16" i="6"/>
  <c r="AP16" i="6" s="1"/>
  <c r="CA16" i="6" s="1"/>
  <c r="AB16" i="6"/>
  <c r="AA16" i="6"/>
  <c r="X16" i="6"/>
  <c r="P16" i="6"/>
  <c r="AO16" i="6" s="1"/>
  <c r="BN15" i="6"/>
  <c r="AL15" i="6"/>
  <c r="AP15" i="6" s="1"/>
  <c r="CA15" i="6" s="1"/>
  <c r="AB15" i="6"/>
  <c r="AA15" i="6"/>
  <c r="P15" i="6"/>
  <c r="AO15" i="6" s="1"/>
  <c r="BN14" i="6"/>
  <c r="BS14" i="6" s="1"/>
  <c r="AL14" i="6"/>
  <c r="AP14" i="6" s="1"/>
  <c r="CA14" i="6" s="1"/>
  <c r="P14" i="6"/>
  <c r="AO14" i="6" s="1"/>
  <c r="BN13" i="6"/>
  <c r="BS13" i="6" s="1"/>
  <c r="AL13" i="6"/>
  <c r="AP13" i="6" s="1"/>
  <c r="CA13" i="6" s="1"/>
  <c r="AB13" i="6"/>
  <c r="AA13" i="6"/>
  <c r="X13" i="6"/>
  <c r="W13" i="6"/>
  <c r="P13" i="6"/>
  <c r="AO13" i="6" s="1"/>
  <c r="BN12" i="6"/>
  <c r="BS12" i="6" s="1"/>
  <c r="BY12" i="6" s="1"/>
  <c r="AL12" i="6"/>
  <c r="AP12" i="6" s="1"/>
  <c r="AB12" i="6"/>
  <c r="AA12" i="6"/>
  <c r="X12" i="6"/>
  <c r="W12" i="6"/>
  <c r="P12" i="6"/>
  <c r="AO12" i="6" s="1"/>
  <c r="BN11" i="6"/>
  <c r="BS11" i="6" s="1"/>
  <c r="BY11" i="6" s="1"/>
  <c r="AL11" i="6"/>
  <c r="AP11" i="6" s="1"/>
  <c r="CA11" i="6" s="1"/>
  <c r="AB11" i="6"/>
  <c r="AA11" i="6"/>
  <c r="X11" i="6"/>
  <c r="W11" i="6"/>
  <c r="P11" i="6"/>
  <c r="BN10" i="6"/>
  <c r="BS10" i="6" s="1"/>
  <c r="BY10" i="6" s="1"/>
  <c r="AL10" i="6"/>
  <c r="AP10" i="6" s="1"/>
  <c r="CA10" i="6" s="1"/>
  <c r="AB10" i="6"/>
  <c r="AA10" i="6"/>
  <c r="X10" i="6"/>
  <c r="W10" i="6"/>
  <c r="P10" i="6"/>
  <c r="AO10" i="6" s="1"/>
  <c r="BN9" i="6"/>
  <c r="BS9" i="6" s="1"/>
  <c r="AL9" i="6"/>
  <c r="AP9" i="6" s="1"/>
  <c r="AB9" i="6"/>
  <c r="AA9" i="6"/>
  <c r="X9" i="6"/>
  <c r="W9" i="6"/>
  <c r="P9" i="6"/>
  <c r="AO9" i="6" s="1"/>
  <c r="BN8" i="6"/>
  <c r="BS8" i="6" s="1"/>
  <c r="AL8" i="6"/>
  <c r="AP8" i="6" s="1"/>
  <c r="AB8" i="6"/>
  <c r="AA8" i="6"/>
  <c r="X8" i="6"/>
  <c r="W8" i="6"/>
  <c r="P8" i="6"/>
  <c r="AO8" i="6" s="1"/>
  <c r="BN7" i="6"/>
  <c r="BS7" i="6" s="1"/>
  <c r="BY7" i="6" s="1"/>
  <c r="AL7" i="6"/>
  <c r="AP7" i="6" s="1"/>
  <c r="CA7" i="6" s="1"/>
  <c r="AB7" i="6"/>
  <c r="AA7" i="6"/>
  <c r="P7" i="6"/>
  <c r="AO7" i="6" s="1"/>
  <c r="BN6" i="6"/>
  <c r="BS6" i="6" s="1"/>
  <c r="AL6" i="6"/>
  <c r="AP6" i="6" s="1"/>
  <c r="CA6" i="6" s="1"/>
  <c r="AB6" i="6"/>
  <c r="AA6" i="6"/>
  <c r="X6" i="6"/>
  <c r="W6" i="6"/>
  <c r="AO6" i="6"/>
  <c r="BN5" i="6"/>
  <c r="BS5" i="6" s="1"/>
  <c r="AL5" i="6"/>
  <c r="AP5" i="6" s="1"/>
  <c r="CA5" i="6" s="1"/>
  <c r="AB5" i="6"/>
  <c r="AA5" i="6"/>
  <c r="X5" i="6"/>
  <c r="W5" i="6"/>
  <c r="P5" i="6"/>
  <c r="AO5" i="6" s="1"/>
  <c r="BN4" i="6"/>
  <c r="BS4" i="6" s="1"/>
  <c r="BY4" i="6" s="1"/>
  <c r="AL4" i="6"/>
  <c r="BN3" i="6"/>
  <c r="BS3" i="6" s="1"/>
  <c r="BY3" i="6" s="1"/>
  <c r="AL3" i="6"/>
  <c r="AP3" i="6" s="1"/>
  <c r="CA3" i="6" s="1"/>
  <c r="AA3" i="6"/>
  <c r="X3" i="6"/>
  <c r="W3" i="6"/>
  <c r="P3" i="6"/>
  <c r="BN2" i="6"/>
  <c r="BS2" i="6" s="1"/>
  <c r="BY2" i="6" s="1"/>
  <c r="AL2" i="6"/>
  <c r="AP2" i="6" s="1"/>
  <c r="CA2" i="6" s="1"/>
  <c r="AB2" i="6"/>
  <c r="AA2" i="6"/>
  <c r="X2" i="6"/>
  <c r="W2" i="6"/>
  <c r="P2" i="6"/>
  <c r="AO2" i="6" s="1"/>
  <c r="AH55" i="4"/>
  <c r="AE55" i="4"/>
  <c r="AF55" i="4" s="1"/>
  <c r="AB55" i="4"/>
  <c r="AA55" i="4"/>
  <c r="X55" i="4"/>
  <c r="W55" i="4"/>
  <c r="Q55" i="4"/>
  <c r="AK55" i="4" s="1"/>
  <c r="AG55" i="4" s="1"/>
  <c r="P55" i="4"/>
  <c r="AH54" i="4"/>
  <c r="AE54" i="4"/>
  <c r="AF54" i="4" s="1"/>
  <c r="AB54" i="4"/>
  <c r="AA54" i="4"/>
  <c r="X54" i="4"/>
  <c r="W54" i="4"/>
  <c r="Q54" i="4"/>
  <c r="AK54" i="4" s="1"/>
  <c r="AG54" i="4" s="1"/>
  <c r="P54" i="4"/>
  <c r="AH53" i="4"/>
  <c r="AE53" i="4"/>
  <c r="AF53" i="4" s="1"/>
  <c r="AB53" i="4"/>
  <c r="AA53" i="4"/>
  <c r="X53" i="4"/>
  <c r="W53" i="4"/>
  <c r="Q53" i="4"/>
  <c r="AK53" i="4" s="1"/>
  <c r="AG53" i="4" s="1"/>
  <c r="P53" i="4"/>
  <c r="AH52" i="4"/>
  <c r="AE52" i="4"/>
  <c r="AF52" i="4" s="1"/>
  <c r="AB52" i="4"/>
  <c r="AA52" i="4"/>
  <c r="X52" i="4"/>
  <c r="W52" i="4"/>
  <c r="Q52" i="4"/>
  <c r="AK52" i="4" s="1"/>
  <c r="AG52" i="4" s="1"/>
  <c r="P52" i="4"/>
  <c r="AH51" i="4"/>
  <c r="AE51" i="4"/>
  <c r="AF51" i="4" s="1"/>
  <c r="AB51" i="4"/>
  <c r="AA51" i="4"/>
  <c r="X51" i="4"/>
  <c r="W51" i="4"/>
  <c r="Q51" i="4"/>
  <c r="AK51" i="4" s="1"/>
  <c r="AG51" i="4" s="1"/>
  <c r="P51" i="4"/>
  <c r="AH50" i="4"/>
  <c r="AE50" i="4"/>
  <c r="AF50" i="4" s="1"/>
  <c r="AB50" i="4"/>
  <c r="AA50" i="4"/>
  <c r="X50" i="4"/>
  <c r="W50" i="4"/>
  <c r="Q50" i="4"/>
  <c r="AK50" i="4" s="1"/>
  <c r="AG50" i="4" s="1"/>
  <c r="P50" i="4"/>
  <c r="AH49" i="4"/>
  <c r="AE49" i="4"/>
  <c r="AF49" i="4" s="1"/>
  <c r="AB49" i="4"/>
  <c r="AA49" i="4"/>
  <c r="X49" i="4"/>
  <c r="W49" i="4"/>
  <c r="Q49" i="4"/>
  <c r="AK49" i="4" s="1"/>
  <c r="AG49" i="4" s="1"/>
  <c r="P49" i="4"/>
  <c r="AH48" i="4"/>
  <c r="AE48" i="4"/>
  <c r="AF48" i="4" s="1"/>
  <c r="AB48" i="4"/>
  <c r="AA48" i="4"/>
  <c r="X48" i="4"/>
  <c r="W48" i="4"/>
  <c r="Q48" i="4"/>
  <c r="AK48" i="4" s="1"/>
  <c r="AG48" i="4" s="1"/>
  <c r="P48" i="4"/>
  <c r="AE47" i="4"/>
  <c r="AF47" i="4" s="1"/>
  <c r="AB47" i="4"/>
  <c r="AA47" i="4"/>
  <c r="X47" i="4"/>
  <c r="W47" i="4"/>
  <c r="Q47" i="4"/>
  <c r="AK47" i="4" s="1"/>
  <c r="AG47" i="4" s="1"/>
  <c r="P47" i="4"/>
  <c r="AH46" i="4"/>
  <c r="AE46" i="4"/>
  <c r="AF46" i="4" s="1"/>
  <c r="AB46" i="4"/>
  <c r="AA46" i="4"/>
  <c r="X46" i="4"/>
  <c r="W46" i="4"/>
  <c r="Q46" i="4"/>
  <c r="AK46" i="4" s="1"/>
  <c r="AG46" i="4" s="1"/>
  <c r="P46" i="4"/>
  <c r="AH45" i="4"/>
  <c r="AE45" i="4"/>
  <c r="AF45" i="4" s="1"/>
  <c r="AB45" i="4"/>
  <c r="AA45" i="4"/>
  <c r="X45" i="4"/>
  <c r="W45" i="4"/>
  <c r="Q45" i="4"/>
  <c r="AK45" i="4" s="1"/>
  <c r="AG45" i="4" s="1"/>
  <c r="P45" i="4"/>
  <c r="AH44" i="4"/>
  <c r="AE44" i="4"/>
  <c r="AF44" i="4" s="1"/>
  <c r="AB44" i="4"/>
  <c r="AA44" i="4"/>
  <c r="X44" i="4"/>
  <c r="W44" i="4"/>
  <c r="Q44" i="4"/>
  <c r="AK44" i="4" s="1"/>
  <c r="AG44" i="4" s="1"/>
  <c r="P44" i="4"/>
  <c r="AE43" i="4"/>
  <c r="AF43" i="4" s="1"/>
  <c r="AB43" i="4"/>
  <c r="AA43" i="4"/>
  <c r="X43" i="4"/>
  <c r="W43" i="4"/>
  <c r="Q43" i="4"/>
  <c r="P43" i="4"/>
  <c r="AH42" i="4"/>
  <c r="AE42" i="4"/>
  <c r="AF42" i="4" s="1"/>
  <c r="AB42" i="4"/>
  <c r="AA42" i="4"/>
  <c r="X42" i="4"/>
  <c r="W42" i="4"/>
  <c r="Q42" i="4"/>
  <c r="AK42" i="4" s="1"/>
  <c r="AG42" i="4" s="1"/>
  <c r="P42" i="4"/>
  <c r="AH41" i="4"/>
  <c r="AE41" i="4"/>
  <c r="AF41" i="4" s="1"/>
  <c r="AB41" i="4"/>
  <c r="AA41" i="4"/>
  <c r="X41" i="4"/>
  <c r="W41" i="4"/>
  <c r="Q41" i="4"/>
  <c r="AK41" i="4" s="1"/>
  <c r="AG41" i="4" s="1"/>
  <c r="P41" i="4"/>
  <c r="AH40" i="4"/>
  <c r="AE40" i="4"/>
  <c r="AF40" i="4" s="1"/>
  <c r="AB40" i="4"/>
  <c r="AA40" i="4"/>
  <c r="X40" i="4"/>
  <c r="W40" i="4"/>
  <c r="Q40" i="4"/>
  <c r="P40" i="4"/>
  <c r="AH39" i="4"/>
  <c r="AE39" i="4"/>
  <c r="AF39" i="4" s="1"/>
  <c r="AB39" i="4"/>
  <c r="AA39" i="4"/>
  <c r="X39" i="4"/>
  <c r="W39" i="4"/>
  <c r="Q39" i="4"/>
  <c r="AK39" i="4" s="1"/>
  <c r="AG39" i="4" s="1"/>
  <c r="P39" i="4"/>
  <c r="AH38" i="4"/>
  <c r="AE38" i="4"/>
  <c r="AF38" i="4" s="1"/>
  <c r="AB38" i="4"/>
  <c r="AA38" i="4"/>
  <c r="X38" i="4"/>
  <c r="W38" i="4"/>
  <c r="Q38" i="4"/>
  <c r="P38" i="4"/>
  <c r="AH37" i="4"/>
  <c r="AE37" i="4"/>
  <c r="AF37" i="4" s="1"/>
  <c r="AB37" i="4"/>
  <c r="AA37" i="4"/>
  <c r="X37" i="4"/>
  <c r="W37" i="4"/>
  <c r="Q37" i="4"/>
  <c r="AK37" i="4" s="1"/>
  <c r="AG37" i="4" s="1"/>
  <c r="P37" i="4"/>
  <c r="AH36" i="4"/>
  <c r="AE36" i="4"/>
  <c r="AF36" i="4" s="1"/>
  <c r="AB36" i="4"/>
  <c r="AA36" i="4"/>
  <c r="X36" i="4"/>
  <c r="W36" i="4"/>
  <c r="Q36" i="4"/>
  <c r="AK36" i="4" s="1"/>
  <c r="AG36" i="4" s="1"/>
  <c r="P36" i="4"/>
  <c r="AH35" i="4"/>
  <c r="AE35" i="4"/>
  <c r="AF35" i="4" s="1"/>
  <c r="AB35" i="4"/>
  <c r="AA35" i="4"/>
  <c r="X35" i="4"/>
  <c r="W35" i="4"/>
  <c r="Q35" i="4"/>
  <c r="AK35" i="4" s="1"/>
  <c r="AG35" i="4" s="1"/>
  <c r="P35" i="4"/>
  <c r="AE34" i="4"/>
  <c r="AF34" i="4" s="1"/>
  <c r="AB34" i="4"/>
  <c r="AA34" i="4"/>
  <c r="X34" i="4"/>
  <c r="W34" i="4"/>
  <c r="Q34" i="4"/>
  <c r="P34" i="4"/>
  <c r="AH33" i="4"/>
  <c r="AE33" i="4"/>
  <c r="AF33" i="4" s="1"/>
  <c r="AB33" i="4"/>
  <c r="AA33" i="4"/>
  <c r="X33" i="4"/>
  <c r="W33" i="4"/>
  <c r="Q33" i="4"/>
  <c r="AK33" i="4" s="1"/>
  <c r="AG33" i="4" s="1"/>
  <c r="P33" i="4"/>
  <c r="AH32" i="4"/>
  <c r="AE32" i="4"/>
  <c r="AF32" i="4" s="1"/>
  <c r="AB32" i="4"/>
  <c r="AA32" i="4"/>
  <c r="X32" i="4"/>
  <c r="W32" i="4"/>
  <c r="Q32" i="4"/>
  <c r="AK32" i="4" s="1"/>
  <c r="AG32" i="4" s="1"/>
  <c r="P32" i="4"/>
  <c r="AH31" i="4"/>
  <c r="AE31" i="4"/>
  <c r="AF31" i="4" s="1"/>
  <c r="AB31" i="4"/>
  <c r="AA31" i="4"/>
  <c r="X31" i="4"/>
  <c r="W31" i="4"/>
  <c r="Q31" i="4"/>
  <c r="P31" i="4"/>
  <c r="AH30" i="4"/>
  <c r="AE30" i="4"/>
  <c r="AF30" i="4" s="1"/>
  <c r="AB30" i="4"/>
  <c r="AA30" i="4"/>
  <c r="X30" i="4"/>
  <c r="W30" i="4"/>
  <c r="Q30" i="4"/>
  <c r="AK30" i="4" s="1"/>
  <c r="AG30" i="4" s="1"/>
  <c r="P30" i="4"/>
  <c r="AH29" i="4"/>
  <c r="AE29" i="4"/>
  <c r="AF29" i="4" s="1"/>
  <c r="AB29" i="4"/>
  <c r="AA29" i="4"/>
  <c r="X29" i="4"/>
  <c r="W29" i="4"/>
  <c r="Q29" i="4"/>
  <c r="AK29" i="4" s="1"/>
  <c r="AG29" i="4" s="1"/>
  <c r="P29" i="4"/>
  <c r="AH28" i="4"/>
  <c r="AE28" i="4"/>
  <c r="AF28" i="4" s="1"/>
  <c r="AB28" i="4"/>
  <c r="AA28" i="4"/>
  <c r="X28" i="4"/>
  <c r="W28" i="4"/>
  <c r="Q28" i="4"/>
  <c r="P28" i="4"/>
  <c r="AH27" i="4"/>
  <c r="AE27" i="4"/>
  <c r="AF27" i="4" s="1"/>
  <c r="AB27" i="4"/>
  <c r="AA27" i="4"/>
  <c r="X27" i="4"/>
  <c r="W27" i="4"/>
  <c r="Q27" i="4"/>
  <c r="P27" i="4"/>
  <c r="AH26" i="4"/>
  <c r="AE26" i="4"/>
  <c r="AF26" i="4" s="1"/>
  <c r="AB26" i="4"/>
  <c r="AA26" i="4"/>
  <c r="X26" i="4"/>
  <c r="W26" i="4"/>
  <c r="Q26" i="4"/>
  <c r="AK26" i="4" s="1"/>
  <c r="AG26" i="4" s="1"/>
  <c r="P26" i="4"/>
  <c r="AH25" i="4"/>
  <c r="AE25" i="4"/>
  <c r="AF25" i="4" s="1"/>
  <c r="AB25" i="4"/>
  <c r="AA25" i="4"/>
  <c r="X25" i="4"/>
  <c r="W25" i="4"/>
  <c r="Q25" i="4"/>
  <c r="P25" i="4"/>
  <c r="AH24" i="4"/>
  <c r="AB24" i="4"/>
  <c r="AA24" i="4"/>
  <c r="X24" i="4"/>
  <c r="W24" i="4"/>
  <c r="Q24" i="4"/>
  <c r="AK24" i="4" s="1"/>
  <c r="AG24" i="4" s="1"/>
  <c r="P24" i="4"/>
  <c r="AH23" i="4"/>
  <c r="AE23" i="4"/>
  <c r="AF23" i="4" s="1"/>
  <c r="AB23" i="4"/>
  <c r="AA23" i="4"/>
  <c r="X23" i="4"/>
  <c r="W23" i="4"/>
  <c r="Q23" i="4"/>
  <c r="AK23" i="4" s="1"/>
  <c r="AG23" i="4" s="1"/>
  <c r="P23" i="4"/>
  <c r="AH22" i="4"/>
  <c r="AE22" i="4"/>
  <c r="AF22" i="4" s="1"/>
  <c r="AB22" i="4"/>
  <c r="AA22" i="4"/>
  <c r="X22" i="4"/>
  <c r="W22" i="4"/>
  <c r="Q22" i="4"/>
  <c r="P22" i="4"/>
  <c r="AH21" i="4"/>
  <c r="AE21" i="4"/>
  <c r="AF21" i="4" s="1"/>
  <c r="AB21" i="4"/>
  <c r="AA21" i="4"/>
  <c r="X21" i="4"/>
  <c r="W21" i="4"/>
  <c r="Q21" i="4"/>
  <c r="AK21" i="4" s="1"/>
  <c r="AG21" i="4" s="1"/>
  <c r="P21" i="4"/>
  <c r="AH20" i="4"/>
  <c r="AE20" i="4"/>
  <c r="AF20" i="4" s="1"/>
  <c r="AB20" i="4"/>
  <c r="AA20" i="4"/>
  <c r="X20" i="4"/>
  <c r="W20" i="4"/>
  <c r="Q20" i="4"/>
  <c r="P20" i="4"/>
  <c r="AH19" i="4"/>
  <c r="AE19" i="4"/>
  <c r="AF19" i="4" s="1"/>
  <c r="AB19" i="4"/>
  <c r="AA19" i="4"/>
  <c r="X19" i="4"/>
  <c r="W19" i="4"/>
  <c r="Q19" i="4"/>
  <c r="AK19" i="4" s="1"/>
  <c r="AG19" i="4" s="1"/>
  <c r="P19" i="4"/>
  <c r="AH18" i="4"/>
  <c r="AE18" i="4"/>
  <c r="AF18" i="4" s="1"/>
  <c r="AB18" i="4"/>
  <c r="AA18" i="4"/>
  <c r="X18" i="4"/>
  <c r="W18" i="4"/>
  <c r="Q18" i="4"/>
  <c r="AK18" i="4" s="1"/>
  <c r="AG18" i="4" s="1"/>
  <c r="P18" i="4"/>
  <c r="AH17" i="4"/>
  <c r="AE17" i="4"/>
  <c r="AF17" i="4" s="1"/>
  <c r="AB17" i="4"/>
  <c r="AA17" i="4"/>
  <c r="X17" i="4"/>
  <c r="W17" i="4"/>
  <c r="Q17" i="4"/>
  <c r="AK17" i="4" s="1"/>
  <c r="AG17" i="4" s="1"/>
  <c r="P17" i="4"/>
  <c r="AH16" i="4"/>
  <c r="AE16" i="4"/>
  <c r="AF16" i="4" s="1"/>
  <c r="AB16" i="4"/>
  <c r="AA16" i="4"/>
  <c r="X16" i="4"/>
  <c r="W16" i="4"/>
  <c r="Q16" i="4"/>
  <c r="AK16" i="4" s="1"/>
  <c r="AG16" i="4" s="1"/>
  <c r="P16" i="4"/>
  <c r="AH15" i="4"/>
  <c r="AE15" i="4"/>
  <c r="AF15" i="4" s="1"/>
  <c r="AB15" i="4"/>
  <c r="AA15" i="4"/>
  <c r="X15" i="4"/>
  <c r="W15" i="4"/>
  <c r="Q15" i="4"/>
  <c r="AK15" i="4" s="1"/>
  <c r="AG15" i="4" s="1"/>
  <c r="P15" i="4"/>
  <c r="AH14" i="4"/>
  <c r="AE14" i="4"/>
  <c r="AF14" i="4" s="1"/>
  <c r="AB14" i="4"/>
  <c r="AA14" i="4"/>
  <c r="X14" i="4"/>
  <c r="W14" i="4"/>
  <c r="Q14" i="4"/>
  <c r="P14" i="4"/>
  <c r="AH13" i="4"/>
  <c r="AE13" i="4"/>
  <c r="AF13" i="4" s="1"/>
  <c r="AB13" i="4"/>
  <c r="AA13" i="4"/>
  <c r="X13" i="4"/>
  <c r="W13" i="4"/>
  <c r="Q13" i="4"/>
  <c r="AK13" i="4" s="1"/>
  <c r="AG13" i="4" s="1"/>
  <c r="P13" i="4"/>
  <c r="AH12" i="4"/>
  <c r="AE12" i="4"/>
  <c r="AF12" i="4" s="1"/>
  <c r="AB12" i="4"/>
  <c r="AA12" i="4"/>
  <c r="X12" i="4"/>
  <c r="W12" i="4"/>
  <c r="Q12" i="4"/>
  <c r="AK12" i="4" s="1"/>
  <c r="AG12" i="4" s="1"/>
  <c r="P12" i="4"/>
  <c r="AH11" i="4"/>
  <c r="AE11" i="4"/>
  <c r="AF11" i="4" s="1"/>
  <c r="AB11" i="4"/>
  <c r="AA11" i="4"/>
  <c r="X11" i="4"/>
  <c r="W11" i="4"/>
  <c r="Q11" i="4"/>
  <c r="AK11" i="4" s="1"/>
  <c r="AG11" i="4" s="1"/>
  <c r="P11" i="4"/>
  <c r="AH10" i="4"/>
  <c r="AE10" i="4"/>
  <c r="AF10" i="4" s="1"/>
  <c r="AB10" i="4"/>
  <c r="AA10" i="4"/>
  <c r="X10" i="4"/>
  <c r="W10" i="4"/>
  <c r="Q10" i="4"/>
  <c r="AK10" i="4" s="1"/>
  <c r="AG10" i="4" s="1"/>
  <c r="P10" i="4"/>
  <c r="AH9" i="4"/>
  <c r="AE9" i="4"/>
  <c r="AF9" i="4" s="1"/>
  <c r="AB9" i="4"/>
  <c r="AA9" i="4"/>
  <c r="W9" i="4"/>
  <c r="Q9" i="4"/>
  <c r="AK9" i="4" s="1"/>
  <c r="AG9" i="4" s="1"/>
  <c r="P9" i="4"/>
  <c r="AH8" i="4"/>
  <c r="AE8" i="4"/>
  <c r="AF8" i="4" s="1"/>
  <c r="AB8" i="4"/>
  <c r="AA8" i="4"/>
  <c r="X8" i="4"/>
  <c r="W8" i="4"/>
  <c r="Q8" i="4"/>
  <c r="AK8" i="4" s="1"/>
  <c r="AG8" i="4" s="1"/>
  <c r="P8" i="4"/>
  <c r="AH7" i="4"/>
  <c r="AE7" i="4"/>
  <c r="AF7" i="4" s="1"/>
  <c r="AB7" i="4"/>
  <c r="AA7" i="4"/>
  <c r="X7" i="4"/>
  <c r="W7" i="4"/>
  <c r="Q7" i="4"/>
  <c r="AK7" i="4" s="1"/>
  <c r="AG7" i="4" s="1"/>
  <c r="P7" i="4"/>
  <c r="AH6" i="4"/>
  <c r="AE6" i="4"/>
  <c r="AF6" i="4" s="1"/>
  <c r="AB6" i="4"/>
  <c r="AA6" i="4"/>
  <c r="X6" i="4"/>
  <c r="W6" i="4"/>
  <c r="Q6" i="4"/>
  <c r="AK6" i="4" s="1"/>
  <c r="AG6" i="4" s="1"/>
  <c r="P6" i="4"/>
  <c r="AH5" i="4"/>
  <c r="AE5" i="4"/>
  <c r="AF5" i="4" s="1"/>
  <c r="AB5" i="4"/>
  <c r="AA5" i="4"/>
  <c r="X5" i="4"/>
  <c r="W5" i="4"/>
  <c r="Q5" i="4"/>
  <c r="AK5" i="4" s="1"/>
  <c r="AG5" i="4" s="1"/>
  <c r="P5" i="4"/>
  <c r="AH4" i="4"/>
  <c r="AE4" i="4"/>
  <c r="AF4" i="4" s="1"/>
  <c r="AB4" i="4"/>
  <c r="AA4" i="4"/>
  <c r="X4" i="4"/>
  <c r="W4" i="4"/>
  <c r="Q4" i="4"/>
  <c r="AK4" i="4" s="1"/>
  <c r="AG4" i="4" s="1"/>
  <c r="P4" i="4"/>
  <c r="AH3" i="4"/>
  <c r="AE3" i="4"/>
  <c r="AF3" i="4" s="1"/>
  <c r="AB3" i="4"/>
  <c r="AA3" i="4"/>
  <c r="X3" i="4"/>
  <c r="W3" i="4"/>
  <c r="Q3" i="4"/>
  <c r="AK3" i="4" s="1"/>
  <c r="AG3" i="4" s="1"/>
  <c r="P3" i="4"/>
  <c r="AH2" i="4"/>
  <c r="AE2" i="4"/>
  <c r="AF2" i="4" s="1"/>
  <c r="AB2" i="4"/>
  <c r="AA2" i="4"/>
  <c r="X2" i="4"/>
  <c r="W2" i="4"/>
  <c r="Q2" i="4"/>
  <c r="AK2" i="4" s="1"/>
  <c r="AG2" i="4" s="1"/>
  <c r="P2" i="4"/>
  <c r="AL26" i="5"/>
  <c r="AH26" i="5" s="1"/>
  <c r="AL25" i="5"/>
  <c r="AH25" i="5" s="1"/>
  <c r="AL24" i="5"/>
  <c r="AH24" i="5" s="1"/>
  <c r="AC24" i="5"/>
  <c r="AB24" i="5"/>
  <c r="AL33" i="5"/>
  <c r="AH33" i="5" s="1"/>
  <c r="AL23" i="5"/>
  <c r="AH23" i="5" s="1"/>
  <c r="AC23" i="5"/>
  <c r="AB23" i="5"/>
  <c r="Y23" i="5"/>
  <c r="X23" i="5"/>
  <c r="AL22" i="5"/>
  <c r="AH22" i="5" s="1"/>
  <c r="AC22" i="5"/>
  <c r="AB22" i="5"/>
  <c r="Y22" i="5"/>
  <c r="X22" i="5"/>
  <c r="AL21" i="5"/>
  <c r="AH21" i="5" s="1"/>
  <c r="AL20" i="5"/>
  <c r="AH20" i="5" s="1"/>
  <c r="AC16" i="5"/>
  <c r="Y16" i="5"/>
  <c r="X16" i="5"/>
  <c r="AL7" i="5"/>
  <c r="AH7" i="5" s="1"/>
  <c r="AC7" i="5"/>
  <c r="AC6" i="5"/>
  <c r="Y6" i="5"/>
  <c r="X6" i="5"/>
  <c r="AF4" i="5"/>
  <c r="AG4" i="5" s="1"/>
  <c r="AC4" i="5"/>
  <c r="AB4" i="5"/>
  <c r="Y4" i="5"/>
  <c r="X4" i="5"/>
  <c r="CC46" i="2"/>
  <c r="CE46" i="2" s="1"/>
  <c r="CC47" i="2"/>
  <c r="CE47" i="2" s="1"/>
  <c r="CC48" i="2"/>
  <c r="CE48" i="2" s="1"/>
  <c r="CC49" i="2"/>
  <c r="CE49" i="2" s="1"/>
  <c r="CC50" i="2"/>
  <c r="CE50" i="2" s="1"/>
  <c r="CC51" i="2"/>
  <c r="CE51" i="2" s="1"/>
  <c r="CC52" i="2"/>
  <c r="CE52" i="2" s="1"/>
  <c r="CC53" i="2"/>
  <c r="CE53" i="2" s="1"/>
  <c r="CC54" i="2"/>
  <c r="CC55" i="2"/>
  <c r="CE55" i="2" s="1"/>
  <c r="CC56" i="2"/>
  <c r="CE56" i="2" s="1"/>
  <c r="CC57" i="2"/>
  <c r="CE57" i="2" s="1"/>
  <c r="CC58" i="2"/>
  <c r="CE58" i="2" s="1"/>
  <c r="CC59" i="2"/>
  <c r="CE59" i="2" s="1"/>
  <c r="CC60" i="2"/>
  <c r="CE60" i="2" s="1"/>
  <c r="CC61" i="2"/>
  <c r="CE61" i="2" s="1"/>
  <c r="CC62" i="2"/>
  <c r="CE62" i="2" s="1"/>
  <c r="CC63" i="2"/>
  <c r="CE63" i="2" s="1"/>
  <c r="CC64" i="2"/>
  <c r="CE64" i="2" s="1"/>
  <c r="CC65" i="2"/>
  <c r="CE65" i="2" s="1"/>
  <c r="CC66" i="2"/>
  <c r="CE66" i="2" s="1"/>
  <c r="CC67" i="2"/>
  <c r="CE67" i="2" s="1"/>
  <c r="CC68" i="2"/>
  <c r="CE68" i="2" s="1"/>
  <c r="CC69" i="2"/>
  <c r="CE69" i="2" s="1"/>
  <c r="CC70" i="2"/>
  <c r="CE70" i="2" s="1"/>
  <c r="CC71" i="2"/>
  <c r="CE71" i="2" s="1"/>
  <c r="CC72" i="2"/>
  <c r="CE72" i="2" s="1"/>
  <c r="CC73" i="2"/>
  <c r="CE73" i="2" s="1"/>
  <c r="CC74" i="2"/>
  <c r="CE74" i="2" s="1"/>
  <c r="CC75" i="2"/>
  <c r="CE75" i="2" s="1"/>
  <c r="CC76" i="2"/>
  <c r="CE76" i="2" s="1"/>
  <c r="CC77" i="2"/>
  <c r="CE77" i="2" s="1"/>
  <c r="CC78" i="2"/>
  <c r="CE78" i="2" s="1"/>
  <c r="CC79" i="2"/>
  <c r="CC80" i="2"/>
  <c r="CE80" i="2" s="1"/>
  <c r="CC81" i="2"/>
  <c r="CE81" i="2" s="1"/>
  <c r="CC82" i="2"/>
  <c r="CE82" i="2" s="1"/>
  <c r="CC83" i="2"/>
  <c r="CE83" i="2" s="1"/>
  <c r="CC84" i="2"/>
  <c r="CE84" i="2" s="1"/>
  <c r="CC85" i="2"/>
  <c r="CE85" i="2" s="1"/>
  <c r="CC86" i="2"/>
  <c r="CE86" i="2" s="1"/>
  <c r="CC87" i="2"/>
  <c r="CE87" i="2" s="1"/>
  <c r="CC88" i="2"/>
  <c r="CE88" i="2" s="1"/>
  <c r="CC89" i="2"/>
  <c r="CE89" i="2" s="1"/>
  <c r="CC90" i="2"/>
  <c r="CE90" i="2" s="1"/>
  <c r="CC91" i="2"/>
  <c r="CE91" i="2" s="1"/>
  <c r="CC92" i="2"/>
  <c r="CE92" i="2" s="1"/>
  <c r="CC93" i="2"/>
  <c r="CE93" i="2" s="1"/>
  <c r="CC94" i="2"/>
  <c r="CE94" i="2" s="1"/>
  <c r="CC95" i="2"/>
  <c r="CE95" i="2" s="1"/>
  <c r="CC96" i="2"/>
  <c r="CE96" i="2" s="1"/>
  <c r="CC97" i="2"/>
  <c r="CE97" i="2" s="1"/>
  <c r="CC98" i="2"/>
  <c r="CE98" i="2" s="1"/>
  <c r="CC99" i="2"/>
  <c r="CE99" i="2" s="1"/>
  <c r="CC100" i="2"/>
  <c r="CE100" i="2" s="1"/>
  <c r="CC101" i="2"/>
  <c r="CE101" i="2" s="1"/>
  <c r="CC102" i="2"/>
  <c r="CC103" i="2"/>
  <c r="CE103" i="2" s="1"/>
  <c r="CC104" i="2"/>
  <c r="CE104" i="2" s="1"/>
  <c r="CC105" i="2"/>
  <c r="CE105" i="2" s="1"/>
  <c r="CC106" i="2"/>
  <c r="CE106" i="2" s="1"/>
  <c r="CC107" i="2"/>
  <c r="CE107" i="2" s="1"/>
  <c r="CC108" i="2"/>
  <c r="CE108" i="2" s="1"/>
  <c r="CC109" i="2"/>
  <c r="CE109" i="2" s="1"/>
  <c r="CC110" i="2"/>
  <c r="CE110" i="2" s="1"/>
  <c r="CC111" i="2"/>
  <c r="CE111" i="2" s="1"/>
  <c r="CC112" i="2"/>
  <c r="CE112" i="2" s="1"/>
  <c r="CC113" i="2"/>
  <c r="CE113" i="2" s="1"/>
  <c r="CC114" i="2"/>
  <c r="CE114" i="2" s="1"/>
  <c r="CC115" i="2"/>
  <c r="CE115" i="2" s="1"/>
  <c r="CC116" i="2"/>
  <c r="CE116" i="2" s="1"/>
  <c r="CC117" i="2"/>
  <c r="CE117" i="2" s="1"/>
  <c r="CC118" i="2"/>
  <c r="CC119" i="2"/>
  <c r="CE119" i="2" s="1"/>
  <c r="CC120" i="2"/>
  <c r="CE120" i="2" s="1"/>
  <c r="CC121" i="2"/>
  <c r="CE121" i="2" s="1"/>
  <c r="CC122" i="2"/>
  <c r="CE122" i="2" s="1"/>
  <c r="CC123" i="2"/>
  <c r="CE123" i="2" s="1"/>
  <c r="CC124" i="2"/>
  <c r="CE124" i="2" s="1"/>
  <c r="CC125" i="2"/>
  <c r="CE125" i="2" s="1"/>
  <c r="CC126" i="2"/>
  <c r="CE126" i="2" s="1"/>
  <c r="CC127" i="2"/>
  <c r="CE127" i="2" s="1"/>
  <c r="CC128" i="2"/>
  <c r="CE128" i="2" s="1"/>
  <c r="CC129" i="2"/>
  <c r="CE129" i="2" s="1"/>
  <c r="CC130" i="2"/>
  <c r="CE130" i="2" s="1"/>
  <c r="CC131" i="2"/>
  <c r="CE131" i="2" s="1"/>
  <c r="CC132" i="2"/>
  <c r="CE132" i="2" s="1"/>
  <c r="CC133" i="2"/>
  <c r="CE133" i="2" s="1"/>
  <c r="CC134" i="2"/>
  <c r="CE134" i="2" s="1"/>
  <c r="CC135" i="2"/>
  <c r="CE135" i="2" s="1"/>
  <c r="CC136" i="2"/>
  <c r="CE136" i="2" s="1"/>
  <c r="CC137" i="2"/>
  <c r="CE137" i="2" s="1"/>
  <c r="CC138" i="2"/>
  <c r="CE138" i="2" s="1"/>
  <c r="CC139" i="2"/>
  <c r="CE139" i="2" s="1"/>
  <c r="CC140" i="2"/>
  <c r="CE140" i="2" s="1"/>
  <c r="CC141" i="2"/>
  <c r="CE141" i="2" s="1"/>
  <c r="CC142" i="2"/>
  <c r="CC143" i="2"/>
  <c r="CE143" i="2" s="1"/>
  <c r="CC144" i="2"/>
  <c r="CE144" i="2" s="1"/>
  <c r="CC145" i="2"/>
  <c r="CE145" i="2" s="1"/>
  <c r="CC146" i="2"/>
  <c r="CE146" i="2" s="1"/>
  <c r="CC147" i="2"/>
  <c r="CE147" i="2" s="1"/>
  <c r="CC148" i="2"/>
  <c r="CE148" i="2" s="1"/>
  <c r="CC149" i="2"/>
  <c r="CE149" i="2" s="1"/>
  <c r="CC150" i="2"/>
  <c r="CE150" i="2" s="1"/>
  <c r="CC151" i="2"/>
  <c r="CE151" i="2" s="1"/>
  <c r="CC152" i="2"/>
  <c r="CE152" i="2" s="1"/>
  <c r="CC153" i="2"/>
  <c r="CC154" i="2"/>
  <c r="CE154" i="2" s="1"/>
  <c r="CC155" i="2"/>
  <c r="CE155" i="2" s="1"/>
  <c r="CC156" i="2"/>
  <c r="CE156" i="2" s="1"/>
  <c r="CC157" i="2"/>
  <c r="CE157" i="2" s="1"/>
  <c r="CC158" i="2"/>
  <c r="CE158" i="2" s="1"/>
  <c r="CC159" i="2"/>
  <c r="CE159" i="2" s="1"/>
  <c r="CC160" i="2"/>
  <c r="CE160" i="2" s="1"/>
  <c r="CC162" i="2"/>
  <c r="CE162" i="2" s="1"/>
  <c r="CC163" i="2"/>
  <c r="CE163" i="2" s="1"/>
  <c r="CC164" i="2"/>
  <c r="CC165" i="2"/>
  <c r="CE165" i="2" s="1"/>
  <c r="CC166" i="2"/>
  <c r="CE166" i="2" s="1"/>
  <c r="CC167" i="2"/>
  <c r="CE167" i="2" s="1"/>
  <c r="CC168" i="2"/>
  <c r="CE168" i="2" s="1"/>
  <c r="CC169" i="2"/>
  <c r="CE169" i="2" s="1"/>
  <c r="CC170" i="2"/>
  <c r="CE170" i="2" s="1"/>
  <c r="BF111" i="2"/>
  <c r="BJ111" i="2" s="1"/>
  <c r="BF112" i="2"/>
  <c r="BJ112" i="2" s="1"/>
  <c r="BF113" i="2"/>
  <c r="BJ113" i="2" s="1"/>
  <c r="BF114" i="2"/>
  <c r="BF115" i="2"/>
  <c r="BJ115" i="2" s="1"/>
  <c r="BF116" i="2"/>
  <c r="BJ116" i="2" s="1"/>
  <c r="BF117" i="2"/>
  <c r="BJ117" i="2" s="1"/>
  <c r="BF118" i="2"/>
  <c r="BJ118" i="2" s="1"/>
  <c r="BF119" i="2"/>
  <c r="BJ119" i="2" s="1"/>
  <c r="BF120" i="2"/>
  <c r="BJ120" i="2" s="1"/>
  <c r="BF121" i="2"/>
  <c r="BJ121" i="2" s="1"/>
  <c r="BF122" i="2"/>
  <c r="BF123" i="2"/>
  <c r="BJ123" i="2" s="1"/>
  <c r="BF124" i="2"/>
  <c r="BJ124" i="2" s="1"/>
  <c r="BF125" i="2"/>
  <c r="BJ125" i="2" s="1"/>
  <c r="BF126" i="2"/>
  <c r="BJ126" i="2" s="1"/>
  <c r="BF127" i="2"/>
  <c r="BJ127" i="2" s="1"/>
  <c r="BF128" i="2"/>
  <c r="BJ128" i="2" s="1"/>
  <c r="BF129" i="2"/>
  <c r="BJ129" i="2" s="1"/>
  <c r="BF130" i="2"/>
  <c r="BF131" i="2"/>
  <c r="BJ131" i="2" s="1"/>
  <c r="BF132" i="2"/>
  <c r="BJ132" i="2" s="1"/>
  <c r="BF133" i="2"/>
  <c r="BJ133" i="2" s="1"/>
  <c r="BF134" i="2"/>
  <c r="BJ134" i="2" s="1"/>
  <c r="BF135" i="2"/>
  <c r="BJ135" i="2" s="1"/>
  <c r="BF136" i="2"/>
  <c r="BJ136" i="2" s="1"/>
  <c r="BF137" i="2"/>
  <c r="BJ137" i="2" s="1"/>
  <c r="BF138" i="2"/>
  <c r="BF139" i="2"/>
  <c r="BJ139" i="2" s="1"/>
  <c r="BF140" i="2"/>
  <c r="BJ140" i="2" s="1"/>
  <c r="BF141" i="2"/>
  <c r="BJ141" i="2" s="1"/>
  <c r="BF142" i="2"/>
  <c r="BJ142" i="2" s="1"/>
  <c r="BF143" i="2"/>
  <c r="BJ143" i="2" s="1"/>
  <c r="BF144" i="2"/>
  <c r="BJ144" i="2" s="1"/>
  <c r="BF145" i="2"/>
  <c r="BJ145" i="2" s="1"/>
  <c r="BF146" i="2"/>
  <c r="BF147" i="2"/>
  <c r="BJ147" i="2" s="1"/>
  <c r="BF148" i="2"/>
  <c r="BJ148" i="2" s="1"/>
  <c r="BF149" i="2"/>
  <c r="BF150" i="2"/>
  <c r="BJ150" i="2" s="1"/>
  <c r="BF151" i="2"/>
  <c r="BJ151" i="2" s="1"/>
  <c r="BF152" i="2"/>
  <c r="BJ152" i="2" s="1"/>
  <c r="BF153" i="2"/>
  <c r="BJ153" i="2" s="1"/>
  <c r="BF154" i="2"/>
  <c r="BF155" i="2"/>
  <c r="BJ155" i="2" s="1"/>
  <c r="BF156" i="2"/>
  <c r="BJ156" i="2" s="1"/>
  <c r="BF157" i="2"/>
  <c r="BJ157" i="2" s="1"/>
  <c r="BF158" i="2"/>
  <c r="BJ158" i="2" s="1"/>
  <c r="BF159" i="2"/>
  <c r="BJ159" i="2" s="1"/>
  <c r="BF160" i="2"/>
  <c r="BJ160" i="2" s="1"/>
  <c r="BF161" i="2"/>
  <c r="BJ161" i="2" s="1"/>
  <c r="BF162" i="2"/>
  <c r="BF163" i="2"/>
  <c r="BJ163" i="2" s="1"/>
  <c r="BF164" i="2"/>
  <c r="BF165" i="2"/>
  <c r="BF166" i="2"/>
  <c r="BJ166" i="2" s="1"/>
  <c r="BF167" i="2"/>
  <c r="BJ167" i="2" s="1"/>
  <c r="BF168" i="2"/>
  <c r="BJ168" i="2" s="1"/>
  <c r="BF169" i="2"/>
  <c r="BJ169" i="2" s="1"/>
  <c r="BF170" i="2"/>
  <c r="AO4"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703"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30" i="2"/>
  <c r="AO731" i="2"/>
  <c r="AO732" i="2"/>
  <c r="AO733" i="2"/>
  <c r="AO734" i="2"/>
  <c r="AO735" i="2"/>
  <c r="AO738" i="2"/>
  <c r="AO739" i="2"/>
  <c r="AO740" i="2"/>
  <c r="AO741" i="2"/>
  <c r="AO742" i="2"/>
  <c r="AO743" i="2"/>
  <c r="AO745" i="2"/>
  <c r="AO746" i="2"/>
  <c r="AO747" i="2"/>
  <c r="AO748" i="2"/>
  <c r="AO749" i="2"/>
  <c r="AO750" i="2"/>
  <c r="AO751" i="2"/>
  <c r="AO752" i="2"/>
  <c r="AO753" i="2"/>
  <c r="AO754" i="2"/>
  <c r="AO755" i="2"/>
  <c r="AO756" i="2"/>
  <c r="AO757" i="2"/>
  <c r="AO758" i="2"/>
  <c r="AO759" i="2"/>
  <c r="AO760" i="2"/>
  <c r="AO762" i="2"/>
  <c r="AO763" i="2"/>
  <c r="AO764" i="2"/>
  <c r="AO765" i="2"/>
  <c r="AO766" i="2"/>
  <c r="AO767" i="2"/>
  <c r="AO771" i="2"/>
  <c r="AO772" i="2"/>
  <c r="AO773" i="2"/>
  <c r="AO774" i="2"/>
  <c r="AO775" i="2"/>
  <c r="AO776" i="2"/>
  <c r="AO777" i="2"/>
  <c r="AO780" i="2"/>
  <c r="AO781" i="2"/>
  <c r="AO782" i="2"/>
  <c r="AO784" i="2"/>
  <c r="AO785" i="2"/>
  <c r="AO786" i="2"/>
  <c r="AO787" i="2"/>
  <c r="AO789" i="2"/>
  <c r="AO790" i="2"/>
  <c r="AO791" i="2"/>
  <c r="AO792" i="2"/>
  <c r="AO793" i="2"/>
  <c r="AO794" i="2"/>
  <c r="AO797" i="2"/>
  <c r="AO798" i="2"/>
  <c r="AO799" i="2"/>
  <c r="AO800" i="2"/>
  <c r="AF4" i="2"/>
  <c r="AG4" i="2"/>
  <c r="AF5" i="2"/>
  <c r="AG5" i="2"/>
  <c r="AF6" i="2"/>
  <c r="AG6" i="2"/>
  <c r="AF7" i="2"/>
  <c r="AG7" i="2"/>
  <c r="AF8" i="2"/>
  <c r="AG8" i="2"/>
  <c r="AF9" i="2"/>
  <c r="AG9" i="2"/>
  <c r="AF10" i="2"/>
  <c r="AG10" i="2"/>
  <c r="AF11" i="2"/>
  <c r="AG11" i="2"/>
  <c r="AF12" i="2"/>
  <c r="AG12" i="2"/>
  <c r="AF13" i="2"/>
  <c r="AG13" i="2"/>
  <c r="AF14" i="2"/>
  <c r="AG14" i="2"/>
  <c r="AF15" i="2"/>
  <c r="AG15" i="2"/>
  <c r="AF16" i="2"/>
  <c r="AG16" i="2"/>
  <c r="AF17" i="2"/>
  <c r="AG17" i="2"/>
  <c r="AF18" i="2"/>
  <c r="AG18" i="2"/>
  <c r="AF19" i="2"/>
  <c r="AG19" i="2"/>
  <c r="AF20" i="2"/>
  <c r="AG20" i="2"/>
  <c r="AF21" i="2"/>
  <c r="AG21" i="2"/>
  <c r="AF22" i="2"/>
  <c r="AG22" i="2"/>
  <c r="AF23" i="2"/>
  <c r="AG23" i="2"/>
  <c r="AF24" i="2"/>
  <c r="AG24" i="2"/>
  <c r="AF25" i="2"/>
  <c r="AG25" i="2"/>
  <c r="AF26" i="2"/>
  <c r="AF27" i="2"/>
  <c r="AF28" i="2"/>
  <c r="AG28" i="2"/>
  <c r="AF29" i="2"/>
  <c r="AG29" i="2"/>
  <c r="AF30" i="2"/>
  <c r="AG30" i="2"/>
  <c r="AF31" i="2"/>
  <c r="AG31" i="2"/>
  <c r="AF32" i="2"/>
  <c r="AG32" i="2"/>
  <c r="AF33" i="2"/>
  <c r="AG33" i="2"/>
  <c r="AF34" i="2"/>
  <c r="AG34" i="2"/>
  <c r="AF35" i="2"/>
  <c r="AG35" i="2"/>
  <c r="AF36" i="2"/>
  <c r="AG36" i="2"/>
  <c r="AF37" i="2"/>
  <c r="AG37" i="2"/>
  <c r="AF38" i="2"/>
  <c r="AG38" i="2"/>
  <c r="AF39" i="2"/>
  <c r="AG39" i="2"/>
  <c r="AF40" i="2"/>
  <c r="AG40" i="2"/>
  <c r="AF41" i="2"/>
  <c r="AG41" i="2"/>
  <c r="AF42" i="2"/>
  <c r="AG42" i="2"/>
  <c r="AF43" i="2"/>
  <c r="AG43" i="2"/>
  <c r="AF44" i="2"/>
  <c r="AG44" i="2"/>
  <c r="AF45" i="2"/>
  <c r="AG45" i="2"/>
  <c r="AF46" i="2"/>
  <c r="AG46" i="2"/>
  <c r="AF47" i="2"/>
  <c r="AG47" i="2"/>
  <c r="AF48" i="2"/>
  <c r="AG48" i="2"/>
  <c r="AF49" i="2"/>
  <c r="AG49" i="2"/>
  <c r="AF50" i="2"/>
  <c r="AG50" i="2"/>
  <c r="AF51" i="2"/>
  <c r="AG51" i="2"/>
  <c r="AF52" i="2"/>
  <c r="AG52" i="2"/>
  <c r="AF53" i="2"/>
  <c r="AG53" i="2"/>
  <c r="AF54" i="2"/>
  <c r="AG54" i="2"/>
  <c r="AF55" i="2"/>
  <c r="AG55" i="2"/>
  <c r="AF56" i="2"/>
  <c r="AG56" i="2"/>
  <c r="AF57" i="2"/>
  <c r="AG57" i="2"/>
  <c r="AF58" i="2"/>
  <c r="AG58" i="2"/>
  <c r="AF59" i="2"/>
  <c r="AG59" i="2"/>
  <c r="AF60" i="2"/>
  <c r="AG60" i="2"/>
  <c r="AF61" i="2"/>
  <c r="AG61" i="2"/>
  <c r="AF62" i="2"/>
  <c r="AG62" i="2"/>
  <c r="AF63" i="2"/>
  <c r="AG63" i="2"/>
  <c r="AF64" i="2"/>
  <c r="AG64" i="2"/>
  <c r="AF65" i="2"/>
  <c r="AG65" i="2"/>
  <c r="AF66" i="2"/>
  <c r="AG66" i="2"/>
  <c r="AF67" i="2"/>
  <c r="AF68" i="2"/>
  <c r="AG68" i="2"/>
  <c r="AF69" i="2"/>
  <c r="AG69" i="2"/>
  <c r="AF70" i="2"/>
  <c r="AG70" i="2"/>
  <c r="AF71" i="2"/>
  <c r="AG71" i="2"/>
  <c r="AF72" i="2"/>
  <c r="AG72" i="2"/>
  <c r="AF73" i="2"/>
  <c r="AG73" i="2"/>
  <c r="AF74" i="2"/>
  <c r="AG74" i="2"/>
  <c r="AF75" i="2"/>
  <c r="AG75" i="2"/>
  <c r="AF76" i="2"/>
  <c r="AG76" i="2"/>
  <c r="AF77" i="2"/>
  <c r="AG77" i="2"/>
  <c r="AF78" i="2"/>
  <c r="AG78" i="2"/>
  <c r="AF79" i="2"/>
  <c r="AG79" i="2"/>
  <c r="AF80" i="2"/>
  <c r="AG80" i="2"/>
  <c r="AF81" i="2"/>
  <c r="AG81" i="2"/>
  <c r="AF82" i="2"/>
  <c r="AG82" i="2"/>
  <c r="AF83" i="2"/>
  <c r="AG83" i="2"/>
  <c r="AF84" i="2"/>
  <c r="AG84" i="2"/>
  <c r="AF85" i="2"/>
  <c r="AG85" i="2"/>
  <c r="AF86" i="2"/>
  <c r="AG86" i="2"/>
  <c r="AF87" i="2"/>
  <c r="AG87" i="2"/>
  <c r="AF88" i="2"/>
  <c r="AG88" i="2"/>
  <c r="AF89" i="2"/>
  <c r="AG89" i="2"/>
  <c r="AF90" i="2"/>
  <c r="AG90" i="2"/>
  <c r="AF91" i="2"/>
  <c r="AG91" i="2"/>
  <c r="AF92" i="2"/>
  <c r="AG92" i="2"/>
  <c r="AF93" i="2"/>
  <c r="AG93" i="2"/>
  <c r="AF94" i="2"/>
  <c r="AG94" i="2"/>
  <c r="AF95" i="2"/>
  <c r="AG95" i="2"/>
  <c r="AF96" i="2"/>
  <c r="AG96" i="2"/>
  <c r="AF97" i="2"/>
  <c r="AG97" i="2"/>
  <c r="AF98" i="2"/>
  <c r="AG98" i="2"/>
  <c r="AF99" i="2"/>
  <c r="AG99" i="2"/>
  <c r="AF100" i="2"/>
  <c r="AG100" i="2"/>
  <c r="AF101" i="2"/>
  <c r="AG101" i="2"/>
  <c r="AF102" i="2"/>
  <c r="AG102" i="2"/>
  <c r="AF103" i="2"/>
  <c r="AG103" i="2"/>
  <c r="AF104" i="2"/>
  <c r="AG104" i="2"/>
  <c r="AF105" i="2"/>
  <c r="AG105" i="2"/>
  <c r="AF106" i="2"/>
  <c r="AG106" i="2"/>
  <c r="AF107" i="2"/>
  <c r="AG107" i="2"/>
  <c r="AF108" i="2"/>
  <c r="AG108" i="2"/>
  <c r="AF109" i="2"/>
  <c r="AG109" i="2"/>
  <c r="AF110" i="2"/>
  <c r="AG110" i="2"/>
  <c r="AF111" i="2"/>
  <c r="AG111" i="2"/>
  <c r="AF112" i="2"/>
  <c r="AG112" i="2"/>
  <c r="AF113" i="2"/>
  <c r="AG113" i="2"/>
  <c r="AF114" i="2"/>
  <c r="AG114" i="2"/>
  <c r="AF115" i="2"/>
  <c r="AG115" i="2"/>
  <c r="AF116" i="2"/>
  <c r="AG116" i="2"/>
  <c r="AF117" i="2"/>
  <c r="AG117" i="2"/>
  <c r="AF118" i="2"/>
  <c r="AG118" i="2"/>
  <c r="AF119" i="2"/>
  <c r="AG119" i="2"/>
  <c r="AF120" i="2"/>
  <c r="AG120" i="2"/>
  <c r="AF121" i="2"/>
  <c r="AG121" i="2"/>
  <c r="AF122" i="2"/>
  <c r="AG122" i="2"/>
  <c r="AF123" i="2"/>
  <c r="AG123" i="2"/>
  <c r="AF124" i="2"/>
  <c r="AG124" i="2"/>
  <c r="AF125" i="2"/>
  <c r="AG125" i="2"/>
  <c r="AF126" i="2"/>
  <c r="AG126" i="2"/>
  <c r="AF127" i="2"/>
  <c r="AG127" i="2"/>
  <c r="AF128" i="2"/>
  <c r="AG128" i="2"/>
  <c r="AF129" i="2"/>
  <c r="AG129" i="2"/>
  <c r="AF130" i="2"/>
  <c r="AG130" i="2"/>
  <c r="AF131" i="2"/>
  <c r="AG131" i="2"/>
  <c r="AF132" i="2"/>
  <c r="AG132" i="2"/>
  <c r="AF133" i="2"/>
  <c r="AG133" i="2"/>
  <c r="AF134" i="2"/>
  <c r="AG134" i="2"/>
  <c r="AF135" i="2"/>
  <c r="AG135" i="2"/>
  <c r="AF136" i="2"/>
  <c r="AG136" i="2"/>
  <c r="AF137" i="2"/>
  <c r="AG137" i="2"/>
  <c r="AF138" i="2"/>
  <c r="AG138" i="2"/>
  <c r="AF139" i="2"/>
  <c r="AG139" i="2"/>
  <c r="AF140" i="2"/>
  <c r="AG140" i="2"/>
  <c r="AF141" i="2"/>
  <c r="AG141" i="2"/>
  <c r="AF142" i="2"/>
  <c r="AG142" i="2"/>
  <c r="AF143" i="2"/>
  <c r="AG143" i="2"/>
  <c r="AF144" i="2"/>
  <c r="AG144" i="2"/>
  <c r="AF145" i="2"/>
  <c r="AG145" i="2"/>
  <c r="AF146" i="2"/>
  <c r="AG146" i="2"/>
  <c r="AF147" i="2"/>
  <c r="AG147" i="2"/>
  <c r="AF148" i="2"/>
  <c r="AG148" i="2"/>
  <c r="AF149" i="2"/>
  <c r="AG149" i="2"/>
  <c r="AF150" i="2"/>
  <c r="AG150" i="2"/>
  <c r="AF151" i="2"/>
  <c r="AG151" i="2"/>
  <c r="AF152" i="2"/>
  <c r="AG152" i="2"/>
  <c r="AF153" i="2"/>
  <c r="AG153" i="2"/>
  <c r="AF154" i="2"/>
  <c r="AG154" i="2"/>
  <c r="AF155" i="2"/>
  <c r="AG155" i="2"/>
  <c r="AF157" i="2"/>
  <c r="AG157" i="2"/>
  <c r="AG158" i="2"/>
  <c r="AF159" i="2"/>
  <c r="AG159" i="2"/>
  <c r="AF160" i="2"/>
  <c r="AG160" i="2"/>
  <c r="AF161" i="2"/>
  <c r="AG161" i="2"/>
  <c r="AF162" i="2"/>
  <c r="AG162" i="2"/>
  <c r="AG163" i="2"/>
  <c r="AF164" i="2"/>
  <c r="AG164" i="2"/>
  <c r="AF165" i="2"/>
  <c r="AG165" i="2"/>
  <c r="AF166" i="2"/>
  <c r="AG166" i="2"/>
  <c r="AF167" i="2"/>
  <c r="AG167" i="2"/>
  <c r="AF168" i="2"/>
  <c r="AG168" i="2"/>
  <c r="AF169" i="2"/>
  <c r="AG169" i="2"/>
  <c r="AF170" i="2"/>
  <c r="AG170" i="2"/>
  <c r="AB107" i="2"/>
  <c r="AC107" i="2"/>
  <c r="AB108" i="2"/>
  <c r="AC108" i="2"/>
  <c r="AB109" i="2"/>
  <c r="AC109" i="2"/>
  <c r="AB110" i="2"/>
  <c r="AC110" i="2"/>
  <c r="AB111" i="2"/>
  <c r="AC111" i="2"/>
  <c r="AB112" i="2"/>
  <c r="AC112" i="2"/>
  <c r="AB113" i="2"/>
  <c r="AC113" i="2"/>
  <c r="AB114" i="2"/>
  <c r="AC114" i="2"/>
  <c r="AB115" i="2"/>
  <c r="AC115" i="2"/>
  <c r="AB116" i="2"/>
  <c r="AC116" i="2"/>
  <c r="AB117" i="2"/>
  <c r="AC117" i="2"/>
  <c r="AC118" i="2"/>
  <c r="AB119" i="2"/>
  <c r="AC119" i="2"/>
  <c r="AB120" i="2"/>
  <c r="AC120" i="2"/>
  <c r="AB121" i="2"/>
  <c r="AC121" i="2"/>
  <c r="AB122" i="2"/>
  <c r="AC122" i="2"/>
  <c r="AB123" i="2"/>
  <c r="AC123" i="2"/>
  <c r="AB124" i="2"/>
  <c r="AC124" i="2"/>
  <c r="AB125" i="2"/>
  <c r="AC125" i="2"/>
  <c r="AB126" i="2"/>
  <c r="AC126" i="2"/>
  <c r="AB127" i="2"/>
  <c r="AC127" i="2"/>
  <c r="AB128" i="2"/>
  <c r="AC128" i="2"/>
  <c r="AB129" i="2"/>
  <c r="AC129" i="2"/>
  <c r="AB130" i="2"/>
  <c r="AC130" i="2"/>
  <c r="AB131" i="2"/>
  <c r="AC131" i="2"/>
  <c r="AB132" i="2"/>
  <c r="AC132" i="2"/>
  <c r="AB133" i="2"/>
  <c r="AC133" i="2"/>
  <c r="AB134" i="2"/>
  <c r="AC134" i="2"/>
  <c r="AB135" i="2"/>
  <c r="AC135" i="2"/>
  <c r="AB136" i="2"/>
  <c r="AC136" i="2"/>
  <c r="AB137" i="2"/>
  <c r="AC137" i="2"/>
  <c r="AB138" i="2"/>
  <c r="AC138" i="2"/>
  <c r="AB139" i="2"/>
  <c r="AC139" i="2"/>
  <c r="AB140" i="2"/>
  <c r="AC140" i="2"/>
  <c r="AB141" i="2"/>
  <c r="AC141" i="2"/>
  <c r="AB142" i="2"/>
  <c r="AC142" i="2"/>
  <c r="AB143" i="2"/>
  <c r="AC143" i="2"/>
  <c r="AB144" i="2"/>
  <c r="AC144" i="2"/>
  <c r="AB145" i="2"/>
  <c r="AC145" i="2"/>
  <c r="AB146" i="2"/>
  <c r="AC146" i="2"/>
  <c r="AB147" i="2"/>
  <c r="AC147" i="2"/>
  <c r="AB148" i="2"/>
  <c r="AC148" i="2"/>
  <c r="AB149" i="2"/>
  <c r="AC149" i="2"/>
  <c r="AB150" i="2"/>
  <c r="AC150" i="2"/>
  <c r="AB151" i="2"/>
  <c r="AC151" i="2"/>
  <c r="AB152" i="2"/>
  <c r="AC152" i="2"/>
  <c r="AB153" i="2"/>
  <c r="AC153" i="2"/>
  <c r="AB154" i="2"/>
  <c r="AC154" i="2"/>
  <c r="AB155" i="2"/>
  <c r="AC155" i="2"/>
  <c r="AB156" i="2"/>
  <c r="AC156" i="2"/>
  <c r="AB157" i="2"/>
  <c r="AC157" i="2"/>
  <c r="AB158" i="2"/>
  <c r="AC158" i="2"/>
  <c r="AB159" i="2"/>
  <c r="AC159" i="2"/>
  <c r="AB160" i="2"/>
  <c r="AC160" i="2"/>
  <c r="AB161" i="2"/>
  <c r="AC161" i="2"/>
  <c r="AB162" i="2"/>
  <c r="AC162" i="2"/>
  <c r="AB163" i="2"/>
  <c r="AC163" i="2"/>
  <c r="AB164" i="2"/>
  <c r="AC164" i="2"/>
  <c r="AB165" i="2"/>
  <c r="AC165" i="2"/>
  <c r="Q4" i="2"/>
  <c r="Q5" i="2"/>
  <c r="Q6" i="2"/>
  <c r="Q7" i="2"/>
  <c r="Q8" i="2"/>
  <c r="Q9" i="2"/>
  <c r="Q10" i="2"/>
  <c r="Q11" i="2"/>
  <c r="Q12" i="2"/>
  <c r="Q13" i="2"/>
  <c r="Q14" i="2"/>
  <c r="Q15" i="2"/>
  <c r="Q16" i="2"/>
  <c r="Q17" i="2"/>
  <c r="Q18" i="2"/>
  <c r="Q19" i="2"/>
  <c r="Q20" i="2"/>
  <c r="Q21" i="2"/>
  <c r="Q22" i="2"/>
  <c r="Q23" i="2"/>
  <c r="Q24" i="2"/>
  <c r="Q25" i="2"/>
  <c r="Q26"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8" i="2"/>
  <c r="Q149" i="2"/>
  <c r="Q150" i="2"/>
  <c r="Q151" i="2"/>
  <c r="Q152" i="2"/>
  <c r="Q153" i="2"/>
  <c r="Q154" i="2"/>
  <c r="Q155" i="2"/>
  <c r="Q156" i="2"/>
  <c r="Q157" i="2"/>
  <c r="Q158" i="2"/>
  <c r="Q159" i="2"/>
  <c r="Q160" i="2"/>
  <c r="Q161" i="2"/>
  <c r="Q162" i="2"/>
  <c r="Q163" i="2"/>
  <c r="Q164" i="2"/>
  <c r="Q165" i="2"/>
  <c r="Q166" i="2"/>
  <c r="Q167" i="2"/>
  <c r="Q168" i="2"/>
  <c r="Q169" i="2"/>
  <c r="Q170" i="2"/>
  <c r="AC27" i="5"/>
  <c r="AC28"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B27" i="5"/>
  <c r="AB28"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Y27" i="5"/>
  <c r="Y28"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X27" i="5"/>
  <c r="X28"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CC4" i="2"/>
  <c r="CC5" i="2"/>
  <c r="CE5" i="2" s="1"/>
  <c r="CK5" i="2" s="1"/>
  <c r="CC6" i="2"/>
  <c r="CE6" i="2" s="1"/>
  <c r="CK6" i="2" s="1"/>
  <c r="CC7" i="2"/>
  <c r="CC8" i="2"/>
  <c r="CC9" i="2"/>
  <c r="CE9" i="2" s="1"/>
  <c r="CC10" i="2"/>
  <c r="CE10" i="2" s="1"/>
  <c r="CC11" i="2"/>
  <c r="CC12" i="2"/>
  <c r="CC13" i="2"/>
  <c r="CE13" i="2" s="1"/>
  <c r="CC14" i="2"/>
  <c r="CC15" i="2"/>
  <c r="CC16" i="2"/>
  <c r="CC17" i="2"/>
  <c r="CE17" i="2" s="1"/>
  <c r="CC18" i="2"/>
  <c r="CE18" i="2" s="1"/>
  <c r="CC19" i="2"/>
  <c r="CE19" i="2" s="1"/>
  <c r="CC20" i="2"/>
  <c r="CC21" i="2"/>
  <c r="CE21" i="2" s="1"/>
  <c r="CC22" i="2"/>
  <c r="CC23" i="2"/>
  <c r="CC24" i="2"/>
  <c r="CC25" i="2"/>
  <c r="CE25" i="2" s="1"/>
  <c r="CC26" i="2"/>
  <c r="CE26" i="2" s="1"/>
  <c r="CC27" i="2"/>
  <c r="CE27" i="2" s="1"/>
  <c r="CC28" i="2"/>
  <c r="CC29" i="2"/>
  <c r="CE29" i="2" s="1"/>
  <c r="CC30" i="2"/>
  <c r="CC31" i="2"/>
  <c r="CC32" i="2"/>
  <c r="CC33" i="2"/>
  <c r="CC34" i="2"/>
  <c r="CE34" i="2" s="1"/>
  <c r="CC35" i="2"/>
  <c r="CE35" i="2" s="1"/>
  <c r="CC36" i="2"/>
  <c r="CC37" i="2"/>
  <c r="CE37" i="2" s="1"/>
  <c r="CC38" i="2"/>
  <c r="CC39" i="2"/>
  <c r="CC40" i="2"/>
  <c r="CC41" i="2"/>
  <c r="CE41" i="2" s="1"/>
  <c r="CC42" i="2"/>
  <c r="CE42" i="2" s="1"/>
  <c r="CC43" i="2"/>
  <c r="CC44" i="2"/>
  <c r="CC45" i="2"/>
  <c r="CE45" i="2" s="1"/>
  <c r="BF4" i="2"/>
  <c r="BJ4" i="2" s="1"/>
  <c r="CM4" i="2" s="1"/>
  <c r="BF5" i="2"/>
  <c r="BJ5" i="2" s="1"/>
  <c r="CM5" i="2" s="1"/>
  <c r="BF6" i="2"/>
  <c r="BF7" i="2"/>
  <c r="BJ7" i="2" s="1"/>
  <c r="CM7" i="2" s="1"/>
  <c r="BF8" i="2"/>
  <c r="BF9" i="2"/>
  <c r="BJ9" i="2" s="1"/>
  <c r="BF10" i="2"/>
  <c r="BF11" i="2"/>
  <c r="BJ11" i="2" s="1"/>
  <c r="CM11" i="2" s="1"/>
  <c r="BF12" i="2"/>
  <c r="BF13" i="2"/>
  <c r="BJ13" i="2" s="1"/>
  <c r="CM13" i="2" s="1"/>
  <c r="BF14" i="2"/>
  <c r="BF15" i="2"/>
  <c r="BJ15" i="2" s="1"/>
  <c r="CM15" i="2" s="1"/>
  <c r="BF16" i="2"/>
  <c r="BJ16" i="2" s="1"/>
  <c r="BF17" i="2"/>
  <c r="BJ17" i="2" s="1"/>
  <c r="CM17" i="2" s="1"/>
  <c r="BF18" i="2"/>
  <c r="BF19" i="2"/>
  <c r="BJ19" i="2" s="1"/>
  <c r="CM19" i="2" s="1"/>
  <c r="BF20" i="2"/>
  <c r="BF21" i="2"/>
  <c r="BJ21" i="2" s="1"/>
  <c r="CM21" i="2" s="1"/>
  <c r="BF22" i="2"/>
  <c r="BF23" i="2"/>
  <c r="BJ23" i="2" s="1"/>
  <c r="CM23" i="2" s="1"/>
  <c r="BF24" i="2"/>
  <c r="BF25" i="2"/>
  <c r="BJ25" i="2" s="1"/>
  <c r="CM25" i="2" s="1"/>
  <c r="BF26" i="2"/>
  <c r="BF27" i="2"/>
  <c r="BJ27" i="2" s="1"/>
  <c r="CM27" i="2" s="1"/>
  <c r="BF28" i="2"/>
  <c r="BJ28" i="2" s="1"/>
  <c r="CM28" i="2" s="1"/>
  <c r="BF29" i="2"/>
  <c r="BJ29" i="2" s="1"/>
  <c r="CM29" i="2" s="1"/>
  <c r="BF30" i="2"/>
  <c r="BF31" i="2"/>
  <c r="BJ31" i="2" s="1"/>
  <c r="CM31" i="2" s="1"/>
  <c r="BF32" i="2"/>
  <c r="BF33" i="2"/>
  <c r="BJ33" i="2" s="1"/>
  <c r="CM33" i="2" s="1"/>
  <c r="BF34" i="2"/>
  <c r="BJ34" i="2" s="1"/>
  <c r="CM34" i="2" s="1"/>
  <c r="BF35" i="2"/>
  <c r="BJ35" i="2" s="1"/>
  <c r="BF36" i="2"/>
  <c r="BF37" i="2"/>
  <c r="BJ37" i="2" s="1"/>
  <c r="CM37" i="2" s="1"/>
  <c r="BF38" i="2"/>
  <c r="BF39" i="2"/>
  <c r="BF40" i="2"/>
  <c r="BF41" i="2"/>
  <c r="BJ41" i="2" s="1"/>
  <c r="CM41" i="2" s="1"/>
  <c r="BF42" i="2"/>
  <c r="BF43" i="2"/>
  <c r="BJ43" i="2" s="1"/>
  <c r="BF44" i="2"/>
  <c r="BJ44" i="2" s="1"/>
  <c r="BF45" i="2"/>
  <c r="BJ45" i="2" s="1"/>
  <c r="CM45" i="2" s="1"/>
  <c r="BF46" i="2"/>
  <c r="BJ46" i="2" s="1"/>
  <c r="BF47" i="2"/>
  <c r="BJ47" i="2" s="1"/>
  <c r="BF48" i="2"/>
  <c r="BJ48" i="2" s="1"/>
  <c r="BF49" i="2"/>
  <c r="BF50" i="2"/>
  <c r="BF51" i="2"/>
  <c r="BJ51" i="2" s="1"/>
  <c r="BF52" i="2"/>
  <c r="BF53" i="2"/>
  <c r="BJ53" i="2" s="1"/>
  <c r="BF54" i="2"/>
  <c r="BJ54" i="2" s="1"/>
  <c r="BF55" i="2"/>
  <c r="BJ55" i="2" s="1"/>
  <c r="BF56" i="2"/>
  <c r="BJ56" i="2" s="1"/>
  <c r="BF57" i="2"/>
  <c r="BF58" i="2"/>
  <c r="BF59" i="2"/>
  <c r="BJ59" i="2" s="1"/>
  <c r="BF60" i="2"/>
  <c r="BF61" i="2"/>
  <c r="BJ61" i="2" s="1"/>
  <c r="BF62" i="2"/>
  <c r="BJ62" i="2" s="1"/>
  <c r="BF63" i="2"/>
  <c r="BJ63" i="2" s="1"/>
  <c r="BF64" i="2"/>
  <c r="BJ64" i="2" s="1"/>
  <c r="BF65" i="2"/>
  <c r="BF66" i="2"/>
  <c r="BF67" i="2"/>
  <c r="BJ67" i="2" s="1"/>
  <c r="BF68" i="2"/>
  <c r="BF69" i="2"/>
  <c r="BJ69" i="2" s="1"/>
  <c r="BF70" i="2"/>
  <c r="BJ70" i="2" s="1"/>
  <c r="BF71" i="2"/>
  <c r="BJ71" i="2" s="1"/>
  <c r="BF72" i="2"/>
  <c r="BJ72" i="2" s="1"/>
  <c r="BF73" i="2"/>
  <c r="BF74" i="2"/>
  <c r="BF75" i="2"/>
  <c r="BJ75" i="2" s="1"/>
  <c r="BF76" i="2"/>
  <c r="BF77" i="2"/>
  <c r="BJ77" i="2" s="1"/>
  <c r="BF78" i="2"/>
  <c r="BJ78" i="2" s="1"/>
  <c r="BF79" i="2"/>
  <c r="BJ79" i="2" s="1"/>
  <c r="BF80" i="2"/>
  <c r="BJ80" i="2" s="1"/>
  <c r="BF81" i="2"/>
  <c r="BF82" i="2"/>
  <c r="BJ82" i="2" s="1"/>
  <c r="BF83" i="2"/>
  <c r="BJ83" i="2" s="1"/>
  <c r="BF84" i="2"/>
  <c r="BF85" i="2"/>
  <c r="BJ85" i="2" s="1"/>
  <c r="BF86" i="2"/>
  <c r="BJ86" i="2" s="1"/>
  <c r="BF87" i="2"/>
  <c r="BJ87" i="2" s="1"/>
  <c r="BF88" i="2"/>
  <c r="BJ88" i="2" s="1"/>
  <c r="BF89" i="2"/>
  <c r="BF90" i="2"/>
  <c r="BF91" i="2"/>
  <c r="BJ91" i="2" s="1"/>
  <c r="BF92" i="2"/>
  <c r="BF93" i="2"/>
  <c r="BJ93" i="2" s="1"/>
  <c r="BF94" i="2"/>
  <c r="BJ94" i="2" s="1"/>
  <c r="BF95" i="2"/>
  <c r="BJ95" i="2" s="1"/>
  <c r="BF96" i="2"/>
  <c r="BJ96" i="2" s="1"/>
  <c r="BF97" i="2"/>
  <c r="BF98" i="2"/>
  <c r="BF99" i="2"/>
  <c r="BJ99" i="2" s="1"/>
  <c r="BF100" i="2"/>
  <c r="BF101" i="2"/>
  <c r="BJ101" i="2" s="1"/>
  <c r="BF102" i="2"/>
  <c r="BJ102" i="2" s="1"/>
  <c r="BF103" i="2"/>
  <c r="BJ103" i="2" s="1"/>
  <c r="BF104" i="2"/>
  <c r="BJ104" i="2" s="1"/>
  <c r="BF105" i="2"/>
  <c r="BF106" i="2"/>
  <c r="BF107" i="2"/>
  <c r="BJ107" i="2" s="1"/>
  <c r="BF108" i="2"/>
  <c r="BF109" i="2"/>
  <c r="BJ109" i="2" s="1"/>
  <c r="BF110" i="2"/>
  <c r="BJ110" i="2" s="1"/>
  <c r="AB3" i="2"/>
  <c r="AF3" i="2"/>
  <c r="BF764" i="2"/>
  <c r="BJ764" i="2" s="1"/>
  <c r="CM764" i="2" s="1"/>
  <c r="F834" i="3"/>
  <c r="F825" i="3"/>
  <c r="AF801" i="2"/>
  <c r="AG801" i="2"/>
  <c r="AB801" i="2"/>
  <c r="AC801" i="2"/>
  <c r="CC784" i="2"/>
  <c r="CE784" i="2" s="1"/>
  <c r="BF784" i="2"/>
  <c r="AG784" i="2"/>
  <c r="AF784" i="2"/>
  <c r="AC784" i="2"/>
  <c r="AB784" i="2"/>
  <c r="D776" i="3"/>
  <c r="F776" i="3"/>
  <c r="AO3" i="2"/>
  <c r="AF762" i="2"/>
  <c r="AC762" i="2"/>
  <c r="AB762" i="2"/>
  <c r="F761" i="3"/>
  <c r="F762" i="3"/>
  <c r="F763" i="3"/>
  <c r="F764" i="3"/>
  <c r="F765" i="3"/>
  <c r="F766" i="3"/>
  <c r="F767" i="3"/>
  <c r="AO802" i="2"/>
  <c r="AO803" i="2"/>
  <c r="AO804" i="2"/>
  <c r="AO806" i="2"/>
  <c r="AO807" i="2"/>
  <c r="AO808" i="2"/>
  <c r="AO809" i="2"/>
  <c r="AO810" i="2"/>
  <c r="AO811" i="2"/>
  <c r="AO812" i="2"/>
  <c r="AO815" i="2"/>
  <c r="AO816" i="2"/>
  <c r="AO817" i="2"/>
  <c r="AO820" i="2"/>
  <c r="AO821" i="2"/>
  <c r="AO823" i="2"/>
  <c r="AO824" i="2"/>
  <c r="AO825" i="2"/>
  <c r="AO826" i="2"/>
  <c r="AO827" i="2"/>
  <c r="AO828" i="2"/>
  <c r="AO829" i="2"/>
  <c r="AO830" i="2"/>
  <c r="AO831" i="2"/>
  <c r="AO832" i="2"/>
  <c r="AO833" i="2"/>
  <c r="AO834" i="2"/>
  <c r="AO835" i="2"/>
  <c r="AO836" i="2"/>
  <c r="AO837" i="2"/>
  <c r="AO838" i="2"/>
  <c r="AO839" i="2"/>
  <c r="AO840" i="2"/>
  <c r="AO841" i="2"/>
  <c r="AO842" i="2"/>
  <c r="AO843" i="2"/>
  <c r="AO847" i="2"/>
  <c r="AO848" i="2"/>
  <c r="AO849" i="2"/>
  <c r="AO850" i="2"/>
  <c r="AO851" i="2"/>
  <c r="AO852" i="2"/>
  <c r="AO853" i="2"/>
  <c r="AO854" i="2"/>
  <c r="AO855" i="2"/>
  <c r="AO856" i="2"/>
  <c r="AO857" i="2"/>
  <c r="AO858" i="2"/>
  <c r="AO859" i="2"/>
  <c r="AO861" i="2"/>
  <c r="AO862" i="2"/>
  <c r="AO863" i="2"/>
  <c r="AO864" i="2"/>
  <c r="AO865" i="2"/>
  <c r="AO866" i="2"/>
  <c r="AO867" i="2"/>
  <c r="AO868" i="2"/>
  <c r="AO870" i="2"/>
  <c r="AO871" i="2"/>
  <c r="AO872" i="2"/>
  <c r="AO873" i="2"/>
  <c r="AO874" i="2"/>
  <c r="AO875" i="2"/>
  <c r="AO876" i="2"/>
  <c r="AO877" i="2"/>
  <c r="AO878" i="2"/>
  <c r="AO879" i="2"/>
  <c r="AO880" i="2"/>
  <c r="AO882" i="2"/>
  <c r="AO883" i="2"/>
  <c r="AO884" i="2"/>
  <c r="AO885" i="2"/>
  <c r="AO886" i="2"/>
  <c r="AO887" i="2"/>
  <c r="AO890" i="2"/>
  <c r="AO891" i="2"/>
  <c r="AO892" i="2"/>
  <c r="AO893" i="2"/>
  <c r="AO894" i="2"/>
  <c r="AO895" i="2"/>
  <c r="AO896" i="2"/>
  <c r="AO897" i="2"/>
  <c r="AO898" i="2"/>
  <c r="AO899" i="2"/>
  <c r="AO900" i="2"/>
  <c r="AO901" i="2"/>
  <c r="AO902" i="2"/>
  <c r="AO903" i="2"/>
  <c r="AO904" i="2"/>
  <c r="AO905" i="2"/>
  <c r="AO906" i="2"/>
  <c r="AO908" i="2"/>
  <c r="AO909" i="2"/>
  <c r="AO910" i="2"/>
  <c r="AO912" i="2"/>
  <c r="AO913" i="2"/>
  <c r="AO914" i="2"/>
  <c r="AO915" i="2"/>
  <c r="AO917" i="2"/>
  <c r="AO918" i="2"/>
  <c r="AO919" i="2"/>
  <c r="AO920" i="2"/>
  <c r="AO921" i="2"/>
  <c r="AO922" i="2"/>
  <c r="AO923" i="2"/>
  <c r="AO924" i="2"/>
  <c r="AO925" i="2"/>
  <c r="AO926" i="2"/>
  <c r="AO927" i="2"/>
  <c r="AO928" i="2"/>
  <c r="AO929" i="2"/>
  <c r="AO930" i="2"/>
  <c r="AO933" i="2"/>
  <c r="AO934" i="2"/>
  <c r="AO935" i="2"/>
  <c r="AO936" i="2"/>
  <c r="AO937" i="2"/>
  <c r="AO938" i="2"/>
  <c r="AO940" i="2"/>
  <c r="AO941" i="2"/>
  <c r="AO942" i="2"/>
  <c r="AO943" i="2"/>
  <c r="AO945" i="2"/>
  <c r="AO946" i="2"/>
  <c r="AO947" i="2"/>
  <c r="AO948" i="2"/>
  <c r="AO949" i="2"/>
  <c r="AO950" i="2"/>
  <c r="AO951" i="2"/>
  <c r="AO952" i="2"/>
  <c r="AO953" i="2"/>
  <c r="AO954" i="2"/>
  <c r="AO955" i="2"/>
  <c r="AO956" i="2"/>
  <c r="AO957" i="2"/>
  <c r="AO959" i="2"/>
  <c r="AO960" i="2"/>
  <c r="AO961" i="2"/>
  <c r="AO962" i="2"/>
  <c r="AO963" i="2"/>
  <c r="AO964" i="2"/>
  <c r="AO965" i="2"/>
  <c r="AO966" i="2"/>
  <c r="AO967" i="2"/>
  <c r="AO969" i="2"/>
  <c r="AO970" i="2"/>
  <c r="AO971" i="2"/>
  <c r="AO972" i="2"/>
  <c r="AO973" i="2"/>
  <c r="AO974" i="2"/>
  <c r="AO975" i="2"/>
  <c r="AO976" i="2"/>
  <c r="AO977" i="2"/>
  <c r="AO978" i="2"/>
  <c r="AO980" i="2"/>
  <c r="AO981" i="2"/>
  <c r="AO982" i="2"/>
  <c r="AO983" i="2"/>
  <c r="AO984" i="2"/>
  <c r="AO985" i="2"/>
  <c r="AO986" i="2"/>
  <c r="AO987" i="2"/>
  <c r="AO988" i="2"/>
  <c r="AO989" i="2"/>
  <c r="AO990" i="2"/>
  <c r="AO991" i="2"/>
  <c r="AO992" i="2"/>
  <c r="AO993" i="2"/>
  <c r="AO994" i="2"/>
  <c r="AO995" i="2"/>
  <c r="AO996" i="2"/>
  <c r="AO997" i="2"/>
  <c r="AO998" i="2"/>
  <c r="AO999" i="2"/>
  <c r="AO1000" i="2"/>
  <c r="AO1001" i="2"/>
  <c r="AO1002" i="2"/>
  <c r="AF730" i="2"/>
  <c r="AC730" i="2"/>
  <c r="AB730" i="2"/>
  <c r="F535" i="3"/>
  <c r="CC725" i="2"/>
  <c r="CE725" i="2" s="1"/>
  <c r="CK725" i="2" s="1"/>
  <c r="BF725" i="2"/>
  <c r="AG725" i="2"/>
  <c r="AF725" i="2"/>
  <c r="AC725" i="2"/>
  <c r="AB725" i="2"/>
  <c r="F721" i="3"/>
  <c r="CC708" i="2"/>
  <c r="CE708" i="2" s="1"/>
  <c r="BF708" i="2"/>
  <c r="BJ708" i="2" s="1"/>
  <c r="D686" i="3"/>
  <c r="F684" i="3"/>
  <c r="D679" i="3"/>
  <c r="F645" i="3"/>
  <c r="BF3" i="2"/>
  <c r="BJ3" i="2" s="1"/>
  <c r="CM3" i="2" s="1"/>
  <c r="F632" i="3"/>
  <c r="F630" i="3"/>
  <c r="F628" i="3"/>
  <c r="F629" i="3"/>
  <c r="F631" i="3"/>
  <c r="F633" i="3"/>
  <c r="F625" i="3"/>
  <c r="F570" i="3"/>
  <c r="F618" i="3"/>
  <c r="F580" i="3"/>
  <c r="F594" i="3"/>
  <c r="F595" i="3"/>
  <c r="F596" i="3"/>
  <c r="F597" i="3"/>
  <c r="F569" i="3"/>
  <c r="D566" i="3"/>
  <c r="F565" i="3"/>
  <c r="F478" i="3"/>
  <c r="D564" i="3"/>
  <c r="D562" i="3"/>
  <c r="AI2" i="5"/>
  <c r="F541" i="3"/>
  <c r="F542" i="3"/>
  <c r="F538" i="3"/>
  <c r="D535" i="3"/>
  <c r="AB1002" i="2"/>
  <c r="AB1001" i="2"/>
  <c r="AB1000" i="2"/>
  <c r="AB999" i="2"/>
  <c r="AB998" i="2"/>
  <c r="AB997" i="2"/>
  <c r="AB996" i="2"/>
  <c r="AB995" i="2"/>
  <c r="AB994" i="2"/>
  <c r="AB993" i="2"/>
  <c r="AB992" i="2"/>
  <c r="AB991" i="2"/>
  <c r="AB990" i="2"/>
  <c r="AB989" i="2"/>
  <c r="AB988" i="2"/>
  <c r="AB987" i="2"/>
  <c r="AB986" i="2"/>
  <c r="AB985" i="2"/>
  <c r="AB984" i="2"/>
  <c r="AB983" i="2"/>
  <c r="AB982" i="2"/>
  <c r="AB981" i="2"/>
  <c r="AB980" i="2"/>
  <c r="AB978" i="2"/>
  <c r="AB977" i="2"/>
  <c r="AB976" i="2"/>
  <c r="AB975" i="2"/>
  <c r="AB974" i="2"/>
  <c r="AB973" i="2"/>
  <c r="AB972" i="2"/>
  <c r="AB965" i="2"/>
  <c r="AB964" i="2"/>
  <c r="AB963" i="2"/>
  <c r="AB961" i="2"/>
  <c r="AB960" i="2"/>
  <c r="AB959" i="2"/>
  <c r="AB957" i="2"/>
  <c r="AB956" i="2"/>
  <c r="AB955" i="2"/>
  <c r="AB953" i="2"/>
  <c r="AB952" i="2"/>
  <c r="AB951" i="2"/>
  <c r="AB950" i="2"/>
  <c r="AB948" i="2"/>
  <c r="AB947" i="2"/>
  <c r="AB946" i="2"/>
  <c r="AB945" i="2"/>
  <c r="AB944" i="2"/>
  <c r="AB943" i="2"/>
  <c r="AB942" i="2"/>
  <c r="AB941" i="2"/>
  <c r="AB940" i="2"/>
  <c r="AB939" i="2"/>
  <c r="AB938" i="2"/>
  <c r="AB937" i="2"/>
  <c r="AB936" i="2"/>
  <c r="AB935" i="2"/>
  <c r="AB934" i="2"/>
  <c r="AB933" i="2"/>
  <c r="AB930" i="2"/>
  <c r="AB929" i="2"/>
  <c r="AB928" i="2"/>
  <c r="AB927" i="2"/>
  <c r="AB926" i="2"/>
  <c r="AB925" i="2"/>
  <c r="AB924" i="2"/>
  <c r="AB923" i="2"/>
  <c r="AB922" i="2"/>
  <c r="AB921" i="2"/>
  <c r="AB920" i="2"/>
  <c r="AB919" i="2"/>
  <c r="AB918" i="2"/>
  <c r="AB917" i="2"/>
  <c r="AB915" i="2"/>
  <c r="AB914" i="2"/>
  <c r="AB913" i="2"/>
  <c r="AB912" i="2"/>
  <c r="AB910" i="2"/>
  <c r="AB908" i="2"/>
  <c r="AB907" i="2"/>
  <c r="AB906" i="2"/>
  <c r="AB905" i="2"/>
  <c r="AB904" i="2"/>
  <c r="AB903" i="2"/>
  <c r="AB901" i="2"/>
  <c r="AB898" i="2"/>
  <c r="AB897" i="2"/>
  <c r="AB896" i="2"/>
  <c r="AB894" i="2"/>
  <c r="AB893" i="2"/>
  <c r="AB892" i="2"/>
  <c r="AB891" i="2"/>
  <c r="AB890" i="2"/>
  <c r="AB889" i="2"/>
  <c r="AB888" i="2"/>
  <c r="AB887" i="2"/>
  <c r="AB884" i="2"/>
  <c r="AB883" i="2"/>
  <c r="AB882" i="2"/>
  <c r="AB881" i="2"/>
  <c r="AB880" i="2"/>
  <c r="AB879" i="2"/>
  <c r="AB878" i="2"/>
  <c r="AB877" i="2"/>
  <c r="AB876" i="2"/>
  <c r="AB875" i="2"/>
  <c r="AB874" i="2"/>
  <c r="AB873" i="2"/>
  <c r="AB872" i="2"/>
  <c r="AB871" i="2"/>
  <c r="AB870" i="2"/>
  <c r="AB869" i="2"/>
  <c r="AB868" i="2"/>
  <c r="AB867" i="2"/>
  <c r="AB865" i="2"/>
  <c r="AB864" i="2"/>
  <c r="AB863" i="2"/>
  <c r="AB862" i="2"/>
  <c r="AB861" i="2"/>
  <c r="AB859" i="2"/>
  <c r="AB858" i="2"/>
  <c r="AB857" i="2"/>
  <c r="AB856" i="2"/>
  <c r="AB855" i="2"/>
  <c r="AB854" i="2"/>
  <c r="AB853" i="2"/>
  <c r="AB852" i="2"/>
  <c r="AB851" i="2"/>
  <c r="AB850" i="2"/>
  <c r="AB848" i="2"/>
  <c r="AB847" i="2"/>
  <c r="AB846" i="2"/>
  <c r="AB845" i="2"/>
  <c r="AB844" i="2"/>
  <c r="AB843" i="2"/>
  <c r="AB842" i="2"/>
  <c r="AB841" i="2"/>
  <c r="AB840" i="2"/>
  <c r="AB839" i="2"/>
  <c r="AB838" i="2"/>
  <c r="AB837" i="2"/>
  <c r="AB836" i="2"/>
  <c r="AB835" i="2"/>
  <c r="AB834" i="2"/>
  <c r="AB833" i="2"/>
  <c r="AB832" i="2"/>
  <c r="AB831" i="2"/>
  <c r="AB829" i="2"/>
  <c r="AB827" i="2"/>
  <c r="AB826" i="2"/>
  <c r="AB825" i="2"/>
  <c r="AB823" i="2"/>
  <c r="AB822" i="2"/>
  <c r="AB821" i="2"/>
  <c r="AB820" i="2"/>
  <c r="AB817" i="2"/>
  <c r="AB816" i="2"/>
  <c r="AB810" i="2"/>
  <c r="AB809" i="2"/>
  <c r="AB806" i="2"/>
  <c r="AB804" i="2"/>
  <c r="AB803" i="2"/>
  <c r="AB802" i="2"/>
  <c r="AB800" i="2"/>
  <c r="AB799" i="2"/>
  <c r="AB798" i="2"/>
  <c r="AB797" i="2"/>
  <c r="AB794" i="2"/>
  <c r="AB793" i="2"/>
  <c r="AB792" i="2"/>
  <c r="AB791" i="2"/>
  <c r="AB790" i="2"/>
  <c r="AB789" i="2"/>
  <c r="AB787" i="2"/>
  <c r="AB786" i="2"/>
  <c r="AB785" i="2"/>
  <c r="AB783" i="2"/>
  <c r="AB782" i="2"/>
  <c r="AB781" i="2"/>
  <c r="AB780" i="2"/>
  <c r="AB777" i="2"/>
  <c r="AB776" i="2"/>
  <c r="AB775" i="2"/>
  <c r="AB774" i="2"/>
  <c r="AB773" i="2"/>
  <c r="AB772" i="2"/>
  <c r="AB771" i="2"/>
  <c r="AB767" i="2"/>
  <c r="AB766" i="2"/>
  <c r="AB765" i="2"/>
  <c r="AB764" i="2"/>
  <c r="AB763" i="2"/>
  <c r="AB761" i="2"/>
  <c r="AB760" i="2"/>
  <c r="AB759" i="2"/>
  <c r="AB757" i="2"/>
  <c r="AB755" i="2"/>
  <c r="AB754" i="2"/>
  <c r="AB753" i="2"/>
  <c r="AB752" i="2"/>
  <c r="AB751" i="2"/>
  <c r="AB750" i="2"/>
  <c r="AB749" i="2"/>
  <c r="AB748" i="2"/>
  <c r="AB747" i="2"/>
  <c r="AB746" i="2"/>
  <c r="AB742" i="2"/>
  <c r="AB741" i="2"/>
  <c r="AB739" i="2"/>
  <c r="AB738" i="2"/>
  <c r="AB734" i="2"/>
  <c r="AB733" i="2"/>
  <c r="AB732" i="2"/>
  <c r="AB728" i="2"/>
  <c r="AB727" i="2"/>
  <c r="AB726" i="2"/>
  <c r="AB724" i="2"/>
  <c r="AB723" i="2"/>
  <c r="AB722" i="2"/>
  <c r="AB721" i="2"/>
  <c r="AB720" i="2"/>
  <c r="AB718" i="2"/>
  <c r="AB715" i="2"/>
  <c r="AB712" i="2"/>
  <c r="AB711" i="2"/>
  <c r="AB710" i="2"/>
  <c r="AB706" i="2"/>
  <c r="AB705" i="2"/>
  <c r="AG1002" i="2"/>
  <c r="AF1002" i="2"/>
  <c r="AG1001" i="2"/>
  <c r="AF1001" i="2"/>
  <c r="AG1000" i="2"/>
  <c r="AF1000" i="2"/>
  <c r="AG999" i="2"/>
  <c r="AF999" i="2"/>
  <c r="AG998" i="2"/>
  <c r="AF998" i="2"/>
  <c r="AG997" i="2"/>
  <c r="AF997" i="2"/>
  <c r="AG996" i="2"/>
  <c r="AF996" i="2"/>
  <c r="AG995" i="2"/>
  <c r="AF995" i="2"/>
  <c r="AG994" i="2"/>
  <c r="AF994" i="2"/>
  <c r="AG993" i="2"/>
  <c r="AF993" i="2"/>
  <c r="AG992" i="2"/>
  <c r="AF992" i="2"/>
  <c r="AG991" i="2"/>
  <c r="AF991" i="2"/>
  <c r="AG990" i="2"/>
  <c r="AF990" i="2"/>
  <c r="AG989" i="2"/>
  <c r="AF989" i="2"/>
  <c r="AG988" i="2"/>
  <c r="AF988" i="2"/>
  <c r="AG987" i="2"/>
  <c r="AF987" i="2"/>
  <c r="AG986" i="2"/>
  <c r="AF986" i="2"/>
  <c r="AG985" i="2"/>
  <c r="AF985" i="2"/>
  <c r="AG984" i="2"/>
  <c r="AF984" i="2"/>
  <c r="AG983" i="2"/>
  <c r="AF983" i="2"/>
  <c r="AG982" i="2"/>
  <c r="AF982" i="2"/>
  <c r="AG981" i="2"/>
  <c r="AF981" i="2"/>
  <c r="AG980" i="2"/>
  <c r="AF980" i="2"/>
  <c r="AG978" i="2"/>
  <c r="AF978" i="2"/>
  <c r="AG977" i="2"/>
  <c r="AF977" i="2"/>
  <c r="AG976" i="2"/>
  <c r="AF976" i="2"/>
  <c r="AG975" i="2"/>
  <c r="AF975" i="2"/>
  <c r="AG974" i="2"/>
  <c r="AF974" i="2"/>
  <c r="AG973" i="2"/>
  <c r="AF973" i="2"/>
  <c r="AG972" i="2"/>
  <c r="AF972" i="2"/>
  <c r="AG970" i="2"/>
  <c r="AF970" i="2"/>
  <c r="AG969" i="2"/>
  <c r="AF969" i="2"/>
  <c r="AG968" i="2"/>
  <c r="AF968" i="2"/>
  <c r="AG967" i="2"/>
  <c r="AF967" i="2"/>
  <c r="AG966" i="2"/>
  <c r="AF966" i="2"/>
  <c r="AG964" i="2"/>
  <c r="AF964" i="2"/>
  <c r="AG963" i="2"/>
  <c r="AF963" i="2"/>
  <c r="AG962" i="2"/>
  <c r="AF962" i="2"/>
  <c r="AG961" i="2"/>
  <c r="AF961" i="2"/>
  <c r="AG960" i="2"/>
  <c r="AF960" i="2"/>
  <c r="AG959" i="2"/>
  <c r="AF959" i="2"/>
  <c r="AF957" i="2"/>
  <c r="AF956" i="2"/>
  <c r="AG955" i="2"/>
  <c r="AF955" i="2"/>
  <c r="AG954" i="2"/>
  <c r="AF954" i="2"/>
  <c r="AF953" i="2"/>
  <c r="AG952" i="2"/>
  <c r="AF952" i="2"/>
  <c r="AG951" i="2"/>
  <c r="AF951" i="2"/>
  <c r="AG950" i="2"/>
  <c r="AF950" i="2"/>
  <c r="AG949" i="2"/>
  <c r="AF949" i="2"/>
  <c r="AG948" i="2"/>
  <c r="AF948" i="2"/>
  <c r="AG947" i="2"/>
  <c r="AF947" i="2"/>
  <c r="AG946" i="2"/>
  <c r="AF946" i="2"/>
  <c r="AG945" i="2"/>
  <c r="AF945" i="2"/>
  <c r="AG944" i="2"/>
  <c r="AF944" i="2"/>
  <c r="AG943" i="2"/>
  <c r="AF943" i="2"/>
  <c r="AG942" i="2"/>
  <c r="AF942" i="2"/>
  <c r="AG941" i="2"/>
  <c r="AF941" i="2"/>
  <c r="AG940" i="2"/>
  <c r="AF940" i="2"/>
  <c r="AG939" i="2"/>
  <c r="AF939" i="2"/>
  <c r="AG938" i="2"/>
  <c r="AF938" i="2"/>
  <c r="AG937" i="2"/>
  <c r="AF937" i="2"/>
  <c r="AG936" i="2"/>
  <c r="AF936" i="2"/>
  <c r="AG935" i="2"/>
  <c r="AF935" i="2"/>
  <c r="AG934" i="2"/>
  <c r="AF934" i="2"/>
  <c r="AG933" i="2"/>
  <c r="AF933" i="2"/>
  <c r="AG930" i="2"/>
  <c r="AF930" i="2"/>
  <c r="AG929" i="2"/>
  <c r="AF929" i="2"/>
  <c r="AG928" i="2"/>
  <c r="AF928" i="2"/>
  <c r="AG927" i="2"/>
  <c r="AF927" i="2"/>
  <c r="AG926" i="2"/>
  <c r="AF926" i="2"/>
  <c r="AG925" i="2"/>
  <c r="AF925" i="2"/>
  <c r="AG924" i="2"/>
  <c r="AF924" i="2"/>
  <c r="AG923" i="2"/>
  <c r="AF923" i="2"/>
  <c r="AG922" i="2"/>
  <c r="AF922" i="2"/>
  <c r="AG921" i="2"/>
  <c r="AF921" i="2"/>
  <c r="AG920" i="2"/>
  <c r="AF920" i="2"/>
  <c r="AG919" i="2"/>
  <c r="AF919" i="2"/>
  <c r="AG918" i="2"/>
  <c r="AF918" i="2"/>
  <c r="AG917" i="2"/>
  <c r="AF917" i="2"/>
  <c r="AG915" i="2"/>
  <c r="AF915" i="2"/>
  <c r="AG914" i="2"/>
  <c r="AF914" i="2"/>
  <c r="AG913" i="2"/>
  <c r="AF913" i="2"/>
  <c r="AG912" i="2"/>
  <c r="AF912" i="2"/>
  <c r="AG910" i="2"/>
  <c r="AF910" i="2"/>
  <c r="AG908" i="2"/>
  <c r="AF908" i="2"/>
  <c r="AG907" i="2"/>
  <c r="AF907" i="2"/>
  <c r="AG906" i="2"/>
  <c r="AF906" i="2"/>
  <c r="AG905" i="2"/>
  <c r="AF905" i="2"/>
  <c r="AG904" i="2"/>
  <c r="AF904" i="2"/>
  <c r="AG903" i="2"/>
  <c r="AF903" i="2"/>
  <c r="AG901" i="2"/>
  <c r="AF901" i="2"/>
  <c r="AG899" i="2"/>
  <c r="AF899" i="2"/>
  <c r="AG898" i="2"/>
  <c r="AF898" i="2"/>
  <c r="AG897" i="2"/>
  <c r="AF897" i="2"/>
  <c r="AG896" i="2"/>
  <c r="AF896" i="2"/>
  <c r="AG894" i="2"/>
  <c r="AF894" i="2"/>
  <c r="AG893" i="2"/>
  <c r="AF893" i="2"/>
  <c r="AG892" i="2"/>
  <c r="AF892" i="2"/>
  <c r="AG891" i="2"/>
  <c r="AF891" i="2"/>
  <c r="AG890" i="2"/>
  <c r="AF890" i="2"/>
  <c r="AG889" i="2"/>
  <c r="AF889" i="2"/>
  <c r="AG888" i="2"/>
  <c r="AF888" i="2"/>
  <c r="AG887" i="2"/>
  <c r="AF887" i="2"/>
  <c r="AG886" i="2"/>
  <c r="AG885" i="2"/>
  <c r="AF885" i="2"/>
  <c r="AG884" i="2"/>
  <c r="AF884" i="2"/>
  <c r="AG883" i="2"/>
  <c r="AF883" i="2"/>
  <c r="AG882" i="2"/>
  <c r="AF882" i="2"/>
  <c r="AG881" i="2"/>
  <c r="AF881" i="2"/>
  <c r="AG880" i="2"/>
  <c r="AF880" i="2"/>
  <c r="AG879" i="2"/>
  <c r="AF879" i="2"/>
  <c r="AG878" i="2"/>
  <c r="AF878" i="2"/>
  <c r="AG877" i="2"/>
  <c r="AF877" i="2"/>
  <c r="AG876" i="2"/>
  <c r="AF876" i="2"/>
  <c r="AG875" i="2"/>
  <c r="AF875" i="2"/>
  <c r="AG874" i="2"/>
  <c r="AF874" i="2"/>
  <c r="AG873" i="2"/>
  <c r="AF873" i="2"/>
  <c r="AG872" i="2"/>
  <c r="AF872" i="2"/>
  <c r="AG871" i="2"/>
  <c r="AF871" i="2"/>
  <c r="AG870" i="2"/>
  <c r="AF870" i="2"/>
  <c r="AG869" i="2"/>
  <c r="AF869" i="2"/>
  <c r="AG868" i="2"/>
  <c r="AF868" i="2"/>
  <c r="AG867" i="2"/>
  <c r="AF867" i="2"/>
  <c r="AG865" i="2"/>
  <c r="AF865" i="2"/>
  <c r="AG864" i="2"/>
  <c r="AF864" i="2"/>
  <c r="AG863" i="2"/>
  <c r="AF863" i="2"/>
  <c r="AG862" i="2"/>
  <c r="AF862" i="2"/>
  <c r="AG861" i="2"/>
  <c r="AF861" i="2"/>
  <c r="AG859" i="2"/>
  <c r="AF859" i="2"/>
  <c r="AG858" i="2"/>
  <c r="AF858" i="2"/>
  <c r="AG857" i="2"/>
  <c r="AF857" i="2"/>
  <c r="AG856" i="2"/>
  <c r="AF856" i="2"/>
  <c r="AG855" i="2"/>
  <c r="AF855" i="2"/>
  <c r="AG854" i="2"/>
  <c r="AF854" i="2"/>
  <c r="AG853" i="2"/>
  <c r="AF853" i="2"/>
  <c r="AG852" i="2"/>
  <c r="AF852" i="2"/>
  <c r="AG851" i="2"/>
  <c r="AF851" i="2"/>
  <c r="AG850" i="2"/>
  <c r="AF850" i="2"/>
  <c r="AG849" i="2"/>
  <c r="AF849" i="2"/>
  <c r="AF848" i="2"/>
  <c r="AG847" i="2"/>
  <c r="AF847" i="2"/>
  <c r="AG846" i="2"/>
  <c r="AF846" i="2"/>
  <c r="AG845" i="2"/>
  <c r="AF845" i="2"/>
  <c r="AG844" i="2"/>
  <c r="AF844" i="2"/>
  <c r="AG843" i="2"/>
  <c r="AF843" i="2"/>
  <c r="AG842" i="2"/>
  <c r="AF842" i="2"/>
  <c r="AG841" i="2"/>
  <c r="AF841" i="2"/>
  <c r="AG840" i="2"/>
  <c r="AF840" i="2"/>
  <c r="AG839" i="2"/>
  <c r="AF839" i="2"/>
  <c r="AF838" i="2"/>
  <c r="AG837" i="2"/>
  <c r="AF837" i="2"/>
  <c r="AG835" i="2"/>
  <c r="AF835" i="2"/>
  <c r="AG834" i="2"/>
  <c r="AF834" i="2"/>
  <c r="AG833" i="2"/>
  <c r="AF833" i="2"/>
  <c r="AG832" i="2"/>
  <c r="AF832" i="2"/>
  <c r="AG831" i="2"/>
  <c r="AF831" i="2"/>
  <c r="AG829" i="2"/>
  <c r="AF829" i="2"/>
  <c r="AG827" i="2"/>
  <c r="AF827" i="2"/>
  <c r="AG826" i="2"/>
  <c r="AF826" i="2"/>
  <c r="AG825" i="2"/>
  <c r="AF825" i="2"/>
  <c r="AG824" i="2"/>
  <c r="AF824" i="2"/>
  <c r="AG823" i="2"/>
  <c r="AF823" i="2"/>
  <c r="AG822" i="2"/>
  <c r="AF822" i="2"/>
  <c r="AG821" i="2"/>
  <c r="AF821" i="2"/>
  <c r="AG820" i="2"/>
  <c r="AF820" i="2"/>
  <c r="AG819" i="2"/>
  <c r="AG817" i="2"/>
  <c r="AF817" i="2"/>
  <c r="AG816" i="2"/>
  <c r="AF816" i="2"/>
  <c r="AG812" i="2"/>
  <c r="AF812" i="2"/>
  <c r="AG811" i="2"/>
  <c r="AF811" i="2"/>
  <c r="AG810" i="2"/>
  <c r="AF810" i="2"/>
  <c r="AG809" i="2"/>
  <c r="AF809" i="2"/>
  <c r="AG808" i="2"/>
  <c r="AF808" i="2"/>
  <c r="AG807" i="2"/>
  <c r="AF807" i="2"/>
  <c r="AG806" i="2"/>
  <c r="AF806" i="2"/>
  <c r="AG804" i="2"/>
  <c r="AF804" i="2"/>
  <c r="AG803" i="2"/>
  <c r="AF803" i="2"/>
  <c r="AG802" i="2"/>
  <c r="AF802" i="2"/>
  <c r="AG800" i="2"/>
  <c r="AF800" i="2"/>
  <c r="AG799" i="2"/>
  <c r="AF799" i="2"/>
  <c r="AG798" i="2"/>
  <c r="AF798" i="2"/>
  <c r="AG797" i="2"/>
  <c r="AF797" i="2"/>
  <c r="AG794" i="2"/>
  <c r="AF794" i="2"/>
  <c r="AG793" i="2"/>
  <c r="AF793" i="2"/>
  <c r="AG792" i="2"/>
  <c r="AF792" i="2"/>
  <c r="AG791" i="2"/>
  <c r="AF791" i="2"/>
  <c r="AG790" i="2"/>
  <c r="AF790" i="2"/>
  <c r="AG789" i="2"/>
  <c r="AF789" i="2"/>
  <c r="AG787" i="2"/>
  <c r="AF787" i="2"/>
  <c r="AG786" i="2"/>
  <c r="AF786" i="2"/>
  <c r="AG785" i="2"/>
  <c r="AF785" i="2"/>
  <c r="AG783" i="2"/>
  <c r="AF783" i="2"/>
  <c r="AG782" i="2"/>
  <c r="AF782" i="2"/>
  <c r="AG781" i="2"/>
  <c r="AF781" i="2"/>
  <c r="AG780" i="2"/>
  <c r="AF780" i="2"/>
  <c r="AG777" i="2"/>
  <c r="AF777" i="2"/>
  <c r="AG776" i="2"/>
  <c r="AF776" i="2"/>
  <c r="AG775" i="2"/>
  <c r="AF775" i="2"/>
  <c r="AG774" i="2"/>
  <c r="AF774" i="2"/>
  <c r="AG773" i="2"/>
  <c r="AF773" i="2"/>
  <c r="AG772" i="2"/>
  <c r="AF772" i="2"/>
  <c r="AG771" i="2"/>
  <c r="AF771" i="2"/>
  <c r="AG767" i="2"/>
  <c r="AF767" i="2"/>
  <c r="AG766" i="2"/>
  <c r="AF766" i="2"/>
  <c r="AG765" i="2"/>
  <c r="AF765" i="2"/>
  <c r="AG764" i="2"/>
  <c r="AF764" i="2"/>
  <c r="AG763" i="2"/>
  <c r="AF763" i="2"/>
  <c r="AG761" i="2"/>
  <c r="AF761" i="2"/>
  <c r="AG760" i="2"/>
  <c r="AF760" i="2"/>
  <c r="AG759" i="2"/>
  <c r="AF759" i="2"/>
  <c r="AG758" i="2"/>
  <c r="AF758" i="2"/>
  <c r="AG757" i="2"/>
  <c r="AF757" i="2"/>
  <c r="AG756" i="2"/>
  <c r="AF756" i="2"/>
  <c r="AG755" i="2"/>
  <c r="AF755" i="2"/>
  <c r="AG754" i="2"/>
  <c r="AF754" i="2"/>
  <c r="AG753" i="2"/>
  <c r="AF753" i="2"/>
  <c r="AG752" i="2"/>
  <c r="AF752" i="2"/>
  <c r="AG751" i="2"/>
  <c r="AF751" i="2"/>
  <c r="AG750" i="2"/>
  <c r="AF750" i="2"/>
  <c r="AG749" i="2"/>
  <c r="AF749" i="2"/>
  <c r="AG748" i="2"/>
  <c r="AF748" i="2"/>
  <c r="AG747" i="2"/>
  <c r="AG746" i="2"/>
  <c r="AF746" i="2"/>
  <c r="AG745" i="2"/>
  <c r="AF745" i="2"/>
  <c r="AG742" i="2"/>
  <c r="AF742" i="2"/>
  <c r="AG741" i="2"/>
  <c r="AF741" i="2"/>
  <c r="AG739" i="2"/>
  <c r="AF739" i="2"/>
  <c r="AG738" i="2"/>
  <c r="AF738" i="2"/>
  <c r="AG734" i="2"/>
  <c r="AF734" i="2"/>
  <c r="AG733" i="2"/>
  <c r="AF733" i="2"/>
  <c r="AG732" i="2"/>
  <c r="AF732" i="2"/>
  <c r="AG730" i="2"/>
  <c r="AG728" i="2"/>
  <c r="AF728" i="2"/>
  <c r="AG727" i="2"/>
  <c r="AF727" i="2"/>
  <c r="AG726" i="2"/>
  <c r="AF726" i="2"/>
  <c r="AG724" i="2"/>
  <c r="AF724" i="2"/>
  <c r="AG723" i="2"/>
  <c r="AF723" i="2"/>
  <c r="AG722" i="2"/>
  <c r="AF722" i="2"/>
  <c r="AG720" i="2"/>
  <c r="AF720" i="2"/>
  <c r="AG718" i="2"/>
  <c r="AF718" i="2"/>
  <c r="AG715" i="2"/>
  <c r="AF715" i="2"/>
  <c r="AG712" i="2"/>
  <c r="AF712" i="2"/>
  <c r="AG711" i="2"/>
  <c r="AF711" i="2"/>
  <c r="AG710" i="2"/>
  <c r="AF710" i="2"/>
  <c r="AG706" i="2"/>
  <c r="AF706" i="2"/>
  <c r="AG705" i="2"/>
  <c r="AF705" i="2"/>
  <c r="F531" i="3"/>
  <c r="F524" i="3"/>
  <c r="F503" i="3"/>
  <c r="F498" i="3"/>
  <c r="D495" i="3"/>
  <c r="F495" i="3"/>
  <c r="F472" i="3"/>
  <c r="F361" i="3"/>
  <c r="F362" i="3"/>
  <c r="F363" i="3"/>
  <c r="F364" i="3"/>
  <c r="F365" i="3"/>
  <c r="F366" i="3"/>
  <c r="F367" i="3"/>
  <c r="F368" i="3"/>
  <c r="F369" i="3"/>
  <c r="F370" i="3"/>
  <c r="F371" i="3"/>
  <c r="F372" i="3"/>
  <c r="F373" i="3"/>
  <c r="F374" i="3"/>
  <c r="F375" i="3"/>
  <c r="F376" i="3"/>
  <c r="F377" i="3"/>
  <c r="F378" i="3"/>
  <c r="F379" i="3"/>
  <c r="F380" i="3"/>
  <c r="F381" i="3"/>
  <c r="F356" i="3"/>
  <c r="F353" i="3"/>
  <c r="F337" i="3"/>
  <c r="F334" i="3"/>
  <c r="F317" i="3"/>
  <c r="F318" i="3"/>
  <c r="F319" i="3"/>
  <c r="F298" i="3"/>
  <c r="F293" i="3"/>
  <c r="F292" i="3"/>
  <c r="F289" i="3"/>
  <c r="F282" i="3"/>
  <c r="F283" i="3"/>
  <c r="F284" i="3"/>
  <c r="F285" i="3"/>
  <c r="F286" i="3"/>
  <c r="F287" i="3"/>
  <c r="F288" i="3"/>
  <c r="F291" i="3"/>
  <c r="F268" i="3"/>
  <c r="F269" i="3"/>
  <c r="F270" i="3"/>
  <c r="F271" i="3"/>
  <c r="F272" i="3"/>
  <c r="F230" i="3"/>
  <c r="F227" i="3"/>
  <c r="F228" i="3"/>
  <c r="F229" i="3"/>
  <c r="F231" i="3"/>
  <c r="F232" i="3"/>
  <c r="F233" i="3"/>
  <c r="F234" i="3"/>
  <c r="F235" i="3"/>
  <c r="F236" i="3"/>
  <c r="F237" i="3"/>
  <c r="F207" i="3"/>
  <c r="F208" i="3"/>
  <c r="F209" i="3"/>
  <c r="F210" i="3"/>
  <c r="F211" i="3"/>
  <c r="F202" i="3"/>
  <c r="F198" i="3"/>
  <c r="F185" i="3"/>
  <c r="F186" i="3"/>
  <c r="F187" i="3"/>
  <c r="F188" i="3"/>
  <c r="F189" i="3"/>
  <c r="F190" i="3"/>
  <c r="F191" i="3"/>
  <c r="F192" i="3"/>
  <c r="F193" i="3"/>
  <c r="F194" i="3"/>
  <c r="F195" i="3"/>
  <c r="F197" i="3"/>
  <c r="F177" i="3"/>
  <c r="F162" i="3"/>
  <c r="F163" i="3"/>
  <c r="F164" i="3"/>
  <c r="F165" i="3"/>
  <c r="F166" i="3"/>
  <c r="F167" i="3"/>
  <c r="F168" i="3"/>
  <c r="F169" i="3"/>
  <c r="F170" i="3"/>
  <c r="F171" i="3"/>
  <c r="F172" i="3"/>
  <c r="F173" i="3"/>
  <c r="F148" i="3"/>
  <c r="F149" i="3"/>
  <c r="F146" i="3"/>
  <c r="F138" i="3"/>
  <c r="F106" i="3"/>
  <c r="F99" i="3"/>
  <c r="F98" i="3"/>
  <c r="F97" i="3"/>
  <c r="F95" i="3"/>
  <c r="F94" i="3"/>
  <c r="F78" i="3"/>
  <c r="F63" i="3"/>
  <c r="F61" i="3"/>
  <c r="F60" i="3"/>
  <c r="F58" i="3"/>
  <c r="F52" i="3"/>
  <c r="F40" i="3"/>
  <c r="F27" i="3"/>
  <c r="F24" i="3"/>
  <c r="CC3" i="2"/>
  <c r="BN63" i="6"/>
  <c r="BY63" i="6" s="1"/>
  <c r="AL63" i="6"/>
  <c r="AP63" i="6" s="1"/>
  <c r="CA63" i="6" s="1"/>
  <c r="AB63" i="6"/>
  <c r="AA63" i="6"/>
  <c r="X63" i="6"/>
  <c r="W63" i="6"/>
  <c r="P63" i="6"/>
  <c r="AO63" i="6"/>
  <c r="BN62" i="6"/>
  <c r="AL62" i="6"/>
  <c r="AP62" i="6"/>
  <c r="CA62" i="6" s="1"/>
  <c r="AB62" i="6"/>
  <c r="AA62" i="6"/>
  <c r="X62" i="6"/>
  <c r="W62" i="6"/>
  <c r="P62" i="6"/>
  <c r="AO62" i="6" s="1"/>
  <c r="BN61" i="6"/>
  <c r="AL61" i="6"/>
  <c r="AP61" i="6"/>
  <c r="AB61" i="6"/>
  <c r="AA61" i="6"/>
  <c r="X61" i="6"/>
  <c r="W61" i="6"/>
  <c r="P61" i="6"/>
  <c r="AO61" i="6"/>
  <c r="BN60" i="6"/>
  <c r="BY60" i="6"/>
  <c r="AL60" i="6"/>
  <c r="AP60" i="6"/>
  <c r="CA60" i="6" s="1"/>
  <c r="AB60" i="6"/>
  <c r="AA60" i="6"/>
  <c r="X60" i="6"/>
  <c r="W60" i="6"/>
  <c r="P60" i="6"/>
  <c r="AO60" i="6"/>
  <c r="BN59" i="6"/>
  <c r="BY59" i="6" s="1"/>
  <c r="AL59" i="6"/>
  <c r="AP59" i="6" s="1"/>
  <c r="CA59" i="6" s="1"/>
  <c r="AB59" i="6"/>
  <c r="AA59" i="6"/>
  <c r="X59" i="6"/>
  <c r="W59" i="6"/>
  <c r="P59" i="6"/>
  <c r="BN58" i="6"/>
  <c r="AP58" i="6"/>
  <c r="CA58" i="6" s="1"/>
  <c r="AB58" i="6"/>
  <c r="AA58" i="6"/>
  <c r="X58" i="6"/>
  <c r="W58" i="6"/>
  <c r="P58" i="6"/>
  <c r="AO58" i="6" s="1"/>
  <c r="BN57" i="6"/>
  <c r="BS57" i="6" s="1"/>
  <c r="AL57" i="6"/>
  <c r="AP57" i="6"/>
  <c r="CA57" i="6" s="1"/>
  <c r="AB57" i="6"/>
  <c r="AA57" i="6"/>
  <c r="X57" i="6"/>
  <c r="W57" i="6"/>
  <c r="P57" i="6"/>
  <c r="AO57" i="6"/>
  <c r="BN56" i="6"/>
  <c r="BS56" i="6" s="1"/>
  <c r="AL56" i="6"/>
  <c r="AP56" i="6"/>
  <c r="CA56" i="6" s="1"/>
  <c r="AB56" i="6"/>
  <c r="AA56" i="6"/>
  <c r="X56" i="6"/>
  <c r="W56" i="6"/>
  <c r="P56" i="6"/>
  <c r="AO56" i="6"/>
  <c r="BN55" i="6"/>
  <c r="BS55" i="6" s="1"/>
  <c r="AL55" i="6"/>
  <c r="AP55" i="6" s="1"/>
  <c r="CA55" i="6" s="1"/>
  <c r="AB55" i="6"/>
  <c r="AA55" i="6"/>
  <c r="X55" i="6"/>
  <c r="W55" i="6"/>
  <c r="P55" i="6"/>
  <c r="AO55" i="6" s="1"/>
  <c r="BN54" i="6"/>
  <c r="BS54" i="6" s="1"/>
  <c r="AL54" i="6"/>
  <c r="AP54" i="6"/>
  <c r="CA54" i="6" s="1"/>
  <c r="AB54" i="6"/>
  <c r="AA54" i="6"/>
  <c r="X54" i="6"/>
  <c r="W54" i="6"/>
  <c r="P54" i="6"/>
  <c r="AO54" i="6" s="1"/>
  <c r="AF2" i="5"/>
  <c r="AG2" i="5" s="1"/>
  <c r="AC2" i="5"/>
  <c r="AB2" i="5"/>
  <c r="Y2" i="5"/>
  <c r="X2" i="5"/>
  <c r="AH80" i="4"/>
  <c r="AE80" i="4"/>
  <c r="AF80" i="4" s="1"/>
  <c r="AB80" i="4"/>
  <c r="AA80" i="4"/>
  <c r="X80" i="4"/>
  <c r="W80" i="4"/>
  <c r="Q80" i="4"/>
  <c r="AK80" i="4" s="1"/>
  <c r="AG80" i="4" s="1"/>
  <c r="P80" i="4"/>
  <c r="AH79" i="4"/>
  <c r="AE79" i="4"/>
  <c r="AF79" i="4" s="1"/>
  <c r="AB79" i="4"/>
  <c r="AA79" i="4"/>
  <c r="X79" i="4"/>
  <c r="W79" i="4"/>
  <c r="Q79" i="4"/>
  <c r="AK79" i="4"/>
  <c r="AG79" i="4" s="1"/>
  <c r="P79" i="4"/>
  <c r="AH78" i="4"/>
  <c r="AE78" i="4"/>
  <c r="AF78" i="4" s="1"/>
  <c r="AB78" i="4"/>
  <c r="AA78" i="4"/>
  <c r="X78" i="4"/>
  <c r="W78" i="4"/>
  <c r="Q78" i="4"/>
  <c r="AK78" i="4"/>
  <c r="AG78" i="4" s="1"/>
  <c r="P78" i="4"/>
  <c r="AH77" i="4"/>
  <c r="AE77" i="4"/>
  <c r="AF77" i="4" s="1"/>
  <c r="AB77" i="4"/>
  <c r="AA77" i="4"/>
  <c r="X77" i="4"/>
  <c r="W77" i="4"/>
  <c r="Q77" i="4"/>
  <c r="AK77" i="4"/>
  <c r="AG77" i="4" s="1"/>
  <c r="P77" i="4"/>
  <c r="AH76" i="4"/>
  <c r="AE76" i="4"/>
  <c r="AF76" i="4" s="1"/>
  <c r="AB76" i="4"/>
  <c r="AA76" i="4"/>
  <c r="X76" i="4"/>
  <c r="W76" i="4"/>
  <c r="Q76" i="4"/>
  <c r="AK76" i="4" s="1"/>
  <c r="AG76" i="4" s="1"/>
  <c r="P76" i="4"/>
  <c r="AH75" i="4"/>
  <c r="AE75" i="4"/>
  <c r="AF75" i="4" s="1"/>
  <c r="AB75" i="4"/>
  <c r="AA75" i="4"/>
  <c r="X75" i="4"/>
  <c r="W75" i="4"/>
  <c r="Q75" i="4"/>
  <c r="AK75" i="4" s="1"/>
  <c r="AG75" i="4" s="1"/>
  <c r="P75" i="4"/>
  <c r="AH74" i="4"/>
  <c r="AE74" i="4"/>
  <c r="AF74" i="4" s="1"/>
  <c r="AB74" i="4"/>
  <c r="AA74" i="4"/>
  <c r="X74" i="4"/>
  <c r="W74" i="4"/>
  <c r="Q74" i="4"/>
  <c r="AK74" i="4"/>
  <c r="AG74" i="4" s="1"/>
  <c r="P74" i="4"/>
  <c r="AH73" i="4"/>
  <c r="AE73" i="4"/>
  <c r="AF73" i="4" s="1"/>
  <c r="AB73" i="4"/>
  <c r="AA73" i="4"/>
  <c r="X73" i="4"/>
  <c r="W73" i="4"/>
  <c r="Q73" i="4"/>
  <c r="AK73" i="4"/>
  <c r="AG73" i="4" s="1"/>
  <c r="P73" i="4"/>
  <c r="AH72" i="4"/>
  <c r="AE72" i="4"/>
  <c r="AF72" i="4" s="1"/>
  <c r="AB72" i="4"/>
  <c r="AA72" i="4"/>
  <c r="X72" i="4"/>
  <c r="W72" i="4"/>
  <c r="Q72" i="4"/>
  <c r="AK72" i="4" s="1"/>
  <c r="AG72" i="4" s="1"/>
  <c r="P72" i="4"/>
  <c r="AH71" i="4"/>
  <c r="AE71" i="4"/>
  <c r="AF71" i="4" s="1"/>
  <c r="AB71" i="4"/>
  <c r="AA71" i="4"/>
  <c r="X71" i="4"/>
  <c r="W71" i="4"/>
  <c r="Q71" i="4"/>
  <c r="AK71" i="4"/>
  <c r="AG71" i="4" s="1"/>
  <c r="P71" i="4"/>
  <c r="AH70" i="4"/>
  <c r="AE70" i="4"/>
  <c r="AF70" i="4" s="1"/>
  <c r="AB70" i="4"/>
  <c r="AA70" i="4"/>
  <c r="X70" i="4"/>
  <c r="W70" i="4"/>
  <c r="Q70" i="4"/>
  <c r="AK70" i="4"/>
  <c r="AG70" i="4" s="1"/>
  <c r="P70" i="4"/>
  <c r="AH69" i="4"/>
  <c r="AE69" i="4"/>
  <c r="AF69" i="4" s="1"/>
  <c r="AB69" i="4"/>
  <c r="AA69" i="4"/>
  <c r="X69" i="4"/>
  <c r="W69" i="4"/>
  <c r="Q69" i="4"/>
  <c r="AK69" i="4"/>
  <c r="AG69" i="4" s="1"/>
  <c r="P69" i="4"/>
  <c r="AH68" i="4"/>
  <c r="AE68" i="4"/>
  <c r="AF68" i="4" s="1"/>
  <c r="AB68" i="4"/>
  <c r="AA68" i="4"/>
  <c r="X68" i="4"/>
  <c r="W68" i="4"/>
  <c r="Q68" i="4"/>
  <c r="AK68" i="4" s="1"/>
  <c r="AG68" i="4" s="1"/>
  <c r="P68" i="4"/>
  <c r="AH67" i="4"/>
  <c r="AE67" i="4"/>
  <c r="AF67" i="4" s="1"/>
  <c r="AB67" i="4"/>
  <c r="AA67" i="4"/>
  <c r="X67" i="4"/>
  <c r="W67" i="4"/>
  <c r="Q67" i="4"/>
  <c r="AK67" i="4" s="1"/>
  <c r="AG67" i="4" s="1"/>
  <c r="P67" i="4"/>
  <c r="AH66" i="4"/>
  <c r="AE66" i="4"/>
  <c r="AF66" i="4" s="1"/>
  <c r="AB66" i="4"/>
  <c r="AA66" i="4"/>
  <c r="X66" i="4"/>
  <c r="W66" i="4"/>
  <c r="Q66" i="4"/>
  <c r="AK66" i="4"/>
  <c r="AG66" i="4" s="1"/>
  <c r="P66" i="4"/>
  <c r="AH65" i="4"/>
  <c r="AE65" i="4"/>
  <c r="AF65" i="4" s="1"/>
  <c r="AB65" i="4"/>
  <c r="AA65" i="4"/>
  <c r="X65" i="4"/>
  <c r="W65" i="4"/>
  <c r="Q65" i="4"/>
  <c r="AK65" i="4"/>
  <c r="AG65" i="4" s="1"/>
  <c r="P65" i="4"/>
  <c r="AH64" i="4"/>
  <c r="AE64" i="4"/>
  <c r="AF64" i="4" s="1"/>
  <c r="AB64" i="4"/>
  <c r="AA64" i="4"/>
  <c r="X64" i="4"/>
  <c r="W64" i="4"/>
  <c r="Q64" i="4"/>
  <c r="AK64" i="4" s="1"/>
  <c r="AG64" i="4" s="1"/>
  <c r="P64" i="4"/>
  <c r="AH63" i="4"/>
  <c r="AF63" i="4"/>
  <c r="AB63" i="4"/>
  <c r="AA63" i="4"/>
  <c r="X63" i="4"/>
  <c r="W63" i="4"/>
  <c r="Q63" i="4"/>
  <c r="AK63" i="4"/>
  <c r="AG63" i="4" s="1"/>
  <c r="P63" i="4"/>
  <c r="AH62" i="4"/>
  <c r="AE62" i="4"/>
  <c r="AF62" i="4" s="1"/>
  <c r="AB62" i="4"/>
  <c r="AA62" i="4"/>
  <c r="X62" i="4"/>
  <c r="W62" i="4"/>
  <c r="Q62" i="4"/>
  <c r="AK62" i="4"/>
  <c r="AG62" i="4" s="1"/>
  <c r="P62" i="4"/>
  <c r="AH61" i="4"/>
  <c r="AE61" i="4"/>
  <c r="AF61" i="4" s="1"/>
  <c r="AB61" i="4"/>
  <c r="AA61" i="4"/>
  <c r="X61" i="4"/>
  <c r="W61" i="4"/>
  <c r="Q61" i="4"/>
  <c r="AK61" i="4"/>
  <c r="AG61" i="4" s="1"/>
  <c r="P61" i="4"/>
  <c r="AH60" i="4"/>
  <c r="AE60" i="4"/>
  <c r="AF60" i="4" s="1"/>
  <c r="AB60" i="4"/>
  <c r="AA60" i="4"/>
  <c r="X60" i="4"/>
  <c r="W60" i="4"/>
  <c r="Q60" i="4"/>
  <c r="AK60" i="4" s="1"/>
  <c r="AG60" i="4" s="1"/>
  <c r="P60" i="4"/>
  <c r="AH59" i="4"/>
  <c r="AE59" i="4"/>
  <c r="AF59" i="4" s="1"/>
  <c r="AB59" i="4"/>
  <c r="AA59" i="4"/>
  <c r="X59" i="4"/>
  <c r="W59" i="4"/>
  <c r="Q59" i="4"/>
  <c r="AK59" i="4" s="1"/>
  <c r="AG59" i="4" s="1"/>
  <c r="P59" i="4"/>
  <c r="AH58" i="4"/>
  <c r="AE58" i="4"/>
  <c r="AF58" i="4" s="1"/>
  <c r="AB58" i="4"/>
  <c r="AA58" i="4"/>
  <c r="X58" i="4"/>
  <c r="W58" i="4"/>
  <c r="Q58" i="4"/>
  <c r="AK58" i="4"/>
  <c r="AG58" i="4" s="1"/>
  <c r="P58" i="4"/>
  <c r="AH57" i="4"/>
  <c r="AE57" i="4"/>
  <c r="AF57" i="4" s="1"/>
  <c r="AB57" i="4"/>
  <c r="AA57" i="4"/>
  <c r="X57" i="4"/>
  <c r="W57" i="4"/>
  <c r="Q57" i="4"/>
  <c r="AK57" i="4"/>
  <c r="AG57" i="4" s="1"/>
  <c r="P57" i="4"/>
  <c r="AH56" i="4"/>
  <c r="AE56" i="4"/>
  <c r="AF56" i="4" s="1"/>
  <c r="AB56" i="4"/>
  <c r="AA56" i="4"/>
  <c r="X56" i="4"/>
  <c r="W56" i="4"/>
  <c r="Q56" i="4"/>
  <c r="AK56" i="4" s="1"/>
  <c r="AG56" i="4" s="1"/>
  <c r="P56" i="4"/>
  <c r="CC1002" i="2"/>
  <c r="CE1002" i="2" s="1"/>
  <c r="CK1002" i="2" s="1"/>
  <c r="BF1002" i="2"/>
  <c r="BJ1002" i="2" s="1"/>
  <c r="CM1002" i="2" s="1"/>
  <c r="AC1002" i="2"/>
  <c r="Q1002" i="2"/>
  <c r="CC1001" i="2"/>
  <c r="CE1001" i="2" s="1"/>
  <c r="CK1001" i="2" s="1"/>
  <c r="BF1001" i="2"/>
  <c r="BJ1001" i="2" s="1"/>
  <c r="CM1001" i="2" s="1"/>
  <c r="AC1001" i="2"/>
  <c r="Q1001" i="2"/>
  <c r="CC1000" i="2"/>
  <c r="CE1000" i="2" s="1"/>
  <c r="CK1000" i="2" s="1"/>
  <c r="BF1000" i="2"/>
  <c r="BJ1000" i="2" s="1"/>
  <c r="CM1000" i="2" s="1"/>
  <c r="AC1000" i="2"/>
  <c r="Q1000" i="2"/>
  <c r="CC999" i="2"/>
  <c r="CE999" i="2" s="1"/>
  <c r="CK999" i="2" s="1"/>
  <c r="BF999" i="2"/>
  <c r="BJ999" i="2" s="1"/>
  <c r="CM999" i="2" s="1"/>
  <c r="AC999" i="2"/>
  <c r="Q999" i="2"/>
  <c r="CC998" i="2"/>
  <c r="CE998" i="2" s="1"/>
  <c r="CK998" i="2" s="1"/>
  <c r="BF998" i="2"/>
  <c r="BJ998" i="2" s="1"/>
  <c r="CM998" i="2" s="1"/>
  <c r="AC998" i="2"/>
  <c r="Q998" i="2"/>
  <c r="CC997" i="2"/>
  <c r="CE997" i="2" s="1"/>
  <c r="CK997" i="2" s="1"/>
  <c r="BF997" i="2"/>
  <c r="BJ997" i="2" s="1"/>
  <c r="AC997" i="2"/>
  <c r="Q997" i="2"/>
  <c r="CC996" i="2"/>
  <c r="CE996" i="2" s="1"/>
  <c r="CK996" i="2" s="1"/>
  <c r="BF996" i="2"/>
  <c r="BJ996" i="2" s="1"/>
  <c r="CM996" i="2" s="1"/>
  <c r="AC996" i="2"/>
  <c r="Q996" i="2"/>
  <c r="CC995" i="2"/>
  <c r="CE995" i="2" s="1"/>
  <c r="CK995" i="2" s="1"/>
  <c r="BF995" i="2"/>
  <c r="BJ995" i="2" s="1"/>
  <c r="CM995" i="2" s="1"/>
  <c r="AC995" i="2"/>
  <c r="Q995" i="2"/>
  <c r="CC994" i="2"/>
  <c r="CE994" i="2" s="1"/>
  <c r="CK994" i="2" s="1"/>
  <c r="BF994" i="2"/>
  <c r="BJ994" i="2" s="1"/>
  <c r="CM994" i="2" s="1"/>
  <c r="AC994" i="2"/>
  <c r="Q994" i="2"/>
  <c r="CC993" i="2"/>
  <c r="CE993" i="2" s="1"/>
  <c r="CK993" i="2" s="1"/>
  <c r="BF993" i="2"/>
  <c r="BJ993" i="2" s="1"/>
  <c r="CM993" i="2" s="1"/>
  <c r="AC993" i="2"/>
  <c r="Q993" i="2"/>
  <c r="CC992" i="2"/>
  <c r="CE992" i="2" s="1"/>
  <c r="CK992" i="2" s="1"/>
  <c r="BF992" i="2"/>
  <c r="BJ992" i="2" s="1"/>
  <c r="CM992" i="2" s="1"/>
  <c r="AC992" i="2"/>
  <c r="Q992" i="2"/>
  <c r="CC991" i="2"/>
  <c r="CE991" i="2" s="1"/>
  <c r="CK991" i="2" s="1"/>
  <c r="BF991" i="2"/>
  <c r="BJ991" i="2" s="1"/>
  <c r="CM991" i="2" s="1"/>
  <c r="AC991" i="2"/>
  <c r="Q991" i="2"/>
  <c r="CC990" i="2"/>
  <c r="CE990" i="2" s="1"/>
  <c r="CK990" i="2" s="1"/>
  <c r="BF990" i="2"/>
  <c r="BJ990" i="2" s="1"/>
  <c r="AC990" i="2"/>
  <c r="Q990" i="2"/>
  <c r="CC989" i="2"/>
  <c r="CE989" i="2" s="1"/>
  <c r="CK989" i="2" s="1"/>
  <c r="BF989" i="2"/>
  <c r="BJ989" i="2" s="1"/>
  <c r="CM989" i="2" s="1"/>
  <c r="AC989" i="2"/>
  <c r="Q989" i="2"/>
  <c r="CC988" i="2"/>
  <c r="CE988" i="2" s="1"/>
  <c r="CK988" i="2" s="1"/>
  <c r="BF988" i="2"/>
  <c r="BJ988" i="2" s="1"/>
  <c r="CM988" i="2" s="1"/>
  <c r="AC988" i="2"/>
  <c r="Q988" i="2"/>
  <c r="CC987" i="2"/>
  <c r="CE987" i="2" s="1"/>
  <c r="CK987" i="2" s="1"/>
  <c r="BF987" i="2"/>
  <c r="AC987" i="2"/>
  <c r="Q987" i="2"/>
  <c r="CC986" i="2"/>
  <c r="CE986" i="2" s="1"/>
  <c r="CK986" i="2" s="1"/>
  <c r="BF986" i="2"/>
  <c r="BJ986" i="2" s="1"/>
  <c r="AC986" i="2"/>
  <c r="Q986" i="2"/>
  <c r="CC985" i="2"/>
  <c r="CE985" i="2" s="1"/>
  <c r="CK985" i="2" s="1"/>
  <c r="BF985" i="2"/>
  <c r="BJ985" i="2" s="1"/>
  <c r="CM985" i="2" s="1"/>
  <c r="AC985" i="2"/>
  <c r="Q985" i="2"/>
  <c r="CC984" i="2"/>
  <c r="CE984" i="2" s="1"/>
  <c r="CK984" i="2" s="1"/>
  <c r="BF984" i="2"/>
  <c r="BJ984" i="2" s="1"/>
  <c r="CM984" i="2" s="1"/>
  <c r="AC984" i="2"/>
  <c r="Q984" i="2"/>
  <c r="CC983" i="2"/>
  <c r="CE983" i="2" s="1"/>
  <c r="CK983" i="2" s="1"/>
  <c r="BF983" i="2"/>
  <c r="AC983" i="2"/>
  <c r="Q983" i="2"/>
  <c r="CC982" i="2"/>
  <c r="CE982" i="2" s="1"/>
  <c r="CK982" i="2" s="1"/>
  <c r="BF982" i="2"/>
  <c r="BJ982" i="2" s="1"/>
  <c r="CM982" i="2" s="1"/>
  <c r="AC982" i="2"/>
  <c r="Q982" i="2"/>
  <c r="CC981" i="2"/>
  <c r="CE981" i="2" s="1"/>
  <c r="CK981" i="2" s="1"/>
  <c r="BF981" i="2"/>
  <c r="BJ981" i="2" s="1"/>
  <c r="CM981" i="2" s="1"/>
  <c r="AC981" i="2"/>
  <c r="Q981" i="2"/>
  <c r="CC980" i="2"/>
  <c r="CE980" i="2" s="1"/>
  <c r="CK980" i="2" s="1"/>
  <c r="BF980" i="2"/>
  <c r="BJ980" i="2" s="1"/>
  <c r="CM980" i="2" s="1"/>
  <c r="AC980" i="2"/>
  <c r="Q980" i="2"/>
  <c r="CC978" i="2"/>
  <c r="CE978" i="2" s="1"/>
  <c r="CK978" i="2" s="1"/>
  <c r="BF978" i="2"/>
  <c r="BJ978" i="2" s="1"/>
  <c r="CM978" i="2" s="1"/>
  <c r="AC978" i="2"/>
  <c r="Q978" i="2"/>
  <c r="CC977" i="2"/>
  <c r="CE977" i="2" s="1"/>
  <c r="CK977" i="2" s="1"/>
  <c r="BF977" i="2"/>
  <c r="BJ977" i="2" s="1"/>
  <c r="CM977" i="2" s="1"/>
  <c r="AC977" i="2"/>
  <c r="Q977" i="2"/>
  <c r="CC976" i="2"/>
  <c r="CE976" i="2" s="1"/>
  <c r="CK976" i="2" s="1"/>
  <c r="BF976" i="2"/>
  <c r="BJ976" i="2" s="1"/>
  <c r="CM976" i="2" s="1"/>
  <c r="AC976" i="2"/>
  <c r="Q976" i="2"/>
  <c r="CC975" i="2"/>
  <c r="CE975" i="2" s="1"/>
  <c r="CK975" i="2" s="1"/>
  <c r="BF975" i="2"/>
  <c r="BJ975" i="2" s="1"/>
  <c r="CM975" i="2" s="1"/>
  <c r="AC975" i="2"/>
  <c r="Q975" i="2"/>
  <c r="CC974" i="2"/>
  <c r="CE974" i="2" s="1"/>
  <c r="CK974" i="2" s="1"/>
  <c r="BF974" i="2"/>
  <c r="BJ974" i="2" s="1"/>
  <c r="AC974" i="2"/>
  <c r="Q974" i="2"/>
  <c r="CC973" i="2"/>
  <c r="CE973" i="2" s="1"/>
  <c r="BF973" i="2"/>
  <c r="BJ973" i="2" s="1"/>
  <c r="AC973" i="2"/>
  <c r="Q973" i="2"/>
  <c r="CC972" i="2"/>
  <c r="CE972" i="2" s="1"/>
  <c r="CK972" i="2" s="1"/>
  <c r="BF972" i="2"/>
  <c r="BJ972" i="2" s="1"/>
  <c r="CM972" i="2" s="1"/>
  <c r="AC972" i="2"/>
  <c r="Q972" i="2"/>
  <c r="CC971" i="2"/>
  <c r="CE971" i="2" s="1"/>
  <c r="BF971" i="2"/>
  <c r="BJ971" i="2" s="1"/>
  <c r="CM971" i="2" s="1"/>
  <c r="Q971" i="2"/>
  <c r="CC970" i="2"/>
  <c r="CE970" i="2" s="1"/>
  <c r="BF970" i="2"/>
  <c r="BJ970" i="2" s="1"/>
  <c r="CM970" i="2" s="1"/>
  <c r="Q970" i="2"/>
  <c r="CC969" i="2"/>
  <c r="CE969" i="2" s="1"/>
  <c r="BF969" i="2"/>
  <c r="BJ969" i="2" s="1"/>
  <c r="CM969" i="2" s="1"/>
  <c r="Q969" i="2"/>
  <c r="CC968" i="2"/>
  <c r="CE968" i="2" s="1"/>
  <c r="BF968" i="2"/>
  <c r="BJ968" i="2" s="1"/>
  <c r="CM968" i="2" s="1"/>
  <c r="AC968" i="2"/>
  <c r="Q968" i="2"/>
  <c r="CC967" i="2"/>
  <c r="CE967" i="2" s="1"/>
  <c r="BF967" i="2"/>
  <c r="BJ967" i="2" s="1"/>
  <c r="AC967" i="2"/>
  <c r="Q967" i="2"/>
  <c r="CC966" i="2"/>
  <c r="CE966" i="2" s="1"/>
  <c r="BF966" i="2"/>
  <c r="BJ966" i="2" s="1"/>
  <c r="CM966" i="2" s="1"/>
  <c r="Q966" i="2"/>
  <c r="CC965" i="2"/>
  <c r="CE965" i="2" s="1"/>
  <c r="BF965" i="2"/>
  <c r="BJ965" i="2" s="1"/>
  <c r="CM965" i="2" s="1"/>
  <c r="AC965" i="2"/>
  <c r="Q965" i="2"/>
  <c r="CC964" i="2"/>
  <c r="CE964" i="2" s="1"/>
  <c r="BF964" i="2"/>
  <c r="BJ964" i="2" s="1"/>
  <c r="AC964" i="2"/>
  <c r="Q964" i="2"/>
  <c r="CC963" i="2"/>
  <c r="CE963" i="2" s="1"/>
  <c r="BF963" i="2"/>
  <c r="BJ963" i="2" s="1"/>
  <c r="CM963" i="2" s="1"/>
  <c r="AC963" i="2"/>
  <c r="Q963" i="2"/>
  <c r="CC962" i="2"/>
  <c r="CE962" i="2" s="1"/>
  <c r="BF962" i="2"/>
  <c r="BJ962" i="2" s="1"/>
  <c r="CM962" i="2" s="1"/>
  <c r="AC962" i="2"/>
  <c r="Q962" i="2"/>
  <c r="CC961" i="2"/>
  <c r="CE961" i="2" s="1"/>
  <c r="BF961" i="2"/>
  <c r="AC961" i="2"/>
  <c r="Q961" i="2"/>
  <c r="CC960" i="2"/>
  <c r="CE960" i="2" s="1"/>
  <c r="BF960" i="2"/>
  <c r="BJ960" i="2" s="1"/>
  <c r="AC960" i="2"/>
  <c r="Q960" i="2"/>
  <c r="CC959" i="2"/>
  <c r="CE959" i="2" s="1"/>
  <c r="BF959" i="2"/>
  <c r="BJ959" i="2" s="1"/>
  <c r="CM959" i="2" s="1"/>
  <c r="AC959" i="2"/>
  <c r="Q959" i="2"/>
  <c r="BF958" i="2"/>
  <c r="CC957" i="2"/>
  <c r="CE957" i="2" s="1"/>
  <c r="BF957" i="2"/>
  <c r="BJ957" i="2" s="1"/>
  <c r="CM957" i="2" s="1"/>
  <c r="AC957" i="2"/>
  <c r="Q957" i="2"/>
  <c r="CC956" i="2"/>
  <c r="CE956" i="2" s="1"/>
  <c r="BF956" i="2"/>
  <c r="BJ956" i="2" s="1"/>
  <c r="CM956" i="2" s="1"/>
  <c r="AC956" i="2"/>
  <c r="Q956" i="2"/>
  <c r="CC955" i="2"/>
  <c r="CE955" i="2" s="1"/>
  <c r="BF955" i="2"/>
  <c r="BJ955" i="2" s="1"/>
  <c r="AC955" i="2"/>
  <c r="Q955" i="2"/>
  <c r="CC954" i="2"/>
  <c r="CE954" i="2" s="1"/>
  <c r="BF954" i="2"/>
  <c r="BJ954" i="2" s="1"/>
  <c r="Q954" i="2"/>
  <c r="CC953" i="2"/>
  <c r="CE953" i="2" s="1"/>
  <c r="BF953" i="2"/>
  <c r="BJ953" i="2" s="1"/>
  <c r="AC953" i="2"/>
  <c r="Q953" i="2"/>
  <c r="CC952" i="2"/>
  <c r="CE952" i="2" s="1"/>
  <c r="BF952" i="2"/>
  <c r="BJ952" i="2" s="1"/>
  <c r="AC952" i="2"/>
  <c r="Q952" i="2"/>
  <c r="CC951" i="2"/>
  <c r="CE951" i="2" s="1"/>
  <c r="BF951" i="2"/>
  <c r="BJ951" i="2" s="1"/>
  <c r="CH951" i="2" s="1"/>
  <c r="CI951" i="2" s="1"/>
  <c r="AC951" i="2"/>
  <c r="Q951" i="2"/>
  <c r="CC950" i="2"/>
  <c r="CE950" i="2" s="1"/>
  <c r="BF950" i="2"/>
  <c r="BJ950" i="2" s="1"/>
  <c r="AC950" i="2"/>
  <c r="Q950" i="2"/>
  <c r="CC949" i="2"/>
  <c r="CE949" i="2" s="1"/>
  <c r="BF949" i="2"/>
  <c r="BJ949" i="2" s="1"/>
  <c r="AC949" i="2"/>
  <c r="Q949" i="2"/>
  <c r="CC948" i="2"/>
  <c r="CE948" i="2" s="1"/>
  <c r="BF948" i="2"/>
  <c r="BJ948" i="2" s="1"/>
  <c r="CH948" i="2" s="1"/>
  <c r="CI948" i="2" s="1"/>
  <c r="AC948" i="2"/>
  <c r="Q948" i="2"/>
  <c r="CC947" i="2"/>
  <c r="CE947" i="2" s="1"/>
  <c r="BF947" i="2"/>
  <c r="BJ947" i="2" s="1"/>
  <c r="AC947" i="2"/>
  <c r="Q947" i="2"/>
  <c r="CC946" i="2"/>
  <c r="CE946" i="2" s="1"/>
  <c r="BF946" i="2"/>
  <c r="BJ946" i="2" s="1"/>
  <c r="AC946" i="2"/>
  <c r="Q946" i="2"/>
  <c r="CC945" i="2"/>
  <c r="CE945" i="2" s="1"/>
  <c r="CK945" i="2" s="1"/>
  <c r="BF945" i="2"/>
  <c r="BJ945" i="2" s="1"/>
  <c r="CM945" i="2" s="1"/>
  <c r="AC945" i="2"/>
  <c r="Q945" i="2"/>
  <c r="CC944" i="2"/>
  <c r="CE944" i="2" s="1"/>
  <c r="CK944" i="2" s="1"/>
  <c r="BF944" i="2"/>
  <c r="BJ944" i="2" s="1"/>
  <c r="CM944" i="2" s="1"/>
  <c r="AC944" i="2"/>
  <c r="Q944" i="2"/>
  <c r="CC943" i="2"/>
  <c r="CE943" i="2" s="1"/>
  <c r="CK943" i="2" s="1"/>
  <c r="BF943" i="2"/>
  <c r="BJ943" i="2" s="1"/>
  <c r="AC943" i="2"/>
  <c r="Q943" i="2"/>
  <c r="CC942" i="2"/>
  <c r="CE942" i="2" s="1"/>
  <c r="CK942" i="2" s="1"/>
  <c r="BF942" i="2"/>
  <c r="AC942" i="2"/>
  <c r="Q942" i="2"/>
  <c r="CC941" i="2"/>
  <c r="CE941" i="2" s="1"/>
  <c r="CK941" i="2" s="1"/>
  <c r="BF941" i="2"/>
  <c r="BJ941" i="2" s="1"/>
  <c r="CM941" i="2" s="1"/>
  <c r="AC941" i="2"/>
  <c r="Q941" i="2"/>
  <c r="CC940" i="2"/>
  <c r="CE940" i="2" s="1"/>
  <c r="CK940" i="2" s="1"/>
  <c r="BF940" i="2"/>
  <c r="BJ940" i="2" s="1"/>
  <c r="CM940" i="2" s="1"/>
  <c r="AC940" i="2"/>
  <c r="Q940" i="2"/>
  <c r="CC939" i="2"/>
  <c r="CE939" i="2" s="1"/>
  <c r="CK939" i="2" s="1"/>
  <c r="BF939" i="2"/>
  <c r="BJ939" i="2" s="1"/>
  <c r="CM939" i="2" s="1"/>
  <c r="AC939" i="2"/>
  <c r="Q939" i="2"/>
  <c r="CC938" i="2"/>
  <c r="CE938" i="2" s="1"/>
  <c r="CK938" i="2" s="1"/>
  <c r="BF938" i="2"/>
  <c r="BJ938" i="2" s="1"/>
  <c r="CM938" i="2" s="1"/>
  <c r="AC938" i="2"/>
  <c r="Q938" i="2"/>
  <c r="CC937" i="2"/>
  <c r="CE937" i="2" s="1"/>
  <c r="CK937" i="2" s="1"/>
  <c r="BF937" i="2"/>
  <c r="AC937" i="2"/>
  <c r="Q937" i="2"/>
  <c r="CC936" i="2"/>
  <c r="CE936" i="2" s="1"/>
  <c r="CK936" i="2" s="1"/>
  <c r="BF936" i="2"/>
  <c r="BJ936" i="2" s="1"/>
  <c r="CM936" i="2" s="1"/>
  <c r="AC936" i="2"/>
  <c r="Q936" i="2"/>
  <c r="CC935" i="2"/>
  <c r="CE935" i="2" s="1"/>
  <c r="CK935" i="2" s="1"/>
  <c r="BF935" i="2"/>
  <c r="BJ935" i="2" s="1"/>
  <c r="CM935" i="2" s="1"/>
  <c r="AC935" i="2"/>
  <c r="Q935" i="2"/>
  <c r="CC934" i="2"/>
  <c r="CE934" i="2" s="1"/>
  <c r="CK934" i="2" s="1"/>
  <c r="BF934" i="2"/>
  <c r="AC934" i="2"/>
  <c r="Q934" i="2"/>
  <c r="CC933" i="2"/>
  <c r="CE933" i="2" s="1"/>
  <c r="CK933" i="2" s="1"/>
  <c r="BF933" i="2"/>
  <c r="BJ933" i="2" s="1"/>
  <c r="CM933" i="2" s="1"/>
  <c r="AC933" i="2"/>
  <c r="Q933" i="2"/>
  <c r="BF932" i="2"/>
  <c r="CC930" i="2"/>
  <c r="CE930" i="2" s="1"/>
  <c r="BF930" i="2"/>
  <c r="AC930" i="2"/>
  <c r="Q930" i="2"/>
  <c r="CC929" i="2"/>
  <c r="CE929" i="2" s="1"/>
  <c r="CK929" i="2" s="1"/>
  <c r="BF929" i="2"/>
  <c r="BJ929" i="2" s="1"/>
  <c r="CM929" i="2" s="1"/>
  <c r="AC929" i="2"/>
  <c r="Q929" i="2"/>
  <c r="CC928" i="2"/>
  <c r="CE928" i="2" s="1"/>
  <c r="CK928" i="2" s="1"/>
  <c r="BF928" i="2"/>
  <c r="AC928" i="2"/>
  <c r="Q928" i="2"/>
  <c r="CC927" i="2"/>
  <c r="CE927" i="2" s="1"/>
  <c r="CK927" i="2" s="1"/>
  <c r="BF927" i="2"/>
  <c r="BJ927" i="2" s="1"/>
  <c r="AC927" i="2"/>
  <c r="Q927" i="2"/>
  <c r="CC926" i="2"/>
  <c r="CE926" i="2" s="1"/>
  <c r="CK926" i="2" s="1"/>
  <c r="BF926" i="2"/>
  <c r="BJ926" i="2" s="1"/>
  <c r="CM926" i="2" s="1"/>
  <c r="AC926" i="2"/>
  <c r="Q926" i="2"/>
  <c r="CC925" i="2"/>
  <c r="CE925" i="2" s="1"/>
  <c r="CK925" i="2" s="1"/>
  <c r="BF925" i="2"/>
  <c r="BJ925" i="2" s="1"/>
  <c r="AC925" i="2"/>
  <c r="Q925" i="2"/>
  <c r="CC924" i="2"/>
  <c r="CE924" i="2" s="1"/>
  <c r="CK924" i="2" s="1"/>
  <c r="BF924" i="2"/>
  <c r="AC924" i="2"/>
  <c r="Q924" i="2"/>
  <c r="CC923" i="2"/>
  <c r="CE923" i="2" s="1"/>
  <c r="CK923" i="2" s="1"/>
  <c r="BF923" i="2"/>
  <c r="BJ923" i="2" s="1"/>
  <c r="CM923" i="2" s="1"/>
  <c r="AC923" i="2"/>
  <c r="Q923" i="2"/>
  <c r="CC922" i="2"/>
  <c r="CE922" i="2" s="1"/>
  <c r="CK922" i="2" s="1"/>
  <c r="BF922" i="2"/>
  <c r="AC922" i="2"/>
  <c r="Q922" i="2"/>
  <c r="CC921" i="2"/>
  <c r="CE921" i="2" s="1"/>
  <c r="CK921" i="2" s="1"/>
  <c r="BF921" i="2"/>
  <c r="BJ921" i="2" s="1"/>
  <c r="CM921" i="2" s="1"/>
  <c r="AC921" i="2"/>
  <c r="Q921" i="2"/>
  <c r="CE920" i="2"/>
  <c r="CK920" i="2" s="1"/>
  <c r="BF920" i="2"/>
  <c r="AC920" i="2"/>
  <c r="Q920" i="2"/>
  <c r="CC919" i="2"/>
  <c r="CE919" i="2" s="1"/>
  <c r="CK919" i="2" s="1"/>
  <c r="BF919" i="2"/>
  <c r="AC919" i="2"/>
  <c r="Q919" i="2"/>
  <c r="CC918" i="2"/>
  <c r="CE918" i="2" s="1"/>
  <c r="BF918" i="2"/>
  <c r="BJ918" i="2" s="1"/>
  <c r="CM918" i="2" s="1"/>
  <c r="AC918" i="2"/>
  <c r="Q918" i="2"/>
  <c r="CC917" i="2"/>
  <c r="CE917" i="2" s="1"/>
  <c r="CK917" i="2" s="1"/>
  <c r="BF917" i="2"/>
  <c r="BJ917" i="2" s="1"/>
  <c r="CM917" i="2" s="1"/>
  <c r="AC917" i="2"/>
  <c r="Q917" i="2"/>
  <c r="CC915" i="2"/>
  <c r="CE915" i="2" s="1"/>
  <c r="CK915" i="2" s="1"/>
  <c r="BF915" i="2"/>
  <c r="AC915" i="2"/>
  <c r="Q915" i="2"/>
  <c r="CC914" i="2"/>
  <c r="CE914" i="2" s="1"/>
  <c r="CK914" i="2" s="1"/>
  <c r="BF914" i="2"/>
  <c r="AC914" i="2"/>
  <c r="Q914" i="2"/>
  <c r="CC913" i="2"/>
  <c r="CE913" i="2" s="1"/>
  <c r="CK913" i="2" s="1"/>
  <c r="BF913" i="2"/>
  <c r="BJ913" i="2" s="1"/>
  <c r="CM913" i="2" s="1"/>
  <c r="AC913" i="2"/>
  <c r="Q913" i="2"/>
  <c r="CC912" i="2"/>
  <c r="CE912" i="2" s="1"/>
  <c r="CK912" i="2" s="1"/>
  <c r="BF912" i="2"/>
  <c r="BJ912" i="2" s="1"/>
  <c r="CM912" i="2" s="1"/>
  <c r="AC912" i="2"/>
  <c r="Q912" i="2"/>
  <c r="CC910" i="2"/>
  <c r="CE910" i="2" s="1"/>
  <c r="CK910" i="2" s="1"/>
  <c r="BF910" i="2"/>
  <c r="AC910" i="2"/>
  <c r="Q910" i="2"/>
  <c r="CC909" i="2"/>
  <c r="CE909" i="2" s="1"/>
  <c r="BF909" i="2"/>
  <c r="BJ909" i="2" s="1"/>
  <c r="CM909" i="2" s="1"/>
  <c r="Q909" i="2"/>
  <c r="CC908" i="2"/>
  <c r="CE908" i="2" s="1"/>
  <c r="CK908" i="2" s="1"/>
  <c r="BF908" i="2"/>
  <c r="BJ908" i="2" s="1"/>
  <c r="CM908" i="2" s="1"/>
  <c r="AC908" i="2"/>
  <c r="Q908" i="2"/>
  <c r="CC907" i="2"/>
  <c r="CE907" i="2" s="1"/>
  <c r="CK907" i="2" s="1"/>
  <c r="BF907" i="2"/>
  <c r="AC907" i="2"/>
  <c r="Q907" i="2"/>
  <c r="CC906" i="2"/>
  <c r="CE906" i="2" s="1"/>
  <c r="CK906" i="2" s="1"/>
  <c r="BF906" i="2"/>
  <c r="AC906" i="2"/>
  <c r="Q906" i="2"/>
  <c r="CC905" i="2"/>
  <c r="CE905" i="2" s="1"/>
  <c r="CK905" i="2" s="1"/>
  <c r="BF905" i="2"/>
  <c r="BJ905" i="2" s="1"/>
  <c r="CM905" i="2" s="1"/>
  <c r="AC905" i="2"/>
  <c r="Q905" i="2"/>
  <c r="CC904" i="2"/>
  <c r="CE904" i="2" s="1"/>
  <c r="CK904" i="2" s="1"/>
  <c r="BF904" i="2"/>
  <c r="BJ904" i="2" s="1"/>
  <c r="CM904" i="2" s="1"/>
  <c r="AC904" i="2"/>
  <c r="Q904" i="2"/>
  <c r="CC903" i="2"/>
  <c r="CE903" i="2" s="1"/>
  <c r="CK903" i="2" s="1"/>
  <c r="BF903" i="2"/>
  <c r="BJ903" i="2" s="1"/>
  <c r="CM903" i="2" s="1"/>
  <c r="AC903" i="2"/>
  <c r="Q903" i="2"/>
  <c r="CC902" i="2"/>
  <c r="CE902" i="2" s="1"/>
  <c r="BF902" i="2"/>
  <c r="Q902" i="2"/>
  <c r="CC901" i="2"/>
  <c r="CE901" i="2" s="1"/>
  <c r="CK901" i="2" s="1"/>
  <c r="BF901" i="2"/>
  <c r="BJ901" i="2" s="1"/>
  <c r="CM901" i="2" s="1"/>
  <c r="AC901" i="2"/>
  <c r="Q901" i="2"/>
  <c r="CC900" i="2"/>
  <c r="CE900" i="2" s="1"/>
  <c r="BF900" i="2"/>
  <c r="BJ900" i="2" s="1"/>
  <c r="Q900" i="2"/>
  <c r="CC899" i="2"/>
  <c r="CE899" i="2" s="1"/>
  <c r="CK899" i="2" s="1"/>
  <c r="BF899" i="2"/>
  <c r="BJ899" i="2" s="1"/>
  <c r="CM899" i="2" s="1"/>
  <c r="AC899" i="2"/>
  <c r="Q899" i="2"/>
  <c r="CC898" i="2"/>
  <c r="CE898" i="2" s="1"/>
  <c r="CK898" i="2" s="1"/>
  <c r="BF898" i="2"/>
  <c r="AC898" i="2"/>
  <c r="Q898" i="2"/>
  <c r="CC897" i="2"/>
  <c r="CE897" i="2" s="1"/>
  <c r="CK897" i="2" s="1"/>
  <c r="BF897" i="2"/>
  <c r="AC897" i="2"/>
  <c r="Q897" i="2"/>
  <c r="CC896" i="2"/>
  <c r="CE896" i="2" s="1"/>
  <c r="CK896" i="2" s="1"/>
  <c r="BF896" i="2"/>
  <c r="BJ896" i="2" s="1"/>
  <c r="CM896" i="2" s="1"/>
  <c r="AC896" i="2"/>
  <c r="Q896" i="2"/>
  <c r="CC895" i="2"/>
  <c r="CE895" i="2" s="1"/>
  <c r="BF895" i="2"/>
  <c r="BJ895" i="2" s="1"/>
  <c r="CM895" i="2" s="1"/>
  <c r="Q895" i="2"/>
  <c r="CC894" i="2"/>
  <c r="CE894" i="2" s="1"/>
  <c r="CK894" i="2" s="1"/>
  <c r="BF894" i="2"/>
  <c r="BJ894" i="2" s="1"/>
  <c r="CM894" i="2" s="1"/>
  <c r="AC894" i="2"/>
  <c r="Q894" i="2"/>
  <c r="CC893" i="2"/>
  <c r="CE893" i="2" s="1"/>
  <c r="CK893" i="2" s="1"/>
  <c r="BF893" i="2"/>
  <c r="BJ893" i="2" s="1"/>
  <c r="CM893" i="2" s="1"/>
  <c r="AC893" i="2"/>
  <c r="Q893" i="2"/>
  <c r="CC892" i="2"/>
  <c r="CE892" i="2" s="1"/>
  <c r="CK892" i="2" s="1"/>
  <c r="BF892" i="2"/>
  <c r="AC892" i="2"/>
  <c r="Q892" i="2"/>
  <c r="CC891" i="2"/>
  <c r="CE891" i="2" s="1"/>
  <c r="CK891" i="2" s="1"/>
  <c r="BF891" i="2"/>
  <c r="AC891" i="2"/>
  <c r="Q891" i="2"/>
  <c r="CC890" i="2"/>
  <c r="BF890" i="2"/>
  <c r="BJ890" i="2" s="1"/>
  <c r="CM890" i="2" s="1"/>
  <c r="AC890" i="2"/>
  <c r="Q890" i="2"/>
  <c r="CC889" i="2"/>
  <c r="CE889" i="2" s="1"/>
  <c r="CK889" i="2" s="1"/>
  <c r="BF889" i="2"/>
  <c r="BJ889" i="2" s="1"/>
  <c r="CM889" i="2" s="1"/>
  <c r="AC889" i="2"/>
  <c r="Q889" i="2"/>
  <c r="CC888" i="2"/>
  <c r="CE888" i="2" s="1"/>
  <c r="CK888" i="2" s="1"/>
  <c r="BF888" i="2"/>
  <c r="BJ888" i="2" s="1"/>
  <c r="CM888" i="2" s="1"/>
  <c r="AC888" i="2"/>
  <c r="Q888" i="2"/>
  <c r="CC887" i="2"/>
  <c r="CE887" i="2" s="1"/>
  <c r="CK887" i="2" s="1"/>
  <c r="BF887" i="2"/>
  <c r="BJ887" i="2" s="1"/>
  <c r="CM887" i="2" s="1"/>
  <c r="AC887" i="2"/>
  <c r="Q887" i="2"/>
  <c r="CC886" i="2"/>
  <c r="CE886" i="2" s="1"/>
  <c r="CK886" i="2" s="1"/>
  <c r="BF886" i="2"/>
  <c r="Q886" i="2"/>
  <c r="CC885" i="2"/>
  <c r="CE885" i="2" s="1"/>
  <c r="CK885" i="2" s="1"/>
  <c r="BF885" i="2"/>
  <c r="BJ885" i="2" s="1"/>
  <c r="CM885" i="2" s="1"/>
  <c r="AC885" i="2"/>
  <c r="Q885" i="2"/>
  <c r="CC884" i="2"/>
  <c r="CE884" i="2" s="1"/>
  <c r="CK884" i="2" s="1"/>
  <c r="BF884" i="2"/>
  <c r="BJ884" i="2" s="1"/>
  <c r="CM884" i="2" s="1"/>
  <c r="AC884" i="2"/>
  <c r="Q884" i="2"/>
  <c r="CC883" i="2"/>
  <c r="CE883" i="2" s="1"/>
  <c r="CK883" i="2" s="1"/>
  <c r="BF883" i="2"/>
  <c r="BJ883" i="2" s="1"/>
  <c r="CM883" i="2" s="1"/>
  <c r="AC883" i="2"/>
  <c r="Q883" i="2"/>
  <c r="CC882" i="2"/>
  <c r="CE882" i="2" s="1"/>
  <c r="CK882" i="2" s="1"/>
  <c r="BF882" i="2"/>
  <c r="BJ882" i="2" s="1"/>
  <c r="CM882" i="2" s="1"/>
  <c r="AC882" i="2"/>
  <c r="Q882" i="2"/>
  <c r="CC881" i="2"/>
  <c r="CE881" i="2" s="1"/>
  <c r="CK881" i="2" s="1"/>
  <c r="BF881" i="2"/>
  <c r="BJ881" i="2" s="1"/>
  <c r="CM881" i="2" s="1"/>
  <c r="AC881" i="2"/>
  <c r="Q881" i="2"/>
  <c r="CC880" i="2"/>
  <c r="CE880" i="2" s="1"/>
  <c r="CK880" i="2" s="1"/>
  <c r="BF880" i="2"/>
  <c r="AC880" i="2"/>
  <c r="Q880" i="2"/>
  <c r="CC879" i="2"/>
  <c r="CE879" i="2" s="1"/>
  <c r="CK879" i="2" s="1"/>
  <c r="BF879" i="2"/>
  <c r="BJ879" i="2" s="1"/>
  <c r="CM879" i="2" s="1"/>
  <c r="AC879" i="2"/>
  <c r="Q879" i="2"/>
  <c r="CC878" i="2"/>
  <c r="CE878" i="2" s="1"/>
  <c r="CK878" i="2" s="1"/>
  <c r="BF878" i="2"/>
  <c r="BJ878" i="2" s="1"/>
  <c r="CM878" i="2" s="1"/>
  <c r="AC878" i="2"/>
  <c r="Q878" i="2"/>
  <c r="CC877" i="2"/>
  <c r="CE877" i="2" s="1"/>
  <c r="CK877" i="2" s="1"/>
  <c r="BF877" i="2"/>
  <c r="BJ877" i="2" s="1"/>
  <c r="CM877" i="2" s="1"/>
  <c r="AC877" i="2"/>
  <c r="Q877" i="2"/>
  <c r="CC876" i="2"/>
  <c r="CE876" i="2" s="1"/>
  <c r="CK876" i="2" s="1"/>
  <c r="BF876" i="2"/>
  <c r="BJ876" i="2" s="1"/>
  <c r="CM876" i="2" s="1"/>
  <c r="AC876" i="2"/>
  <c r="Q876" i="2"/>
  <c r="CC875" i="2"/>
  <c r="CE875" i="2" s="1"/>
  <c r="CK875" i="2" s="1"/>
  <c r="BF875" i="2"/>
  <c r="BJ875" i="2" s="1"/>
  <c r="CM875" i="2" s="1"/>
  <c r="AC875" i="2"/>
  <c r="Q875" i="2"/>
  <c r="CC874" i="2"/>
  <c r="CE874" i="2" s="1"/>
  <c r="CK874" i="2" s="1"/>
  <c r="BF874" i="2"/>
  <c r="BJ874" i="2" s="1"/>
  <c r="CM874" i="2" s="1"/>
  <c r="AC874" i="2"/>
  <c r="Q874" i="2"/>
  <c r="CC873" i="2"/>
  <c r="CE873" i="2" s="1"/>
  <c r="CK873" i="2" s="1"/>
  <c r="BF873" i="2"/>
  <c r="BJ873" i="2" s="1"/>
  <c r="CM873" i="2" s="1"/>
  <c r="AC873" i="2"/>
  <c r="Q873" i="2"/>
  <c r="CC872" i="2"/>
  <c r="CE872" i="2" s="1"/>
  <c r="CK872" i="2" s="1"/>
  <c r="BF872" i="2"/>
  <c r="BJ872" i="2" s="1"/>
  <c r="CM872" i="2" s="1"/>
  <c r="AC872" i="2"/>
  <c r="Q872" i="2"/>
  <c r="CC871" i="2"/>
  <c r="CE871" i="2" s="1"/>
  <c r="CK871" i="2" s="1"/>
  <c r="BF871" i="2"/>
  <c r="BJ871" i="2" s="1"/>
  <c r="AC871" i="2"/>
  <c r="Q871" i="2"/>
  <c r="CC870" i="2"/>
  <c r="CE870" i="2" s="1"/>
  <c r="CK870" i="2" s="1"/>
  <c r="BF870" i="2"/>
  <c r="BJ870" i="2" s="1"/>
  <c r="CM870" i="2" s="1"/>
  <c r="AC870" i="2"/>
  <c r="Q870" i="2"/>
  <c r="CC869" i="2"/>
  <c r="CE869" i="2" s="1"/>
  <c r="CK869" i="2" s="1"/>
  <c r="BF869" i="2"/>
  <c r="BJ869" i="2" s="1"/>
  <c r="CM869" i="2" s="1"/>
  <c r="AC869" i="2"/>
  <c r="Q869" i="2"/>
  <c r="CC868" i="2"/>
  <c r="CE868" i="2" s="1"/>
  <c r="CK868" i="2" s="1"/>
  <c r="BF868" i="2"/>
  <c r="BJ868" i="2" s="1"/>
  <c r="AC868" i="2"/>
  <c r="Q868" i="2"/>
  <c r="CC867" i="2"/>
  <c r="CE867" i="2" s="1"/>
  <c r="CK867" i="2" s="1"/>
  <c r="BF867" i="2"/>
  <c r="AC867" i="2"/>
  <c r="Q867" i="2"/>
  <c r="CC866" i="2"/>
  <c r="CE866" i="2" s="1"/>
  <c r="BF866" i="2"/>
  <c r="BJ866" i="2" s="1"/>
  <c r="CM866" i="2" s="1"/>
  <c r="Q866" i="2"/>
  <c r="CC865" i="2"/>
  <c r="CE865" i="2" s="1"/>
  <c r="CK865" i="2" s="1"/>
  <c r="BF865" i="2"/>
  <c r="BJ865" i="2" s="1"/>
  <c r="AC865" i="2"/>
  <c r="Q865" i="2"/>
  <c r="CC864" i="2"/>
  <c r="CE864" i="2" s="1"/>
  <c r="CK864" i="2" s="1"/>
  <c r="BF864" i="2"/>
  <c r="BJ864" i="2" s="1"/>
  <c r="CM864" i="2" s="1"/>
  <c r="AC864" i="2"/>
  <c r="Q864" i="2"/>
  <c r="CC863" i="2"/>
  <c r="CE863" i="2" s="1"/>
  <c r="CK863" i="2" s="1"/>
  <c r="BF863" i="2"/>
  <c r="BJ863" i="2" s="1"/>
  <c r="CM863" i="2" s="1"/>
  <c r="AC863" i="2"/>
  <c r="Q863" i="2"/>
  <c r="CC862" i="2"/>
  <c r="CE862" i="2" s="1"/>
  <c r="CK862" i="2" s="1"/>
  <c r="BF862" i="2"/>
  <c r="BJ862" i="2" s="1"/>
  <c r="CM862" i="2" s="1"/>
  <c r="AC862" i="2"/>
  <c r="Q862" i="2"/>
  <c r="CC861" i="2"/>
  <c r="CE861" i="2" s="1"/>
  <c r="CK861" i="2" s="1"/>
  <c r="BF861" i="2"/>
  <c r="BJ861" i="2" s="1"/>
  <c r="CM861" i="2" s="1"/>
  <c r="AC861" i="2"/>
  <c r="Q861" i="2"/>
  <c r="CC860" i="2"/>
  <c r="CE860" i="2" s="1"/>
  <c r="BF860" i="2"/>
  <c r="Q860" i="2"/>
  <c r="CC859" i="2"/>
  <c r="CE859" i="2" s="1"/>
  <c r="CK859" i="2" s="1"/>
  <c r="BF859" i="2"/>
  <c r="BJ859" i="2" s="1"/>
  <c r="CM859" i="2" s="1"/>
  <c r="AC859" i="2"/>
  <c r="Q859" i="2"/>
  <c r="CC858" i="2"/>
  <c r="CE858" i="2" s="1"/>
  <c r="CK858" i="2" s="1"/>
  <c r="BF858" i="2"/>
  <c r="AC858" i="2"/>
  <c r="Q858" i="2"/>
  <c r="CC857" i="2"/>
  <c r="CE857" i="2" s="1"/>
  <c r="CK857" i="2" s="1"/>
  <c r="BF857" i="2"/>
  <c r="BJ857" i="2" s="1"/>
  <c r="CM857" i="2" s="1"/>
  <c r="AC857" i="2"/>
  <c r="Q857" i="2"/>
  <c r="CC856" i="2"/>
  <c r="CE856" i="2" s="1"/>
  <c r="CK856" i="2" s="1"/>
  <c r="BF856" i="2"/>
  <c r="BJ856" i="2" s="1"/>
  <c r="CM856" i="2" s="1"/>
  <c r="AC856" i="2"/>
  <c r="Q856" i="2"/>
  <c r="CC855" i="2"/>
  <c r="CE855" i="2" s="1"/>
  <c r="CK855" i="2" s="1"/>
  <c r="BF855" i="2"/>
  <c r="BJ855" i="2" s="1"/>
  <c r="CM855" i="2" s="1"/>
  <c r="AC855" i="2"/>
  <c r="Q855" i="2"/>
  <c r="CC854" i="2"/>
  <c r="CE854" i="2" s="1"/>
  <c r="CK854" i="2" s="1"/>
  <c r="BF854" i="2"/>
  <c r="BJ854" i="2" s="1"/>
  <c r="CM854" i="2" s="1"/>
  <c r="AC854" i="2"/>
  <c r="Q854" i="2"/>
  <c r="CC853" i="2"/>
  <c r="CE853" i="2" s="1"/>
  <c r="CK853" i="2" s="1"/>
  <c r="BF853" i="2"/>
  <c r="BJ853" i="2" s="1"/>
  <c r="CM853" i="2" s="1"/>
  <c r="AC853" i="2"/>
  <c r="Q853" i="2"/>
  <c r="CC852" i="2"/>
  <c r="CE852" i="2" s="1"/>
  <c r="BF852" i="2"/>
  <c r="BJ852" i="2" s="1"/>
  <c r="CM852" i="2" s="1"/>
  <c r="AC852" i="2"/>
  <c r="Q852" i="2"/>
  <c r="CC851" i="2"/>
  <c r="CE851" i="2" s="1"/>
  <c r="CK851" i="2" s="1"/>
  <c r="BF851" i="2"/>
  <c r="BJ851" i="2" s="1"/>
  <c r="CM851" i="2" s="1"/>
  <c r="AC851" i="2"/>
  <c r="Q851" i="2"/>
  <c r="BF850" i="2"/>
  <c r="BJ850" i="2" s="1"/>
  <c r="CM850" i="2" s="1"/>
  <c r="AC850" i="2"/>
  <c r="Q850" i="2"/>
  <c r="CC849" i="2"/>
  <c r="CE849" i="2" s="1"/>
  <c r="CK849" i="2" s="1"/>
  <c r="BF849" i="2"/>
  <c r="BJ849" i="2" s="1"/>
  <c r="CM849" i="2" s="1"/>
  <c r="Q849" i="2"/>
  <c r="CC848" i="2"/>
  <c r="CE848" i="2" s="1"/>
  <c r="CK848" i="2" s="1"/>
  <c r="BF848" i="2"/>
  <c r="AC848" i="2"/>
  <c r="Q848" i="2"/>
  <c r="CC847" i="2"/>
  <c r="CE847" i="2" s="1"/>
  <c r="CK847" i="2" s="1"/>
  <c r="BF847" i="2"/>
  <c r="BJ847" i="2" s="1"/>
  <c r="AC847" i="2"/>
  <c r="Q847" i="2"/>
  <c r="CC846" i="2"/>
  <c r="CE846" i="2" s="1"/>
  <c r="CK846" i="2" s="1"/>
  <c r="BF846" i="2"/>
  <c r="AC846" i="2"/>
  <c r="Q846" i="2"/>
  <c r="CC845" i="2"/>
  <c r="CE845" i="2" s="1"/>
  <c r="CK845" i="2" s="1"/>
  <c r="BF845" i="2"/>
  <c r="BJ845" i="2" s="1"/>
  <c r="CM845" i="2" s="1"/>
  <c r="AC845" i="2"/>
  <c r="Q845" i="2"/>
  <c r="CC844" i="2"/>
  <c r="CE844" i="2" s="1"/>
  <c r="CK844" i="2" s="1"/>
  <c r="BF844" i="2"/>
  <c r="BJ844" i="2" s="1"/>
  <c r="CM844" i="2" s="1"/>
  <c r="AC844" i="2"/>
  <c r="Q844" i="2"/>
  <c r="CC843" i="2"/>
  <c r="CE843" i="2" s="1"/>
  <c r="CK843" i="2" s="1"/>
  <c r="BF843" i="2"/>
  <c r="AC843" i="2"/>
  <c r="Q843" i="2"/>
  <c r="CC842" i="2"/>
  <c r="CE842" i="2" s="1"/>
  <c r="CK842" i="2" s="1"/>
  <c r="BF842" i="2"/>
  <c r="BJ842" i="2" s="1"/>
  <c r="AC842" i="2"/>
  <c r="Q842" i="2"/>
  <c r="CC841" i="2"/>
  <c r="CE841" i="2" s="1"/>
  <c r="CK841" i="2" s="1"/>
  <c r="BF841" i="2"/>
  <c r="BJ841" i="2" s="1"/>
  <c r="CM841" i="2" s="1"/>
  <c r="AC841" i="2"/>
  <c r="Q841" i="2"/>
  <c r="CC840" i="2"/>
  <c r="CE840" i="2" s="1"/>
  <c r="CK840" i="2" s="1"/>
  <c r="BF840" i="2"/>
  <c r="AC840" i="2"/>
  <c r="Q840" i="2"/>
  <c r="CC839" i="2"/>
  <c r="CE839" i="2" s="1"/>
  <c r="CK839" i="2" s="1"/>
  <c r="BF839" i="2"/>
  <c r="BJ839" i="2" s="1"/>
  <c r="CM839" i="2" s="1"/>
  <c r="AC839" i="2"/>
  <c r="Q839" i="2"/>
  <c r="CC838" i="2"/>
  <c r="CE838" i="2" s="1"/>
  <c r="CK838" i="2" s="1"/>
  <c r="BF838" i="2"/>
  <c r="AC838" i="2"/>
  <c r="Q838" i="2"/>
  <c r="CC837" i="2"/>
  <c r="CE837" i="2" s="1"/>
  <c r="CK837" i="2" s="1"/>
  <c r="BF837" i="2"/>
  <c r="BJ837" i="2" s="1"/>
  <c r="CM837" i="2" s="1"/>
  <c r="AC837" i="2"/>
  <c r="CC836" i="2"/>
  <c r="CE836" i="2" s="1"/>
  <c r="CK836" i="2" s="1"/>
  <c r="BF836" i="2"/>
  <c r="BJ836" i="2" s="1"/>
  <c r="AC836" i="2"/>
  <c r="CC835" i="2"/>
  <c r="CE835" i="2" s="1"/>
  <c r="CK835" i="2" s="1"/>
  <c r="BF835" i="2"/>
  <c r="AC835" i="2"/>
  <c r="CC834" i="2"/>
  <c r="CE834" i="2" s="1"/>
  <c r="CK834" i="2" s="1"/>
  <c r="BF834" i="2"/>
  <c r="BJ834" i="2" s="1"/>
  <c r="AC834" i="2"/>
  <c r="CC833" i="2"/>
  <c r="CE833" i="2" s="1"/>
  <c r="CK833" i="2" s="1"/>
  <c r="BF833" i="2"/>
  <c r="AC833" i="2"/>
  <c r="CC832" i="2"/>
  <c r="CE832" i="2" s="1"/>
  <c r="CK832" i="2" s="1"/>
  <c r="BF832" i="2"/>
  <c r="BJ832" i="2" s="1"/>
  <c r="CM832" i="2" s="1"/>
  <c r="AC832" i="2"/>
  <c r="Q832" i="2"/>
  <c r="CC831" i="2"/>
  <c r="CE831" i="2" s="1"/>
  <c r="CK831" i="2" s="1"/>
  <c r="BF831" i="2"/>
  <c r="AC831" i="2"/>
  <c r="Q831" i="2"/>
  <c r="CC830" i="2"/>
  <c r="CE830" i="2" s="1"/>
  <c r="BF830" i="2"/>
  <c r="BJ830" i="2" s="1"/>
  <c r="Q830" i="2"/>
  <c r="CC829" i="2"/>
  <c r="CE829" i="2" s="1"/>
  <c r="CK829" i="2" s="1"/>
  <c r="BF829" i="2"/>
  <c r="BJ829" i="2" s="1"/>
  <c r="AC829" i="2"/>
  <c r="Q829" i="2"/>
  <c r="CC828" i="2"/>
  <c r="CE828" i="2" s="1"/>
  <c r="BF828" i="2"/>
  <c r="BJ828" i="2" s="1"/>
  <c r="CM828" i="2" s="1"/>
  <c r="Q828" i="2"/>
  <c r="CC827" i="2"/>
  <c r="CE827" i="2" s="1"/>
  <c r="CK827" i="2" s="1"/>
  <c r="BF827" i="2"/>
  <c r="AC827" i="2"/>
  <c r="Q827" i="2"/>
  <c r="CC826" i="2"/>
  <c r="CE826" i="2" s="1"/>
  <c r="CK826" i="2" s="1"/>
  <c r="BF826" i="2"/>
  <c r="BJ826" i="2" s="1"/>
  <c r="CM826" i="2" s="1"/>
  <c r="AC826" i="2"/>
  <c r="Q826" i="2"/>
  <c r="CC825" i="2"/>
  <c r="CE825" i="2" s="1"/>
  <c r="CK825" i="2" s="1"/>
  <c r="BF825" i="2"/>
  <c r="BJ825" i="2" s="1"/>
  <c r="AC825" i="2"/>
  <c r="Q825" i="2"/>
  <c r="CC824" i="2"/>
  <c r="CE824" i="2" s="1"/>
  <c r="CK824" i="2" s="1"/>
  <c r="BF824" i="2"/>
  <c r="BJ824" i="2" s="1"/>
  <c r="CM824" i="2" s="1"/>
  <c r="Q824" i="2"/>
  <c r="CC823" i="2"/>
  <c r="CE823" i="2" s="1"/>
  <c r="CK823" i="2" s="1"/>
  <c r="BF823" i="2"/>
  <c r="BJ823" i="2" s="1"/>
  <c r="CM823" i="2" s="1"/>
  <c r="AC823" i="2"/>
  <c r="Q823" i="2"/>
  <c r="CC822" i="2"/>
  <c r="CE822" i="2" s="1"/>
  <c r="CK822" i="2" s="1"/>
  <c r="BF822" i="2"/>
  <c r="BJ822" i="2" s="1"/>
  <c r="AC822" i="2"/>
  <c r="Q822" i="2"/>
  <c r="CC821" i="2"/>
  <c r="CE821" i="2" s="1"/>
  <c r="CK821" i="2" s="1"/>
  <c r="BF821" i="2"/>
  <c r="BJ821" i="2" s="1"/>
  <c r="CM821" i="2" s="1"/>
  <c r="AC821" i="2"/>
  <c r="Q821" i="2"/>
  <c r="CC820" i="2"/>
  <c r="CE820" i="2" s="1"/>
  <c r="CK820" i="2" s="1"/>
  <c r="BF820" i="2"/>
  <c r="BJ820" i="2" s="1"/>
  <c r="CM820" i="2" s="1"/>
  <c r="AC820" i="2"/>
  <c r="Q820" i="2"/>
  <c r="CC819" i="2"/>
  <c r="BF819" i="2"/>
  <c r="BJ819" i="2" s="1"/>
  <c r="Q819" i="2"/>
  <c r="CC818" i="2"/>
  <c r="BF818" i="2"/>
  <c r="BJ818" i="2" s="1"/>
  <c r="CM818" i="2" s="1"/>
  <c r="CC817" i="2"/>
  <c r="CE817" i="2" s="1"/>
  <c r="CK817" i="2" s="1"/>
  <c r="BF817" i="2"/>
  <c r="AC817" i="2"/>
  <c r="Q817" i="2"/>
  <c r="CC816" i="2"/>
  <c r="CE816" i="2" s="1"/>
  <c r="CK816" i="2" s="1"/>
  <c r="BF816" i="2"/>
  <c r="BJ816" i="2" s="1"/>
  <c r="AC816" i="2"/>
  <c r="Q816" i="2"/>
  <c r="CC815" i="2"/>
  <c r="CE815" i="2" s="1"/>
  <c r="BF815" i="2"/>
  <c r="BJ815" i="2" s="1"/>
  <c r="CM815" i="2" s="1"/>
  <c r="Q815" i="2"/>
  <c r="CC812" i="2"/>
  <c r="CE812" i="2" s="1"/>
  <c r="CK812" i="2" s="1"/>
  <c r="BF812" i="2"/>
  <c r="BJ812" i="2" s="1"/>
  <c r="CM812" i="2" s="1"/>
  <c r="AC812" i="2"/>
  <c r="Q812" i="2"/>
  <c r="CC811" i="2"/>
  <c r="CE811" i="2" s="1"/>
  <c r="CK811" i="2" s="1"/>
  <c r="BF811" i="2"/>
  <c r="BJ811" i="2" s="1"/>
  <c r="CM811" i="2" s="1"/>
  <c r="AC811" i="2"/>
  <c r="Q811" i="2"/>
  <c r="CC810" i="2"/>
  <c r="CE810" i="2" s="1"/>
  <c r="CK810" i="2" s="1"/>
  <c r="BF810" i="2"/>
  <c r="BJ810" i="2" s="1"/>
  <c r="CM810" i="2" s="1"/>
  <c r="AC810" i="2"/>
  <c r="Q810" i="2"/>
  <c r="CC809" i="2"/>
  <c r="CE809" i="2" s="1"/>
  <c r="CK809" i="2" s="1"/>
  <c r="BF809" i="2"/>
  <c r="BJ809" i="2" s="1"/>
  <c r="AC809" i="2"/>
  <c r="Q809" i="2"/>
  <c r="CC808" i="2"/>
  <c r="CE808" i="2" s="1"/>
  <c r="CK808" i="2" s="1"/>
  <c r="BF808" i="2"/>
  <c r="BJ808" i="2" s="1"/>
  <c r="AC808" i="2"/>
  <c r="Q808" i="2"/>
  <c r="CC807" i="2"/>
  <c r="CE807" i="2" s="1"/>
  <c r="CK807" i="2" s="1"/>
  <c r="BF807" i="2"/>
  <c r="BJ807" i="2" s="1"/>
  <c r="CM807" i="2" s="1"/>
  <c r="Q807" i="2"/>
  <c r="CC806" i="2"/>
  <c r="CE806" i="2" s="1"/>
  <c r="CK806" i="2" s="1"/>
  <c r="BF806" i="2"/>
  <c r="BJ806" i="2" s="1"/>
  <c r="AC806" i="2"/>
  <c r="Q806" i="2"/>
  <c r="CC805" i="2"/>
  <c r="CE805" i="2" s="1"/>
  <c r="CK805" i="2" s="1"/>
  <c r="BF805" i="2"/>
  <c r="BJ805" i="2" s="1"/>
  <c r="CM805" i="2" s="1"/>
  <c r="CC804" i="2"/>
  <c r="CE804" i="2" s="1"/>
  <c r="CK804" i="2" s="1"/>
  <c r="BF804" i="2"/>
  <c r="BJ804" i="2" s="1"/>
  <c r="AC804" i="2"/>
  <c r="Q804" i="2"/>
  <c r="CC803" i="2"/>
  <c r="CE803" i="2" s="1"/>
  <c r="CK803" i="2" s="1"/>
  <c r="BF803" i="2"/>
  <c r="BJ803" i="2" s="1"/>
  <c r="CM803" i="2" s="1"/>
  <c r="AC803" i="2"/>
  <c r="Q803" i="2"/>
  <c r="CC802" i="2"/>
  <c r="CE802" i="2" s="1"/>
  <c r="CK802" i="2" s="1"/>
  <c r="BF802" i="2"/>
  <c r="AC802" i="2"/>
  <c r="Q802" i="2"/>
  <c r="CC801" i="2"/>
  <c r="CE801" i="2" s="1"/>
  <c r="CK801" i="2" s="1"/>
  <c r="CC800" i="2"/>
  <c r="CE800" i="2" s="1"/>
  <c r="CK800" i="2" s="1"/>
  <c r="BF800" i="2"/>
  <c r="BJ800" i="2" s="1"/>
  <c r="CM800" i="2" s="1"/>
  <c r="AC800" i="2"/>
  <c r="CC799" i="2"/>
  <c r="CE799" i="2" s="1"/>
  <c r="CK799" i="2" s="1"/>
  <c r="BF799" i="2"/>
  <c r="BJ799" i="2" s="1"/>
  <c r="AC799" i="2"/>
  <c r="CC798" i="2"/>
  <c r="CE798" i="2" s="1"/>
  <c r="CK798" i="2" s="1"/>
  <c r="BF798" i="2"/>
  <c r="BJ798" i="2" s="1"/>
  <c r="CM798" i="2" s="1"/>
  <c r="AC798" i="2"/>
  <c r="CC797" i="2"/>
  <c r="CE797" i="2" s="1"/>
  <c r="CK797" i="2" s="1"/>
  <c r="BF797" i="2"/>
  <c r="BJ797" i="2" s="1"/>
  <c r="CM797" i="2" s="1"/>
  <c r="AC797" i="2"/>
  <c r="CC796" i="2"/>
  <c r="CE796" i="2" s="1"/>
  <c r="CK796" i="2" s="1"/>
  <c r="BF796" i="2"/>
  <c r="BJ796" i="2" s="1"/>
  <c r="CM796" i="2" s="1"/>
  <c r="CC795" i="2"/>
  <c r="CE795" i="2" s="1"/>
  <c r="BF795" i="2"/>
  <c r="BJ795" i="2" s="1"/>
  <c r="CM795" i="2" s="1"/>
  <c r="CC794" i="2"/>
  <c r="CE794" i="2" s="1"/>
  <c r="CK794" i="2" s="1"/>
  <c r="BF794" i="2"/>
  <c r="AC794" i="2"/>
  <c r="CC793" i="2"/>
  <c r="CE793" i="2" s="1"/>
  <c r="CK793" i="2" s="1"/>
  <c r="BF793" i="2"/>
  <c r="BJ793" i="2" s="1"/>
  <c r="CM793" i="2" s="1"/>
  <c r="AC793" i="2"/>
  <c r="BF792" i="2"/>
  <c r="BJ792" i="2" s="1"/>
  <c r="AC792" i="2"/>
  <c r="CC791" i="2"/>
  <c r="CE791" i="2" s="1"/>
  <c r="CK791" i="2" s="1"/>
  <c r="BF791" i="2"/>
  <c r="BJ791" i="2" s="1"/>
  <c r="CM791" i="2" s="1"/>
  <c r="AC791" i="2"/>
  <c r="CC790" i="2"/>
  <c r="CE790" i="2" s="1"/>
  <c r="CK790" i="2" s="1"/>
  <c r="BF790" i="2"/>
  <c r="AC790" i="2"/>
  <c r="CC789" i="2"/>
  <c r="CE789" i="2" s="1"/>
  <c r="CK789" i="2" s="1"/>
  <c r="BF789" i="2"/>
  <c r="BJ789" i="2" s="1"/>
  <c r="CM789" i="2" s="1"/>
  <c r="AC789" i="2"/>
  <c r="BF788" i="2"/>
  <c r="CC787" i="2"/>
  <c r="CE787" i="2" s="1"/>
  <c r="CK787" i="2" s="1"/>
  <c r="BF787" i="2"/>
  <c r="BJ787" i="2" s="1"/>
  <c r="AC787" i="2"/>
  <c r="CC786" i="2"/>
  <c r="CE786" i="2" s="1"/>
  <c r="CK786" i="2" s="1"/>
  <c r="BF786" i="2"/>
  <c r="BJ786" i="2" s="1"/>
  <c r="AC786" i="2"/>
  <c r="CC785" i="2"/>
  <c r="CE785" i="2" s="1"/>
  <c r="CK785" i="2" s="1"/>
  <c r="BF785" i="2"/>
  <c r="BJ785" i="2" s="1"/>
  <c r="CM785" i="2" s="1"/>
  <c r="AC785" i="2"/>
  <c r="CC783" i="2"/>
  <c r="CE783" i="2" s="1"/>
  <c r="CK783" i="2" s="1"/>
  <c r="BF783" i="2"/>
  <c r="AC783" i="2"/>
  <c r="CC782" i="2"/>
  <c r="CE782" i="2" s="1"/>
  <c r="CK782" i="2" s="1"/>
  <c r="BF782" i="2"/>
  <c r="AC782" i="2"/>
  <c r="CC781" i="2"/>
  <c r="CE781" i="2" s="1"/>
  <c r="CK781" i="2" s="1"/>
  <c r="BF781" i="2"/>
  <c r="AC781" i="2"/>
  <c r="CC780" i="2"/>
  <c r="CE780" i="2" s="1"/>
  <c r="CK780" i="2" s="1"/>
  <c r="BF780" i="2"/>
  <c r="BJ780" i="2" s="1"/>
  <c r="AC780" i="2"/>
  <c r="CC779" i="2"/>
  <c r="CE779" i="2" s="1"/>
  <c r="BF779" i="2"/>
  <c r="BJ779" i="2" s="1"/>
  <c r="CC777" i="2"/>
  <c r="CE777" i="2" s="1"/>
  <c r="CK777" i="2" s="1"/>
  <c r="BF777" i="2"/>
  <c r="BJ777" i="2" s="1"/>
  <c r="CM777" i="2" s="1"/>
  <c r="AC777" i="2"/>
  <c r="CC776" i="2"/>
  <c r="CE776" i="2" s="1"/>
  <c r="CK776" i="2" s="1"/>
  <c r="BF776" i="2"/>
  <c r="BJ776" i="2" s="1"/>
  <c r="AC776" i="2"/>
  <c r="CC775" i="2"/>
  <c r="CE775" i="2" s="1"/>
  <c r="CK775" i="2" s="1"/>
  <c r="BF775" i="2"/>
  <c r="BJ775" i="2" s="1"/>
  <c r="AC775" i="2"/>
  <c r="BF774" i="2"/>
  <c r="BJ774" i="2" s="1"/>
  <c r="CM774" i="2" s="1"/>
  <c r="AC774" i="2"/>
  <c r="CC773" i="2"/>
  <c r="CE773" i="2" s="1"/>
  <c r="CK773" i="2" s="1"/>
  <c r="BF773" i="2"/>
  <c r="BJ773" i="2" s="1"/>
  <c r="CM773" i="2" s="1"/>
  <c r="AC773" i="2"/>
  <c r="CC772" i="2"/>
  <c r="CE772" i="2" s="1"/>
  <c r="CK772" i="2" s="1"/>
  <c r="BF772" i="2"/>
  <c r="AC772" i="2"/>
  <c r="CC771" i="2"/>
  <c r="CE771" i="2" s="1"/>
  <c r="CK771" i="2" s="1"/>
  <c r="BF771" i="2"/>
  <c r="BJ771" i="2" s="1"/>
  <c r="CM771" i="2" s="1"/>
  <c r="AC771" i="2"/>
  <c r="CC770" i="2"/>
  <c r="CE770" i="2" s="1"/>
  <c r="BF770" i="2"/>
  <c r="CC769" i="2"/>
  <c r="CE769" i="2" s="1"/>
  <c r="BF769" i="2"/>
  <c r="BJ769" i="2" s="1"/>
  <c r="CM769" i="2" s="1"/>
  <c r="CC768" i="2"/>
  <c r="CE768" i="2" s="1"/>
  <c r="BF768" i="2"/>
  <c r="CC767" i="2"/>
  <c r="CE767" i="2" s="1"/>
  <c r="BF767" i="2"/>
  <c r="BJ767" i="2" s="1"/>
  <c r="CM767" i="2" s="1"/>
  <c r="AC767" i="2"/>
  <c r="CC766" i="2"/>
  <c r="CE766" i="2" s="1"/>
  <c r="CK766" i="2" s="1"/>
  <c r="BF766" i="2"/>
  <c r="AC766" i="2"/>
  <c r="CC765" i="2"/>
  <c r="CE765" i="2" s="1"/>
  <c r="CK765" i="2" s="1"/>
  <c r="BF765" i="2"/>
  <c r="BJ765" i="2" s="1"/>
  <c r="CM765" i="2" s="1"/>
  <c r="AC765" i="2"/>
  <c r="CC764" i="2"/>
  <c r="CE764" i="2" s="1"/>
  <c r="CK764" i="2" s="1"/>
  <c r="AC764" i="2"/>
  <c r="CC763" i="2"/>
  <c r="CE763" i="2" s="1"/>
  <c r="CK763" i="2" s="1"/>
  <c r="BF763" i="2"/>
  <c r="BJ763" i="2" s="1"/>
  <c r="CM763" i="2" s="1"/>
  <c r="AC763" i="2"/>
  <c r="CC762" i="2"/>
  <c r="CE762" i="2" s="1"/>
  <c r="CK762" i="2" s="1"/>
  <c r="BF762" i="2"/>
  <c r="BJ762" i="2" s="1"/>
  <c r="CM762" i="2" s="1"/>
  <c r="CC761" i="2"/>
  <c r="CE761" i="2" s="1"/>
  <c r="CK761" i="2" s="1"/>
  <c r="BF761" i="2"/>
  <c r="BJ761" i="2" s="1"/>
  <c r="CM761" i="2" s="1"/>
  <c r="AC761" i="2"/>
  <c r="CC760" i="2"/>
  <c r="CE760" i="2" s="1"/>
  <c r="CK760" i="2" s="1"/>
  <c r="BF760" i="2"/>
  <c r="BJ760" i="2" s="1"/>
  <c r="AC760" i="2"/>
  <c r="CC759" i="2"/>
  <c r="CE759" i="2" s="1"/>
  <c r="CK759" i="2" s="1"/>
  <c r="BF759" i="2"/>
  <c r="BJ759" i="2" s="1"/>
  <c r="CM759" i="2" s="1"/>
  <c r="AC759" i="2"/>
  <c r="CC758" i="2"/>
  <c r="CE758" i="2" s="1"/>
  <c r="CK758" i="2" s="1"/>
  <c r="BF758" i="2"/>
  <c r="CC757" i="2"/>
  <c r="CE757" i="2" s="1"/>
  <c r="CK757" i="2" s="1"/>
  <c r="BF757" i="2"/>
  <c r="BJ757" i="2" s="1"/>
  <c r="AC757" i="2"/>
  <c r="CC756" i="2"/>
  <c r="CE756" i="2" s="1"/>
  <c r="BF756" i="2"/>
  <c r="AC756" i="2"/>
  <c r="CC755" i="2"/>
  <c r="CE755" i="2" s="1"/>
  <c r="CK755" i="2" s="1"/>
  <c r="BF755" i="2"/>
  <c r="BJ755" i="2" s="1"/>
  <c r="CM755" i="2" s="1"/>
  <c r="AC755" i="2"/>
  <c r="CC754" i="2"/>
  <c r="CE754" i="2" s="1"/>
  <c r="CK754" i="2" s="1"/>
  <c r="BF754" i="2"/>
  <c r="AC754" i="2"/>
  <c r="CC753" i="2"/>
  <c r="CE753" i="2" s="1"/>
  <c r="CK753" i="2" s="1"/>
  <c r="BF753" i="2"/>
  <c r="BJ753" i="2" s="1"/>
  <c r="AC753" i="2"/>
  <c r="CC752" i="2"/>
  <c r="CE752" i="2" s="1"/>
  <c r="CK752" i="2" s="1"/>
  <c r="BF752" i="2"/>
  <c r="AC752" i="2"/>
  <c r="CC751" i="2"/>
  <c r="CE751" i="2" s="1"/>
  <c r="CK751" i="2" s="1"/>
  <c r="BF751" i="2"/>
  <c r="BJ751" i="2" s="1"/>
  <c r="CM751" i="2" s="1"/>
  <c r="AC751" i="2"/>
  <c r="CC750" i="2"/>
  <c r="CE750" i="2" s="1"/>
  <c r="CK750" i="2" s="1"/>
  <c r="BF750" i="2"/>
  <c r="AC750" i="2"/>
  <c r="CC749" i="2"/>
  <c r="CE749" i="2" s="1"/>
  <c r="CK749" i="2" s="1"/>
  <c r="BF749" i="2"/>
  <c r="BJ749" i="2" s="1"/>
  <c r="CM749" i="2" s="1"/>
  <c r="AC749" i="2"/>
  <c r="CC748" i="2"/>
  <c r="CE748" i="2" s="1"/>
  <c r="CK748" i="2" s="1"/>
  <c r="BF748" i="2"/>
  <c r="BJ748" i="2" s="1"/>
  <c r="CM748" i="2" s="1"/>
  <c r="AC748" i="2"/>
  <c r="CC747" i="2"/>
  <c r="CE747" i="2" s="1"/>
  <c r="CK747" i="2" s="1"/>
  <c r="BF747" i="2"/>
  <c r="BJ747" i="2" s="1"/>
  <c r="CM747" i="2" s="1"/>
  <c r="AC747" i="2"/>
  <c r="CC746" i="2"/>
  <c r="CE746" i="2" s="1"/>
  <c r="CK746" i="2" s="1"/>
  <c r="BF746" i="2"/>
  <c r="BJ746" i="2" s="1"/>
  <c r="CM746" i="2" s="1"/>
  <c r="AC746" i="2"/>
  <c r="CC745" i="2"/>
  <c r="CE745" i="2" s="1"/>
  <c r="CK745" i="2" s="1"/>
  <c r="BF745" i="2"/>
  <c r="BJ745" i="2" s="1"/>
  <c r="AC745" i="2"/>
  <c r="CC744" i="2"/>
  <c r="CE744" i="2" s="1"/>
  <c r="BF744" i="2"/>
  <c r="CC743" i="2"/>
  <c r="CE743" i="2" s="1"/>
  <c r="BF743" i="2"/>
  <c r="BJ743" i="2" s="1"/>
  <c r="CM743" i="2" s="1"/>
  <c r="CC742" i="2"/>
  <c r="CE742" i="2" s="1"/>
  <c r="CK742" i="2" s="1"/>
  <c r="BF742" i="2"/>
  <c r="BJ742" i="2" s="1"/>
  <c r="CM742" i="2" s="1"/>
  <c r="AC742" i="2"/>
  <c r="CC741" i="2"/>
  <c r="CE741" i="2" s="1"/>
  <c r="CK741" i="2" s="1"/>
  <c r="BF741" i="2"/>
  <c r="BJ741" i="2" s="1"/>
  <c r="CM741" i="2" s="1"/>
  <c r="AC741" i="2"/>
  <c r="CC740" i="2"/>
  <c r="CE740" i="2" s="1"/>
  <c r="BF740" i="2"/>
  <c r="BJ740" i="2" s="1"/>
  <c r="CM740" i="2" s="1"/>
  <c r="CC739" i="2"/>
  <c r="CE739" i="2" s="1"/>
  <c r="CK739" i="2" s="1"/>
  <c r="BF739" i="2"/>
  <c r="BJ739" i="2" s="1"/>
  <c r="CM739" i="2" s="1"/>
  <c r="AC739" i="2"/>
  <c r="CC738" i="2"/>
  <c r="CE738" i="2" s="1"/>
  <c r="CK738" i="2" s="1"/>
  <c r="BF738" i="2"/>
  <c r="AC738" i="2"/>
  <c r="CC737" i="2"/>
  <c r="CE737" i="2" s="1"/>
  <c r="CC736" i="2"/>
  <c r="CE736" i="2" s="1"/>
  <c r="BI736" i="2"/>
  <c r="CC735" i="2"/>
  <c r="CE735" i="2" s="1"/>
  <c r="BF735" i="2"/>
  <c r="BJ735" i="2" s="1"/>
  <c r="CM735" i="2" s="1"/>
  <c r="CC734" i="2"/>
  <c r="CE734" i="2" s="1"/>
  <c r="CK734" i="2" s="1"/>
  <c r="BF734" i="2"/>
  <c r="BJ734" i="2" s="1"/>
  <c r="CM734" i="2" s="1"/>
  <c r="AC734" i="2"/>
  <c r="CC733" i="2"/>
  <c r="CE733" i="2" s="1"/>
  <c r="CK733" i="2" s="1"/>
  <c r="BF733" i="2"/>
  <c r="AC733" i="2"/>
  <c r="CC732" i="2"/>
  <c r="CE732" i="2" s="1"/>
  <c r="CK732" i="2" s="1"/>
  <c r="BF732" i="2"/>
  <c r="BJ732" i="2" s="1"/>
  <c r="AC732" i="2"/>
  <c r="CC731" i="2"/>
  <c r="CE731" i="2" s="1"/>
  <c r="BF731" i="2"/>
  <c r="BJ731" i="2" s="1"/>
  <c r="CM731" i="2" s="1"/>
  <c r="CC730" i="2"/>
  <c r="CE730" i="2" s="1"/>
  <c r="CK730" i="2" s="1"/>
  <c r="BF730" i="2"/>
  <c r="BJ730" i="2" s="1"/>
  <c r="CM730" i="2" s="1"/>
  <c r="CC729" i="2"/>
  <c r="CE729" i="2" s="1"/>
  <c r="CC728" i="2"/>
  <c r="CE728" i="2" s="1"/>
  <c r="CK728" i="2" s="1"/>
  <c r="BF728" i="2"/>
  <c r="BJ728" i="2" s="1"/>
  <c r="CM728" i="2" s="1"/>
  <c r="AC728" i="2"/>
  <c r="CC727" i="2"/>
  <c r="CE727" i="2" s="1"/>
  <c r="CK727" i="2" s="1"/>
  <c r="BF727" i="2"/>
  <c r="BJ727" i="2" s="1"/>
  <c r="CM727" i="2" s="1"/>
  <c r="AC727" i="2"/>
  <c r="CC726" i="2"/>
  <c r="CE726" i="2" s="1"/>
  <c r="CK726" i="2" s="1"/>
  <c r="BF726" i="2"/>
  <c r="BJ726" i="2" s="1"/>
  <c r="AC726" i="2"/>
  <c r="CC724" i="2"/>
  <c r="CE724" i="2" s="1"/>
  <c r="CK724" i="2" s="1"/>
  <c r="BF724" i="2"/>
  <c r="AC724" i="2"/>
  <c r="CC723" i="2"/>
  <c r="CE723" i="2" s="1"/>
  <c r="CK723" i="2" s="1"/>
  <c r="BF723" i="2"/>
  <c r="BJ723" i="2" s="1"/>
  <c r="CM723" i="2" s="1"/>
  <c r="AC723" i="2"/>
  <c r="CC722" i="2"/>
  <c r="CE722" i="2" s="1"/>
  <c r="CK722" i="2" s="1"/>
  <c r="BF722" i="2"/>
  <c r="BJ722" i="2" s="1"/>
  <c r="CM722" i="2" s="1"/>
  <c r="AC722" i="2"/>
  <c r="CC721" i="2"/>
  <c r="CE721" i="2" s="1"/>
  <c r="CK721" i="2" s="1"/>
  <c r="BF721" i="2"/>
  <c r="BJ721" i="2" s="1"/>
  <c r="CM721" i="2" s="1"/>
  <c r="AC721" i="2"/>
  <c r="CC720" i="2"/>
  <c r="CE720" i="2" s="1"/>
  <c r="CK720" i="2" s="1"/>
  <c r="BF720" i="2"/>
  <c r="BJ720" i="2" s="1"/>
  <c r="CM720" i="2" s="1"/>
  <c r="AC720" i="2"/>
  <c r="CC719" i="2"/>
  <c r="CE719" i="2" s="1"/>
  <c r="BF719" i="2"/>
  <c r="BJ719" i="2" s="1"/>
  <c r="CM719" i="2" s="1"/>
  <c r="CC718" i="2"/>
  <c r="CE718" i="2" s="1"/>
  <c r="CK718" i="2" s="1"/>
  <c r="BF718" i="2"/>
  <c r="BJ718" i="2" s="1"/>
  <c r="CM718" i="2" s="1"/>
  <c r="AC718" i="2"/>
  <c r="CC717" i="2"/>
  <c r="CE717" i="2" s="1"/>
  <c r="BF717" i="2"/>
  <c r="BJ717" i="2" s="1"/>
  <c r="CM717" i="2" s="1"/>
  <c r="CC716" i="2"/>
  <c r="CE716" i="2" s="1"/>
  <c r="BF716" i="2"/>
  <c r="BJ716" i="2" s="1"/>
  <c r="CM716" i="2" s="1"/>
  <c r="CC715" i="2"/>
  <c r="CE715" i="2" s="1"/>
  <c r="CK715" i="2" s="1"/>
  <c r="BF715" i="2"/>
  <c r="AC715" i="2"/>
  <c r="CC714" i="2"/>
  <c r="CE714" i="2" s="1"/>
  <c r="BF714" i="2"/>
  <c r="BJ714" i="2" s="1"/>
  <c r="CC713" i="2"/>
  <c r="CE713" i="2" s="1"/>
  <c r="BF713" i="2"/>
  <c r="BJ713" i="2" s="1"/>
  <c r="CM713" i="2" s="1"/>
  <c r="CC712" i="2"/>
  <c r="CE712" i="2" s="1"/>
  <c r="CK712" i="2" s="1"/>
  <c r="BF712" i="2"/>
  <c r="BJ712" i="2" s="1"/>
  <c r="CM712" i="2" s="1"/>
  <c r="AC712" i="2"/>
  <c r="CC711" i="2"/>
  <c r="CE711" i="2" s="1"/>
  <c r="CK711" i="2" s="1"/>
  <c r="BF711" i="2"/>
  <c r="BJ711" i="2" s="1"/>
  <c r="CM711" i="2" s="1"/>
  <c r="AC711" i="2"/>
  <c r="CC710" i="2"/>
  <c r="CE710" i="2" s="1"/>
  <c r="CK710" i="2" s="1"/>
  <c r="BF710" i="2"/>
  <c r="BJ710" i="2" s="1"/>
  <c r="CM710" i="2" s="1"/>
  <c r="AC710" i="2"/>
  <c r="CC709" i="2"/>
  <c r="CE709" i="2" s="1"/>
  <c r="BF709" i="2"/>
  <c r="BJ709" i="2" s="1"/>
  <c r="CM709" i="2" s="1"/>
  <c r="CC707" i="2"/>
  <c r="CE707" i="2" s="1"/>
  <c r="BF707" i="2"/>
  <c r="BJ707" i="2" s="1"/>
  <c r="CM707" i="2" s="1"/>
  <c r="CC706" i="2"/>
  <c r="CE706" i="2" s="1"/>
  <c r="CK706" i="2" s="1"/>
  <c r="BF706" i="2"/>
  <c r="BJ706" i="2" s="1"/>
  <c r="CM706" i="2" s="1"/>
  <c r="AC706" i="2"/>
  <c r="CC705" i="2"/>
  <c r="CE705" i="2" s="1"/>
  <c r="CK705" i="2" s="1"/>
  <c r="BF705" i="2"/>
  <c r="AC705" i="2"/>
  <c r="CC704" i="2"/>
  <c r="CE704" i="2" s="1"/>
  <c r="BJ704" i="2"/>
  <c r="CC703" i="2"/>
  <c r="CE703" i="2" s="1"/>
  <c r="BF703" i="2"/>
  <c r="BJ703" i="2" s="1"/>
  <c r="CM703" i="2" s="1"/>
  <c r="CK41" i="2"/>
  <c r="CK37" i="2"/>
  <c r="CK25" i="2"/>
  <c r="CK29" i="2"/>
  <c r="CK21" i="2"/>
  <c r="BV57" i="6"/>
  <c r="BV58" i="6"/>
  <c r="BX61" i="6"/>
  <c r="BY61" i="6"/>
  <c r="BV62" i="6"/>
  <c r="CH31" i="2"/>
  <c r="CI31" i="2" s="1"/>
  <c r="CH23" i="2"/>
  <c r="CI23" i="2" s="1"/>
  <c r="BJ729" i="2"/>
  <c r="CM729" i="2" s="1"/>
  <c r="BJ736" i="2"/>
  <c r="CM736" i="2" s="1"/>
  <c r="AG3" i="2"/>
  <c r="AC3" i="2"/>
  <c r="Q3" i="2"/>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2" i="3"/>
  <c r="D851" i="3"/>
  <c r="D850" i="3"/>
  <c r="D849" i="3"/>
  <c r="D848" i="3"/>
  <c r="D847" i="3"/>
  <c r="D846" i="3"/>
  <c r="D845" i="3"/>
  <c r="D844" i="3"/>
  <c r="D843" i="3"/>
  <c r="D842" i="3"/>
  <c r="D841" i="3"/>
  <c r="D840" i="3"/>
  <c r="D839" i="3"/>
  <c r="D838" i="3"/>
  <c r="D836" i="3"/>
  <c r="D834" i="3"/>
  <c r="D833" i="3"/>
  <c r="D832" i="3"/>
  <c r="D830" i="3"/>
  <c r="D829" i="3"/>
  <c r="D828" i="3"/>
  <c r="D827" i="3"/>
  <c r="D826" i="3"/>
  <c r="D825" i="3"/>
  <c r="D824" i="3"/>
  <c r="D822" i="3"/>
  <c r="D821" i="3"/>
  <c r="D820" i="3"/>
  <c r="D819" i="3"/>
  <c r="D818" i="3"/>
  <c r="D817" i="3"/>
  <c r="D816" i="3"/>
  <c r="D815" i="3"/>
  <c r="D814"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79" i="3"/>
  <c r="D778" i="3"/>
  <c r="D777" i="3"/>
  <c r="D775" i="3"/>
  <c r="D774" i="3"/>
  <c r="D773" i="3"/>
  <c r="D772"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6" i="3"/>
  <c r="D735" i="3"/>
  <c r="D733" i="3"/>
  <c r="D732" i="3"/>
  <c r="D731" i="3"/>
  <c r="D730" i="3"/>
  <c r="D728" i="3"/>
  <c r="D727" i="3"/>
  <c r="D726" i="3"/>
  <c r="D725" i="3"/>
  <c r="D724" i="3"/>
  <c r="D723" i="3"/>
  <c r="D722" i="3"/>
  <c r="D721" i="3"/>
  <c r="D720" i="3"/>
  <c r="D719" i="3"/>
  <c r="D718" i="3"/>
  <c r="D717" i="3"/>
  <c r="D715" i="3"/>
  <c r="D714" i="3"/>
  <c r="D713" i="3"/>
  <c r="D712" i="3"/>
  <c r="D711" i="3"/>
  <c r="D710" i="3"/>
  <c r="D707" i="3"/>
  <c r="D706" i="3"/>
  <c r="D705" i="3"/>
  <c r="D703" i="3"/>
  <c r="D702" i="3"/>
  <c r="D701" i="3"/>
  <c r="D700" i="3"/>
  <c r="D699" i="3"/>
  <c r="D698" i="3"/>
  <c r="D697" i="3"/>
  <c r="D696" i="3"/>
  <c r="D695" i="3"/>
  <c r="D694" i="3"/>
  <c r="D693" i="3"/>
  <c r="D692" i="3"/>
  <c r="D691" i="3"/>
  <c r="D690" i="3"/>
  <c r="D689" i="3"/>
  <c r="D688" i="3"/>
  <c r="D687" i="3"/>
  <c r="D685" i="3"/>
  <c r="D684" i="3"/>
  <c r="D682" i="3"/>
  <c r="D681" i="3"/>
  <c r="D680"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2" i="3"/>
  <c r="D651" i="3"/>
  <c r="D650" i="3"/>
  <c r="D649" i="3"/>
  <c r="D648" i="3"/>
  <c r="D647" i="3"/>
  <c r="D646" i="3"/>
  <c r="D645" i="3"/>
  <c r="D644" i="3"/>
  <c r="D643" i="3"/>
  <c r="D642" i="3"/>
  <c r="D641" i="3"/>
  <c r="D640" i="3"/>
  <c r="D639" i="3"/>
  <c r="D638" i="3"/>
  <c r="D637" i="3"/>
  <c r="D636" i="3"/>
  <c r="D635" i="3"/>
  <c r="D634" i="3"/>
  <c r="D633" i="3"/>
  <c r="D632" i="3"/>
  <c r="D631" i="3"/>
  <c r="D630"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5" i="3"/>
  <c r="D563"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F568" i="3"/>
  <c r="F567" i="3"/>
  <c r="F566" i="3"/>
  <c r="F744" i="3"/>
  <c r="W64" i="6"/>
  <c r="X64" i="6"/>
  <c r="W65" i="6"/>
  <c r="X65" i="6"/>
  <c r="W66" i="6"/>
  <c r="X66" i="6"/>
  <c r="W67" i="6"/>
  <c r="X67" i="6"/>
  <c r="W68" i="6"/>
  <c r="X68" i="6"/>
  <c r="W69" i="6"/>
  <c r="X69" i="6"/>
  <c r="W70" i="6"/>
  <c r="X70" i="6"/>
  <c r="W71" i="6"/>
  <c r="X71" i="6"/>
  <c r="W72" i="6"/>
  <c r="X72" i="6"/>
  <c r="W73" i="6"/>
  <c r="X73" i="6"/>
  <c r="W74" i="6"/>
  <c r="X74" i="6"/>
  <c r="W75" i="6"/>
  <c r="X75" i="6"/>
  <c r="W76" i="6"/>
  <c r="X76" i="6"/>
  <c r="W77" i="6"/>
  <c r="X77" i="6"/>
  <c r="W78" i="6"/>
  <c r="X78" i="6"/>
  <c r="W79" i="6"/>
  <c r="X79" i="6"/>
  <c r="W80" i="6"/>
  <c r="X80" i="6"/>
  <c r="W81" i="6"/>
  <c r="X81" i="6"/>
  <c r="W82" i="6"/>
  <c r="X82" i="6"/>
  <c r="W83" i="6"/>
  <c r="X83" i="6"/>
  <c r="W84" i="6"/>
  <c r="X84" i="6"/>
  <c r="W85" i="6"/>
  <c r="X85" i="6"/>
  <c r="W86" i="6"/>
  <c r="X86" i="6"/>
  <c r="W87" i="6"/>
  <c r="X87" i="6"/>
  <c r="W88" i="6"/>
  <c r="X88" i="6"/>
  <c r="W89" i="6"/>
  <c r="X89" i="6"/>
  <c r="W90" i="6"/>
  <c r="X90" i="6"/>
  <c r="W91" i="6"/>
  <c r="X91" i="6"/>
  <c r="W92" i="6"/>
  <c r="X92" i="6"/>
  <c r="W93" i="6"/>
  <c r="X93" i="6"/>
  <c r="W94" i="6"/>
  <c r="X94" i="6"/>
  <c r="W95" i="6"/>
  <c r="X95" i="6"/>
  <c r="W96" i="6"/>
  <c r="X96" i="6"/>
  <c r="W97" i="6"/>
  <c r="X97" i="6"/>
  <c r="W98" i="6"/>
  <c r="X98" i="6"/>
  <c r="W99" i="6"/>
  <c r="X99" i="6"/>
  <c r="W100" i="6"/>
  <c r="X100" i="6"/>
  <c r="W101" i="6"/>
  <c r="X101" i="6"/>
  <c r="W102" i="6"/>
  <c r="X102" i="6"/>
  <c r="W103" i="6"/>
  <c r="X103" i="6"/>
  <c r="W104" i="6"/>
  <c r="X104" i="6"/>
  <c r="W105" i="6"/>
  <c r="X105" i="6"/>
  <c r="W106" i="6"/>
  <c r="X106" i="6"/>
  <c r="W107" i="6"/>
  <c r="X107" i="6"/>
  <c r="W108" i="6"/>
  <c r="X108" i="6"/>
  <c r="W109" i="6"/>
  <c r="X109" i="6"/>
  <c r="W110" i="6"/>
  <c r="X110" i="6"/>
  <c r="W111" i="6"/>
  <c r="X111" i="6"/>
  <c r="W112" i="6"/>
  <c r="X112" i="6"/>
  <c r="W113" i="6"/>
  <c r="X113" i="6"/>
  <c r="W114" i="6"/>
  <c r="X114" i="6"/>
  <c r="W115" i="6"/>
  <c r="X115" i="6"/>
  <c r="W116" i="6"/>
  <c r="X116" i="6"/>
  <c r="W117" i="6"/>
  <c r="X117" i="6"/>
  <c r="W118" i="6"/>
  <c r="X118" i="6"/>
  <c r="W119" i="6"/>
  <c r="X119" i="6"/>
  <c r="W120" i="6"/>
  <c r="X120" i="6"/>
  <c r="W121" i="6"/>
  <c r="X121" i="6"/>
  <c r="W122" i="6"/>
  <c r="X122" i="6"/>
  <c r="W123" i="6"/>
  <c r="X123" i="6"/>
  <c r="W124" i="6"/>
  <c r="X124" i="6"/>
  <c r="W125" i="6"/>
  <c r="X125" i="6"/>
  <c r="W126" i="6"/>
  <c r="X126" i="6"/>
  <c r="W127" i="6"/>
  <c r="X127" i="6"/>
  <c r="W128" i="6"/>
  <c r="X128" i="6"/>
  <c r="W129" i="6"/>
  <c r="X129" i="6"/>
  <c r="W130" i="6"/>
  <c r="X130" i="6"/>
  <c r="W131" i="6"/>
  <c r="X131" i="6"/>
  <c r="W132" i="6"/>
  <c r="X132" i="6"/>
  <c r="W133" i="6"/>
  <c r="X133" i="6"/>
  <c r="W134" i="6"/>
  <c r="X134" i="6"/>
  <c r="W135" i="6"/>
  <c r="X135" i="6"/>
  <c r="W136" i="6"/>
  <c r="X136" i="6"/>
  <c r="W137" i="6"/>
  <c r="X137" i="6"/>
  <c r="W138" i="6"/>
  <c r="X138" i="6"/>
  <c r="W139" i="6"/>
  <c r="X139" i="6"/>
  <c r="W140" i="6"/>
  <c r="X140" i="6"/>
  <c r="W141" i="6"/>
  <c r="X141" i="6"/>
  <c r="W142" i="6"/>
  <c r="X142" i="6"/>
  <c r="W143" i="6"/>
  <c r="X143" i="6"/>
  <c r="W144" i="6"/>
  <c r="X144" i="6"/>
  <c r="W145" i="6"/>
  <c r="X145" i="6"/>
  <c r="W146" i="6"/>
  <c r="X146" i="6"/>
  <c r="W147" i="6"/>
  <c r="X147" i="6"/>
  <c r="W148" i="6"/>
  <c r="X148" i="6"/>
  <c r="W149" i="6"/>
  <c r="X149" i="6"/>
  <c r="W150" i="6"/>
  <c r="X150" i="6"/>
  <c r="W151" i="6"/>
  <c r="X151" i="6"/>
  <c r="W152" i="6"/>
  <c r="X152" i="6"/>
  <c r="W153" i="6"/>
  <c r="X153" i="6"/>
  <c r="W154" i="6"/>
  <c r="X154" i="6"/>
  <c r="W155" i="6"/>
  <c r="X155" i="6"/>
  <c r="W156" i="6"/>
  <c r="X156" i="6"/>
  <c r="W157" i="6"/>
  <c r="X157" i="6"/>
  <c r="W158" i="6"/>
  <c r="X158" i="6"/>
  <c r="W159" i="6"/>
  <c r="X159" i="6"/>
  <c r="W160" i="6"/>
  <c r="X160" i="6"/>
  <c r="W161" i="6"/>
  <c r="X161" i="6"/>
  <c r="W162" i="6"/>
  <c r="X162" i="6"/>
  <c r="W163" i="6"/>
  <c r="X163" i="6"/>
  <c r="W164" i="6"/>
  <c r="X164" i="6"/>
  <c r="W165" i="6"/>
  <c r="X165" i="6"/>
  <c r="W166" i="6"/>
  <c r="X166" i="6"/>
  <c r="W167" i="6"/>
  <c r="X167" i="6"/>
  <c r="W168" i="6"/>
  <c r="X168" i="6"/>
  <c r="W169" i="6"/>
  <c r="X169" i="6"/>
  <c r="W170" i="6"/>
  <c r="X170" i="6"/>
  <c r="W171" i="6"/>
  <c r="X171" i="6"/>
  <c r="W172" i="6"/>
  <c r="X172" i="6"/>
  <c r="W173" i="6"/>
  <c r="X173" i="6"/>
  <c r="W174" i="6"/>
  <c r="X174" i="6"/>
  <c r="W175" i="6"/>
  <c r="X175" i="6"/>
  <c r="W176" i="6"/>
  <c r="X176" i="6"/>
  <c r="W177" i="6"/>
  <c r="X177" i="6"/>
  <c r="W178" i="6"/>
  <c r="X178" i="6"/>
  <c r="W179" i="6"/>
  <c r="X179" i="6"/>
  <c r="W180" i="6"/>
  <c r="X180" i="6"/>
  <c r="W181" i="6"/>
  <c r="X181" i="6"/>
  <c r="W182" i="6"/>
  <c r="X182" i="6"/>
  <c r="W183" i="6"/>
  <c r="X183" i="6"/>
  <c r="W184" i="6"/>
  <c r="X184" i="6"/>
  <c r="W185" i="6"/>
  <c r="X185" i="6"/>
  <c r="W186" i="6"/>
  <c r="X186" i="6"/>
  <c r="W187" i="6"/>
  <c r="X187" i="6"/>
  <c r="W188" i="6"/>
  <c r="X188" i="6"/>
  <c r="W189" i="6"/>
  <c r="X189" i="6"/>
  <c r="W190" i="6"/>
  <c r="X190" i="6"/>
  <c r="W191" i="6"/>
  <c r="X191" i="6"/>
  <c r="W192" i="6"/>
  <c r="X192" i="6"/>
  <c r="W193" i="6"/>
  <c r="X193" i="6"/>
  <c r="W194" i="6"/>
  <c r="X194" i="6"/>
  <c r="W195" i="6"/>
  <c r="X195" i="6"/>
  <c r="W196" i="6"/>
  <c r="X196" i="6"/>
  <c r="W197" i="6"/>
  <c r="X197" i="6"/>
  <c r="W198" i="6"/>
  <c r="X198" i="6"/>
  <c r="W199" i="6"/>
  <c r="X199" i="6"/>
  <c r="F678" i="3"/>
  <c r="F592" i="3"/>
  <c r="F578" i="3"/>
  <c r="F576" i="3"/>
  <c r="F574" i="3"/>
  <c r="F575" i="3"/>
  <c r="F573" i="3"/>
  <c r="F544" i="3"/>
  <c r="F539" i="3"/>
  <c r="F533" i="3"/>
  <c r="F532" i="3"/>
  <c r="AE81" i="4"/>
  <c r="AF81" i="4" s="1"/>
  <c r="AH81" i="4"/>
  <c r="AE82" i="4"/>
  <c r="AF82" i="4" s="1"/>
  <c r="AH82" i="4"/>
  <c r="AE83" i="4"/>
  <c r="AF83" i="4" s="1"/>
  <c r="AH83" i="4"/>
  <c r="AE84" i="4"/>
  <c r="AF84" i="4" s="1"/>
  <c r="AH84" i="4"/>
  <c r="AE85" i="4"/>
  <c r="AF85" i="4" s="1"/>
  <c r="AH85" i="4"/>
  <c r="AE86" i="4"/>
  <c r="AF86" i="4" s="1"/>
  <c r="AH86" i="4"/>
  <c r="AE87" i="4"/>
  <c r="AF87" i="4" s="1"/>
  <c r="AH87" i="4"/>
  <c r="AE88" i="4"/>
  <c r="AF88" i="4" s="1"/>
  <c r="AH88" i="4"/>
  <c r="AE89" i="4"/>
  <c r="AF89" i="4" s="1"/>
  <c r="AH89" i="4"/>
  <c r="AE90" i="4"/>
  <c r="AF90" i="4" s="1"/>
  <c r="AH90" i="4"/>
  <c r="AE91" i="4"/>
  <c r="AF91" i="4" s="1"/>
  <c r="AH91" i="4"/>
  <c r="AE92" i="4"/>
  <c r="AF92" i="4" s="1"/>
  <c r="AH92" i="4"/>
  <c r="AE93" i="4"/>
  <c r="AF93" i="4" s="1"/>
  <c r="AH93" i="4"/>
  <c r="AE94" i="4"/>
  <c r="AF94" i="4" s="1"/>
  <c r="AH94" i="4"/>
  <c r="AE95" i="4"/>
  <c r="AF95" i="4" s="1"/>
  <c r="AH95" i="4"/>
  <c r="AE96" i="4"/>
  <c r="AF96" i="4" s="1"/>
  <c r="AH96" i="4"/>
  <c r="AE97" i="4"/>
  <c r="AF97" i="4" s="1"/>
  <c r="AH97" i="4"/>
  <c r="AE98" i="4"/>
  <c r="AF98" i="4" s="1"/>
  <c r="AH98" i="4"/>
  <c r="AE99" i="4"/>
  <c r="AF99" i="4" s="1"/>
  <c r="AH99" i="4"/>
  <c r="AE100" i="4"/>
  <c r="AF100" i="4" s="1"/>
  <c r="AH100" i="4"/>
  <c r="AE101" i="4"/>
  <c r="AF101" i="4" s="1"/>
  <c r="AH101" i="4"/>
  <c r="AE102" i="4"/>
  <c r="AF102" i="4" s="1"/>
  <c r="AH102" i="4"/>
  <c r="AE103" i="4"/>
  <c r="AF103" i="4" s="1"/>
  <c r="AH103" i="4"/>
  <c r="AE104" i="4"/>
  <c r="AF104" i="4" s="1"/>
  <c r="AH104" i="4"/>
  <c r="AE105" i="4"/>
  <c r="AF105" i="4" s="1"/>
  <c r="AH105" i="4"/>
  <c r="AE106" i="4"/>
  <c r="AF106" i="4" s="1"/>
  <c r="AH106" i="4"/>
  <c r="AE107" i="4"/>
  <c r="AF107" i="4" s="1"/>
  <c r="AH107" i="4"/>
  <c r="AE108" i="4"/>
  <c r="AF108" i="4" s="1"/>
  <c r="AH108" i="4"/>
  <c r="AE109" i="4"/>
  <c r="AF109" i="4" s="1"/>
  <c r="AH109" i="4"/>
  <c r="AE110" i="4"/>
  <c r="AF110" i="4" s="1"/>
  <c r="AH110" i="4"/>
  <c r="AE111" i="4"/>
  <c r="AF111" i="4" s="1"/>
  <c r="AH111" i="4"/>
  <c r="AE114" i="4"/>
  <c r="AF114" i="4" s="1"/>
  <c r="AH114" i="4"/>
  <c r="AE115" i="4"/>
  <c r="AF115" i="4" s="1"/>
  <c r="AH115" i="4"/>
  <c r="AE116" i="4"/>
  <c r="AF116" i="4" s="1"/>
  <c r="AH116" i="4"/>
  <c r="AE117" i="4"/>
  <c r="AF117" i="4" s="1"/>
  <c r="AH117" i="4"/>
  <c r="AE118" i="4"/>
  <c r="AF118" i="4" s="1"/>
  <c r="AH118" i="4"/>
  <c r="AE119" i="4"/>
  <c r="AF119" i="4" s="1"/>
  <c r="AH119" i="4"/>
  <c r="AE120" i="4"/>
  <c r="AF120" i="4" s="1"/>
  <c r="AH120" i="4"/>
  <c r="AE121" i="4"/>
  <c r="AF121" i="4" s="1"/>
  <c r="AH121" i="4"/>
  <c r="AE122" i="4"/>
  <c r="AF122" i="4" s="1"/>
  <c r="AH122" i="4"/>
  <c r="AE123" i="4"/>
  <c r="AF123" i="4" s="1"/>
  <c r="AH123" i="4"/>
  <c r="AE124" i="4"/>
  <c r="AF124" i="4" s="1"/>
  <c r="AH124" i="4"/>
  <c r="AE125" i="4"/>
  <c r="AF125" i="4" s="1"/>
  <c r="AH125" i="4"/>
  <c r="AE126" i="4"/>
  <c r="AF126" i="4" s="1"/>
  <c r="AH126" i="4"/>
  <c r="AE127" i="4"/>
  <c r="AF127" i="4" s="1"/>
  <c r="AH127" i="4"/>
  <c r="AE128" i="4"/>
  <c r="AF128" i="4" s="1"/>
  <c r="AH128" i="4"/>
  <c r="AE129" i="4"/>
  <c r="AF129" i="4" s="1"/>
  <c r="AH129" i="4"/>
  <c r="AE130" i="4"/>
  <c r="AF130" i="4" s="1"/>
  <c r="AH130" i="4"/>
  <c r="AE131" i="4"/>
  <c r="AF131" i="4" s="1"/>
  <c r="AH131" i="4"/>
  <c r="AE132" i="4"/>
  <c r="AF132" i="4" s="1"/>
  <c r="AH132" i="4"/>
  <c r="AE133" i="4"/>
  <c r="AF133" i="4" s="1"/>
  <c r="AH133" i="4"/>
  <c r="AE134" i="4"/>
  <c r="AF134" i="4" s="1"/>
  <c r="AH134" i="4"/>
  <c r="AE135" i="4"/>
  <c r="AF135" i="4" s="1"/>
  <c r="AH135" i="4"/>
  <c r="AE136" i="4"/>
  <c r="AF136" i="4" s="1"/>
  <c r="AH136" i="4"/>
  <c r="AE137" i="4"/>
  <c r="AF137" i="4" s="1"/>
  <c r="AH137" i="4"/>
  <c r="AE138" i="4"/>
  <c r="AF138" i="4" s="1"/>
  <c r="AH138" i="4"/>
  <c r="AE139" i="4"/>
  <c r="AF139" i="4" s="1"/>
  <c r="AH139" i="4"/>
  <c r="AE140" i="4"/>
  <c r="AF140" i="4" s="1"/>
  <c r="AH140" i="4"/>
  <c r="AE141" i="4"/>
  <c r="AF141" i="4" s="1"/>
  <c r="AH141" i="4"/>
  <c r="AE142" i="4"/>
  <c r="AF142" i="4" s="1"/>
  <c r="AH142" i="4"/>
  <c r="AE143" i="4"/>
  <c r="AF143" i="4" s="1"/>
  <c r="AH143" i="4"/>
  <c r="AE144" i="4"/>
  <c r="AF144" i="4" s="1"/>
  <c r="AH144" i="4"/>
  <c r="AE145" i="4"/>
  <c r="AF145" i="4" s="1"/>
  <c r="AH145" i="4"/>
  <c r="AE146" i="4"/>
  <c r="AF146" i="4" s="1"/>
  <c r="AH146" i="4"/>
  <c r="AE147" i="4"/>
  <c r="AF147" i="4" s="1"/>
  <c r="AH147" i="4"/>
  <c r="AE148" i="4"/>
  <c r="AF148" i="4" s="1"/>
  <c r="AH148" i="4"/>
  <c r="AE149" i="4"/>
  <c r="AF149" i="4" s="1"/>
  <c r="AH149" i="4"/>
  <c r="AE150" i="4"/>
  <c r="AF150" i="4" s="1"/>
  <c r="AH150" i="4"/>
  <c r="AE151" i="4"/>
  <c r="AF151" i="4" s="1"/>
  <c r="AH151" i="4"/>
  <c r="AE152" i="4"/>
  <c r="AF152" i="4" s="1"/>
  <c r="AH152" i="4"/>
  <c r="AE153" i="4"/>
  <c r="AF153" i="4" s="1"/>
  <c r="AH153" i="4"/>
  <c r="AE154" i="4"/>
  <c r="AF154" i="4" s="1"/>
  <c r="AH154" i="4"/>
  <c r="AE155" i="4"/>
  <c r="AF155" i="4" s="1"/>
  <c r="AH155" i="4"/>
  <c r="AE156" i="4"/>
  <c r="AF156" i="4" s="1"/>
  <c r="AH156" i="4"/>
  <c r="AE157" i="4"/>
  <c r="AF157" i="4" s="1"/>
  <c r="AH157" i="4"/>
  <c r="AE158" i="4"/>
  <c r="AF158" i="4" s="1"/>
  <c r="AH158" i="4"/>
  <c r="AE159" i="4"/>
  <c r="AF159" i="4" s="1"/>
  <c r="AH159" i="4"/>
  <c r="AE160" i="4"/>
  <c r="AF160" i="4" s="1"/>
  <c r="AH160" i="4"/>
  <c r="AE161" i="4"/>
  <c r="AF161" i="4" s="1"/>
  <c r="AH161" i="4"/>
  <c r="AE162" i="4"/>
  <c r="AF162" i="4" s="1"/>
  <c r="AH162" i="4"/>
  <c r="AE163" i="4"/>
  <c r="AF163" i="4" s="1"/>
  <c r="AH163" i="4"/>
  <c r="AE164" i="4"/>
  <c r="AF164" i="4" s="1"/>
  <c r="AH164" i="4"/>
  <c r="AE165" i="4"/>
  <c r="AF165" i="4" s="1"/>
  <c r="AH165" i="4"/>
  <c r="AE166" i="4"/>
  <c r="AF166" i="4" s="1"/>
  <c r="AH166" i="4"/>
  <c r="AE167" i="4"/>
  <c r="AF167" i="4" s="1"/>
  <c r="AH167" i="4"/>
  <c r="AE168" i="4"/>
  <c r="AF168" i="4" s="1"/>
  <c r="AH168" i="4"/>
  <c r="AE169" i="4"/>
  <c r="AF169" i="4" s="1"/>
  <c r="AH169" i="4"/>
  <c r="AE170" i="4"/>
  <c r="AF170" i="4" s="1"/>
  <c r="AH170" i="4"/>
  <c r="AE171" i="4"/>
  <c r="AF171" i="4" s="1"/>
  <c r="AH171" i="4"/>
  <c r="AE172" i="4"/>
  <c r="AF172" i="4" s="1"/>
  <c r="AH172" i="4"/>
  <c r="AE173" i="4"/>
  <c r="AF173" i="4" s="1"/>
  <c r="AH173" i="4"/>
  <c r="AE174" i="4"/>
  <c r="AF174" i="4" s="1"/>
  <c r="AH174" i="4"/>
  <c r="AE175" i="4"/>
  <c r="AF175" i="4" s="1"/>
  <c r="AH175" i="4"/>
  <c r="AE176" i="4"/>
  <c r="AF176" i="4" s="1"/>
  <c r="AH176" i="4"/>
  <c r="AE177" i="4"/>
  <c r="AF177" i="4" s="1"/>
  <c r="AH177" i="4"/>
  <c r="AE178" i="4"/>
  <c r="AF178" i="4" s="1"/>
  <c r="AH178" i="4"/>
  <c r="AE179" i="4"/>
  <c r="AF179" i="4" s="1"/>
  <c r="AH179" i="4"/>
  <c r="AE180" i="4"/>
  <c r="AF180" i="4" s="1"/>
  <c r="AH180" i="4"/>
  <c r="AE181" i="4"/>
  <c r="AF181" i="4" s="1"/>
  <c r="AH181" i="4"/>
  <c r="AE182" i="4"/>
  <c r="AF182" i="4" s="1"/>
  <c r="AH182" i="4"/>
  <c r="AE183" i="4"/>
  <c r="AF183" i="4" s="1"/>
  <c r="AH183" i="4"/>
  <c r="AE184" i="4"/>
  <c r="AF184" i="4" s="1"/>
  <c r="AH184" i="4"/>
  <c r="AE185" i="4"/>
  <c r="AF185" i="4" s="1"/>
  <c r="AH185" i="4"/>
  <c r="AE186" i="4"/>
  <c r="AF186" i="4" s="1"/>
  <c r="AH186" i="4"/>
  <c r="AE187" i="4"/>
  <c r="AF187" i="4" s="1"/>
  <c r="AH187" i="4"/>
  <c r="AE188" i="4"/>
  <c r="AF188" i="4" s="1"/>
  <c r="AH188" i="4"/>
  <c r="AE189" i="4"/>
  <c r="AF189" i="4" s="1"/>
  <c r="AH189" i="4"/>
  <c r="AE190" i="4"/>
  <c r="AF190" i="4" s="1"/>
  <c r="AH190" i="4"/>
  <c r="AE191" i="4"/>
  <c r="AF191" i="4" s="1"/>
  <c r="AH191" i="4"/>
  <c r="AE192" i="4"/>
  <c r="AF192" i="4" s="1"/>
  <c r="AH192" i="4"/>
  <c r="AE193" i="4"/>
  <c r="AF193" i="4" s="1"/>
  <c r="AH193" i="4"/>
  <c r="AE194" i="4"/>
  <c r="AF194" i="4" s="1"/>
  <c r="AH194" i="4"/>
  <c r="AE195" i="4"/>
  <c r="AF195" i="4" s="1"/>
  <c r="AH195" i="4"/>
  <c r="AE196" i="4"/>
  <c r="AF196" i="4" s="1"/>
  <c r="AH196" i="4"/>
  <c r="AF32" i="5"/>
  <c r="AG32" i="5" s="1"/>
  <c r="AF35" i="5"/>
  <c r="AG35" i="5" s="1"/>
  <c r="AF36" i="5"/>
  <c r="AG36" i="5" s="1"/>
  <c r="AF37" i="5"/>
  <c r="AG37" i="5" s="1"/>
  <c r="AF38" i="5"/>
  <c r="AG38" i="5" s="1"/>
  <c r="AF39" i="5"/>
  <c r="AG39" i="5" s="1"/>
  <c r="AF40" i="5"/>
  <c r="AG40" i="5" s="1"/>
  <c r="AF41" i="5"/>
  <c r="AG41" i="5" s="1"/>
  <c r="AF42" i="5"/>
  <c r="AG42" i="5" s="1"/>
  <c r="AF43" i="5"/>
  <c r="AG43" i="5" s="1"/>
  <c r="AF44" i="5"/>
  <c r="AG44" i="5" s="1"/>
  <c r="AF45" i="5"/>
  <c r="AG45" i="5" s="1"/>
  <c r="AF46" i="5"/>
  <c r="AG46" i="5" s="1"/>
  <c r="AF47" i="5"/>
  <c r="AG47" i="5" s="1"/>
  <c r="AF48" i="5"/>
  <c r="AG48" i="5" s="1"/>
  <c r="AF49" i="5"/>
  <c r="AG49" i="5" s="1"/>
  <c r="AF50" i="5"/>
  <c r="AG50" i="5" s="1"/>
  <c r="AF51" i="5"/>
  <c r="AG51" i="5" s="1"/>
  <c r="AF52" i="5"/>
  <c r="AG52" i="5" s="1"/>
  <c r="AF53" i="5"/>
  <c r="AG53" i="5" s="1"/>
  <c r="AF54" i="5"/>
  <c r="AG54" i="5" s="1"/>
  <c r="AF55" i="5"/>
  <c r="AG55" i="5" s="1"/>
  <c r="AF56" i="5"/>
  <c r="AG56" i="5" s="1"/>
  <c r="AF57" i="5"/>
  <c r="AG57" i="5" s="1"/>
  <c r="AF58" i="5"/>
  <c r="AG58" i="5" s="1"/>
  <c r="AF59" i="5"/>
  <c r="AG59" i="5" s="1"/>
  <c r="AF60" i="5"/>
  <c r="AG60" i="5" s="1"/>
  <c r="AF61" i="5"/>
  <c r="AG61" i="5" s="1"/>
  <c r="AF62" i="5"/>
  <c r="AG62" i="5" s="1"/>
  <c r="AF63" i="5"/>
  <c r="AG63" i="5" s="1"/>
  <c r="AF64" i="5"/>
  <c r="AG64" i="5" s="1"/>
  <c r="AF65" i="5"/>
  <c r="AG65" i="5" s="1"/>
  <c r="AF66" i="5"/>
  <c r="AG66" i="5" s="1"/>
  <c r="AF67" i="5"/>
  <c r="AG67" i="5" s="1"/>
  <c r="AF68" i="5"/>
  <c r="AG68" i="5" s="1"/>
  <c r="AF69" i="5"/>
  <c r="AG69" i="5" s="1"/>
  <c r="AF70" i="5"/>
  <c r="AG70" i="5" s="1"/>
  <c r="AF71" i="5"/>
  <c r="AG71" i="5" s="1"/>
  <c r="AF72" i="5"/>
  <c r="AG72" i="5" s="1"/>
  <c r="AF73" i="5"/>
  <c r="AG73" i="5" s="1"/>
  <c r="AF74" i="5"/>
  <c r="AG74" i="5" s="1"/>
  <c r="AF75" i="5"/>
  <c r="AG75" i="5" s="1"/>
  <c r="AF76" i="5"/>
  <c r="AG76" i="5" s="1"/>
  <c r="AF77" i="5"/>
  <c r="AG77" i="5" s="1"/>
  <c r="AF78" i="5"/>
  <c r="AG78" i="5" s="1"/>
  <c r="AF79" i="5"/>
  <c r="AG79" i="5" s="1"/>
  <c r="AF80" i="5"/>
  <c r="AG80" i="5" s="1"/>
  <c r="AF81" i="5"/>
  <c r="AG81" i="5" s="1"/>
  <c r="AF82" i="5"/>
  <c r="AG82" i="5" s="1"/>
  <c r="AF83" i="5"/>
  <c r="AG83" i="5" s="1"/>
  <c r="AF84" i="5"/>
  <c r="AG84" i="5" s="1"/>
  <c r="AF85" i="5"/>
  <c r="AG85" i="5" s="1"/>
  <c r="AF86" i="5"/>
  <c r="AG86" i="5" s="1"/>
  <c r="AF87" i="5"/>
  <c r="AG87" i="5" s="1"/>
  <c r="AF88" i="5"/>
  <c r="AG88" i="5" s="1"/>
  <c r="AF89" i="5"/>
  <c r="AG89" i="5" s="1"/>
  <c r="AF90" i="5"/>
  <c r="AG90" i="5" s="1"/>
  <c r="AF91" i="5"/>
  <c r="AG91" i="5" s="1"/>
  <c r="AF92" i="5"/>
  <c r="AG92" i="5" s="1"/>
  <c r="AF93" i="5"/>
  <c r="AG93" i="5" s="1"/>
  <c r="AF94" i="5"/>
  <c r="AG94" i="5" s="1"/>
  <c r="AF95" i="5"/>
  <c r="AG95" i="5" s="1"/>
  <c r="AF96" i="5"/>
  <c r="AG96" i="5" s="1"/>
  <c r="AF97" i="5"/>
  <c r="AG97" i="5" s="1"/>
  <c r="AF98" i="5"/>
  <c r="AG98" i="5" s="1"/>
  <c r="AF99" i="5"/>
  <c r="AG99" i="5" s="1"/>
  <c r="AF100" i="5"/>
  <c r="AG100" i="5" s="1"/>
  <c r="AF101" i="5"/>
  <c r="AG101" i="5" s="1"/>
  <c r="AF102" i="5"/>
  <c r="AG102" i="5" s="1"/>
  <c r="AF103" i="5"/>
  <c r="AG103" i="5" s="1"/>
  <c r="AF104" i="5"/>
  <c r="AG104" i="5" s="1"/>
  <c r="AF105" i="5"/>
  <c r="AG105" i="5" s="1"/>
  <c r="AF106" i="5"/>
  <c r="AG106" i="5" s="1"/>
  <c r="AF107" i="5"/>
  <c r="AG107" i="5" s="1"/>
  <c r="AF108" i="5"/>
  <c r="AG108" i="5" s="1"/>
  <c r="AF109" i="5"/>
  <c r="AG109" i="5" s="1"/>
  <c r="AF110" i="5"/>
  <c r="AG110" i="5" s="1"/>
  <c r="AF111" i="5"/>
  <c r="AG111" i="5" s="1"/>
  <c r="AF112" i="5"/>
  <c r="AG112" i="5" s="1"/>
  <c r="AF113" i="5"/>
  <c r="AG113" i="5" s="1"/>
  <c r="AF114" i="5"/>
  <c r="AG114" i="5" s="1"/>
  <c r="AF115" i="5"/>
  <c r="AG115" i="5" s="1"/>
  <c r="AF116" i="5"/>
  <c r="AG116" i="5" s="1"/>
  <c r="AF117" i="5"/>
  <c r="AG117" i="5" s="1"/>
  <c r="AF118" i="5"/>
  <c r="AG118" i="5" s="1"/>
  <c r="AF119" i="5"/>
  <c r="AG119" i="5" s="1"/>
  <c r="AF120" i="5"/>
  <c r="AG120" i="5" s="1"/>
  <c r="AF121" i="5"/>
  <c r="AG121" i="5" s="1"/>
  <c r="AF122" i="5"/>
  <c r="AG122" i="5" s="1"/>
  <c r="AF123" i="5"/>
  <c r="AG123" i="5" s="1"/>
  <c r="AF124" i="5"/>
  <c r="AG124" i="5" s="1"/>
  <c r="AF125" i="5"/>
  <c r="AG125" i="5" s="1"/>
  <c r="AF126" i="5"/>
  <c r="AG126" i="5" s="1"/>
  <c r="AF127" i="5"/>
  <c r="AG127" i="5" s="1"/>
  <c r="AF128" i="5"/>
  <c r="AG128" i="5" s="1"/>
  <c r="AF129" i="5"/>
  <c r="AG129" i="5" s="1"/>
  <c r="AF130" i="5"/>
  <c r="AG130" i="5" s="1"/>
  <c r="AF131" i="5"/>
  <c r="AG131" i="5" s="1"/>
  <c r="AF132" i="5"/>
  <c r="AG132" i="5" s="1"/>
  <c r="AF133" i="5"/>
  <c r="AG133" i="5" s="1"/>
  <c r="AF134" i="5"/>
  <c r="AG134" i="5" s="1"/>
  <c r="AF135" i="5"/>
  <c r="AG135" i="5" s="1"/>
  <c r="AF136" i="5"/>
  <c r="AG136" i="5" s="1"/>
  <c r="AF137" i="5"/>
  <c r="AG137" i="5" s="1"/>
  <c r="AF138" i="5"/>
  <c r="AG138" i="5" s="1"/>
  <c r="AF139" i="5"/>
  <c r="AG139" i="5" s="1"/>
  <c r="AF140" i="5"/>
  <c r="AG140" i="5" s="1"/>
  <c r="AF141" i="5"/>
  <c r="AG141" i="5" s="1"/>
  <c r="AF142" i="5"/>
  <c r="AG142" i="5" s="1"/>
  <c r="AF143" i="5"/>
  <c r="AG143" i="5" s="1"/>
  <c r="AF144" i="5"/>
  <c r="AG144" i="5" s="1"/>
  <c r="AF145" i="5"/>
  <c r="AG145" i="5" s="1"/>
  <c r="AF146" i="5"/>
  <c r="AG146" i="5" s="1"/>
  <c r="AF147" i="5"/>
  <c r="AG147" i="5" s="1"/>
  <c r="AF148" i="5"/>
  <c r="AG148" i="5" s="1"/>
  <c r="AF149" i="5"/>
  <c r="AG149" i="5" s="1"/>
  <c r="AF150" i="5"/>
  <c r="AG150" i="5" s="1"/>
  <c r="AF151" i="5"/>
  <c r="AG151" i="5" s="1"/>
  <c r="AF152" i="5"/>
  <c r="AG152" i="5" s="1"/>
  <c r="AF153" i="5"/>
  <c r="AG153" i="5" s="1"/>
  <c r="AF154" i="5"/>
  <c r="AG154" i="5" s="1"/>
  <c r="AF155" i="5"/>
  <c r="AG155" i="5" s="1"/>
  <c r="AF156" i="5"/>
  <c r="AG156" i="5" s="1"/>
  <c r="AF157" i="5"/>
  <c r="AG157" i="5" s="1"/>
  <c r="AF158" i="5"/>
  <c r="AG158" i="5" s="1"/>
  <c r="AF159" i="5"/>
  <c r="AG159" i="5" s="1"/>
  <c r="AF160" i="5"/>
  <c r="AG160" i="5" s="1"/>
  <c r="AF161" i="5"/>
  <c r="AG161" i="5" s="1"/>
  <c r="AF162" i="5"/>
  <c r="AG162" i="5" s="1"/>
  <c r="AF163" i="5"/>
  <c r="AG163" i="5" s="1"/>
  <c r="AF164" i="5"/>
  <c r="AG164" i="5" s="1"/>
  <c r="AF165" i="5"/>
  <c r="AG165" i="5" s="1"/>
  <c r="AF166" i="5"/>
  <c r="AG166" i="5" s="1"/>
  <c r="AF167" i="5"/>
  <c r="AG167" i="5" s="1"/>
  <c r="AF168" i="5"/>
  <c r="AG168" i="5" s="1"/>
  <c r="AF169" i="5"/>
  <c r="AG169" i="5" s="1"/>
  <c r="AF170" i="5"/>
  <c r="AG170" i="5" s="1"/>
  <c r="AF171" i="5"/>
  <c r="AG171" i="5" s="1"/>
  <c r="AF172" i="5"/>
  <c r="AG172" i="5" s="1"/>
  <c r="AF173" i="5"/>
  <c r="AG173" i="5" s="1"/>
  <c r="AF174" i="5"/>
  <c r="AG174" i="5" s="1"/>
  <c r="AF175" i="5"/>
  <c r="AG175" i="5" s="1"/>
  <c r="AF176" i="5"/>
  <c r="AG176" i="5" s="1"/>
  <c r="AF177" i="5"/>
  <c r="AG177" i="5" s="1"/>
  <c r="F426" i="3"/>
  <c r="F427" i="3"/>
  <c r="F428" i="3"/>
  <c r="F476" i="3"/>
  <c r="F460" i="3"/>
  <c r="F393" i="3"/>
  <c r="F358" i="3"/>
  <c r="F340" i="3"/>
  <c r="F308" i="3"/>
  <c r="F281" i="3"/>
  <c r="F280" i="3"/>
  <c r="F278" i="3"/>
  <c r="F254" i="3"/>
  <c r="F255" i="3"/>
  <c r="F250" i="3"/>
  <c r="F246" i="3"/>
  <c r="F39" i="3"/>
  <c r="BN199" i="6"/>
  <c r="BS199" i="6"/>
  <c r="BY199" i="6" s="1"/>
  <c r="AL199" i="6"/>
  <c r="AB199" i="6"/>
  <c r="AA199" i="6"/>
  <c r="P199" i="6"/>
  <c r="BN198" i="6"/>
  <c r="BS198" i="6"/>
  <c r="AL198" i="6"/>
  <c r="AB198" i="6"/>
  <c r="AA198" i="6"/>
  <c r="P198" i="6"/>
  <c r="BN197" i="6"/>
  <c r="BS197" i="6"/>
  <c r="AL197" i="6"/>
  <c r="AP197" i="6" s="1"/>
  <c r="CA197" i="6" s="1"/>
  <c r="AB197" i="6"/>
  <c r="AA197" i="6"/>
  <c r="P197" i="6"/>
  <c r="AO197" i="6"/>
  <c r="BN196" i="6"/>
  <c r="BS196" i="6" s="1"/>
  <c r="AL196" i="6"/>
  <c r="AB196" i="6"/>
  <c r="AA196" i="6"/>
  <c r="P196" i="6"/>
  <c r="BN195" i="6"/>
  <c r="BS195" i="6" s="1"/>
  <c r="BY195" i="6" s="1"/>
  <c r="AL195" i="6"/>
  <c r="AP195" i="6" s="1"/>
  <c r="CA195" i="6" s="1"/>
  <c r="AB195" i="6"/>
  <c r="AA195" i="6"/>
  <c r="P195" i="6"/>
  <c r="AO195" i="6"/>
  <c r="BN194" i="6"/>
  <c r="BS194" i="6"/>
  <c r="AL194" i="6"/>
  <c r="AP194" i="6" s="1"/>
  <c r="CA194" i="6" s="1"/>
  <c r="AB194" i="6"/>
  <c r="AA194" i="6"/>
  <c r="P194" i="6"/>
  <c r="AO194" i="6"/>
  <c r="BN193" i="6"/>
  <c r="BS193" i="6" s="1"/>
  <c r="AL193" i="6"/>
  <c r="AP193" i="6" s="1"/>
  <c r="CA193" i="6" s="1"/>
  <c r="AB193" i="6"/>
  <c r="AA193" i="6"/>
  <c r="P193" i="6"/>
  <c r="AO193" i="6"/>
  <c r="BN192" i="6"/>
  <c r="BS192" i="6" s="1"/>
  <c r="AL192" i="6"/>
  <c r="AP192" i="6" s="1"/>
  <c r="CA192" i="6" s="1"/>
  <c r="AB192" i="6"/>
  <c r="AA192" i="6"/>
  <c r="P192" i="6"/>
  <c r="AO192" i="6"/>
  <c r="BN191" i="6"/>
  <c r="BS191" i="6" s="1"/>
  <c r="AL191" i="6"/>
  <c r="AB191" i="6"/>
  <c r="AA191" i="6"/>
  <c r="P191" i="6"/>
  <c r="BN190" i="6"/>
  <c r="BS190" i="6"/>
  <c r="AL190" i="6"/>
  <c r="AB190" i="6"/>
  <c r="AA190" i="6"/>
  <c r="P190" i="6"/>
  <c r="BN189" i="6"/>
  <c r="BS189" i="6"/>
  <c r="AL189" i="6"/>
  <c r="AP189" i="6" s="1"/>
  <c r="CA189" i="6" s="1"/>
  <c r="AB189" i="6"/>
  <c r="AA189" i="6"/>
  <c r="P189" i="6"/>
  <c r="BN188" i="6"/>
  <c r="BS188" i="6" s="1"/>
  <c r="AL188" i="6"/>
  <c r="AB188" i="6"/>
  <c r="AA188" i="6"/>
  <c r="P188" i="6"/>
  <c r="BN187" i="6"/>
  <c r="BS187" i="6" s="1"/>
  <c r="BY187" i="6" s="1"/>
  <c r="AL187" i="6"/>
  <c r="AP187" i="6" s="1"/>
  <c r="CA187" i="6" s="1"/>
  <c r="AB187" i="6"/>
  <c r="AA187" i="6"/>
  <c r="P187" i="6"/>
  <c r="AO187" i="6"/>
  <c r="BN186" i="6"/>
  <c r="BS186" i="6"/>
  <c r="BY186" i="6" s="1"/>
  <c r="AL186" i="6"/>
  <c r="AP186" i="6"/>
  <c r="CA186" i="6" s="1"/>
  <c r="AB186" i="6"/>
  <c r="AA186" i="6"/>
  <c r="P186" i="6"/>
  <c r="BN185" i="6"/>
  <c r="BS185" i="6"/>
  <c r="AL185" i="6"/>
  <c r="AP185" i="6" s="1"/>
  <c r="CA185" i="6" s="1"/>
  <c r="AB185" i="6"/>
  <c r="AA185" i="6"/>
  <c r="P185" i="6"/>
  <c r="AO185" i="6"/>
  <c r="BN184" i="6"/>
  <c r="BS184" i="6" s="1"/>
  <c r="BY184" i="6"/>
  <c r="AL184" i="6"/>
  <c r="AP184" i="6"/>
  <c r="CA184" i="6" s="1"/>
  <c r="AB184" i="6"/>
  <c r="AA184" i="6"/>
  <c r="P184" i="6"/>
  <c r="AO184" i="6"/>
  <c r="BN183" i="6"/>
  <c r="BS183" i="6"/>
  <c r="AL183" i="6"/>
  <c r="AB183" i="6"/>
  <c r="AA183" i="6"/>
  <c r="P183" i="6"/>
  <c r="BN182" i="6"/>
  <c r="BS182" i="6"/>
  <c r="BY182" i="6" s="1"/>
  <c r="AL182" i="6"/>
  <c r="AP182" i="6" s="1"/>
  <c r="CA182" i="6" s="1"/>
  <c r="AB182" i="6"/>
  <c r="AA182" i="6"/>
  <c r="P182" i="6"/>
  <c r="BN181" i="6"/>
  <c r="BS181" i="6" s="1"/>
  <c r="AL181" i="6"/>
  <c r="AP181" i="6" s="1"/>
  <c r="CA181" i="6" s="1"/>
  <c r="AB181" i="6"/>
  <c r="AA181" i="6"/>
  <c r="P181" i="6"/>
  <c r="BN180" i="6"/>
  <c r="BS180" i="6"/>
  <c r="BY180" i="6"/>
  <c r="AL180" i="6"/>
  <c r="AP180" i="6" s="1"/>
  <c r="CA180" i="6" s="1"/>
  <c r="AB180" i="6"/>
  <c r="AA180" i="6"/>
  <c r="P180" i="6"/>
  <c r="BN179" i="6"/>
  <c r="BS179" i="6" s="1"/>
  <c r="AL179" i="6"/>
  <c r="AP179" i="6"/>
  <c r="AB179" i="6"/>
  <c r="AA179" i="6"/>
  <c r="P179" i="6"/>
  <c r="BN178" i="6"/>
  <c r="BS178" i="6"/>
  <c r="AL178" i="6"/>
  <c r="AP178" i="6"/>
  <c r="CA178" i="6" s="1"/>
  <c r="AB178" i="6"/>
  <c r="AA178" i="6"/>
  <c r="P178" i="6"/>
  <c r="BN177" i="6"/>
  <c r="BS177" i="6" s="1"/>
  <c r="BY177" i="6" s="1"/>
  <c r="AL177" i="6"/>
  <c r="AP177" i="6"/>
  <c r="CA177" i="6" s="1"/>
  <c r="AB177" i="6"/>
  <c r="AA177" i="6"/>
  <c r="P177" i="6"/>
  <c r="BN176" i="6"/>
  <c r="BS176" i="6" s="1"/>
  <c r="AL176" i="6"/>
  <c r="AP176" i="6"/>
  <c r="AB176" i="6"/>
  <c r="AA176" i="6"/>
  <c r="P176" i="6"/>
  <c r="AO176" i="6" s="1"/>
  <c r="BN175" i="6"/>
  <c r="BS175" i="6"/>
  <c r="AL175" i="6"/>
  <c r="AP175" i="6" s="1"/>
  <c r="CA175" i="6" s="1"/>
  <c r="AB175" i="6"/>
  <c r="AA175" i="6"/>
  <c r="P175" i="6"/>
  <c r="AO175" i="6" s="1"/>
  <c r="BN174" i="6"/>
  <c r="BS174" i="6" s="1"/>
  <c r="AL174" i="6"/>
  <c r="AP174" i="6" s="1"/>
  <c r="CA174" i="6" s="1"/>
  <c r="AB174" i="6"/>
  <c r="AA174" i="6"/>
  <c r="P174" i="6"/>
  <c r="BN173" i="6"/>
  <c r="BS173" i="6"/>
  <c r="BY173" i="6" s="1"/>
  <c r="AL173" i="6"/>
  <c r="AP173" i="6"/>
  <c r="AB173" i="6"/>
  <c r="AA173" i="6"/>
  <c r="P173" i="6"/>
  <c r="AO173" i="6" s="1"/>
  <c r="BN172" i="6"/>
  <c r="BS172" i="6" s="1"/>
  <c r="AL172" i="6"/>
  <c r="AP172" i="6" s="1"/>
  <c r="AB172" i="6"/>
  <c r="AA172" i="6"/>
  <c r="P172" i="6"/>
  <c r="BN171" i="6"/>
  <c r="BS171" i="6"/>
  <c r="BY171" i="6" s="1"/>
  <c r="AL171" i="6"/>
  <c r="AP171" i="6" s="1"/>
  <c r="CA171" i="6" s="1"/>
  <c r="AB171" i="6"/>
  <c r="AA171" i="6"/>
  <c r="P171" i="6"/>
  <c r="BN170" i="6"/>
  <c r="BS170" i="6"/>
  <c r="BY170" i="6" s="1"/>
  <c r="AL170" i="6"/>
  <c r="AP170" i="6" s="1"/>
  <c r="CA170" i="6" s="1"/>
  <c r="AB170" i="6"/>
  <c r="AA170" i="6"/>
  <c r="P170" i="6"/>
  <c r="BN169" i="6"/>
  <c r="BS169" i="6" s="1"/>
  <c r="AL169" i="6"/>
  <c r="AP169" i="6"/>
  <c r="CA169" i="6" s="1"/>
  <c r="AB169" i="6"/>
  <c r="AA169" i="6"/>
  <c r="P169" i="6"/>
  <c r="BN168" i="6"/>
  <c r="BS168" i="6" s="1"/>
  <c r="AL168" i="6"/>
  <c r="AP168" i="6"/>
  <c r="CA168" i="6" s="1"/>
  <c r="AB168" i="6"/>
  <c r="AA168" i="6"/>
  <c r="P168" i="6"/>
  <c r="AO168" i="6" s="1"/>
  <c r="BN167" i="6"/>
  <c r="BS167" i="6"/>
  <c r="BY167" i="6" s="1"/>
  <c r="AL167" i="6"/>
  <c r="AP167" i="6" s="1"/>
  <c r="CA167" i="6" s="1"/>
  <c r="AB167" i="6"/>
  <c r="AA167" i="6"/>
  <c r="P167" i="6"/>
  <c r="AO167" i="6" s="1"/>
  <c r="BN166" i="6"/>
  <c r="BS166" i="6" s="1"/>
  <c r="BY166" i="6" s="1"/>
  <c r="AL166" i="6"/>
  <c r="AP166" i="6" s="1"/>
  <c r="CA166" i="6" s="1"/>
  <c r="AB166" i="6"/>
  <c r="AA166" i="6"/>
  <c r="P166" i="6"/>
  <c r="BN165" i="6"/>
  <c r="BS165" i="6"/>
  <c r="AL165" i="6"/>
  <c r="AP165" i="6"/>
  <c r="CA165" i="6" s="1"/>
  <c r="AB165" i="6"/>
  <c r="AA165" i="6"/>
  <c r="P165" i="6"/>
  <c r="AO165" i="6" s="1"/>
  <c r="BN164" i="6"/>
  <c r="BS164" i="6" s="1"/>
  <c r="AL164" i="6"/>
  <c r="AP164" i="6" s="1"/>
  <c r="AB164" i="6"/>
  <c r="AA164" i="6"/>
  <c r="P164" i="6"/>
  <c r="BN163" i="6"/>
  <c r="BS163" i="6"/>
  <c r="AL163" i="6"/>
  <c r="AP163" i="6" s="1"/>
  <c r="CA163" i="6" s="1"/>
  <c r="AB163" i="6"/>
  <c r="AA163" i="6"/>
  <c r="P163" i="6"/>
  <c r="BN162" i="6"/>
  <c r="BS162" i="6"/>
  <c r="AL162" i="6"/>
  <c r="AP162" i="6"/>
  <c r="AB162" i="6"/>
  <c r="AA162" i="6"/>
  <c r="P162" i="6"/>
  <c r="AO162" i="6" s="1"/>
  <c r="BN161" i="6"/>
  <c r="BS161" i="6" s="1"/>
  <c r="AL161" i="6"/>
  <c r="AB161" i="6"/>
  <c r="AA161" i="6"/>
  <c r="P161" i="6"/>
  <c r="BN160" i="6"/>
  <c r="BS160" i="6"/>
  <c r="BY160" i="6" s="1"/>
  <c r="AL160" i="6"/>
  <c r="AP160" i="6"/>
  <c r="AB160" i="6"/>
  <c r="AA160" i="6"/>
  <c r="P160" i="6"/>
  <c r="BN159" i="6"/>
  <c r="BS159" i="6" s="1"/>
  <c r="BY159" i="6" s="1"/>
  <c r="AL159" i="6"/>
  <c r="AP159" i="6" s="1"/>
  <c r="CA159" i="6" s="1"/>
  <c r="AB159" i="6"/>
  <c r="AA159" i="6"/>
  <c r="P159" i="6"/>
  <c r="BN158" i="6"/>
  <c r="BS158" i="6" s="1"/>
  <c r="BY158" i="6" s="1"/>
  <c r="AL158" i="6"/>
  <c r="AB158" i="6"/>
  <c r="AA158" i="6"/>
  <c r="P158" i="6"/>
  <c r="BN157" i="6"/>
  <c r="BS157" i="6"/>
  <c r="AL157" i="6"/>
  <c r="AP157" i="6" s="1"/>
  <c r="CA157" i="6" s="1"/>
  <c r="AB157" i="6"/>
  <c r="AA157" i="6"/>
  <c r="P157" i="6"/>
  <c r="BN156" i="6"/>
  <c r="BS156" i="6" s="1"/>
  <c r="AL156" i="6"/>
  <c r="AP156" i="6" s="1"/>
  <c r="CA156" i="6" s="1"/>
  <c r="AB156" i="6"/>
  <c r="AA156" i="6"/>
  <c r="P156" i="6"/>
  <c r="BN155" i="6"/>
  <c r="BS155" i="6" s="1"/>
  <c r="AL155" i="6"/>
  <c r="AB155" i="6"/>
  <c r="AA155" i="6"/>
  <c r="P155" i="6"/>
  <c r="BN154" i="6"/>
  <c r="BS154" i="6" s="1"/>
  <c r="AL154" i="6"/>
  <c r="AP154" i="6"/>
  <c r="AB154" i="6"/>
  <c r="AA154" i="6"/>
  <c r="P154" i="6"/>
  <c r="AO154" i="6" s="1"/>
  <c r="BU154" i="6" s="1"/>
  <c r="BX154" i="6" s="1"/>
  <c r="BN153" i="6"/>
  <c r="BS153" i="6" s="1"/>
  <c r="AL153" i="6"/>
  <c r="AP153" i="6"/>
  <c r="CA153" i="6" s="1"/>
  <c r="AB153" i="6"/>
  <c r="AA153" i="6"/>
  <c r="P153" i="6"/>
  <c r="AO153" i="6"/>
  <c r="BN152" i="6"/>
  <c r="BS152" i="6" s="1"/>
  <c r="AL152" i="6"/>
  <c r="AB152" i="6"/>
  <c r="AA152" i="6"/>
  <c r="P152" i="6"/>
  <c r="BN151" i="6"/>
  <c r="BS151" i="6"/>
  <c r="AL151" i="6"/>
  <c r="AP151" i="6" s="1"/>
  <c r="CA151" i="6" s="1"/>
  <c r="AB151" i="6"/>
  <c r="AA151" i="6"/>
  <c r="P151" i="6"/>
  <c r="AO151" i="6" s="1"/>
  <c r="BN150" i="6"/>
  <c r="BS150" i="6" s="1"/>
  <c r="BY150" i="6" s="1"/>
  <c r="AL150" i="6"/>
  <c r="AP150" i="6" s="1"/>
  <c r="AB150" i="6"/>
  <c r="AA150" i="6"/>
  <c r="P150" i="6"/>
  <c r="AO150" i="6" s="1"/>
  <c r="BU150" i="6" s="1"/>
  <c r="BX150" i="6" s="1"/>
  <c r="BN149" i="6"/>
  <c r="BS149" i="6" s="1"/>
  <c r="BY149" i="6" s="1"/>
  <c r="AL149" i="6"/>
  <c r="AP149" i="6" s="1"/>
  <c r="CA149" i="6" s="1"/>
  <c r="AB149" i="6"/>
  <c r="AA149" i="6"/>
  <c r="P149" i="6"/>
  <c r="BN148" i="6"/>
  <c r="BS148" i="6"/>
  <c r="AL148" i="6"/>
  <c r="AP148" i="6" s="1"/>
  <c r="CA148" i="6" s="1"/>
  <c r="AB148" i="6"/>
  <c r="AA148" i="6"/>
  <c r="P148" i="6"/>
  <c r="BN147" i="6"/>
  <c r="BS147" i="6"/>
  <c r="AL147" i="6"/>
  <c r="AP147" i="6"/>
  <c r="CA147" i="6" s="1"/>
  <c r="AB147" i="6"/>
  <c r="AA147" i="6"/>
  <c r="P147" i="6"/>
  <c r="AO147" i="6" s="1"/>
  <c r="BN146" i="6"/>
  <c r="BS146" i="6"/>
  <c r="AL146" i="6"/>
  <c r="AP146" i="6" s="1"/>
  <c r="CA146" i="6" s="1"/>
  <c r="AB146" i="6"/>
  <c r="AA146" i="6"/>
  <c r="P146" i="6"/>
  <c r="BN145" i="6"/>
  <c r="BS145" i="6" s="1"/>
  <c r="AL145" i="6"/>
  <c r="AP145" i="6"/>
  <c r="CA145" i="6" s="1"/>
  <c r="AB145" i="6"/>
  <c r="AA145" i="6"/>
  <c r="P145" i="6"/>
  <c r="BN144" i="6"/>
  <c r="BS144" i="6" s="1"/>
  <c r="AL144" i="6"/>
  <c r="AP144" i="6" s="1"/>
  <c r="CA144" i="6" s="1"/>
  <c r="AB144" i="6"/>
  <c r="AA144" i="6"/>
  <c r="P144" i="6"/>
  <c r="AO144" i="6"/>
  <c r="BN143" i="6"/>
  <c r="BS143" i="6"/>
  <c r="AL143" i="6"/>
  <c r="AB143" i="6"/>
  <c r="AA143" i="6"/>
  <c r="P143" i="6"/>
  <c r="AO143" i="6" s="1"/>
  <c r="BU143" i="6" s="1"/>
  <c r="BX143" i="6" s="1"/>
  <c r="BN142" i="6"/>
  <c r="BS142" i="6"/>
  <c r="AL142" i="6"/>
  <c r="AP142" i="6"/>
  <c r="CA142" i="6" s="1"/>
  <c r="AB142" i="6"/>
  <c r="AA142" i="6"/>
  <c r="P142" i="6"/>
  <c r="AO142" i="6" s="1"/>
  <c r="BU142" i="6" s="1"/>
  <c r="BX142" i="6" s="1"/>
  <c r="BN141" i="6"/>
  <c r="BS141" i="6" s="1"/>
  <c r="AL141" i="6"/>
  <c r="AP141" i="6" s="1"/>
  <c r="AB141" i="6"/>
  <c r="AA141" i="6"/>
  <c r="P141" i="6"/>
  <c r="AO141" i="6"/>
  <c r="BN140" i="6"/>
  <c r="BS140" i="6"/>
  <c r="BY140" i="6" s="1"/>
  <c r="AL140" i="6"/>
  <c r="AB140" i="6"/>
  <c r="AA140" i="6"/>
  <c r="P140" i="6"/>
  <c r="BN139" i="6"/>
  <c r="BS139" i="6"/>
  <c r="BY139" i="6" s="1"/>
  <c r="AL139" i="6"/>
  <c r="AP139" i="6"/>
  <c r="CA139" i="6" s="1"/>
  <c r="AB139" i="6"/>
  <c r="AA139" i="6"/>
  <c r="P139" i="6"/>
  <c r="AO139" i="6" s="1"/>
  <c r="BU139" i="6" s="1"/>
  <c r="BX139" i="6" s="1"/>
  <c r="BN138" i="6"/>
  <c r="BS138" i="6" s="1"/>
  <c r="AL138" i="6"/>
  <c r="AP138" i="6"/>
  <c r="CA138" i="6" s="1"/>
  <c r="AB138" i="6"/>
  <c r="AA138" i="6"/>
  <c r="P138" i="6"/>
  <c r="AO138" i="6" s="1"/>
  <c r="BN137" i="6"/>
  <c r="BS137" i="6" s="1"/>
  <c r="AL137" i="6"/>
  <c r="AB137" i="6"/>
  <c r="AA137" i="6"/>
  <c r="P137" i="6"/>
  <c r="BN136" i="6"/>
  <c r="BS136" i="6"/>
  <c r="AL136" i="6"/>
  <c r="AP136" i="6" s="1"/>
  <c r="CA136" i="6" s="1"/>
  <c r="AB136" i="6"/>
  <c r="AA136" i="6"/>
  <c r="P136" i="6"/>
  <c r="BN135" i="6"/>
  <c r="BS135" i="6" s="1"/>
  <c r="AL135" i="6"/>
  <c r="AP135" i="6"/>
  <c r="CA135" i="6" s="1"/>
  <c r="AB135" i="6"/>
  <c r="AA135" i="6"/>
  <c r="P135" i="6"/>
  <c r="AO135" i="6" s="1"/>
  <c r="BN134" i="6"/>
  <c r="BS134" i="6"/>
  <c r="AL134" i="6"/>
  <c r="AB134" i="6"/>
  <c r="AA134" i="6"/>
  <c r="P134" i="6"/>
  <c r="BN133" i="6"/>
  <c r="BS133" i="6" s="1"/>
  <c r="AL133" i="6"/>
  <c r="AP133" i="6" s="1"/>
  <c r="CA133" i="6" s="1"/>
  <c r="AB133" i="6"/>
  <c r="AA133" i="6"/>
  <c r="P133" i="6"/>
  <c r="BN132" i="6"/>
  <c r="BS132" i="6" s="1"/>
  <c r="AL132" i="6"/>
  <c r="AP132" i="6"/>
  <c r="CA132" i="6" s="1"/>
  <c r="AB132" i="6"/>
  <c r="AA132" i="6"/>
  <c r="P132" i="6"/>
  <c r="AO132" i="6" s="1"/>
  <c r="BN131" i="6"/>
  <c r="BS131" i="6"/>
  <c r="BY131" i="6" s="1"/>
  <c r="AL131" i="6"/>
  <c r="AB131" i="6"/>
  <c r="AA131" i="6"/>
  <c r="P131" i="6"/>
  <c r="BN130" i="6"/>
  <c r="BS130" i="6" s="1"/>
  <c r="BY130" i="6"/>
  <c r="AL130" i="6"/>
  <c r="AP130" i="6"/>
  <c r="AB130" i="6"/>
  <c r="AA130" i="6"/>
  <c r="P130" i="6"/>
  <c r="AO130" i="6" s="1"/>
  <c r="BN129" i="6"/>
  <c r="BS129" i="6" s="1"/>
  <c r="AL129" i="6"/>
  <c r="AP129" i="6"/>
  <c r="CA129" i="6" s="1"/>
  <c r="AB129" i="6"/>
  <c r="AA129" i="6"/>
  <c r="P129" i="6"/>
  <c r="AO129" i="6"/>
  <c r="BN128" i="6"/>
  <c r="BS128" i="6" s="1"/>
  <c r="BY128" i="6" s="1"/>
  <c r="AL128" i="6"/>
  <c r="AP128" i="6" s="1"/>
  <c r="AB128" i="6"/>
  <c r="AA128" i="6"/>
  <c r="P128" i="6"/>
  <c r="AO128" i="6" s="1"/>
  <c r="BN127" i="6"/>
  <c r="BS127" i="6" s="1"/>
  <c r="AL127" i="6"/>
  <c r="AP127" i="6"/>
  <c r="CA127" i="6" s="1"/>
  <c r="AB127" i="6"/>
  <c r="AA127" i="6"/>
  <c r="P127" i="6"/>
  <c r="AO127" i="6" s="1"/>
  <c r="BU127" i="6" s="1"/>
  <c r="BX127" i="6" s="1"/>
  <c r="BN126" i="6"/>
  <c r="BS126" i="6" s="1"/>
  <c r="BY126" i="6" s="1"/>
  <c r="AL126" i="6"/>
  <c r="AP126" i="6"/>
  <c r="CA126" i="6" s="1"/>
  <c r="BV126" i="6"/>
  <c r="AB126" i="6"/>
  <c r="AA126" i="6"/>
  <c r="P126" i="6"/>
  <c r="AO126" i="6" s="1"/>
  <c r="BN125" i="6"/>
  <c r="BS125" i="6" s="1"/>
  <c r="AL125" i="6"/>
  <c r="AP125" i="6" s="1"/>
  <c r="CA125" i="6" s="1"/>
  <c r="AB125" i="6"/>
  <c r="AA125" i="6"/>
  <c r="P125" i="6"/>
  <c r="BN124" i="6"/>
  <c r="BS124" i="6"/>
  <c r="BY124" i="6"/>
  <c r="AL124" i="6"/>
  <c r="AP124" i="6"/>
  <c r="AB124" i="6"/>
  <c r="AA124" i="6"/>
  <c r="P124" i="6"/>
  <c r="AO124" i="6"/>
  <c r="BN123" i="6"/>
  <c r="BS123" i="6"/>
  <c r="BY123" i="6" s="1"/>
  <c r="AL123" i="6"/>
  <c r="AP123" i="6" s="1"/>
  <c r="CA123" i="6" s="1"/>
  <c r="AB123" i="6"/>
  <c r="AA123" i="6"/>
  <c r="P123" i="6"/>
  <c r="AO123" i="6" s="1"/>
  <c r="BN122" i="6"/>
  <c r="BS122" i="6"/>
  <c r="BY122" i="6" s="1"/>
  <c r="AL122" i="6"/>
  <c r="AP122" i="6" s="1"/>
  <c r="AB122" i="6"/>
  <c r="AA122" i="6"/>
  <c r="P122" i="6"/>
  <c r="AO122" i="6"/>
  <c r="BN121" i="6"/>
  <c r="BS121" i="6" s="1"/>
  <c r="AL121" i="6"/>
  <c r="AP121" i="6" s="1"/>
  <c r="CA121" i="6" s="1"/>
  <c r="AB121" i="6"/>
  <c r="AA121" i="6"/>
  <c r="P121" i="6"/>
  <c r="AO121" i="6"/>
  <c r="BU121" i="6" s="1"/>
  <c r="BX121" i="6" s="1"/>
  <c r="BN120" i="6"/>
  <c r="BS120" i="6" s="1"/>
  <c r="BY120" i="6" s="1"/>
  <c r="AL120" i="6"/>
  <c r="AP120" i="6" s="1"/>
  <c r="CA120" i="6" s="1"/>
  <c r="AB120" i="6"/>
  <c r="AA120" i="6"/>
  <c r="P120" i="6"/>
  <c r="AO120" i="6" s="1"/>
  <c r="BU120" i="6" s="1"/>
  <c r="BX120" i="6" s="1"/>
  <c r="BN119" i="6"/>
  <c r="BS119" i="6" s="1"/>
  <c r="AL119" i="6"/>
  <c r="AP119" i="6"/>
  <c r="CA119" i="6" s="1"/>
  <c r="AB119" i="6"/>
  <c r="AA119" i="6"/>
  <c r="P119" i="6"/>
  <c r="AO119" i="6"/>
  <c r="BU119" i="6" s="1"/>
  <c r="BX119" i="6" s="1"/>
  <c r="BN118" i="6"/>
  <c r="BS118" i="6" s="1"/>
  <c r="AL118" i="6"/>
  <c r="AP118" i="6" s="1"/>
  <c r="CA118" i="6" s="1"/>
  <c r="AB118" i="6"/>
  <c r="AA118" i="6"/>
  <c r="P118" i="6"/>
  <c r="AO118" i="6"/>
  <c r="BN117" i="6"/>
  <c r="BS117" i="6" s="1"/>
  <c r="AL117" i="6"/>
  <c r="AP117" i="6" s="1"/>
  <c r="CA117" i="6" s="1"/>
  <c r="AB117" i="6"/>
  <c r="AA117" i="6"/>
  <c r="P117" i="6"/>
  <c r="BN116" i="6"/>
  <c r="BS116" i="6" s="1"/>
  <c r="AL116" i="6"/>
  <c r="AP116" i="6"/>
  <c r="CA116" i="6" s="1"/>
  <c r="AB116" i="6"/>
  <c r="AA116" i="6"/>
  <c r="P116" i="6"/>
  <c r="BN115" i="6"/>
  <c r="BS115" i="6" s="1"/>
  <c r="AL115" i="6"/>
  <c r="AP115" i="6"/>
  <c r="CA115" i="6" s="1"/>
  <c r="AB115" i="6"/>
  <c r="AA115" i="6"/>
  <c r="P115" i="6"/>
  <c r="BN114" i="6"/>
  <c r="BS114" i="6" s="1"/>
  <c r="AL114" i="6"/>
  <c r="AP114" i="6"/>
  <c r="AB114" i="6"/>
  <c r="AA114" i="6"/>
  <c r="P114" i="6"/>
  <c r="AO114" i="6" s="1"/>
  <c r="BN113" i="6"/>
  <c r="BS113" i="6" s="1"/>
  <c r="BY113" i="6" s="1"/>
  <c r="AL113" i="6"/>
  <c r="AP113" i="6" s="1"/>
  <c r="CA113" i="6" s="1"/>
  <c r="AB113" i="6"/>
  <c r="AA113" i="6"/>
  <c r="P113" i="6"/>
  <c r="AO113" i="6"/>
  <c r="BN112" i="6"/>
  <c r="BS112" i="6" s="1"/>
  <c r="AL112" i="6"/>
  <c r="AP112" i="6" s="1"/>
  <c r="CA112" i="6" s="1"/>
  <c r="AB112" i="6"/>
  <c r="AA112" i="6"/>
  <c r="P112" i="6"/>
  <c r="AO112" i="6"/>
  <c r="BU112" i="6" s="1"/>
  <c r="BX112" i="6" s="1"/>
  <c r="BN111" i="6"/>
  <c r="BS111" i="6" s="1"/>
  <c r="AL111" i="6"/>
  <c r="AP111" i="6"/>
  <c r="CA111" i="6" s="1"/>
  <c r="AB111" i="6"/>
  <c r="AA111" i="6"/>
  <c r="P111" i="6"/>
  <c r="AO111" i="6"/>
  <c r="BN110" i="6"/>
  <c r="BS110" i="6" s="1"/>
  <c r="BY110" i="6" s="1"/>
  <c r="AL110" i="6"/>
  <c r="AP110" i="6" s="1"/>
  <c r="CA110" i="6" s="1"/>
  <c r="AB110" i="6"/>
  <c r="AA110" i="6"/>
  <c r="P110" i="6"/>
  <c r="AO110" i="6"/>
  <c r="BN109" i="6"/>
  <c r="BS109" i="6" s="1"/>
  <c r="AL109" i="6"/>
  <c r="AP109" i="6"/>
  <c r="AB109" i="6"/>
  <c r="AA109" i="6"/>
  <c r="P109" i="6"/>
  <c r="AO109" i="6" s="1"/>
  <c r="BN108" i="6"/>
  <c r="BS108" i="6" s="1"/>
  <c r="AL108" i="6"/>
  <c r="AP108" i="6" s="1"/>
  <c r="CA108" i="6" s="1"/>
  <c r="AB108" i="6"/>
  <c r="AA108" i="6"/>
  <c r="P108" i="6"/>
  <c r="BN107" i="6"/>
  <c r="BS107" i="6" s="1"/>
  <c r="AL107" i="6"/>
  <c r="AP107" i="6"/>
  <c r="CA107" i="6" s="1"/>
  <c r="AB107" i="6"/>
  <c r="AA107" i="6"/>
  <c r="P107" i="6"/>
  <c r="AO107" i="6"/>
  <c r="BU107" i="6" s="1"/>
  <c r="BX107" i="6" s="1"/>
  <c r="BN106" i="6"/>
  <c r="BS106" i="6" s="1"/>
  <c r="AL106" i="6"/>
  <c r="AP106" i="6"/>
  <c r="CA106" i="6" s="1"/>
  <c r="AB106" i="6"/>
  <c r="AA106" i="6"/>
  <c r="P106" i="6"/>
  <c r="AO106" i="6" s="1"/>
  <c r="BN105" i="6"/>
  <c r="BS105" i="6" s="1"/>
  <c r="AL105" i="6"/>
  <c r="AP105" i="6" s="1"/>
  <c r="CA105" i="6" s="1"/>
  <c r="AB105" i="6"/>
  <c r="AA105" i="6"/>
  <c r="P105" i="6"/>
  <c r="AO105" i="6"/>
  <c r="BN104" i="6"/>
  <c r="BS104" i="6" s="1"/>
  <c r="AL104" i="6"/>
  <c r="AP104" i="6" s="1"/>
  <c r="CA104" i="6" s="1"/>
  <c r="AB104" i="6"/>
  <c r="AA104" i="6"/>
  <c r="P104" i="6"/>
  <c r="AO104" i="6"/>
  <c r="BU104" i="6" s="1"/>
  <c r="BX104" i="6" s="1"/>
  <c r="BN103" i="6"/>
  <c r="BS103" i="6" s="1"/>
  <c r="AL103" i="6"/>
  <c r="AP103" i="6"/>
  <c r="CA103" i="6" s="1"/>
  <c r="AB103" i="6"/>
  <c r="AA103" i="6"/>
  <c r="P103" i="6"/>
  <c r="AO103" i="6" s="1"/>
  <c r="BU103" i="6" s="1"/>
  <c r="BX103" i="6" s="1"/>
  <c r="BN102" i="6"/>
  <c r="BS102" i="6" s="1"/>
  <c r="AL102" i="6"/>
  <c r="AP102" i="6"/>
  <c r="CA102" i="6" s="1"/>
  <c r="AB102" i="6"/>
  <c r="AA102" i="6"/>
  <c r="P102" i="6"/>
  <c r="AO102" i="6" s="1"/>
  <c r="BN101" i="6"/>
  <c r="BS101" i="6" s="1"/>
  <c r="AL101" i="6"/>
  <c r="AP101" i="6"/>
  <c r="CA101" i="6" s="1"/>
  <c r="AB101" i="6"/>
  <c r="AA101" i="6"/>
  <c r="P101" i="6"/>
  <c r="AO101" i="6" s="1"/>
  <c r="BN100" i="6"/>
  <c r="BS100" i="6" s="1"/>
  <c r="AL100" i="6"/>
  <c r="AP100" i="6"/>
  <c r="CA100" i="6" s="1"/>
  <c r="AB100" i="6"/>
  <c r="AA100" i="6"/>
  <c r="P100" i="6"/>
  <c r="AO100" i="6" s="1"/>
  <c r="BN99" i="6"/>
  <c r="BS99" i="6" s="1"/>
  <c r="AL99" i="6"/>
  <c r="AP99" i="6"/>
  <c r="CA99" i="6" s="1"/>
  <c r="AB99" i="6"/>
  <c r="AA99" i="6"/>
  <c r="P99" i="6"/>
  <c r="AO99" i="6" s="1"/>
  <c r="BN98" i="6"/>
  <c r="BS98" i="6" s="1"/>
  <c r="AL98" i="6"/>
  <c r="AP98" i="6"/>
  <c r="AB98" i="6"/>
  <c r="AA98" i="6"/>
  <c r="P98" i="6"/>
  <c r="AO98" i="6" s="1"/>
  <c r="BN97" i="6"/>
  <c r="BS97" i="6" s="1"/>
  <c r="AL97" i="6"/>
  <c r="AP97" i="6"/>
  <c r="AB97" i="6"/>
  <c r="AA97" i="6"/>
  <c r="P97" i="6"/>
  <c r="AO97" i="6" s="1"/>
  <c r="BN96" i="6"/>
  <c r="BS96" i="6" s="1"/>
  <c r="AL96" i="6"/>
  <c r="AP96" i="6"/>
  <c r="CA96" i="6" s="1"/>
  <c r="AB96" i="6"/>
  <c r="AA96" i="6"/>
  <c r="P96" i="6"/>
  <c r="AO96" i="6" s="1"/>
  <c r="BN95" i="6"/>
  <c r="BS95" i="6" s="1"/>
  <c r="AL95" i="6"/>
  <c r="AP95" i="6"/>
  <c r="CA95" i="6" s="1"/>
  <c r="AB95" i="6"/>
  <c r="AA95" i="6"/>
  <c r="P95" i="6"/>
  <c r="AO95" i="6" s="1"/>
  <c r="BN94" i="6"/>
  <c r="BS94" i="6" s="1"/>
  <c r="AL94" i="6"/>
  <c r="AP94" i="6"/>
  <c r="CA94" i="6" s="1"/>
  <c r="AB94" i="6"/>
  <c r="AA94" i="6"/>
  <c r="P94" i="6"/>
  <c r="AO94" i="6" s="1"/>
  <c r="BN93" i="6"/>
  <c r="BS93" i="6" s="1"/>
  <c r="AL93" i="6"/>
  <c r="AP93" i="6"/>
  <c r="CA93" i="6" s="1"/>
  <c r="AB93" i="6"/>
  <c r="AA93" i="6"/>
  <c r="P93" i="6"/>
  <c r="AO93" i="6" s="1"/>
  <c r="BN92" i="6"/>
  <c r="BS92" i="6" s="1"/>
  <c r="AL92" i="6"/>
  <c r="AP92" i="6"/>
  <c r="CA92" i="6" s="1"/>
  <c r="AB92" i="6"/>
  <c r="AA92" i="6"/>
  <c r="P92" i="6"/>
  <c r="AO92" i="6" s="1"/>
  <c r="BN91" i="6"/>
  <c r="BS91" i="6" s="1"/>
  <c r="AL91" i="6"/>
  <c r="AP91" i="6"/>
  <c r="AB91" i="6"/>
  <c r="AA91" i="6"/>
  <c r="P91" i="6"/>
  <c r="AO91" i="6" s="1"/>
  <c r="BN90" i="6"/>
  <c r="BS90" i="6" s="1"/>
  <c r="AL90" i="6"/>
  <c r="AP90" i="6"/>
  <c r="CA90" i="6" s="1"/>
  <c r="AB90" i="6"/>
  <c r="AA90" i="6"/>
  <c r="P90" i="6"/>
  <c r="AO90" i="6" s="1"/>
  <c r="BN89" i="6"/>
  <c r="BS89" i="6" s="1"/>
  <c r="AL89" i="6"/>
  <c r="AP89" i="6"/>
  <c r="AB89" i="6"/>
  <c r="AA89" i="6"/>
  <c r="P89" i="6"/>
  <c r="AO89" i="6" s="1"/>
  <c r="BN88" i="6"/>
  <c r="BS88" i="6" s="1"/>
  <c r="AL88" i="6"/>
  <c r="AP88" i="6"/>
  <c r="AB88" i="6"/>
  <c r="AA88" i="6"/>
  <c r="P88" i="6"/>
  <c r="AO88" i="6" s="1"/>
  <c r="BN87" i="6"/>
  <c r="BS87" i="6" s="1"/>
  <c r="AL87" i="6"/>
  <c r="AP87" i="6"/>
  <c r="CA87" i="6" s="1"/>
  <c r="AB87" i="6"/>
  <c r="AA87" i="6"/>
  <c r="P87" i="6"/>
  <c r="AO87" i="6" s="1"/>
  <c r="BN86" i="6"/>
  <c r="BS86" i="6" s="1"/>
  <c r="AL86" i="6"/>
  <c r="AP86" i="6"/>
  <c r="CA86" i="6" s="1"/>
  <c r="AB86" i="6"/>
  <c r="AA86" i="6"/>
  <c r="P86" i="6"/>
  <c r="AO86" i="6" s="1"/>
  <c r="BN85" i="6"/>
  <c r="BS85" i="6" s="1"/>
  <c r="AL85" i="6"/>
  <c r="AP85" i="6"/>
  <c r="AB85" i="6"/>
  <c r="AA85" i="6"/>
  <c r="P85" i="6"/>
  <c r="AO85" i="6" s="1"/>
  <c r="BN84" i="6"/>
  <c r="BS84" i="6" s="1"/>
  <c r="AL84" i="6"/>
  <c r="AP84" i="6"/>
  <c r="CA84" i="6" s="1"/>
  <c r="AB84" i="6"/>
  <c r="AA84" i="6"/>
  <c r="P84" i="6"/>
  <c r="AO84" i="6" s="1"/>
  <c r="BN83" i="6"/>
  <c r="BS83" i="6" s="1"/>
  <c r="AL83" i="6"/>
  <c r="AP83" i="6"/>
  <c r="CA83" i="6" s="1"/>
  <c r="AB83" i="6"/>
  <c r="AA83" i="6"/>
  <c r="P83" i="6"/>
  <c r="AO83" i="6" s="1"/>
  <c r="BN82" i="6"/>
  <c r="BS82" i="6" s="1"/>
  <c r="AL82" i="6"/>
  <c r="AP82" i="6"/>
  <c r="AB82" i="6"/>
  <c r="AA82" i="6"/>
  <c r="P82" i="6"/>
  <c r="AO82" i="6" s="1"/>
  <c r="BN81" i="6"/>
  <c r="BS81" i="6" s="1"/>
  <c r="AL81" i="6"/>
  <c r="AP81" i="6"/>
  <c r="AB81" i="6"/>
  <c r="AA81" i="6"/>
  <c r="P81" i="6"/>
  <c r="AO81" i="6" s="1"/>
  <c r="BN80" i="6"/>
  <c r="BS80" i="6" s="1"/>
  <c r="AL80" i="6"/>
  <c r="AP80" i="6"/>
  <c r="AB80" i="6"/>
  <c r="AA80" i="6"/>
  <c r="P80" i="6"/>
  <c r="AO80" i="6" s="1"/>
  <c r="BN79" i="6"/>
  <c r="BS79" i="6" s="1"/>
  <c r="AL79" i="6"/>
  <c r="AP79" i="6"/>
  <c r="AB79" i="6"/>
  <c r="AA79" i="6"/>
  <c r="P79" i="6"/>
  <c r="AO79" i="6" s="1"/>
  <c r="BN78" i="6"/>
  <c r="BS78" i="6" s="1"/>
  <c r="AL78" i="6"/>
  <c r="AP78" i="6"/>
  <c r="AB78" i="6"/>
  <c r="AA78" i="6"/>
  <c r="P78" i="6"/>
  <c r="AO78" i="6" s="1"/>
  <c r="BN77" i="6"/>
  <c r="BS77" i="6" s="1"/>
  <c r="AL77" i="6"/>
  <c r="AP77" i="6" s="1"/>
  <c r="AB77" i="6"/>
  <c r="AA77" i="6"/>
  <c r="P77" i="6"/>
  <c r="AO77" i="6"/>
  <c r="BN76" i="6"/>
  <c r="BS76" i="6"/>
  <c r="AL76" i="6"/>
  <c r="AP76" i="6" s="1"/>
  <c r="CA76" i="6" s="1"/>
  <c r="AB76" i="6"/>
  <c r="AA76" i="6"/>
  <c r="P76" i="6"/>
  <c r="AO76" i="6" s="1"/>
  <c r="BN75" i="6"/>
  <c r="BS75" i="6" s="1"/>
  <c r="BY75" i="6" s="1"/>
  <c r="AL75" i="6"/>
  <c r="AP75" i="6"/>
  <c r="AB75" i="6"/>
  <c r="AA75" i="6"/>
  <c r="P75" i="6"/>
  <c r="AO75" i="6"/>
  <c r="BN74" i="6"/>
  <c r="BS74" i="6" s="1"/>
  <c r="AL74" i="6"/>
  <c r="AP74" i="6" s="1"/>
  <c r="CA74" i="6" s="1"/>
  <c r="AB74" i="6"/>
  <c r="AA74" i="6"/>
  <c r="P74" i="6"/>
  <c r="BN73" i="6"/>
  <c r="BS73" i="6"/>
  <c r="AL73" i="6"/>
  <c r="AP73" i="6"/>
  <c r="AB73" i="6"/>
  <c r="AA73" i="6"/>
  <c r="P73" i="6"/>
  <c r="AO73" i="6"/>
  <c r="BN72" i="6"/>
  <c r="BS72" i="6"/>
  <c r="AL72" i="6"/>
  <c r="AP72" i="6" s="1"/>
  <c r="CA72" i="6" s="1"/>
  <c r="AB72" i="6"/>
  <c r="AA72" i="6"/>
  <c r="P72" i="6"/>
  <c r="AO72" i="6" s="1"/>
  <c r="BU72" i="6" s="1"/>
  <c r="BX72" i="6" s="1"/>
  <c r="BN71" i="6"/>
  <c r="BS71" i="6" s="1"/>
  <c r="AL71" i="6"/>
  <c r="AP71" i="6" s="1"/>
  <c r="CA71" i="6" s="1"/>
  <c r="AB71" i="6"/>
  <c r="AA71" i="6"/>
  <c r="P71" i="6"/>
  <c r="BN70" i="6"/>
  <c r="BS70" i="6"/>
  <c r="BY70" i="6" s="1"/>
  <c r="AL70" i="6"/>
  <c r="AP70" i="6"/>
  <c r="CA70" i="6" s="1"/>
  <c r="AB70" i="6"/>
  <c r="AA70" i="6"/>
  <c r="P70" i="6"/>
  <c r="BN69" i="6"/>
  <c r="BS69" i="6" s="1"/>
  <c r="BY69" i="6" s="1"/>
  <c r="AL69" i="6"/>
  <c r="AB69" i="6"/>
  <c r="AA69" i="6"/>
  <c r="P69" i="6"/>
  <c r="BN68" i="6"/>
  <c r="BS68" i="6" s="1"/>
  <c r="BY68" i="6" s="1"/>
  <c r="AL68" i="6"/>
  <c r="AP68" i="6"/>
  <c r="AB68" i="6"/>
  <c r="AA68" i="6"/>
  <c r="P68" i="6"/>
  <c r="BN67" i="6"/>
  <c r="AL67" i="6"/>
  <c r="AP67" i="6"/>
  <c r="CA67" i="6" s="1"/>
  <c r="AB67" i="6"/>
  <c r="AA67" i="6"/>
  <c r="P67" i="6"/>
  <c r="BN66" i="6"/>
  <c r="AL66" i="6"/>
  <c r="AP66" i="6" s="1"/>
  <c r="CA66" i="6" s="1"/>
  <c r="AB66" i="6"/>
  <c r="AA66" i="6"/>
  <c r="P66" i="6"/>
  <c r="AO66" i="6"/>
  <c r="BN65" i="6"/>
  <c r="AL65" i="6"/>
  <c r="AP65" i="6" s="1"/>
  <c r="AB65" i="6"/>
  <c r="AA65" i="6"/>
  <c r="P65" i="6"/>
  <c r="BN64" i="6"/>
  <c r="AL64" i="6"/>
  <c r="AP64" i="6" s="1"/>
  <c r="CA64" i="6" s="1"/>
  <c r="AB64" i="6"/>
  <c r="AA64" i="6"/>
  <c r="P64" i="6"/>
  <c r="AO64" i="6" s="1"/>
  <c r="BX64" i="6" s="1"/>
  <c r="AI177" i="5"/>
  <c r="P177" i="5"/>
  <c r="O177" i="5"/>
  <c r="P176" i="5"/>
  <c r="O176" i="5"/>
  <c r="P175" i="5"/>
  <c r="O175" i="5"/>
  <c r="AI174" i="5"/>
  <c r="P174" i="5"/>
  <c r="AL174" i="5" s="1"/>
  <c r="AH174" i="5" s="1"/>
  <c r="O174" i="5"/>
  <c r="AI173" i="5"/>
  <c r="P173" i="5"/>
  <c r="O173" i="5"/>
  <c r="P172" i="5"/>
  <c r="AL172" i="5" s="1"/>
  <c r="AH172" i="5" s="1"/>
  <c r="O172" i="5"/>
  <c r="P171" i="5"/>
  <c r="AL171" i="5" s="1"/>
  <c r="AH171" i="5" s="1"/>
  <c r="O171" i="5"/>
  <c r="AI170" i="5"/>
  <c r="P170" i="5"/>
  <c r="O170" i="5"/>
  <c r="AI169" i="5"/>
  <c r="P169" i="5"/>
  <c r="O169" i="5"/>
  <c r="P168" i="5"/>
  <c r="AL168" i="5" s="1"/>
  <c r="AH168" i="5" s="1"/>
  <c r="O168" i="5"/>
  <c r="P167" i="5"/>
  <c r="O167" i="5"/>
  <c r="AI166" i="5"/>
  <c r="P166" i="5"/>
  <c r="AL166" i="5" s="1"/>
  <c r="AH166" i="5" s="1"/>
  <c r="O166" i="5"/>
  <c r="AI165" i="5"/>
  <c r="P165" i="5"/>
  <c r="O165" i="5"/>
  <c r="P164" i="5"/>
  <c r="AL164" i="5" s="1"/>
  <c r="AH164" i="5" s="1"/>
  <c r="O164" i="5"/>
  <c r="P163" i="5"/>
  <c r="AL163" i="5" s="1"/>
  <c r="AH163" i="5" s="1"/>
  <c r="O163" i="5"/>
  <c r="P162" i="5"/>
  <c r="AL162" i="5" s="1"/>
  <c r="AH162" i="5" s="1"/>
  <c r="O162" i="5"/>
  <c r="AI161" i="5"/>
  <c r="P161" i="5"/>
  <c r="O161" i="5"/>
  <c r="P160" i="5"/>
  <c r="AL160" i="5" s="1"/>
  <c r="AH160" i="5" s="1"/>
  <c r="O160" i="5"/>
  <c r="P159" i="5"/>
  <c r="O159" i="5"/>
  <c r="AI158" i="5"/>
  <c r="P158" i="5"/>
  <c r="AL158" i="5" s="1"/>
  <c r="AH158" i="5" s="1"/>
  <c r="O158" i="5"/>
  <c r="AI157" i="5"/>
  <c r="P157" i="5"/>
  <c r="O157" i="5"/>
  <c r="P156" i="5"/>
  <c r="O156" i="5"/>
  <c r="P155" i="5"/>
  <c r="AL155" i="5" s="1"/>
  <c r="AH155" i="5" s="1"/>
  <c r="O155" i="5"/>
  <c r="P154" i="5"/>
  <c r="AL154" i="5" s="1"/>
  <c r="AH154" i="5" s="1"/>
  <c r="O154" i="5"/>
  <c r="AI153" i="5"/>
  <c r="P153" i="5"/>
  <c r="O153" i="5"/>
  <c r="P152" i="5"/>
  <c r="AL152" i="5" s="1"/>
  <c r="AH152" i="5" s="1"/>
  <c r="O152" i="5"/>
  <c r="P151" i="5"/>
  <c r="O151" i="5"/>
  <c r="AI150" i="5"/>
  <c r="P150" i="5"/>
  <c r="AL150" i="5" s="1"/>
  <c r="AH150" i="5" s="1"/>
  <c r="O150" i="5"/>
  <c r="AI149" i="5"/>
  <c r="P149" i="5"/>
  <c r="O149" i="5"/>
  <c r="P148" i="5"/>
  <c r="AL148" i="5" s="1"/>
  <c r="AH148" i="5" s="1"/>
  <c r="O148" i="5"/>
  <c r="P147" i="5"/>
  <c r="AL147" i="5" s="1"/>
  <c r="AH147" i="5" s="1"/>
  <c r="O147" i="5"/>
  <c r="AI146" i="5"/>
  <c r="P146" i="5"/>
  <c r="O146" i="5"/>
  <c r="AI145" i="5"/>
  <c r="P145" i="5"/>
  <c r="O145" i="5"/>
  <c r="P144" i="5"/>
  <c r="AL144" i="5" s="1"/>
  <c r="AH144" i="5" s="1"/>
  <c r="O144" i="5"/>
  <c r="P143" i="5"/>
  <c r="O143" i="5"/>
  <c r="AI142" i="5"/>
  <c r="P142" i="5"/>
  <c r="AL142" i="5" s="1"/>
  <c r="AH142" i="5" s="1"/>
  <c r="O142" i="5"/>
  <c r="AI141" i="5"/>
  <c r="P141" i="5"/>
  <c r="O141" i="5"/>
  <c r="P140" i="5"/>
  <c r="O140" i="5"/>
  <c r="P139" i="5"/>
  <c r="AL139" i="5" s="1"/>
  <c r="AH139" i="5" s="1"/>
  <c r="O139" i="5"/>
  <c r="AI138" i="5"/>
  <c r="P138" i="5"/>
  <c r="O138" i="5"/>
  <c r="AI137" i="5"/>
  <c r="P137" i="5"/>
  <c r="O137" i="5"/>
  <c r="P136" i="5"/>
  <c r="AL136" i="5" s="1"/>
  <c r="AH136" i="5" s="1"/>
  <c r="O136" i="5"/>
  <c r="P135" i="5"/>
  <c r="AL135" i="5" s="1"/>
  <c r="AH135" i="5" s="1"/>
  <c r="O135" i="5"/>
  <c r="AI134" i="5"/>
  <c r="P134" i="5"/>
  <c r="AL134" i="5" s="1"/>
  <c r="AH134" i="5" s="1"/>
  <c r="O134" i="5"/>
  <c r="AI133" i="5"/>
  <c r="P133" i="5"/>
  <c r="O133" i="5"/>
  <c r="P132" i="5"/>
  <c r="O132" i="5"/>
  <c r="P131" i="5"/>
  <c r="AL131" i="5" s="1"/>
  <c r="AH131" i="5" s="1"/>
  <c r="O131" i="5"/>
  <c r="AI130" i="5"/>
  <c r="P130" i="5"/>
  <c r="O130" i="5"/>
  <c r="AI129" i="5"/>
  <c r="P129" i="5"/>
  <c r="O129" i="5"/>
  <c r="P128" i="5"/>
  <c r="O128" i="5"/>
  <c r="P127" i="5"/>
  <c r="O127" i="5"/>
  <c r="AI126" i="5"/>
  <c r="P126" i="5"/>
  <c r="AL126" i="5" s="1"/>
  <c r="AH126" i="5" s="1"/>
  <c r="O126" i="5"/>
  <c r="AI125" i="5"/>
  <c r="P125" i="5"/>
  <c r="O125" i="5"/>
  <c r="P124" i="5"/>
  <c r="AL124" i="5" s="1"/>
  <c r="AH124" i="5" s="1"/>
  <c r="O124" i="5"/>
  <c r="P123" i="5"/>
  <c r="AL123" i="5" s="1"/>
  <c r="AH123" i="5" s="1"/>
  <c r="O123" i="5"/>
  <c r="AI122" i="5"/>
  <c r="P122" i="5"/>
  <c r="O122" i="5"/>
  <c r="AI121" i="5"/>
  <c r="P121" i="5"/>
  <c r="O121" i="5"/>
  <c r="P120" i="5"/>
  <c r="O120" i="5"/>
  <c r="P119" i="5"/>
  <c r="AL119" i="5" s="1"/>
  <c r="AH119" i="5" s="1"/>
  <c r="O119" i="5"/>
  <c r="AI118" i="5"/>
  <c r="P118" i="5"/>
  <c r="AL118" i="5" s="1"/>
  <c r="AH118" i="5" s="1"/>
  <c r="O118" i="5"/>
  <c r="AI117" i="5"/>
  <c r="P117" i="5"/>
  <c r="O117" i="5"/>
  <c r="P116" i="5"/>
  <c r="AL116" i="5" s="1"/>
  <c r="AH116" i="5" s="1"/>
  <c r="O116" i="5"/>
  <c r="P115" i="5"/>
  <c r="AL115" i="5" s="1"/>
  <c r="AH115" i="5" s="1"/>
  <c r="O115" i="5"/>
  <c r="AI114" i="5"/>
  <c r="P114" i="5"/>
  <c r="O114" i="5"/>
  <c r="AI113" i="5"/>
  <c r="P113" i="5"/>
  <c r="O113" i="5"/>
  <c r="P112" i="5"/>
  <c r="O112" i="5"/>
  <c r="P111" i="5"/>
  <c r="O111" i="5"/>
  <c r="AI110" i="5"/>
  <c r="P110" i="5"/>
  <c r="AL110" i="5" s="1"/>
  <c r="AH110" i="5" s="1"/>
  <c r="O110" i="5"/>
  <c r="AI109" i="5"/>
  <c r="P109" i="5"/>
  <c r="O109" i="5"/>
  <c r="P108" i="5"/>
  <c r="O108" i="5"/>
  <c r="P107" i="5"/>
  <c r="AL107" i="5" s="1"/>
  <c r="AH107" i="5" s="1"/>
  <c r="O107" i="5"/>
  <c r="AI106" i="5"/>
  <c r="P106" i="5"/>
  <c r="O106" i="5"/>
  <c r="AI105" i="5"/>
  <c r="P105" i="5"/>
  <c r="O105" i="5"/>
  <c r="P104" i="5"/>
  <c r="AL104" i="5" s="1"/>
  <c r="AH104" i="5" s="1"/>
  <c r="O104" i="5"/>
  <c r="P103" i="5"/>
  <c r="O103" i="5"/>
  <c r="AI102" i="5"/>
  <c r="P102" i="5"/>
  <c r="AL102" i="5" s="1"/>
  <c r="AH102" i="5" s="1"/>
  <c r="O102" i="5"/>
  <c r="AI101" i="5"/>
  <c r="P101" i="5"/>
  <c r="O101" i="5"/>
  <c r="P100" i="5"/>
  <c r="AL100" i="5" s="1"/>
  <c r="AH100" i="5" s="1"/>
  <c r="O100" i="5"/>
  <c r="P99" i="5"/>
  <c r="AL99" i="5" s="1"/>
  <c r="AH99" i="5" s="1"/>
  <c r="O99" i="5"/>
  <c r="AI98" i="5"/>
  <c r="P98" i="5"/>
  <c r="O98" i="5"/>
  <c r="AI97" i="5"/>
  <c r="P97" i="5"/>
  <c r="O97" i="5"/>
  <c r="P96" i="5"/>
  <c r="AL96" i="5" s="1"/>
  <c r="AH96" i="5" s="1"/>
  <c r="O96" i="5"/>
  <c r="P95" i="5"/>
  <c r="O95" i="5"/>
  <c r="AI94" i="5"/>
  <c r="P94" i="5"/>
  <c r="AL94" i="5" s="1"/>
  <c r="AH94" i="5" s="1"/>
  <c r="O94" i="5"/>
  <c r="AI93" i="5"/>
  <c r="P93" i="5"/>
  <c r="O93" i="5"/>
  <c r="P92" i="5"/>
  <c r="O92" i="5"/>
  <c r="P91" i="5"/>
  <c r="AL91" i="5" s="1"/>
  <c r="AH91" i="5" s="1"/>
  <c r="O91" i="5"/>
  <c r="AI90" i="5"/>
  <c r="P90" i="5"/>
  <c r="O90" i="5"/>
  <c r="AI89" i="5"/>
  <c r="P89" i="5"/>
  <c r="O89" i="5"/>
  <c r="P88" i="5"/>
  <c r="AL88" i="5" s="1"/>
  <c r="AH88" i="5" s="1"/>
  <c r="O88" i="5"/>
  <c r="P87" i="5"/>
  <c r="AL87" i="5" s="1"/>
  <c r="AH87" i="5" s="1"/>
  <c r="O87" i="5"/>
  <c r="AI86" i="5"/>
  <c r="P86" i="5"/>
  <c r="AL86" i="5" s="1"/>
  <c r="AH86" i="5" s="1"/>
  <c r="O86" i="5"/>
  <c r="AI85" i="5"/>
  <c r="P85" i="5"/>
  <c r="O85" i="5"/>
  <c r="P84" i="5"/>
  <c r="O84" i="5"/>
  <c r="P83" i="5"/>
  <c r="AL83" i="5" s="1"/>
  <c r="AH83" i="5" s="1"/>
  <c r="O83" i="5"/>
  <c r="P82" i="5"/>
  <c r="AL82" i="5" s="1"/>
  <c r="AH82" i="5" s="1"/>
  <c r="O82" i="5"/>
  <c r="AI81" i="5"/>
  <c r="P81" i="5"/>
  <c r="O81" i="5"/>
  <c r="P80" i="5"/>
  <c r="AL80" i="5" s="1"/>
  <c r="AH80" i="5" s="1"/>
  <c r="O80" i="5"/>
  <c r="P79" i="5"/>
  <c r="AL79" i="5" s="1"/>
  <c r="AH79" i="5" s="1"/>
  <c r="O79" i="5"/>
  <c r="AI78" i="5"/>
  <c r="P78" i="5"/>
  <c r="AL78" i="5" s="1"/>
  <c r="AH78" i="5" s="1"/>
  <c r="O78" i="5"/>
  <c r="AI77" i="5"/>
  <c r="P77" i="5"/>
  <c r="O77" i="5"/>
  <c r="P76" i="5"/>
  <c r="AL76" i="5" s="1"/>
  <c r="AH76" i="5" s="1"/>
  <c r="O76" i="5"/>
  <c r="P75" i="5"/>
  <c r="AL75" i="5" s="1"/>
  <c r="AH75" i="5" s="1"/>
  <c r="O75" i="5"/>
  <c r="AI74" i="5"/>
  <c r="P74" i="5"/>
  <c r="O74" i="5"/>
  <c r="AI73" i="5"/>
  <c r="P73" i="5"/>
  <c r="O73" i="5"/>
  <c r="P72" i="5"/>
  <c r="AL72" i="5" s="1"/>
  <c r="AH72" i="5" s="1"/>
  <c r="O72" i="5"/>
  <c r="P71" i="5"/>
  <c r="AL71" i="5" s="1"/>
  <c r="AH71" i="5" s="1"/>
  <c r="O71" i="5"/>
  <c r="AI70" i="5"/>
  <c r="P70" i="5"/>
  <c r="AL70" i="5" s="1"/>
  <c r="AH70" i="5" s="1"/>
  <c r="O70" i="5"/>
  <c r="AI69" i="5"/>
  <c r="P69" i="5"/>
  <c r="O69" i="5"/>
  <c r="P68" i="5"/>
  <c r="AL68" i="5" s="1"/>
  <c r="AH68" i="5" s="1"/>
  <c r="O68" i="5"/>
  <c r="P67" i="5"/>
  <c r="AL67" i="5" s="1"/>
  <c r="AH67" i="5" s="1"/>
  <c r="O67" i="5"/>
  <c r="AI66" i="5"/>
  <c r="P66" i="5"/>
  <c r="O66" i="5"/>
  <c r="AI65" i="5"/>
  <c r="P65" i="5"/>
  <c r="O65" i="5"/>
  <c r="P64" i="5"/>
  <c r="O64" i="5"/>
  <c r="P63" i="5"/>
  <c r="AL63" i="5" s="1"/>
  <c r="AH63" i="5" s="1"/>
  <c r="O63" i="5"/>
  <c r="AI62" i="5"/>
  <c r="P62" i="5"/>
  <c r="AL62" i="5" s="1"/>
  <c r="AH62" i="5" s="1"/>
  <c r="O62" i="5"/>
  <c r="AI61" i="5"/>
  <c r="P61" i="5"/>
  <c r="O61" i="5"/>
  <c r="P60" i="5"/>
  <c r="AL60" i="5" s="1"/>
  <c r="AH60" i="5" s="1"/>
  <c r="O60" i="5"/>
  <c r="P59" i="5"/>
  <c r="AL59" i="5" s="1"/>
  <c r="AH59" i="5" s="1"/>
  <c r="O59" i="5"/>
  <c r="AI58" i="5"/>
  <c r="P58" i="5"/>
  <c r="O58" i="5"/>
  <c r="AI57" i="5"/>
  <c r="P57" i="5"/>
  <c r="O57" i="5"/>
  <c r="P56" i="5"/>
  <c r="O56" i="5"/>
  <c r="P55" i="5"/>
  <c r="AL55" i="5" s="1"/>
  <c r="AH55" i="5" s="1"/>
  <c r="O55" i="5"/>
  <c r="AI54" i="5"/>
  <c r="P54" i="5"/>
  <c r="AL54" i="5" s="1"/>
  <c r="AH54" i="5" s="1"/>
  <c r="O54" i="5"/>
  <c r="AI53" i="5"/>
  <c r="P53" i="5"/>
  <c r="O53" i="5"/>
  <c r="P52" i="5"/>
  <c r="AL52" i="5" s="1"/>
  <c r="AH52" i="5" s="1"/>
  <c r="O52" i="5"/>
  <c r="P51" i="5"/>
  <c r="AL51" i="5" s="1"/>
  <c r="AH51" i="5" s="1"/>
  <c r="O51" i="5"/>
  <c r="P50" i="5"/>
  <c r="AL50" i="5" s="1"/>
  <c r="AH50" i="5" s="1"/>
  <c r="O50" i="5"/>
  <c r="AI49" i="5"/>
  <c r="P49" i="5"/>
  <c r="O49" i="5"/>
  <c r="P48" i="5"/>
  <c r="AL48" i="5" s="1"/>
  <c r="AH48" i="5" s="1"/>
  <c r="O48" i="5"/>
  <c r="P47" i="5"/>
  <c r="O47" i="5"/>
  <c r="AI46" i="5"/>
  <c r="P46" i="5"/>
  <c r="AL46" i="5" s="1"/>
  <c r="AH46" i="5" s="1"/>
  <c r="O46" i="5"/>
  <c r="AI45" i="5"/>
  <c r="P45" i="5"/>
  <c r="O45" i="5"/>
  <c r="P44" i="5"/>
  <c r="O44" i="5"/>
  <c r="P43" i="5"/>
  <c r="AL43" i="5" s="1"/>
  <c r="AH43" i="5" s="1"/>
  <c r="O43" i="5"/>
  <c r="AI42" i="5"/>
  <c r="P42" i="5"/>
  <c r="O42" i="5"/>
  <c r="AI41" i="5"/>
  <c r="P41" i="5"/>
  <c r="O41" i="5"/>
  <c r="P40" i="5"/>
  <c r="O40" i="5"/>
  <c r="P39" i="5"/>
  <c r="O39" i="5"/>
  <c r="AI38" i="5"/>
  <c r="P38" i="5"/>
  <c r="AL38" i="5" s="1"/>
  <c r="AH38" i="5" s="1"/>
  <c r="O38" i="5"/>
  <c r="AI37" i="5"/>
  <c r="P37" i="5"/>
  <c r="O37" i="5"/>
  <c r="P36" i="5"/>
  <c r="AL36" i="5" s="1"/>
  <c r="AH36" i="5" s="1"/>
  <c r="O36" i="5"/>
  <c r="P35" i="5"/>
  <c r="AL35" i="5" s="1"/>
  <c r="AH35" i="5" s="1"/>
  <c r="O35" i="5"/>
  <c r="AL31" i="5"/>
  <c r="O29" i="5"/>
  <c r="O28" i="5"/>
  <c r="O27" i="5"/>
  <c r="AB196" i="4"/>
  <c r="AA196" i="4"/>
  <c r="X196" i="4"/>
  <c r="W196" i="4"/>
  <c r="Q196" i="4"/>
  <c r="AK196" i="4"/>
  <c r="AG196" i="4" s="1"/>
  <c r="P196" i="4"/>
  <c r="AB195" i="4"/>
  <c r="AA195" i="4"/>
  <c r="X195" i="4"/>
  <c r="W195" i="4"/>
  <c r="Q195" i="4"/>
  <c r="AK195" i="4"/>
  <c r="AG195" i="4" s="1"/>
  <c r="P195" i="4"/>
  <c r="AB194" i="4"/>
  <c r="AA194" i="4"/>
  <c r="X194" i="4"/>
  <c r="W194" i="4"/>
  <c r="Q194" i="4"/>
  <c r="AK194" i="4" s="1"/>
  <c r="AG194" i="4" s="1"/>
  <c r="P194" i="4"/>
  <c r="AB193" i="4"/>
  <c r="AA193" i="4"/>
  <c r="X193" i="4"/>
  <c r="W193" i="4"/>
  <c r="Q193" i="4"/>
  <c r="AK193" i="4"/>
  <c r="AG193" i="4" s="1"/>
  <c r="P193" i="4"/>
  <c r="AB192" i="4"/>
  <c r="AA192" i="4"/>
  <c r="X192" i="4"/>
  <c r="W192" i="4"/>
  <c r="Q192" i="4"/>
  <c r="AK192" i="4" s="1"/>
  <c r="AG192" i="4" s="1"/>
  <c r="P192" i="4"/>
  <c r="AB191" i="4"/>
  <c r="AA191" i="4"/>
  <c r="X191" i="4"/>
  <c r="W191" i="4"/>
  <c r="Q191" i="4"/>
  <c r="AK191" i="4" s="1"/>
  <c r="AG191" i="4" s="1"/>
  <c r="P191" i="4"/>
  <c r="AB190" i="4"/>
  <c r="AA190" i="4"/>
  <c r="X190" i="4"/>
  <c r="W190" i="4"/>
  <c r="Q190" i="4"/>
  <c r="AK190" i="4" s="1"/>
  <c r="AG190" i="4" s="1"/>
  <c r="P190" i="4"/>
  <c r="AB189" i="4"/>
  <c r="AA189" i="4"/>
  <c r="X189" i="4"/>
  <c r="W189" i="4"/>
  <c r="Q189" i="4"/>
  <c r="AK189" i="4"/>
  <c r="AG189" i="4" s="1"/>
  <c r="P189" i="4"/>
  <c r="AB188" i="4"/>
  <c r="AA188" i="4"/>
  <c r="X188" i="4"/>
  <c r="W188" i="4"/>
  <c r="Q188" i="4"/>
  <c r="AK188" i="4"/>
  <c r="AG188" i="4" s="1"/>
  <c r="P188" i="4"/>
  <c r="AB187" i="4"/>
  <c r="AA187" i="4"/>
  <c r="X187" i="4"/>
  <c r="W187" i="4"/>
  <c r="Q187" i="4"/>
  <c r="AK187" i="4"/>
  <c r="AG187" i="4" s="1"/>
  <c r="P187" i="4"/>
  <c r="AB186" i="4"/>
  <c r="AA186" i="4"/>
  <c r="X186" i="4"/>
  <c r="W186" i="4"/>
  <c r="Q186" i="4"/>
  <c r="AK186" i="4" s="1"/>
  <c r="AG186" i="4" s="1"/>
  <c r="P186" i="4"/>
  <c r="AB185" i="4"/>
  <c r="AA185" i="4"/>
  <c r="X185" i="4"/>
  <c r="W185" i="4"/>
  <c r="Q185" i="4"/>
  <c r="AK185" i="4"/>
  <c r="AG185" i="4" s="1"/>
  <c r="P185" i="4"/>
  <c r="AB184" i="4"/>
  <c r="AA184" i="4"/>
  <c r="X184" i="4"/>
  <c r="W184" i="4"/>
  <c r="Q184" i="4"/>
  <c r="AK184" i="4" s="1"/>
  <c r="AG184" i="4" s="1"/>
  <c r="P184" i="4"/>
  <c r="AB183" i="4"/>
  <c r="AA183" i="4"/>
  <c r="X183" i="4"/>
  <c r="W183" i="4"/>
  <c r="Q183" i="4"/>
  <c r="AK183" i="4" s="1"/>
  <c r="AG183" i="4" s="1"/>
  <c r="P183" i="4"/>
  <c r="AB182" i="4"/>
  <c r="AA182" i="4"/>
  <c r="X182" i="4"/>
  <c r="W182" i="4"/>
  <c r="Q182" i="4"/>
  <c r="AK182" i="4" s="1"/>
  <c r="AG182" i="4" s="1"/>
  <c r="P182" i="4"/>
  <c r="AB181" i="4"/>
  <c r="AA181" i="4"/>
  <c r="X181" i="4"/>
  <c r="W181" i="4"/>
  <c r="Q181" i="4"/>
  <c r="AK181" i="4"/>
  <c r="AG181" i="4" s="1"/>
  <c r="P181" i="4"/>
  <c r="AB180" i="4"/>
  <c r="AA180" i="4"/>
  <c r="X180" i="4"/>
  <c r="W180" i="4"/>
  <c r="Q180" i="4"/>
  <c r="AK180" i="4"/>
  <c r="AG180" i="4" s="1"/>
  <c r="P180" i="4"/>
  <c r="AB179" i="4"/>
  <c r="AA179" i="4"/>
  <c r="X179" i="4"/>
  <c r="W179" i="4"/>
  <c r="Q179" i="4"/>
  <c r="AK179" i="4"/>
  <c r="AG179" i="4" s="1"/>
  <c r="P179" i="4"/>
  <c r="AB178" i="4"/>
  <c r="AA178" i="4"/>
  <c r="X178" i="4"/>
  <c r="W178" i="4"/>
  <c r="Q178" i="4"/>
  <c r="AK178" i="4" s="1"/>
  <c r="AG178" i="4" s="1"/>
  <c r="P178" i="4"/>
  <c r="AB177" i="4"/>
  <c r="AA177" i="4"/>
  <c r="X177" i="4"/>
  <c r="W177" i="4"/>
  <c r="Q177" i="4"/>
  <c r="AK177" i="4"/>
  <c r="AG177" i="4" s="1"/>
  <c r="P177" i="4"/>
  <c r="AB176" i="4"/>
  <c r="AA176" i="4"/>
  <c r="X176" i="4"/>
  <c r="W176" i="4"/>
  <c r="Q176" i="4"/>
  <c r="AK176" i="4" s="1"/>
  <c r="AG176" i="4" s="1"/>
  <c r="P176" i="4"/>
  <c r="AB175" i="4"/>
  <c r="AA175" i="4"/>
  <c r="X175" i="4"/>
  <c r="W175" i="4"/>
  <c r="Q175" i="4"/>
  <c r="AK175" i="4" s="1"/>
  <c r="AG175" i="4" s="1"/>
  <c r="P175" i="4"/>
  <c r="AB174" i="4"/>
  <c r="AA174" i="4"/>
  <c r="X174" i="4"/>
  <c r="W174" i="4"/>
  <c r="Q174" i="4"/>
  <c r="AK174" i="4" s="1"/>
  <c r="AG174" i="4" s="1"/>
  <c r="P174" i="4"/>
  <c r="AB173" i="4"/>
  <c r="AA173" i="4"/>
  <c r="X173" i="4"/>
  <c r="W173" i="4"/>
  <c r="Q173" i="4"/>
  <c r="AK173" i="4"/>
  <c r="AG173" i="4" s="1"/>
  <c r="P173" i="4"/>
  <c r="AB172" i="4"/>
  <c r="AA172" i="4"/>
  <c r="X172" i="4"/>
  <c r="W172" i="4"/>
  <c r="Q172" i="4"/>
  <c r="AK172" i="4"/>
  <c r="AG172" i="4" s="1"/>
  <c r="P172" i="4"/>
  <c r="AB171" i="4"/>
  <c r="AA171" i="4"/>
  <c r="X171" i="4"/>
  <c r="W171" i="4"/>
  <c r="Q171" i="4"/>
  <c r="AK171" i="4"/>
  <c r="AG171" i="4" s="1"/>
  <c r="P171" i="4"/>
  <c r="AB170" i="4"/>
  <c r="AA170" i="4"/>
  <c r="X170" i="4"/>
  <c r="W170" i="4"/>
  <c r="Q170" i="4"/>
  <c r="AK170" i="4" s="1"/>
  <c r="AG170" i="4" s="1"/>
  <c r="P170" i="4"/>
  <c r="AB169" i="4"/>
  <c r="AA169" i="4"/>
  <c r="X169" i="4"/>
  <c r="W169" i="4"/>
  <c r="Q169" i="4"/>
  <c r="AK169" i="4"/>
  <c r="AG169" i="4" s="1"/>
  <c r="P169" i="4"/>
  <c r="AB168" i="4"/>
  <c r="AA168" i="4"/>
  <c r="X168" i="4"/>
  <c r="W168" i="4"/>
  <c r="Q168" i="4"/>
  <c r="AK168" i="4" s="1"/>
  <c r="AG168" i="4" s="1"/>
  <c r="P168" i="4"/>
  <c r="AB167" i="4"/>
  <c r="AA167" i="4"/>
  <c r="X167" i="4"/>
  <c r="W167" i="4"/>
  <c r="Q167" i="4"/>
  <c r="AK167" i="4" s="1"/>
  <c r="AG167" i="4" s="1"/>
  <c r="P167" i="4"/>
  <c r="AB166" i="4"/>
  <c r="AA166" i="4"/>
  <c r="X166" i="4"/>
  <c r="W166" i="4"/>
  <c r="Q166" i="4"/>
  <c r="AK166" i="4" s="1"/>
  <c r="AG166" i="4" s="1"/>
  <c r="P166" i="4"/>
  <c r="AB165" i="4"/>
  <c r="AA165" i="4"/>
  <c r="X165" i="4"/>
  <c r="W165" i="4"/>
  <c r="Q165" i="4"/>
  <c r="AK165" i="4"/>
  <c r="AG165" i="4" s="1"/>
  <c r="P165" i="4"/>
  <c r="AB164" i="4"/>
  <c r="AA164" i="4"/>
  <c r="X164" i="4"/>
  <c r="W164" i="4"/>
  <c r="Q164" i="4"/>
  <c r="AK164" i="4"/>
  <c r="AG164" i="4" s="1"/>
  <c r="P164" i="4"/>
  <c r="AB163" i="4"/>
  <c r="AA163" i="4"/>
  <c r="X163" i="4"/>
  <c r="W163" i="4"/>
  <c r="Q163" i="4"/>
  <c r="AK163" i="4"/>
  <c r="AG163" i="4" s="1"/>
  <c r="P163" i="4"/>
  <c r="AB162" i="4"/>
  <c r="AA162" i="4"/>
  <c r="X162" i="4"/>
  <c r="W162" i="4"/>
  <c r="Q162" i="4"/>
  <c r="AK162" i="4" s="1"/>
  <c r="AG162" i="4" s="1"/>
  <c r="P162" i="4"/>
  <c r="AB161" i="4"/>
  <c r="AA161" i="4"/>
  <c r="X161" i="4"/>
  <c r="W161" i="4"/>
  <c r="Q161" i="4"/>
  <c r="AK161" i="4"/>
  <c r="AG161" i="4" s="1"/>
  <c r="P161" i="4"/>
  <c r="AB160" i="4"/>
  <c r="AA160" i="4"/>
  <c r="X160" i="4"/>
  <c r="W160" i="4"/>
  <c r="Q160" i="4"/>
  <c r="AK160" i="4" s="1"/>
  <c r="AG160" i="4" s="1"/>
  <c r="P160" i="4"/>
  <c r="AB159" i="4"/>
  <c r="AA159" i="4"/>
  <c r="X159" i="4"/>
  <c r="W159" i="4"/>
  <c r="Q159" i="4"/>
  <c r="AK159" i="4" s="1"/>
  <c r="AG159" i="4" s="1"/>
  <c r="P159" i="4"/>
  <c r="AB158" i="4"/>
  <c r="AA158" i="4"/>
  <c r="X158" i="4"/>
  <c r="W158" i="4"/>
  <c r="Q158" i="4"/>
  <c r="AK158" i="4" s="1"/>
  <c r="AG158" i="4" s="1"/>
  <c r="P158" i="4"/>
  <c r="AB157" i="4"/>
  <c r="AA157" i="4"/>
  <c r="X157" i="4"/>
  <c r="W157" i="4"/>
  <c r="Q157" i="4"/>
  <c r="AK157" i="4"/>
  <c r="AG157" i="4" s="1"/>
  <c r="P157" i="4"/>
  <c r="AB156" i="4"/>
  <c r="AA156" i="4"/>
  <c r="X156" i="4"/>
  <c r="W156" i="4"/>
  <c r="Q156" i="4"/>
  <c r="AK156" i="4"/>
  <c r="AG156" i="4" s="1"/>
  <c r="P156" i="4"/>
  <c r="AB155" i="4"/>
  <c r="AA155" i="4"/>
  <c r="X155" i="4"/>
  <c r="W155" i="4"/>
  <c r="Q155" i="4"/>
  <c r="AK155" i="4"/>
  <c r="AG155" i="4" s="1"/>
  <c r="P155" i="4"/>
  <c r="AB154" i="4"/>
  <c r="AA154" i="4"/>
  <c r="X154" i="4"/>
  <c r="W154" i="4"/>
  <c r="Q154" i="4"/>
  <c r="AK154" i="4" s="1"/>
  <c r="AG154" i="4" s="1"/>
  <c r="P154" i="4"/>
  <c r="AB153" i="4"/>
  <c r="AA153" i="4"/>
  <c r="X153" i="4"/>
  <c r="W153" i="4"/>
  <c r="Q153" i="4"/>
  <c r="AK153" i="4"/>
  <c r="AG153" i="4" s="1"/>
  <c r="P153" i="4"/>
  <c r="AB152" i="4"/>
  <c r="AA152" i="4"/>
  <c r="X152" i="4"/>
  <c r="W152" i="4"/>
  <c r="Q152" i="4"/>
  <c r="AK152" i="4" s="1"/>
  <c r="AG152" i="4" s="1"/>
  <c r="P152" i="4"/>
  <c r="AB151" i="4"/>
  <c r="AA151" i="4"/>
  <c r="X151" i="4"/>
  <c r="W151" i="4"/>
  <c r="Q151" i="4"/>
  <c r="AK151" i="4" s="1"/>
  <c r="AG151" i="4" s="1"/>
  <c r="P151" i="4"/>
  <c r="AB150" i="4"/>
  <c r="AA150" i="4"/>
  <c r="X150" i="4"/>
  <c r="W150" i="4"/>
  <c r="Q150" i="4"/>
  <c r="AK150" i="4" s="1"/>
  <c r="AG150" i="4" s="1"/>
  <c r="P150" i="4"/>
  <c r="AB149" i="4"/>
  <c r="AA149" i="4"/>
  <c r="X149" i="4"/>
  <c r="W149" i="4"/>
  <c r="Q149" i="4"/>
  <c r="AK149" i="4"/>
  <c r="AG149" i="4" s="1"/>
  <c r="P149" i="4"/>
  <c r="AB148" i="4"/>
  <c r="AA148" i="4"/>
  <c r="X148" i="4"/>
  <c r="W148" i="4"/>
  <c r="Q148" i="4"/>
  <c r="AK148" i="4"/>
  <c r="AG148" i="4" s="1"/>
  <c r="P148" i="4"/>
  <c r="AB147" i="4"/>
  <c r="AA147" i="4"/>
  <c r="X147" i="4"/>
  <c r="W147" i="4"/>
  <c r="Q147" i="4"/>
  <c r="AK147" i="4"/>
  <c r="AG147" i="4" s="1"/>
  <c r="P147" i="4"/>
  <c r="AB146" i="4"/>
  <c r="AA146" i="4"/>
  <c r="X146" i="4"/>
  <c r="W146" i="4"/>
  <c r="Q146" i="4"/>
  <c r="AK146" i="4" s="1"/>
  <c r="AG146" i="4" s="1"/>
  <c r="P146" i="4"/>
  <c r="AB145" i="4"/>
  <c r="AA145" i="4"/>
  <c r="X145" i="4"/>
  <c r="W145" i="4"/>
  <c r="Q145" i="4"/>
  <c r="AK145" i="4"/>
  <c r="AG145" i="4" s="1"/>
  <c r="P145" i="4"/>
  <c r="AB144" i="4"/>
  <c r="AA144" i="4"/>
  <c r="X144" i="4"/>
  <c r="W144" i="4"/>
  <c r="Q144" i="4"/>
  <c r="AK144" i="4" s="1"/>
  <c r="AG144" i="4" s="1"/>
  <c r="P144" i="4"/>
  <c r="AB143" i="4"/>
  <c r="AA143" i="4"/>
  <c r="X143" i="4"/>
  <c r="W143" i="4"/>
  <c r="Q143" i="4"/>
  <c r="AK143" i="4" s="1"/>
  <c r="AG143" i="4" s="1"/>
  <c r="P143" i="4"/>
  <c r="AB142" i="4"/>
  <c r="AA142" i="4"/>
  <c r="X142" i="4"/>
  <c r="W142" i="4"/>
  <c r="Q142" i="4"/>
  <c r="AK142" i="4" s="1"/>
  <c r="AG142" i="4" s="1"/>
  <c r="P142" i="4"/>
  <c r="AB141" i="4"/>
  <c r="AA141" i="4"/>
  <c r="X141" i="4"/>
  <c r="W141" i="4"/>
  <c r="Q141" i="4"/>
  <c r="AK141" i="4"/>
  <c r="AG141" i="4" s="1"/>
  <c r="P141" i="4"/>
  <c r="AB140" i="4"/>
  <c r="AA140" i="4"/>
  <c r="X140" i="4"/>
  <c r="W140" i="4"/>
  <c r="Q140" i="4"/>
  <c r="AK140" i="4"/>
  <c r="AG140" i="4" s="1"/>
  <c r="P140" i="4"/>
  <c r="AB139" i="4"/>
  <c r="AA139" i="4"/>
  <c r="X139" i="4"/>
  <c r="W139" i="4"/>
  <c r="Q139" i="4"/>
  <c r="AK139" i="4"/>
  <c r="AG139" i="4" s="1"/>
  <c r="P139" i="4"/>
  <c r="AB138" i="4"/>
  <c r="AA138" i="4"/>
  <c r="X138" i="4"/>
  <c r="W138" i="4"/>
  <c r="Q138" i="4"/>
  <c r="AK138" i="4" s="1"/>
  <c r="AG138" i="4" s="1"/>
  <c r="P138" i="4"/>
  <c r="AB137" i="4"/>
  <c r="AA137" i="4"/>
  <c r="X137" i="4"/>
  <c r="W137" i="4"/>
  <c r="Q137" i="4"/>
  <c r="AK137" i="4"/>
  <c r="AG137" i="4" s="1"/>
  <c r="P137" i="4"/>
  <c r="AB136" i="4"/>
  <c r="AA136" i="4"/>
  <c r="X136" i="4"/>
  <c r="W136" i="4"/>
  <c r="Q136" i="4"/>
  <c r="AK136" i="4" s="1"/>
  <c r="AG136" i="4" s="1"/>
  <c r="P136" i="4"/>
  <c r="AB135" i="4"/>
  <c r="AA135" i="4"/>
  <c r="X135" i="4"/>
  <c r="W135" i="4"/>
  <c r="Q135" i="4"/>
  <c r="AK135" i="4" s="1"/>
  <c r="AG135" i="4" s="1"/>
  <c r="P135" i="4"/>
  <c r="AB134" i="4"/>
  <c r="AA134" i="4"/>
  <c r="X134" i="4"/>
  <c r="W134" i="4"/>
  <c r="Q134" i="4"/>
  <c r="AK134" i="4" s="1"/>
  <c r="AG134" i="4" s="1"/>
  <c r="P134" i="4"/>
  <c r="AB133" i="4"/>
  <c r="AA133" i="4"/>
  <c r="X133" i="4"/>
  <c r="W133" i="4"/>
  <c r="Q133" i="4"/>
  <c r="AK133" i="4"/>
  <c r="AG133" i="4" s="1"/>
  <c r="P133" i="4"/>
  <c r="AB132" i="4"/>
  <c r="AA132" i="4"/>
  <c r="X132" i="4"/>
  <c r="W132" i="4"/>
  <c r="Q132" i="4"/>
  <c r="AK132" i="4"/>
  <c r="AG132" i="4" s="1"/>
  <c r="P132" i="4"/>
  <c r="AB131" i="4"/>
  <c r="AA131" i="4"/>
  <c r="X131" i="4"/>
  <c r="W131" i="4"/>
  <c r="Q131" i="4"/>
  <c r="AK131" i="4"/>
  <c r="AG131" i="4" s="1"/>
  <c r="P131" i="4"/>
  <c r="AB130" i="4"/>
  <c r="AA130" i="4"/>
  <c r="X130" i="4"/>
  <c r="W130" i="4"/>
  <c r="Q130" i="4"/>
  <c r="AK130" i="4" s="1"/>
  <c r="AG130" i="4" s="1"/>
  <c r="P130" i="4"/>
  <c r="AB129" i="4"/>
  <c r="AA129" i="4"/>
  <c r="X129" i="4"/>
  <c r="W129" i="4"/>
  <c r="Q129" i="4"/>
  <c r="AK129" i="4"/>
  <c r="AG129" i="4" s="1"/>
  <c r="P129" i="4"/>
  <c r="AB128" i="4"/>
  <c r="AA128" i="4"/>
  <c r="X128" i="4"/>
  <c r="W128" i="4"/>
  <c r="Q128" i="4"/>
  <c r="AK128" i="4" s="1"/>
  <c r="AG128" i="4" s="1"/>
  <c r="P128" i="4"/>
  <c r="AB127" i="4"/>
  <c r="AA127" i="4"/>
  <c r="X127" i="4"/>
  <c r="W127" i="4"/>
  <c r="Q127" i="4"/>
  <c r="AK127" i="4" s="1"/>
  <c r="AG127" i="4" s="1"/>
  <c r="P127" i="4"/>
  <c r="AB126" i="4"/>
  <c r="AA126" i="4"/>
  <c r="X126" i="4"/>
  <c r="W126" i="4"/>
  <c r="Q126" i="4"/>
  <c r="AK126" i="4" s="1"/>
  <c r="AG126" i="4" s="1"/>
  <c r="P126" i="4"/>
  <c r="AB125" i="4"/>
  <c r="AA125" i="4"/>
  <c r="X125" i="4"/>
  <c r="W125" i="4"/>
  <c r="Q125" i="4"/>
  <c r="AK125" i="4"/>
  <c r="AG125" i="4" s="1"/>
  <c r="P125" i="4"/>
  <c r="AB124" i="4"/>
  <c r="AA124" i="4"/>
  <c r="X124" i="4"/>
  <c r="W124" i="4"/>
  <c r="Q124" i="4"/>
  <c r="AK124" i="4"/>
  <c r="AG124" i="4" s="1"/>
  <c r="P124" i="4"/>
  <c r="AB123" i="4"/>
  <c r="AA123" i="4"/>
  <c r="X123" i="4"/>
  <c r="W123" i="4"/>
  <c r="Q123" i="4"/>
  <c r="AK123" i="4"/>
  <c r="AG123" i="4" s="1"/>
  <c r="P123" i="4"/>
  <c r="AB122" i="4"/>
  <c r="AA122" i="4"/>
  <c r="X122" i="4"/>
  <c r="W122" i="4"/>
  <c r="Q122" i="4"/>
  <c r="AK122" i="4" s="1"/>
  <c r="AG122" i="4" s="1"/>
  <c r="P122" i="4"/>
  <c r="AB121" i="4"/>
  <c r="AA121" i="4"/>
  <c r="X121" i="4"/>
  <c r="W121" i="4"/>
  <c r="Q121" i="4"/>
  <c r="AK121" i="4"/>
  <c r="AG121" i="4" s="1"/>
  <c r="P121" i="4"/>
  <c r="AB120" i="4"/>
  <c r="AA120" i="4"/>
  <c r="X120" i="4"/>
  <c r="W120" i="4"/>
  <c r="Q120" i="4"/>
  <c r="AK120" i="4" s="1"/>
  <c r="AG120" i="4" s="1"/>
  <c r="P120" i="4"/>
  <c r="AB119" i="4"/>
  <c r="AA119" i="4"/>
  <c r="X119" i="4"/>
  <c r="W119" i="4"/>
  <c r="Q119" i="4"/>
  <c r="AK119" i="4" s="1"/>
  <c r="AG119" i="4" s="1"/>
  <c r="P119" i="4"/>
  <c r="AB118" i="4"/>
  <c r="AA118" i="4"/>
  <c r="X118" i="4"/>
  <c r="W118" i="4"/>
  <c r="Q118" i="4"/>
  <c r="AK118" i="4" s="1"/>
  <c r="AG118" i="4" s="1"/>
  <c r="P118" i="4"/>
  <c r="AB117" i="4"/>
  <c r="AA117" i="4"/>
  <c r="X117" i="4"/>
  <c r="W117" i="4"/>
  <c r="Q117" i="4"/>
  <c r="AK117" i="4"/>
  <c r="AG117" i="4" s="1"/>
  <c r="P117" i="4"/>
  <c r="AB116" i="4"/>
  <c r="AA116" i="4"/>
  <c r="X116" i="4"/>
  <c r="W116" i="4"/>
  <c r="Q116" i="4"/>
  <c r="AK116" i="4"/>
  <c r="AG116" i="4" s="1"/>
  <c r="P116" i="4"/>
  <c r="AB115" i="4"/>
  <c r="AA115" i="4"/>
  <c r="X115" i="4"/>
  <c r="W115" i="4"/>
  <c r="Q115" i="4"/>
  <c r="AK115" i="4"/>
  <c r="AG115" i="4" s="1"/>
  <c r="P115" i="4"/>
  <c r="AB114" i="4"/>
  <c r="AA114" i="4"/>
  <c r="X114" i="4"/>
  <c r="W114" i="4"/>
  <c r="Q114" i="4"/>
  <c r="AK114" i="4" s="1"/>
  <c r="AG114" i="4" s="1"/>
  <c r="P114" i="4"/>
  <c r="AB111" i="4"/>
  <c r="AA111" i="4"/>
  <c r="X111" i="4"/>
  <c r="W111" i="4"/>
  <c r="Q111" i="4"/>
  <c r="AK111" i="4"/>
  <c r="AG111" i="4" s="1"/>
  <c r="P111" i="4"/>
  <c r="AB110" i="4"/>
  <c r="AA110" i="4"/>
  <c r="X110" i="4"/>
  <c r="W110" i="4"/>
  <c r="Q110" i="4"/>
  <c r="AK110" i="4" s="1"/>
  <c r="AG110" i="4" s="1"/>
  <c r="P110" i="4"/>
  <c r="AB109" i="4"/>
  <c r="AA109" i="4"/>
  <c r="X109" i="4"/>
  <c r="W109" i="4"/>
  <c r="Q109" i="4"/>
  <c r="AK109" i="4" s="1"/>
  <c r="AG109" i="4" s="1"/>
  <c r="P109" i="4"/>
  <c r="AB108" i="4"/>
  <c r="AA108" i="4"/>
  <c r="X108" i="4"/>
  <c r="W108" i="4"/>
  <c r="Q108" i="4"/>
  <c r="AK108" i="4" s="1"/>
  <c r="AG108" i="4" s="1"/>
  <c r="P108" i="4"/>
  <c r="AB107" i="4"/>
  <c r="AA107" i="4"/>
  <c r="X107" i="4"/>
  <c r="W107" i="4"/>
  <c r="Q107" i="4"/>
  <c r="AK107" i="4"/>
  <c r="AG107" i="4" s="1"/>
  <c r="P107" i="4"/>
  <c r="AB106" i="4"/>
  <c r="AA106" i="4"/>
  <c r="X106" i="4"/>
  <c r="W106" i="4"/>
  <c r="Q106" i="4"/>
  <c r="AK106" i="4"/>
  <c r="AG106" i="4" s="1"/>
  <c r="P106" i="4"/>
  <c r="AB105" i="4"/>
  <c r="AA105" i="4"/>
  <c r="X105" i="4"/>
  <c r="W105" i="4"/>
  <c r="Q105" i="4"/>
  <c r="AK105" i="4"/>
  <c r="AG105" i="4" s="1"/>
  <c r="P105" i="4"/>
  <c r="AB104" i="4"/>
  <c r="AA104" i="4"/>
  <c r="X104" i="4"/>
  <c r="W104" i="4"/>
  <c r="Q104" i="4"/>
  <c r="AK104" i="4" s="1"/>
  <c r="AG104" i="4" s="1"/>
  <c r="P104" i="4"/>
  <c r="AB103" i="4"/>
  <c r="AA103" i="4"/>
  <c r="X103" i="4"/>
  <c r="W103" i="4"/>
  <c r="Q103" i="4"/>
  <c r="AK103" i="4"/>
  <c r="AG103" i="4" s="1"/>
  <c r="P103" i="4"/>
  <c r="AB102" i="4"/>
  <c r="AA102" i="4"/>
  <c r="X102" i="4"/>
  <c r="W102" i="4"/>
  <c r="Q102" i="4"/>
  <c r="AK102" i="4" s="1"/>
  <c r="AG102" i="4" s="1"/>
  <c r="P102" i="4"/>
  <c r="AB101" i="4"/>
  <c r="AA101" i="4"/>
  <c r="X101" i="4"/>
  <c r="W101" i="4"/>
  <c r="Q101" i="4"/>
  <c r="AK101" i="4" s="1"/>
  <c r="AG101" i="4" s="1"/>
  <c r="P101" i="4"/>
  <c r="AB100" i="4"/>
  <c r="AA100" i="4"/>
  <c r="X100" i="4"/>
  <c r="W100" i="4"/>
  <c r="Q100" i="4"/>
  <c r="AK100" i="4" s="1"/>
  <c r="AG100" i="4" s="1"/>
  <c r="P100" i="4"/>
  <c r="AB99" i="4"/>
  <c r="AA99" i="4"/>
  <c r="X99" i="4"/>
  <c r="W99" i="4"/>
  <c r="Q99" i="4"/>
  <c r="AK99" i="4"/>
  <c r="AG99" i="4" s="1"/>
  <c r="P99" i="4"/>
  <c r="AB98" i="4"/>
  <c r="AA98" i="4"/>
  <c r="X98" i="4"/>
  <c r="W98" i="4"/>
  <c r="Q98" i="4"/>
  <c r="AK98" i="4"/>
  <c r="AG98" i="4" s="1"/>
  <c r="P98" i="4"/>
  <c r="AB97" i="4"/>
  <c r="AA97" i="4"/>
  <c r="X97" i="4"/>
  <c r="W97" i="4"/>
  <c r="Q97" i="4"/>
  <c r="AK97" i="4"/>
  <c r="AG97" i="4" s="1"/>
  <c r="P97" i="4"/>
  <c r="AB96" i="4"/>
  <c r="AA96" i="4"/>
  <c r="X96" i="4"/>
  <c r="W96" i="4"/>
  <c r="Q96" i="4"/>
  <c r="AK96" i="4" s="1"/>
  <c r="AG96" i="4" s="1"/>
  <c r="P96" i="4"/>
  <c r="AB95" i="4"/>
  <c r="AA95" i="4"/>
  <c r="X95" i="4"/>
  <c r="W95" i="4"/>
  <c r="Q95" i="4"/>
  <c r="AK95" i="4"/>
  <c r="AG95" i="4" s="1"/>
  <c r="P95" i="4"/>
  <c r="AB94" i="4"/>
  <c r="AA94" i="4"/>
  <c r="X94" i="4"/>
  <c r="W94" i="4"/>
  <c r="Q94" i="4"/>
  <c r="AK94" i="4"/>
  <c r="AG94" i="4" s="1"/>
  <c r="P94" i="4"/>
  <c r="AB93" i="4"/>
  <c r="AA93" i="4"/>
  <c r="X93" i="4"/>
  <c r="W93" i="4"/>
  <c r="Q93" i="4"/>
  <c r="AK93" i="4" s="1"/>
  <c r="AG93" i="4" s="1"/>
  <c r="P93" i="4"/>
  <c r="AB92" i="4"/>
  <c r="AA92" i="4"/>
  <c r="X92" i="4"/>
  <c r="W92" i="4"/>
  <c r="Q92" i="4"/>
  <c r="AK92" i="4" s="1"/>
  <c r="AG92" i="4" s="1"/>
  <c r="P92" i="4"/>
  <c r="AB91" i="4"/>
  <c r="AA91" i="4"/>
  <c r="X91" i="4"/>
  <c r="W91" i="4"/>
  <c r="Q91" i="4"/>
  <c r="AK91" i="4"/>
  <c r="AG91" i="4" s="1"/>
  <c r="P91" i="4"/>
  <c r="AB90" i="4"/>
  <c r="AA90" i="4"/>
  <c r="X90" i="4"/>
  <c r="W90" i="4"/>
  <c r="Q90" i="4"/>
  <c r="AK90" i="4"/>
  <c r="AG90" i="4" s="1"/>
  <c r="P90" i="4"/>
  <c r="AB89" i="4"/>
  <c r="AA89" i="4"/>
  <c r="X89" i="4"/>
  <c r="W89" i="4"/>
  <c r="Q89" i="4"/>
  <c r="AK89" i="4"/>
  <c r="AG89" i="4" s="1"/>
  <c r="P89" i="4"/>
  <c r="AB88" i="4"/>
  <c r="AA88" i="4"/>
  <c r="X88" i="4"/>
  <c r="W88" i="4"/>
  <c r="Q88" i="4"/>
  <c r="AK88" i="4" s="1"/>
  <c r="AG88" i="4" s="1"/>
  <c r="P88" i="4"/>
  <c r="AB87" i="4"/>
  <c r="AA87" i="4"/>
  <c r="X87" i="4"/>
  <c r="W87" i="4"/>
  <c r="Q87" i="4"/>
  <c r="AK87" i="4"/>
  <c r="AG87" i="4" s="1"/>
  <c r="P87" i="4"/>
  <c r="AB86" i="4"/>
  <c r="AA86" i="4"/>
  <c r="X86" i="4"/>
  <c r="W86" i="4"/>
  <c r="Q86" i="4"/>
  <c r="AK86" i="4"/>
  <c r="AG86" i="4" s="1"/>
  <c r="P86" i="4"/>
  <c r="AB85" i="4"/>
  <c r="AA85" i="4"/>
  <c r="X85" i="4"/>
  <c r="W85" i="4"/>
  <c r="Q85" i="4"/>
  <c r="AK85" i="4" s="1"/>
  <c r="AG85" i="4" s="1"/>
  <c r="P85" i="4"/>
  <c r="AB84" i="4"/>
  <c r="AA84" i="4"/>
  <c r="X84" i="4"/>
  <c r="W84" i="4"/>
  <c r="Q84" i="4"/>
  <c r="AK84" i="4"/>
  <c r="AG84" i="4" s="1"/>
  <c r="P84" i="4"/>
  <c r="AB83" i="4"/>
  <c r="AA83" i="4"/>
  <c r="X83" i="4"/>
  <c r="W83" i="4"/>
  <c r="Q83" i="4"/>
  <c r="AK83" i="4"/>
  <c r="AG83" i="4" s="1"/>
  <c r="P83" i="4"/>
  <c r="AB82" i="4"/>
  <c r="AA82" i="4"/>
  <c r="X82" i="4"/>
  <c r="W82" i="4"/>
  <c r="Q82" i="4"/>
  <c r="AK82" i="4"/>
  <c r="AG82" i="4" s="1"/>
  <c r="P82" i="4"/>
  <c r="AB81" i="4"/>
  <c r="AA81" i="4"/>
  <c r="X81" i="4"/>
  <c r="W81" i="4"/>
  <c r="Q81" i="4"/>
  <c r="AK81" i="4"/>
  <c r="AG81" i="4" s="1"/>
  <c r="P81" i="4"/>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5" i="3"/>
  <c r="F954" i="3"/>
  <c r="F953" i="3"/>
  <c r="F952" i="3"/>
  <c r="F951" i="3"/>
  <c r="F950" i="3"/>
  <c r="F949" i="3"/>
  <c r="F948" i="3"/>
  <c r="F947" i="3"/>
  <c r="F946" i="3"/>
  <c r="F944" i="3"/>
  <c r="F943" i="3"/>
  <c r="F942" i="3"/>
  <c r="F941" i="3"/>
  <c r="F940" i="3"/>
  <c r="F939"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8" i="3"/>
  <c r="F857" i="3"/>
  <c r="F856" i="3"/>
  <c r="F855" i="3"/>
  <c r="F854" i="3"/>
  <c r="F853" i="3"/>
  <c r="F852" i="3"/>
  <c r="F851" i="3"/>
  <c r="F850" i="3"/>
  <c r="F849" i="3"/>
  <c r="F848" i="3"/>
  <c r="F847" i="3"/>
  <c r="F846" i="3"/>
  <c r="F845" i="3"/>
  <c r="F844" i="3"/>
  <c r="F843" i="3"/>
  <c r="F841" i="3"/>
  <c r="F840" i="3"/>
  <c r="F839" i="3"/>
  <c r="F838" i="3"/>
  <c r="F837" i="3"/>
  <c r="F836" i="3"/>
  <c r="F835" i="3"/>
  <c r="F833" i="3"/>
  <c r="F832" i="3"/>
  <c r="F831" i="3"/>
  <c r="F830" i="3"/>
  <c r="F829" i="3"/>
  <c r="F828" i="3"/>
  <c r="F827" i="3"/>
  <c r="F826" i="3"/>
  <c r="F824" i="3"/>
  <c r="F821" i="3"/>
  <c r="F820" i="3"/>
  <c r="F819" i="3"/>
  <c r="F818" i="3"/>
  <c r="F816" i="3"/>
  <c r="F815" i="3"/>
  <c r="F814"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8" i="3"/>
  <c r="F777" i="3"/>
  <c r="F775" i="3"/>
  <c r="F774" i="3"/>
  <c r="F773" i="3"/>
  <c r="F772" i="3"/>
  <c r="F771" i="3"/>
  <c r="F770" i="3"/>
  <c r="F769" i="3"/>
  <c r="F768" i="3"/>
  <c r="F760" i="3"/>
  <c r="F759" i="3"/>
  <c r="F758" i="3"/>
  <c r="F757" i="3"/>
  <c r="F756" i="3"/>
  <c r="F755" i="3"/>
  <c r="F754" i="3"/>
  <c r="F753" i="3"/>
  <c r="F752" i="3"/>
  <c r="F751" i="3"/>
  <c r="F750" i="3"/>
  <c r="F749" i="3"/>
  <c r="F748" i="3"/>
  <c r="F747" i="3"/>
  <c r="F746" i="3"/>
  <c r="F745" i="3"/>
  <c r="F743" i="3"/>
  <c r="F742" i="3"/>
  <c r="F741" i="3"/>
  <c r="F740" i="3"/>
  <c r="F739" i="3"/>
  <c r="F738" i="3"/>
  <c r="F737" i="3"/>
  <c r="F736" i="3"/>
  <c r="F735" i="3"/>
  <c r="F734" i="3"/>
  <c r="F733" i="3"/>
  <c r="F732" i="3"/>
  <c r="F731" i="3"/>
  <c r="F730" i="3"/>
  <c r="F729" i="3"/>
  <c r="F728" i="3"/>
  <c r="F727" i="3"/>
  <c r="F726" i="3"/>
  <c r="F725" i="3"/>
  <c r="F724" i="3"/>
  <c r="F723" i="3"/>
  <c r="F722" i="3"/>
  <c r="F720" i="3"/>
  <c r="F719" i="3"/>
  <c r="F718" i="3"/>
  <c r="F717" i="3"/>
  <c r="F716" i="3"/>
  <c r="F715" i="3"/>
  <c r="F714" i="3"/>
  <c r="F713" i="3"/>
  <c r="F712" i="3"/>
  <c r="F711" i="3"/>
  <c r="F710" i="3"/>
  <c r="F707" i="3"/>
  <c r="F706" i="3"/>
  <c r="F705" i="3"/>
  <c r="F704" i="3"/>
  <c r="F703" i="3"/>
  <c r="F702" i="3"/>
  <c r="F701" i="3"/>
  <c r="F700" i="3"/>
  <c r="F699" i="3"/>
  <c r="F698" i="3"/>
  <c r="F697" i="3"/>
  <c r="F696" i="3"/>
  <c r="F695" i="3"/>
  <c r="F694" i="3"/>
  <c r="F693" i="3"/>
  <c r="F692" i="3"/>
  <c r="F691" i="3"/>
  <c r="F690" i="3"/>
  <c r="F689" i="3"/>
  <c r="F688" i="3"/>
  <c r="F687" i="3"/>
  <c r="F686" i="3"/>
  <c r="F685" i="3"/>
  <c r="F683" i="3"/>
  <c r="F682" i="3"/>
  <c r="F681" i="3"/>
  <c r="F680" i="3"/>
  <c r="F679" i="3"/>
  <c r="F677" i="3"/>
  <c r="F676" i="3"/>
  <c r="F675" i="3"/>
  <c r="F674" i="3"/>
  <c r="F673" i="3"/>
  <c r="F672" i="3"/>
  <c r="F671" i="3"/>
  <c r="F670" i="3"/>
  <c r="F669" i="3"/>
  <c r="F668" i="3"/>
  <c r="F667" i="3"/>
  <c r="F666" i="3"/>
  <c r="F665" i="3"/>
  <c r="F664" i="3"/>
  <c r="F659" i="3"/>
  <c r="F658" i="3"/>
  <c r="F657" i="3"/>
  <c r="F656" i="3"/>
  <c r="F649" i="3"/>
  <c r="F648" i="3"/>
  <c r="F647" i="3"/>
  <c r="F646" i="3"/>
  <c r="F644" i="3"/>
  <c r="F642" i="3"/>
  <c r="F641" i="3"/>
  <c r="F640" i="3"/>
  <c r="F639" i="3"/>
  <c r="F638" i="3"/>
  <c r="F637" i="3"/>
  <c r="F636" i="3"/>
  <c r="F635" i="3"/>
  <c r="F634" i="3"/>
  <c r="F627" i="3"/>
  <c r="F626" i="3"/>
  <c r="F624" i="3"/>
  <c r="F623" i="3"/>
  <c r="F622" i="3"/>
  <c r="F621" i="3"/>
  <c r="F620" i="3"/>
  <c r="F619" i="3"/>
  <c r="F617" i="3"/>
  <c r="F616" i="3"/>
  <c r="F615" i="3"/>
  <c r="F614" i="3"/>
  <c r="F613" i="3"/>
  <c r="F612" i="3"/>
  <c r="F611" i="3"/>
  <c r="F610" i="3"/>
  <c r="F609" i="3"/>
  <c r="F608" i="3"/>
  <c r="F607" i="3"/>
  <c r="F606" i="3"/>
  <c r="F605" i="3"/>
  <c r="F604" i="3"/>
  <c r="F603" i="3"/>
  <c r="F602" i="3"/>
  <c r="F601" i="3"/>
  <c r="F600" i="3"/>
  <c r="F599" i="3"/>
  <c r="F598" i="3"/>
  <c r="F593" i="3"/>
  <c r="F591" i="3"/>
  <c r="F590" i="3"/>
  <c r="F589" i="3"/>
  <c r="F588" i="3"/>
  <c r="F587" i="3"/>
  <c r="F586" i="3"/>
  <c r="F585" i="3"/>
  <c r="F584" i="3"/>
  <c r="F583" i="3"/>
  <c r="F582" i="3"/>
  <c r="F581" i="3"/>
  <c r="F579" i="3"/>
  <c r="F577" i="3"/>
  <c r="F572" i="3"/>
  <c r="F564" i="3"/>
  <c r="F563" i="3"/>
  <c r="F562" i="3"/>
  <c r="F561" i="3"/>
  <c r="F560" i="3"/>
  <c r="F559" i="3"/>
  <c r="F553" i="3"/>
  <c r="F552" i="3"/>
  <c r="F551" i="3"/>
  <c r="F550" i="3"/>
  <c r="F549" i="3"/>
  <c r="F548" i="3"/>
  <c r="F547" i="3"/>
  <c r="F546" i="3"/>
  <c r="F545" i="3"/>
  <c r="F540" i="3"/>
  <c r="F537" i="3"/>
  <c r="F536" i="3"/>
  <c r="F534" i="3"/>
  <c r="F530" i="3"/>
  <c r="F529" i="3"/>
  <c r="F528" i="3"/>
  <c r="F527" i="3"/>
  <c r="F526" i="3"/>
  <c r="F525" i="3"/>
  <c r="F523" i="3"/>
  <c r="F522" i="3"/>
  <c r="F521" i="3"/>
  <c r="F520" i="3"/>
  <c r="F519" i="3"/>
  <c r="F518" i="3"/>
  <c r="F517" i="3"/>
  <c r="F516" i="3"/>
  <c r="F515" i="3"/>
  <c r="F514" i="3"/>
  <c r="F513" i="3"/>
  <c r="F512" i="3"/>
  <c r="F511" i="3"/>
  <c r="F510" i="3"/>
  <c r="F509" i="3"/>
  <c r="F508" i="3"/>
  <c r="F507" i="3"/>
  <c r="F506" i="3"/>
  <c r="F505" i="3"/>
  <c r="F504" i="3"/>
  <c r="F502" i="3"/>
  <c r="F500" i="3"/>
  <c r="F499" i="3"/>
  <c r="F497" i="3"/>
  <c r="F496" i="3"/>
  <c r="F494" i="3"/>
  <c r="F493" i="3"/>
  <c r="F492" i="3"/>
  <c r="F491" i="3"/>
  <c r="F490" i="3"/>
  <c r="F489" i="3"/>
  <c r="F488" i="3"/>
  <c r="F487" i="3"/>
  <c r="F486" i="3"/>
  <c r="F485" i="3"/>
  <c r="F484" i="3"/>
  <c r="F483" i="3"/>
  <c r="F482" i="3"/>
  <c r="F481" i="3"/>
  <c r="F480" i="3"/>
  <c r="F479" i="3"/>
  <c r="F477" i="3"/>
  <c r="F475" i="3"/>
  <c r="F474" i="3"/>
  <c r="F473" i="3"/>
  <c r="F471" i="3"/>
  <c r="F470" i="3"/>
  <c r="F469" i="3"/>
  <c r="F468" i="3"/>
  <c r="F467" i="3"/>
  <c r="F466" i="3"/>
  <c r="F465" i="3"/>
  <c r="F464" i="3"/>
  <c r="F463" i="3"/>
  <c r="F462" i="3"/>
  <c r="F461" i="3"/>
  <c r="F459" i="3"/>
  <c r="F458" i="3"/>
  <c r="F457" i="3"/>
  <c r="F456" i="3"/>
  <c r="F455" i="3"/>
  <c r="F454" i="3"/>
  <c r="F453" i="3"/>
  <c r="F452" i="3"/>
  <c r="F451" i="3"/>
  <c r="F450" i="3"/>
  <c r="F449" i="3"/>
  <c r="F448" i="3"/>
  <c r="F447" i="3"/>
  <c r="F446" i="3"/>
  <c r="F445" i="3"/>
  <c r="F444" i="3"/>
  <c r="F443" i="3"/>
  <c r="F442" i="3"/>
  <c r="F441" i="3"/>
  <c r="F440" i="3"/>
  <c r="F439" i="3"/>
  <c r="F438" i="3"/>
  <c r="F437" i="3"/>
  <c r="F436" i="3"/>
  <c r="F434" i="3"/>
  <c r="F433" i="3"/>
  <c r="F432" i="3"/>
  <c r="F431" i="3"/>
  <c r="F430" i="3"/>
  <c r="F429" i="3"/>
  <c r="F425" i="3"/>
  <c r="F424" i="3"/>
  <c r="F423" i="3"/>
  <c r="F422" i="3"/>
  <c r="F421" i="3"/>
  <c r="F420" i="3"/>
  <c r="F419" i="3"/>
  <c r="F418" i="3"/>
  <c r="F417" i="3"/>
  <c r="F416" i="3"/>
  <c r="F415" i="3"/>
  <c r="F414" i="3"/>
  <c r="F413" i="3"/>
  <c r="F412" i="3"/>
  <c r="F411" i="3"/>
  <c r="F410" i="3"/>
  <c r="F409" i="3"/>
  <c r="F408" i="3"/>
  <c r="F407" i="3"/>
  <c r="F405" i="3"/>
  <c r="F404" i="3"/>
  <c r="F403" i="3"/>
  <c r="F402" i="3"/>
  <c r="F400" i="3"/>
  <c r="F399" i="3"/>
  <c r="F398" i="3"/>
  <c r="F397" i="3"/>
  <c r="F396" i="3"/>
  <c r="F395" i="3"/>
  <c r="F394" i="3"/>
  <c r="F392" i="3"/>
  <c r="F391" i="3"/>
  <c r="F390" i="3"/>
  <c r="F389" i="3"/>
  <c r="F388" i="3"/>
  <c r="F387" i="3"/>
  <c r="F386" i="3"/>
  <c r="F385" i="3"/>
  <c r="F384" i="3"/>
  <c r="F383" i="3"/>
  <c r="F382" i="3"/>
  <c r="F360" i="3"/>
  <c r="F359" i="3"/>
  <c r="F357" i="3"/>
  <c r="F355" i="3"/>
  <c r="F354" i="3"/>
  <c r="F352" i="3"/>
  <c r="F351" i="3"/>
  <c r="F350" i="3"/>
  <c r="F349" i="3"/>
  <c r="F348" i="3"/>
  <c r="F347" i="3"/>
  <c r="F346" i="3"/>
  <c r="F345" i="3"/>
  <c r="F344" i="3"/>
  <c r="F343" i="3"/>
  <c r="F342" i="3"/>
  <c r="F341" i="3"/>
  <c r="F339" i="3"/>
  <c r="F338" i="3"/>
  <c r="F336" i="3"/>
  <c r="F335" i="3"/>
  <c r="F333" i="3"/>
  <c r="F332" i="3"/>
  <c r="F331" i="3"/>
  <c r="F330" i="3"/>
  <c r="F329" i="3"/>
  <c r="F328" i="3"/>
  <c r="F327" i="3"/>
  <c r="F326" i="3"/>
  <c r="F325" i="3"/>
  <c r="F324" i="3"/>
  <c r="F323" i="3"/>
  <c r="F322" i="3"/>
  <c r="F321" i="3"/>
  <c r="F320" i="3"/>
  <c r="F316" i="3"/>
  <c r="F315" i="3"/>
  <c r="F314" i="3"/>
  <c r="F313" i="3"/>
  <c r="F312" i="3"/>
  <c r="F311" i="3"/>
  <c r="F310" i="3"/>
  <c r="F309" i="3"/>
  <c r="F307" i="3"/>
  <c r="F306" i="3"/>
  <c r="F305" i="3"/>
  <c r="F304" i="3"/>
  <c r="F303" i="3"/>
  <c r="F302" i="3"/>
  <c r="F301" i="3"/>
  <c r="F300" i="3"/>
  <c r="F299" i="3"/>
  <c r="F297" i="3"/>
  <c r="F296" i="3"/>
  <c r="F295" i="3"/>
  <c r="F294" i="3"/>
  <c r="F279" i="3"/>
  <c r="F277" i="3"/>
  <c r="F276" i="3"/>
  <c r="F275" i="3"/>
  <c r="F274" i="3"/>
  <c r="F273" i="3"/>
  <c r="F267" i="3"/>
  <c r="F266" i="3"/>
  <c r="F265" i="3"/>
  <c r="F264" i="3"/>
  <c r="F263" i="3"/>
  <c r="F262" i="3"/>
  <c r="F261" i="3"/>
  <c r="F260" i="3"/>
  <c r="F259" i="3"/>
  <c r="F258" i="3"/>
  <c r="F257" i="3"/>
  <c r="F256" i="3"/>
  <c r="F253" i="3"/>
  <c r="F252" i="3"/>
  <c r="F251" i="3"/>
  <c r="F249" i="3"/>
  <c r="F248" i="3"/>
  <c r="F247" i="3"/>
  <c r="F245" i="3"/>
  <c r="F244" i="3"/>
  <c r="F243" i="3"/>
  <c r="F242" i="3"/>
  <c r="F241" i="3"/>
  <c r="F240" i="3"/>
  <c r="F239" i="3"/>
  <c r="F238" i="3"/>
  <c r="F226" i="3"/>
  <c r="F225" i="3"/>
  <c r="F224" i="3"/>
  <c r="F223" i="3"/>
  <c r="F221" i="3"/>
  <c r="F220" i="3"/>
  <c r="F219" i="3"/>
  <c r="F218" i="3"/>
  <c r="F217" i="3"/>
  <c r="F216" i="3"/>
  <c r="F215" i="3"/>
  <c r="F214" i="3"/>
  <c r="F213" i="3"/>
  <c r="F212" i="3"/>
  <c r="F206" i="3"/>
  <c r="F205" i="3"/>
  <c r="F204" i="3"/>
  <c r="F203" i="3"/>
  <c r="F201" i="3"/>
  <c r="F200" i="3"/>
  <c r="F199" i="3"/>
  <c r="F184" i="3"/>
  <c r="F183" i="3"/>
  <c r="F182" i="3"/>
  <c r="F181" i="3"/>
  <c r="F180" i="3"/>
  <c r="F179" i="3"/>
  <c r="F178" i="3"/>
  <c r="F176" i="3"/>
  <c r="F175" i="3"/>
  <c r="F174" i="3"/>
  <c r="F161" i="3"/>
  <c r="F159" i="3"/>
  <c r="F158" i="3"/>
  <c r="F157" i="3"/>
  <c r="F156" i="3"/>
  <c r="F155" i="3"/>
  <c r="F154" i="3"/>
  <c r="F153" i="3"/>
  <c r="F152" i="3"/>
  <c r="F151" i="3"/>
  <c r="F150" i="3"/>
  <c r="F147" i="3"/>
  <c r="F145" i="3"/>
  <c r="F144" i="3"/>
  <c r="F143" i="3"/>
  <c r="F142" i="3"/>
  <c r="F141" i="3"/>
  <c r="F140" i="3"/>
  <c r="F139"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7" i="3"/>
  <c r="F105" i="3"/>
  <c r="F102" i="3"/>
  <c r="F101" i="3"/>
  <c r="F100" i="3"/>
  <c r="F96" i="3"/>
  <c r="F93" i="3"/>
  <c r="F92" i="3"/>
  <c r="F91" i="3"/>
  <c r="F90" i="3"/>
  <c r="F89" i="3"/>
  <c r="F88" i="3"/>
  <c r="F87" i="3"/>
  <c r="F86" i="3"/>
  <c r="F85" i="3"/>
  <c r="F84" i="3"/>
  <c r="F83" i="3"/>
  <c r="F82" i="3"/>
  <c r="F81" i="3"/>
  <c r="F80" i="3"/>
  <c r="F79" i="3"/>
  <c r="F77" i="3"/>
  <c r="F76" i="3"/>
  <c r="F75" i="3"/>
  <c r="F74" i="3"/>
  <c r="F73" i="3"/>
  <c r="F72" i="3"/>
  <c r="F71" i="3"/>
  <c r="F70" i="3"/>
  <c r="F69" i="3"/>
  <c r="F67" i="3"/>
  <c r="F66" i="3"/>
  <c r="F65" i="3"/>
  <c r="F64" i="3"/>
  <c r="F59" i="3"/>
  <c r="F56" i="3"/>
  <c r="F55" i="3"/>
  <c r="F54" i="3"/>
  <c r="F53" i="3"/>
  <c r="F51" i="3"/>
  <c r="F50" i="3"/>
  <c r="F49" i="3"/>
  <c r="F48" i="3"/>
  <c r="F47" i="3"/>
  <c r="F46" i="3"/>
  <c r="F45" i="3"/>
  <c r="F44" i="3"/>
  <c r="F43" i="3"/>
  <c r="F42" i="3"/>
  <c r="F41" i="3"/>
  <c r="F38" i="3"/>
  <c r="F37" i="3"/>
  <c r="F36" i="3"/>
  <c r="F35" i="3"/>
  <c r="F34" i="3"/>
  <c r="F33" i="3"/>
  <c r="F32" i="3"/>
  <c r="F31" i="3"/>
  <c r="F30" i="3"/>
  <c r="F29" i="3"/>
  <c r="F28" i="3"/>
  <c r="F26" i="3"/>
  <c r="F25" i="3"/>
  <c r="F23" i="3"/>
  <c r="F22" i="3"/>
  <c r="F21" i="3"/>
  <c r="F20" i="3"/>
  <c r="F19" i="3"/>
  <c r="F18" i="3"/>
  <c r="F17" i="3"/>
  <c r="F16" i="3"/>
  <c r="F15" i="3"/>
  <c r="F14" i="3"/>
  <c r="F13" i="3"/>
  <c r="F12" i="3"/>
  <c r="F11" i="3"/>
  <c r="F10" i="3"/>
  <c r="F9" i="3"/>
  <c r="F8" i="3"/>
  <c r="F7" i="3"/>
  <c r="F6" i="3"/>
  <c r="F5" i="3"/>
  <c r="F4" i="3"/>
  <c r="F3" i="3"/>
  <c r="F2" i="3"/>
  <c r="D2" i="3"/>
  <c r="AL29" i="5"/>
  <c r="AH29" i="5" s="1"/>
  <c r="AI39" i="5"/>
  <c r="AL39" i="5"/>
  <c r="AH39" i="5" s="1"/>
  <c r="AI40" i="5"/>
  <c r="AL40" i="5"/>
  <c r="AH40" i="5" s="1"/>
  <c r="AI43" i="5"/>
  <c r="AI44" i="5"/>
  <c r="AL44" i="5"/>
  <c r="AH44" i="5" s="1"/>
  <c r="AI47" i="5"/>
  <c r="AL47" i="5"/>
  <c r="AH47" i="5" s="1"/>
  <c r="AI48" i="5"/>
  <c r="AI51" i="5"/>
  <c r="AI52" i="5"/>
  <c r="AI55" i="5"/>
  <c r="AI56" i="5"/>
  <c r="AL56" i="5"/>
  <c r="AH56" i="5" s="1"/>
  <c r="AI59" i="5"/>
  <c r="AI60" i="5"/>
  <c r="AI63" i="5"/>
  <c r="AI64" i="5"/>
  <c r="AL64" i="5"/>
  <c r="AH64" i="5" s="1"/>
  <c r="AI67" i="5"/>
  <c r="AI68" i="5"/>
  <c r="AI71" i="5"/>
  <c r="AI72" i="5"/>
  <c r="AI75" i="5"/>
  <c r="AI76" i="5"/>
  <c r="AI79" i="5"/>
  <c r="AI80" i="5"/>
  <c r="AI83" i="5"/>
  <c r="AI84" i="5"/>
  <c r="AL84" i="5"/>
  <c r="AH84" i="5" s="1"/>
  <c r="AI87" i="5"/>
  <c r="AI88" i="5"/>
  <c r="AI91" i="5"/>
  <c r="AI92" i="5"/>
  <c r="AL92" i="5"/>
  <c r="AH92" i="5" s="1"/>
  <c r="AI95" i="5"/>
  <c r="AL95" i="5"/>
  <c r="AH95" i="5" s="1"/>
  <c r="AI96" i="5"/>
  <c r="AI99" i="5"/>
  <c r="AI100" i="5"/>
  <c r="AI103" i="5"/>
  <c r="AL103" i="5"/>
  <c r="AH103" i="5" s="1"/>
  <c r="AI104" i="5"/>
  <c r="AI107" i="5"/>
  <c r="AI108" i="5"/>
  <c r="AL108" i="5"/>
  <c r="AH108" i="5" s="1"/>
  <c r="AI111" i="5"/>
  <c r="AL111" i="5"/>
  <c r="AH111" i="5" s="1"/>
  <c r="AI112" i="5"/>
  <c r="AL112" i="5"/>
  <c r="AH112" i="5" s="1"/>
  <c r="AI115" i="5"/>
  <c r="AI116" i="5"/>
  <c r="AI119" i="5"/>
  <c r="AI120" i="5"/>
  <c r="AL120" i="5"/>
  <c r="AH120" i="5" s="1"/>
  <c r="AI123" i="5"/>
  <c r="AI124" i="5"/>
  <c r="AI127" i="5"/>
  <c r="AL127" i="5"/>
  <c r="AH127" i="5" s="1"/>
  <c r="AI128" i="5"/>
  <c r="AL128" i="5"/>
  <c r="AH128" i="5" s="1"/>
  <c r="AI131" i="5"/>
  <c r="AI132" i="5"/>
  <c r="AL132" i="5"/>
  <c r="AH132" i="5" s="1"/>
  <c r="AI135" i="5"/>
  <c r="AI136" i="5"/>
  <c r="AI139" i="5"/>
  <c r="AI140" i="5"/>
  <c r="AL140" i="5"/>
  <c r="AH140" i="5" s="1"/>
  <c r="AI143" i="5"/>
  <c r="AL143" i="5"/>
  <c r="AH143" i="5" s="1"/>
  <c r="AI144" i="5"/>
  <c r="AI147" i="5"/>
  <c r="AI148" i="5"/>
  <c r="AI151" i="5"/>
  <c r="AL151" i="5"/>
  <c r="AH151" i="5" s="1"/>
  <c r="AI152" i="5"/>
  <c r="AI155" i="5"/>
  <c r="AI156" i="5"/>
  <c r="AL156" i="5"/>
  <c r="AH156" i="5" s="1"/>
  <c r="AI159" i="5"/>
  <c r="AL159" i="5"/>
  <c r="AH159" i="5" s="1"/>
  <c r="AI160" i="5"/>
  <c r="AI163" i="5"/>
  <c r="AI164" i="5"/>
  <c r="AI167" i="5"/>
  <c r="AL167" i="5"/>
  <c r="AH167" i="5" s="1"/>
  <c r="AI168" i="5"/>
  <c r="AI171" i="5"/>
  <c r="AI172" i="5"/>
  <c r="AI175" i="5"/>
  <c r="AL175" i="5"/>
  <c r="AH175" i="5" s="1"/>
  <c r="AI176" i="5"/>
  <c r="AL176" i="5"/>
  <c r="AH176" i="5" s="1"/>
  <c r="BU106" i="6"/>
  <c r="BX106" i="6" s="1"/>
  <c r="BU110" i="6"/>
  <c r="BX110" i="6" s="1"/>
  <c r="BU114" i="6"/>
  <c r="BX114" i="6" s="1"/>
  <c r="BU118" i="6"/>
  <c r="BX118" i="6" s="1"/>
  <c r="BU153" i="6"/>
  <c r="BX153" i="6" s="1"/>
  <c r="BU167" i="6"/>
  <c r="BX167" i="6" s="1"/>
  <c r="BY64" i="6"/>
  <c r="BV66" i="6"/>
  <c r="BY65" i="6"/>
  <c r="BY67" i="6"/>
  <c r="BY72" i="6"/>
  <c r="BY74" i="6"/>
  <c r="BV83" i="6"/>
  <c r="BV86" i="6"/>
  <c r="BV95" i="6"/>
  <c r="BV99" i="6"/>
  <c r="BY105" i="6"/>
  <c r="BU105" i="6"/>
  <c r="BX105" i="6" s="1"/>
  <c r="BV106" i="6"/>
  <c r="BV107" i="6"/>
  <c r="BY109" i="6"/>
  <c r="BV110" i="6"/>
  <c r="BV111" i="6"/>
  <c r="BU113" i="6"/>
  <c r="BX113" i="6" s="1"/>
  <c r="BV115" i="6"/>
  <c r="BY117" i="6"/>
  <c r="BV118" i="6"/>
  <c r="BV119" i="6"/>
  <c r="BV76" i="6"/>
  <c r="BV93" i="6"/>
  <c r="BV100" i="6"/>
  <c r="BY103" i="6"/>
  <c r="BV104" i="6"/>
  <c r="BV105" i="6"/>
  <c r="BY107" i="6"/>
  <c r="BY111" i="6"/>
  <c r="BV112" i="6"/>
  <c r="BV113" i="6"/>
  <c r="BY115" i="6"/>
  <c r="BV116" i="6"/>
  <c r="BY119" i="6"/>
  <c r="BY104" i="6"/>
  <c r="BY106" i="6"/>
  <c r="BY108" i="6"/>
  <c r="BY112" i="6"/>
  <c r="BY114" i="6"/>
  <c r="BY116" i="6"/>
  <c r="BY118" i="6"/>
  <c r="BY121" i="6"/>
  <c r="BY125" i="6"/>
  <c r="BY127" i="6"/>
  <c r="BV138" i="6"/>
  <c r="BV142" i="6"/>
  <c r="BY144" i="6"/>
  <c r="BV145" i="6"/>
  <c r="BY148" i="6"/>
  <c r="BY152" i="6"/>
  <c r="BV153" i="6"/>
  <c r="BY156" i="6"/>
  <c r="BV157" i="6"/>
  <c r="BV121" i="6"/>
  <c r="BU122" i="6"/>
  <c r="BX122" i="6" s="1"/>
  <c r="BV123" i="6"/>
  <c r="BV127" i="6"/>
  <c r="BU128" i="6"/>
  <c r="BX128" i="6" s="1"/>
  <c r="BU130" i="6"/>
  <c r="BX130" i="6" s="1"/>
  <c r="BV132" i="6"/>
  <c r="BY134" i="6"/>
  <c r="BV135" i="6"/>
  <c r="BV136" i="6"/>
  <c r="BY138" i="6"/>
  <c r="BU138" i="6"/>
  <c r="BX138" i="6" s="1"/>
  <c r="BY142" i="6"/>
  <c r="BV144" i="6"/>
  <c r="BY146" i="6"/>
  <c r="BV147" i="6"/>
  <c r="BV148" i="6"/>
  <c r="BY154" i="6"/>
  <c r="BV156" i="6"/>
  <c r="BY133" i="6"/>
  <c r="BY137" i="6"/>
  <c r="BY143" i="6"/>
  <c r="BY145" i="6"/>
  <c r="BY151" i="6"/>
  <c r="BY153" i="6"/>
  <c r="BY157" i="6"/>
  <c r="BY162" i="6"/>
  <c r="BU162" i="6"/>
  <c r="BX162" i="6" s="1"/>
  <c r="BV168" i="6"/>
  <c r="BY174" i="6"/>
  <c r="BV175" i="6"/>
  <c r="BY178" i="6"/>
  <c r="BY161" i="6"/>
  <c r="BV165" i="6"/>
  <c r="BU165" i="6"/>
  <c r="BX165" i="6" s="1"/>
  <c r="BY168" i="6"/>
  <c r="BV169" i="6"/>
  <c r="BV174" i="6"/>
  <c r="BY176" i="6"/>
  <c r="BV177" i="6"/>
  <c r="BY163" i="6"/>
  <c r="BY165" i="6"/>
  <c r="BY169" i="6"/>
  <c r="BY175" i="6"/>
  <c r="BV182" i="6"/>
  <c r="BU185" i="6"/>
  <c r="BX185" i="6" s="1"/>
  <c r="BY185" i="6"/>
  <c r="BV186" i="6"/>
  <c r="BV187" i="6"/>
  <c r="BY188" i="6"/>
  <c r="BV189" i="6"/>
  <c r="BY190" i="6"/>
  <c r="BV193" i="6"/>
  <c r="BY194" i="6"/>
  <c r="BU194" i="6"/>
  <c r="BX194" i="6" s="1"/>
  <c r="BV195" i="6"/>
  <c r="BY196" i="6"/>
  <c r="BV197" i="6"/>
  <c r="BY198" i="6"/>
  <c r="BV180" i="6"/>
  <c r="BV181" i="6"/>
  <c r="BY183" i="6"/>
  <c r="BV184" i="6"/>
  <c r="BV185" i="6"/>
  <c r="BU187" i="6"/>
  <c r="BX187" i="6" s="1"/>
  <c r="BY189" i="6"/>
  <c r="BV192" i="6"/>
  <c r="BY193" i="6"/>
  <c r="BV194" i="6"/>
  <c r="BU195" i="6"/>
  <c r="BX195" i="6" s="1"/>
  <c r="BY197" i="6"/>
  <c r="BU184" i="6"/>
  <c r="BX184" i="6" s="1"/>
  <c r="BJ725" i="2"/>
  <c r="BI725" i="2"/>
  <c r="BI708" i="2"/>
  <c r="AO74" i="6"/>
  <c r="BV67" i="6"/>
  <c r="BU75" i="6"/>
  <c r="BX75" i="6" s="1"/>
  <c r="BV64" i="6"/>
  <c r="AO65" i="6"/>
  <c r="BX65" i="6"/>
  <c r="AO67" i="6"/>
  <c r="AO68" i="6"/>
  <c r="AO70" i="6"/>
  <c r="BU70" i="6" s="1"/>
  <c r="BX70" i="6" s="1"/>
  <c r="AP134" i="6"/>
  <c r="CA134" i="6" s="1"/>
  <c r="AO134" i="6"/>
  <c r="BU134" i="6" s="1"/>
  <c r="BX134" i="6" s="1"/>
  <c r="AP143" i="6"/>
  <c r="CA143" i="6" s="1"/>
  <c r="AP152" i="6"/>
  <c r="CA152" i="6" s="1"/>
  <c r="AO152" i="6"/>
  <c r="BU152" i="6"/>
  <c r="BX152" i="6" s="1"/>
  <c r="AP137" i="6"/>
  <c r="CA137" i="6" s="1"/>
  <c r="AO137" i="6"/>
  <c r="BU137" i="6"/>
  <c r="BX137" i="6" s="1"/>
  <c r="AP155" i="6"/>
  <c r="CA155" i="6" s="1"/>
  <c r="AO155" i="6"/>
  <c r="AP131" i="6"/>
  <c r="AO131" i="6"/>
  <c r="BU131" i="6" s="1"/>
  <c r="BX131" i="6" s="1"/>
  <c r="AP140" i="6"/>
  <c r="AO140" i="6"/>
  <c r="AO149" i="6"/>
  <c r="BU149" i="6" s="1"/>
  <c r="BX149" i="6" s="1"/>
  <c r="AP158" i="6"/>
  <c r="AO158" i="6"/>
  <c r="AP183" i="6"/>
  <c r="CA183" i="6" s="1"/>
  <c r="AO183" i="6"/>
  <c r="AO133" i="6"/>
  <c r="BU133" i="6" s="1"/>
  <c r="BX133" i="6" s="1"/>
  <c r="AO136" i="6"/>
  <c r="AO145" i="6"/>
  <c r="BU145" i="6" s="1"/>
  <c r="BX145" i="6" s="1"/>
  <c r="AO148" i="6"/>
  <c r="BU148" i="6" s="1"/>
  <c r="BX148" i="6" s="1"/>
  <c r="BU151" i="6"/>
  <c r="BX151" i="6" s="1"/>
  <c r="AO157" i="6"/>
  <c r="BU157" i="6" s="1"/>
  <c r="BX157" i="6" s="1"/>
  <c r="AO186" i="6"/>
  <c r="BU186" i="6" s="1"/>
  <c r="BX186" i="6" s="1"/>
  <c r="AO160" i="6"/>
  <c r="BU160" i="6"/>
  <c r="BX160" i="6" s="1"/>
  <c r="AO181" i="6"/>
  <c r="AO182" i="6"/>
  <c r="BU57" i="6"/>
  <c r="BX57" i="6" s="1"/>
  <c r="CK13" i="2"/>
  <c r="CK9" i="2"/>
  <c r="CK45" i="2"/>
  <c r="BV146" i="6"/>
  <c r="BV143" i="6"/>
  <c r="BV155" i="6"/>
  <c r="BV137" i="6"/>
  <c r="BV134" i="6"/>
  <c r="CM549" i="2" l="1"/>
  <c r="CH639" i="2"/>
  <c r="CI639" i="2" s="1"/>
  <c r="CH276" i="2"/>
  <c r="CI276" i="2" s="1"/>
  <c r="CH328" i="2"/>
  <c r="CI328" i="2" s="1"/>
  <c r="CH700" i="2"/>
  <c r="CI700" i="2" s="1"/>
  <c r="CM500" i="2"/>
  <c r="CM615" i="2"/>
  <c r="CH403" i="2"/>
  <c r="CI403" i="2" s="1"/>
  <c r="CM255" i="2"/>
  <c r="CH255" i="2"/>
  <c r="CI255" i="2" s="1"/>
  <c r="AK34" i="4"/>
  <c r="AG34" i="4" s="1"/>
  <c r="AK43" i="4"/>
  <c r="AG43" i="4" s="1"/>
  <c r="CH979" i="2"/>
  <c r="CI979" i="2" s="1"/>
  <c r="CM187" i="2"/>
  <c r="CH187" i="2"/>
  <c r="CI187" i="2" s="1"/>
  <c r="AK14" i="4"/>
  <c r="AG14" i="4" s="1"/>
  <c r="CH591" i="2"/>
  <c r="CI591" i="2" s="1"/>
  <c r="CM590" i="2"/>
  <c r="CH590" i="2"/>
  <c r="CI590" i="2" s="1"/>
  <c r="CM411" i="2"/>
  <c r="CM688" i="2"/>
  <c r="CH688" i="2"/>
  <c r="CI688" i="2" s="1"/>
  <c r="CH647" i="2"/>
  <c r="CI647" i="2" s="1"/>
  <c r="CM387" i="2"/>
  <c r="CH387" i="2"/>
  <c r="CI387" i="2" s="1"/>
  <c r="CM597" i="2"/>
  <c r="CH597" i="2"/>
  <c r="CI597" i="2" s="1"/>
  <c r="CH534" i="2"/>
  <c r="CI534" i="2" s="1"/>
  <c r="CM534" i="2"/>
  <c r="CM263" i="2"/>
  <c r="CH263" i="2"/>
  <c r="CI263" i="2" s="1"/>
  <c r="CM550" i="2"/>
  <c r="CH550" i="2"/>
  <c r="CI550" i="2" s="1"/>
  <c r="CM605" i="2"/>
  <c r="CH605" i="2"/>
  <c r="CI605" i="2" s="1"/>
  <c r="CM386" i="2"/>
  <c r="CH386" i="2"/>
  <c r="CI386" i="2" s="1"/>
  <c r="CM432" i="2"/>
  <c r="CH432" i="2"/>
  <c r="CI432" i="2" s="1"/>
  <c r="CH274" i="2"/>
  <c r="CI274" i="2" s="1"/>
  <c r="CM274" i="2"/>
  <c r="CM325" i="2"/>
  <c r="CH325" i="2"/>
  <c r="CI325" i="2" s="1"/>
  <c r="CM625" i="2"/>
  <c r="CH625" i="2"/>
  <c r="CI625" i="2" s="1"/>
  <c r="CM180" i="2"/>
  <c r="CH180" i="2"/>
  <c r="CI180" i="2" s="1"/>
  <c r="CM339" i="2"/>
  <c r="CH339" i="2"/>
  <c r="CI339" i="2" s="1"/>
  <c r="CM633" i="2"/>
  <c r="CH633" i="2"/>
  <c r="CI633" i="2" s="1"/>
  <c r="CM395" i="2"/>
  <c r="CH395" i="2"/>
  <c r="CI395" i="2" s="1"/>
  <c r="CH650" i="2"/>
  <c r="CI650" i="2" s="1"/>
  <c r="CM650" i="2"/>
  <c r="CM363" i="2"/>
  <c r="CH363" i="2"/>
  <c r="CI363" i="2" s="1"/>
  <c r="CM489" i="2"/>
  <c r="CH489" i="2"/>
  <c r="CI489" i="2" s="1"/>
  <c r="CM487" i="2"/>
  <c r="CH487" i="2"/>
  <c r="CI487" i="2" s="1"/>
  <c r="CM424" i="2"/>
  <c r="CH424" i="2"/>
  <c r="CI424" i="2" s="1"/>
  <c r="CM331" i="2"/>
  <c r="CH331" i="2"/>
  <c r="CI331" i="2" s="1"/>
  <c r="CH540" i="2"/>
  <c r="CI540" i="2" s="1"/>
  <c r="CM540" i="2"/>
  <c r="CM558" i="2"/>
  <c r="CH558" i="2"/>
  <c r="CI558" i="2" s="1"/>
  <c r="CM416" i="2"/>
  <c r="CH416" i="2"/>
  <c r="CI416" i="2" s="1"/>
  <c r="CM370" i="2"/>
  <c r="CH370" i="2"/>
  <c r="CI370" i="2" s="1"/>
  <c r="CH662" i="2"/>
  <c r="CI662" i="2" s="1"/>
  <c r="CM662" i="2"/>
  <c r="CH209" i="2"/>
  <c r="CI209" i="2" s="1"/>
  <c r="CM209" i="2"/>
  <c r="CH191" i="2"/>
  <c r="CI191" i="2" s="1"/>
  <c r="CM191" i="2"/>
  <c r="CH249" i="2"/>
  <c r="CI249" i="2" s="1"/>
  <c r="CM249" i="2"/>
  <c r="CH309" i="2"/>
  <c r="CI309" i="2" s="1"/>
  <c r="CM309" i="2"/>
  <c r="CH196" i="2"/>
  <c r="CI196" i="2" s="1"/>
  <c r="CM196" i="2"/>
  <c r="CH298" i="2"/>
  <c r="CI298" i="2" s="1"/>
  <c r="CM298" i="2"/>
  <c r="CH304" i="2"/>
  <c r="CI304" i="2" s="1"/>
  <c r="CM304" i="2"/>
  <c r="CH213" i="2"/>
  <c r="CI213" i="2" s="1"/>
  <c r="CM213" i="2"/>
  <c r="CH312" i="2"/>
  <c r="CI312" i="2" s="1"/>
  <c r="CM312" i="2"/>
  <c r="CH422" i="2"/>
  <c r="CI422" i="2" s="1"/>
  <c r="CM422" i="2"/>
  <c r="CM528" i="2"/>
  <c r="CH528" i="2"/>
  <c r="CI528" i="2" s="1"/>
  <c r="CH461" i="2"/>
  <c r="CI461" i="2" s="1"/>
  <c r="CM461" i="2"/>
  <c r="CH469" i="2"/>
  <c r="CI469" i="2" s="1"/>
  <c r="CM469" i="2"/>
  <c r="CH693" i="2"/>
  <c r="CI693" i="2" s="1"/>
  <c r="CM693" i="2"/>
  <c r="CM684" i="2"/>
  <c r="CH684" i="2"/>
  <c r="CI684" i="2" s="1"/>
  <c r="CM699" i="2"/>
  <c r="CH699" i="2"/>
  <c r="CI699" i="2" s="1"/>
  <c r="CH661" i="2"/>
  <c r="CI661" i="2" s="1"/>
  <c r="CM661" i="2"/>
  <c r="CH571" i="2"/>
  <c r="CI571" i="2" s="1"/>
  <c r="CM571" i="2"/>
  <c r="CH674" i="2"/>
  <c r="CI674" i="2" s="1"/>
  <c r="CM674" i="2"/>
  <c r="CH680" i="2"/>
  <c r="CI680" i="2" s="1"/>
  <c r="CM680" i="2"/>
  <c r="CH225" i="2"/>
  <c r="CI225" i="2" s="1"/>
  <c r="CM225" i="2"/>
  <c r="CH232" i="2"/>
  <c r="CI232" i="2" s="1"/>
  <c r="CM232" i="2"/>
  <c r="CH181" i="2"/>
  <c r="CI181" i="2" s="1"/>
  <c r="CM181" i="2"/>
  <c r="CH246" i="2"/>
  <c r="CI246" i="2" s="1"/>
  <c r="CM246" i="2"/>
  <c r="CH317" i="2"/>
  <c r="CI317" i="2" s="1"/>
  <c r="CM317" i="2"/>
  <c r="CH220" i="2"/>
  <c r="CI220" i="2" s="1"/>
  <c r="CM220" i="2"/>
  <c r="CH306" i="2"/>
  <c r="CI306" i="2" s="1"/>
  <c r="CM306" i="2"/>
  <c r="CH270" i="2"/>
  <c r="CI270" i="2" s="1"/>
  <c r="CM270" i="2"/>
  <c r="CH354" i="2"/>
  <c r="CI354" i="2" s="1"/>
  <c r="CM354" i="2"/>
  <c r="CH360" i="2"/>
  <c r="CI360" i="2" s="1"/>
  <c r="CM360" i="2"/>
  <c r="CH430" i="2"/>
  <c r="CI430" i="2" s="1"/>
  <c r="CM430" i="2"/>
  <c r="CH404" i="2"/>
  <c r="CI404" i="2" s="1"/>
  <c r="CM404" i="2"/>
  <c r="CH410" i="2"/>
  <c r="CI410" i="2" s="1"/>
  <c r="CM410" i="2"/>
  <c r="CH498" i="2"/>
  <c r="CI498" i="2" s="1"/>
  <c r="CM498" i="2"/>
  <c r="CH372" i="2"/>
  <c r="CI372" i="2" s="1"/>
  <c r="CM372" i="2"/>
  <c r="CH478" i="2"/>
  <c r="CI478" i="2" s="1"/>
  <c r="CM478" i="2"/>
  <c r="CH488" i="2"/>
  <c r="CI488" i="2" s="1"/>
  <c r="CM488" i="2"/>
  <c r="CM520" i="2"/>
  <c r="CH520" i="2"/>
  <c r="CI520" i="2" s="1"/>
  <c r="CH574" i="2"/>
  <c r="CI574" i="2" s="1"/>
  <c r="CM574" i="2"/>
  <c r="CM692" i="2"/>
  <c r="CH692" i="2"/>
  <c r="CI692" i="2" s="1"/>
  <c r="CH560" i="2"/>
  <c r="CI560" i="2" s="1"/>
  <c r="CM560" i="2"/>
  <c r="CH690" i="2"/>
  <c r="CI690" i="2" s="1"/>
  <c r="CM690" i="2"/>
  <c r="CH628" i="2"/>
  <c r="CI628" i="2" s="1"/>
  <c r="CM628" i="2"/>
  <c r="CH689" i="2"/>
  <c r="CI689" i="2" s="1"/>
  <c r="CM689" i="2"/>
  <c r="CH620" i="2"/>
  <c r="CI620" i="2" s="1"/>
  <c r="CM620" i="2"/>
  <c r="CH651" i="2"/>
  <c r="CI651" i="2" s="1"/>
  <c r="CM651" i="2"/>
  <c r="CH626" i="2"/>
  <c r="CI626" i="2" s="1"/>
  <c r="CM626" i="2"/>
  <c r="CH672" i="2"/>
  <c r="CI672" i="2" s="1"/>
  <c r="CM672" i="2"/>
  <c r="CM253" i="2"/>
  <c r="CH253" i="2"/>
  <c r="CI253" i="2" s="1"/>
  <c r="CH233" i="2"/>
  <c r="CI233" i="2" s="1"/>
  <c r="CM233" i="2"/>
  <c r="CH257" i="2"/>
  <c r="CI257" i="2" s="1"/>
  <c r="CM257" i="2"/>
  <c r="CH324" i="2"/>
  <c r="CI324" i="2" s="1"/>
  <c r="CM324" i="2"/>
  <c r="CH266" i="2"/>
  <c r="CI266" i="2" s="1"/>
  <c r="CM266" i="2"/>
  <c r="CH280" i="2"/>
  <c r="CI280" i="2" s="1"/>
  <c r="CM280" i="2"/>
  <c r="CH229" i="2"/>
  <c r="CI229" i="2" s="1"/>
  <c r="CM229" i="2"/>
  <c r="CH368" i="2"/>
  <c r="CI368" i="2" s="1"/>
  <c r="CM368" i="2"/>
  <c r="CM513" i="2"/>
  <c r="CH513" i="2"/>
  <c r="CI513" i="2" s="1"/>
  <c r="CH592" i="2"/>
  <c r="CI592" i="2" s="1"/>
  <c r="CM592" i="2"/>
  <c r="CH698" i="2"/>
  <c r="CI698" i="2" s="1"/>
  <c r="CM698" i="2"/>
  <c r="CH584" i="2"/>
  <c r="CI584" i="2" s="1"/>
  <c r="CM584" i="2"/>
  <c r="CM524" i="2"/>
  <c r="CH524" i="2"/>
  <c r="CI524" i="2" s="1"/>
  <c r="CH241" i="2"/>
  <c r="CI241" i="2" s="1"/>
  <c r="CM241" i="2"/>
  <c r="CH206" i="2"/>
  <c r="CI206" i="2" s="1"/>
  <c r="CM206" i="2"/>
  <c r="CH330" i="2"/>
  <c r="CI330" i="2" s="1"/>
  <c r="CM330" i="2"/>
  <c r="CH376" i="2"/>
  <c r="CI376" i="2" s="1"/>
  <c r="CM376" i="2"/>
  <c r="CH426" i="2"/>
  <c r="CI426" i="2" s="1"/>
  <c r="CM426" i="2"/>
  <c r="CM452" i="2"/>
  <c r="CH452" i="2"/>
  <c r="CI452" i="2" s="1"/>
  <c r="CH364" i="2"/>
  <c r="CI364" i="2" s="1"/>
  <c r="CM364" i="2"/>
  <c r="CH494" i="2"/>
  <c r="CI494" i="2" s="1"/>
  <c r="CM494" i="2"/>
  <c r="CH453" i="2"/>
  <c r="CI453" i="2" s="1"/>
  <c r="CM453" i="2"/>
  <c r="CH472" i="2"/>
  <c r="CI472" i="2" s="1"/>
  <c r="CM472" i="2"/>
  <c r="CH545" i="2"/>
  <c r="CI545" i="2" s="1"/>
  <c r="CM545" i="2"/>
  <c r="CH640" i="2"/>
  <c r="CI640" i="2" s="1"/>
  <c r="CM640" i="2"/>
  <c r="CH598" i="2"/>
  <c r="CI598" i="2" s="1"/>
  <c r="CM598" i="2"/>
  <c r="CH587" i="2"/>
  <c r="CI587" i="2" s="1"/>
  <c r="CM587" i="2"/>
  <c r="CM609" i="2"/>
  <c r="CH609" i="2"/>
  <c r="CI609" i="2" s="1"/>
  <c r="CH636" i="2"/>
  <c r="CI636" i="2" s="1"/>
  <c r="CM636" i="2"/>
  <c r="CH627" i="2"/>
  <c r="CI627" i="2" s="1"/>
  <c r="CM627" i="2"/>
  <c r="CH659" i="2"/>
  <c r="CI659" i="2" s="1"/>
  <c r="CM659" i="2"/>
  <c r="CH634" i="2"/>
  <c r="CI634" i="2" s="1"/>
  <c r="CM634" i="2"/>
  <c r="CH679" i="2"/>
  <c r="CI679" i="2" s="1"/>
  <c r="CM679" i="2"/>
  <c r="CM212" i="2"/>
  <c r="CH212" i="2"/>
  <c r="CI212" i="2" s="1"/>
  <c r="CM261" i="2"/>
  <c r="CH261" i="2"/>
  <c r="CI261" i="2" s="1"/>
  <c r="CH250" i="2"/>
  <c r="CI250" i="2" s="1"/>
  <c r="CM250" i="2"/>
  <c r="CH216" i="2"/>
  <c r="CI216" i="2" s="1"/>
  <c r="CM216" i="2"/>
  <c r="CH240" i="2"/>
  <c r="CI240" i="2" s="1"/>
  <c r="CM240" i="2"/>
  <c r="CH265" i="2"/>
  <c r="CI265" i="2" s="1"/>
  <c r="CM265" i="2"/>
  <c r="CH338" i="2"/>
  <c r="CI338" i="2" s="1"/>
  <c r="CM338" i="2"/>
  <c r="CH288" i="2"/>
  <c r="CI288" i="2" s="1"/>
  <c r="CM288" i="2"/>
  <c r="CH237" i="2"/>
  <c r="CI237" i="2" s="1"/>
  <c r="CM237" i="2"/>
  <c r="CH384" i="2"/>
  <c r="CI384" i="2" s="1"/>
  <c r="CM384" i="2"/>
  <c r="CH418" i="2"/>
  <c r="CI418" i="2" s="1"/>
  <c r="CM418" i="2"/>
  <c r="CH396" i="2"/>
  <c r="CI396" i="2" s="1"/>
  <c r="CM396" i="2"/>
  <c r="CH456" i="2"/>
  <c r="CI456" i="2" s="1"/>
  <c r="CM456" i="2"/>
  <c r="CM505" i="2"/>
  <c r="CH505" i="2"/>
  <c r="CI505" i="2" s="1"/>
  <c r="CH439" i="2"/>
  <c r="CI439" i="2" s="1"/>
  <c r="CM439" i="2"/>
  <c r="CH481" i="2"/>
  <c r="CI481" i="2" s="1"/>
  <c r="CM481" i="2"/>
  <c r="CH516" i="2"/>
  <c r="CI516" i="2" s="1"/>
  <c r="CM516" i="2"/>
  <c r="CH648" i="2"/>
  <c r="CI648" i="2" s="1"/>
  <c r="CM648" i="2"/>
  <c r="CH644" i="2"/>
  <c r="CI644" i="2" s="1"/>
  <c r="CM644" i="2"/>
  <c r="CH568" i="2"/>
  <c r="CI568" i="2" s="1"/>
  <c r="CM568" i="2"/>
  <c r="CM269" i="2"/>
  <c r="CH269" i="2"/>
  <c r="CI269" i="2" s="1"/>
  <c r="CH258" i="2"/>
  <c r="CI258" i="2" s="1"/>
  <c r="CM258" i="2"/>
  <c r="CH285" i="2"/>
  <c r="CI285" i="2" s="1"/>
  <c r="CM285" i="2"/>
  <c r="CH345" i="2"/>
  <c r="CI345" i="2" s="1"/>
  <c r="CM345" i="2"/>
  <c r="CH333" i="2"/>
  <c r="CI333" i="2" s="1"/>
  <c r="CM333" i="2"/>
  <c r="CH392" i="2"/>
  <c r="CI392" i="2" s="1"/>
  <c r="CM392" i="2"/>
  <c r="CH437" i="2"/>
  <c r="CI437" i="2" s="1"/>
  <c r="CM437" i="2"/>
  <c r="CH670" i="2"/>
  <c r="CI670" i="2" s="1"/>
  <c r="CM670" i="2"/>
  <c r="CM668" i="2"/>
  <c r="CH668" i="2"/>
  <c r="CI668" i="2" s="1"/>
  <c r="CH595" i="2"/>
  <c r="CI595" i="2" s="1"/>
  <c r="CM595" i="2"/>
  <c r="CH637" i="2"/>
  <c r="CI637" i="2" s="1"/>
  <c r="CM637" i="2"/>
  <c r="CH603" i="2"/>
  <c r="CI603" i="2" s="1"/>
  <c r="CM603" i="2"/>
  <c r="CH652" i="2"/>
  <c r="CI652" i="2" s="1"/>
  <c r="CM652" i="2"/>
  <c r="CH635" i="2"/>
  <c r="CI635" i="2" s="1"/>
  <c r="CM635" i="2"/>
  <c r="CH687" i="2"/>
  <c r="CI687" i="2" s="1"/>
  <c r="CM687" i="2"/>
  <c r="CM172" i="2"/>
  <c r="CH172" i="2"/>
  <c r="CI172" i="2" s="1"/>
  <c r="CH177" i="2"/>
  <c r="CI177" i="2" s="1"/>
  <c r="CM177" i="2"/>
  <c r="CH176" i="2"/>
  <c r="CI176" i="2" s="1"/>
  <c r="CM176" i="2"/>
  <c r="CH223" i="2"/>
  <c r="CI223" i="2" s="1"/>
  <c r="CM223" i="2"/>
  <c r="CH175" i="2"/>
  <c r="CI175" i="2" s="1"/>
  <c r="CM175" i="2"/>
  <c r="CH272" i="2"/>
  <c r="CI272" i="2" s="1"/>
  <c r="CM272" i="2"/>
  <c r="CH293" i="2"/>
  <c r="CI293" i="2" s="1"/>
  <c r="CM293" i="2"/>
  <c r="CH353" i="2"/>
  <c r="CI353" i="2" s="1"/>
  <c r="CM353" i="2"/>
  <c r="CH262" i="2"/>
  <c r="CI262" i="2" s="1"/>
  <c r="CM262" i="2"/>
  <c r="CH282" i="2"/>
  <c r="CI282" i="2" s="1"/>
  <c r="CM282" i="2"/>
  <c r="CH203" i="2"/>
  <c r="CI203" i="2" s="1"/>
  <c r="CM203" i="2"/>
  <c r="CH254" i="2"/>
  <c r="CI254" i="2" s="1"/>
  <c r="CM254" i="2"/>
  <c r="CH296" i="2"/>
  <c r="CI296" i="2" s="1"/>
  <c r="CM296" i="2"/>
  <c r="CH341" i="2"/>
  <c r="CI341" i="2" s="1"/>
  <c r="CM341" i="2"/>
  <c r="CH400" i="2"/>
  <c r="CI400" i="2" s="1"/>
  <c r="CM400" i="2"/>
  <c r="CH380" i="2"/>
  <c r="CI380" i="2" s="1"/>
  <c r="CM380" i="2"/>
  <c r="CH388" i="2"/>
  <c r="CI388" i="2" s="1"/>
  <c r="CM388" i="2"/>
  <c r="CH555" i="2"/>
  <c r="CI555" i="2" s="1"/>
  <c r="CM555" i="2"/>
  <c r="CH577" i="2"/>
  <c r="CI577" i="2" s="1"/>
  <c r="CM577" i="2"/>
  <c r="CH606" i="2"/>
  <c r="CI606" i="2" s="1"/>
  <c r="CM606" i="2"/>
  <c r="CH677" i="2"/>
  <c r="CI677" i="2" s="1"/>
  <c r="CM677" i="2"/>
  <c r="CM655" i="2"/>
  <c r="CH655" i="2"/>
  <c r="CI655" i="2" s="1"/>
  <c r="CM675" i="2"/>
  <c r="CH675" i="2"/>
  <c r="CI675" i="2" s="1"/>
  <c r="CH645" i="2"/>
  <c r="CI645" i="2" s="1"/>
  <c r="CM645" i="2"/>
  <c r="CH660" i="2"/>
  <c r="CI660" i="2" s="1"/>
  <c r="CM660" i="2"/>
  <c r="CH665" i="2"/>
  <c r="CI665" i="2" s="1"/>
  <c r="CM665" i="2"/>
  <c r="CH199" i="2"/>
  <c r="CI199" i="2" s="1"/>
  <c r="CM199" i="2"/>
  <c r="CH184" i="2"/>
  <c r="CI184" i="2" s="1"/>
  <c r="CM184" i="2"/>
  <c r="CH301" i="2"/>
  <c r="CI301" i="2" s="1"/>
  <c r="CM301" i="2"/>
  <c r="CH290" i="2"/>
  <c r="CI290" i="2" s="1"/>
  <c r="CM290" i="2"/>
  <c r="CH188" i="2"/>
  <c r="CI188" i="2" s="1"/>
  <c r="CM188" i="2"/>
  <c r="CM362" i="2"/>
  <c r="CH362" i="2"/>
  <c r="CI362" i="2" s="1"/>
  <c r="CH320" i="2"/>
  <c r="CI320" i="2" s="1"/>
  <c r="CM320" i="2"/>
  <c r="CH414" i="2"/>
  <c r="CI414" i="2" s="1"/>
  <c r="CM414" i="2"/>
  <c r="CH348" i="2"/>
  <c r="CI348" i="2" s="1"/>
  <c r="CM348" i="2"/>
  <c r="CH443" i="2"/>
  <c r="CI443" i="2" s="1"/>
  <c r="CM443" i="2"/>
  <c r="CH464" i="2"/>
  <c r="CI464" i="2" s="1"/>
  <c r="CM464" i="2"/>
  <c r="CH502" i="2"/>
  <c r="CI502" i="2" s="1"/>
  <c r="CM502" i="2"/>
  <c r="CH486" i="2"/>
  <c r="CI486" i="2" s="1"/>
  <c r="CM486" i="2"/>
  <c r="CH685" i="2"/>
  <c r="CI685" i="2" s="1"/>
  <c r="CM685" i="2"/>
  <c r="CM669" i="2"/>
  <c r="CH669" i="2"/>
  <c r="CI669" i="2" s="1"/>
  <c r="CM691" i="2"/>
  <c r="CH691" i="2"/>
  <c r="CI691" i="2" s="1"/>
  <c r="CH552" i="2"/>
  <c r="CI552" i="2" s="1"/>
  <c r="CM552" i="2"/>
  <c r="CH653" i="2"/>
  <c r="CI653" i="2" s="1"/>
  <c r="CM653" i="2"/>
  <c r="CH611" i="2"/>
  <c r="CI611" i="2" s="1"/>
  <c r="CM611" i="2"/>
  <c r="CH666" i="2"/>
  <c r="CI666" i="2" s="1"/>
  <c r="CM666" i="2"/>
  <c r="CH673" i="2"/>
  <c r="CI673" i="2" s="1"/>
  <c r="CM673" i="2"/>
  <c r="CH658" i="2"/>
  <c r="CI658" i="2" s="1"/>
  <c r="CM658" i="2"/>
  <c r="CH695" i="2"/>
  <c r="CI695" i="2" s="1"/>
  <c r="CM695" i="2"/>
  <c r="BJ756" i="2"/>
  <c r="CM756" i="2" s="1"/>
  <c r="BI756" i="2"/>
  <c r="CG756" i="2" s="1"/>
  <c r="CJ756" i="2" s="1"/>
  <c r="CK756" i="2"/>
  <c r="CK767" i="2"/>
  <c r="BJ788" i="2"/>
  <c r="CM788" i="2" s="1"/>
  <c r="BI788" i="2"/>
  <c r="CG788" i="2" s="1"/>
  <c r="CJ788" i="2" s="1"/>
  <c r="CE890" i="2"/>
  <c r="CK774" i="2"/>
  <c r="CE818" i="2"/>
  <c r="CK818" i="2" s="1"/>
  <c r="CE819" i="2"/>
  <c r="CK819" i="2" s="1"/>
  <c r="CE3" i="2"/>
  <c r="CK3" i="2" s="1"/>
  <c r="CE44" i="2"/>
  <c r="CK44" i="2" s="1"/>
  <c r="CE43" i="2"/>
  <c r="CK43" i="2" s="1"/>
  <c r="CE40" i="2"/>
  <c r="CK40" i="2" s="1"/>
  <c r="CE39" i="2"/>
  <c r="CK39" i="2" s="1"/>
  <c r="CE38" i="2"/>
  <c r="CK38" i="2" s="1"/>
  <c r="CE36" i="2"/>
  <c r="CK36" i="2" s="1"/>
  <c r="CE33" i="2"/>
  <c r="CK33" i="2" s="1"/>
  <c r="CE32" i="2"/>
  <c r="CK32" i="2" s="1"/>
  <c r="CE31" i="2"/>
  <c r="CK31" i="2" s="1"/>
  <c r="CE30" i="2"/>
  <c r="CK30" i="2" s="1"/>
  <c r="CE28" i="2"/>
  <c r="CK28" i="2" s="1"/>
  <c r="CE24" i="2"/>
  <c r="CK24" i="2" s="1"/>
  <c r="CE23" i="2"/>
  <c r="CK23" i="2" s="1"/>
  <c r="CE22" i="2"/>
  <c r="CK22" i="2" s="1"/>
  <c r="CE20" i="2"/>
  <c r="CK20" i="2" s="1"/>
  <c r="CE16" i="2"/>
  <c r="CK16" i="2" s="1"/>
  <c r="CE15" i="2"/>
  <c r="CK15" i="2" s="1"/>
  <c r="CE14" i="2"/>
  <c r="CK14" i="2" s="1"/>
  <c r="CE12" i="2"/>
  <c r="CK12" i="2" s="1"/>
  <c r="CE11" i="2"/>
  <c r="CK11" i="2" s="1"/>
  <c r="CE8" i="2"/>
  <c r="CK8" i="2" s="1"/>
  <c r="CE7" i="2"/>
  <c r="CK7" i="2" s="1"/>
  <c r="CE4" i="2"/>
  <c r="CK4" i="2" s="1"/>
  <c r="CE164" i="2"/>
  <c r="CK164" i="2" s="1"/>
  <c r="CE153" i="2"/>
  <c r="CK153" i="2" s="1"/>
  <c r="CE142" i="2"/>
  <c r="CK142" i="2" s="1"/>
  <c r="CE118" i="2"/>
  <c r="CK118" i="2" s="1"/>
  <c r="CE102" i="2"/>
  <c r="CK102" i="2" s="1"/>
  <c r="CE79" i="2"/>
  <c r="CK79" i="2" s="1"/>
  <c r="CE54" i="2"/>
  <c r="CK54" i="2" s="1"/>
  <c r="CK703" i="2"/>
  <c r="CK704" i="2"/>
  <c r="CK707" i="2"/>
  <c r="CK709" i="2"/>
  <c r="CK713" i="2"/>
  <c r="CK714" i="2"/>
  <c r="CK716" i="2"/>
  <c r="CK717" i="2"/>
  <c r="CK719" i="2"/>
  <c r="CK729" i="2"/>
  <c r="CK731" i="2"/>
  <c r="CK735" i="2"/>
  <c r="CK736" i="2"/>
  <c r="CG736" i="2"/>
  <c r="CJ736" i="2" s="1"/>
  <c r="CK737" i="2"/>
  <c r="CK740" i="2"/>
  <c r="CK743" i="2"/>
  <c r="CK744" i="2"/>
  <c r="CK768" i="2"/>
  <c r="CK769" i="2"/>
  <c r="CK770" i="2"/>
  <c r="CK795" i="2"/>
  <c r="CK815" i="2"/>
  <c r="CK828" i="2"/>
  <c r="CK830" i="2"/>
  <c r="CK860" i="2"/>
  <c r="CK866" i="2"/>
  <c r="CK895" i="2"/>
  <c r="CK900" i="2"/>
  <c r="CK902" i="2"/>
  <c r="CK909" i="2"/>
  <c r="CK971" i="2"/>
  <c r="CK708" i="2"/>
  <c r="CG708" i="2"/>
  <c r="CJ708" i="2" s="1"/>
  <c r="CK702" i="2"/>
  <c r="CK701" i="2"/>
  <c r="CM946" i="2"/>
  <c r="CH946" i="2"/>
  <c r="CI946" i="2" s="1"/>
  <c r="CK946" i="2"/>
  <c r="CM947" i="2"/>
  <c r="CH947" i="2"/>
  <c r="CI947" i="2" s="1"/>
  <c r="CK947" i="2"/>
  <c r="CK948" i="2"/>
  <c r="CM949" i="2"/>
  <c r="CH949" i="2"/>
  <c r="CI949" i="2" s="1"/>
  <c r="CK949" i="2"/>
  <c r="CM950" i="2"/>
  <c r="CH950" i="2"/>
  <c r="CI950" i="2" s="1"/>
  <c r="CK950" i="2"/>
  <c r="CK951" i="2"/>
  <c r="CM952" i="2"/>
  <c r="CH952" i="2"/>
  <c r="CI952" i="2" s="1"/>
  <c r="CK952" i="2"/>
  <c r="CM953" i="2"/>
  <c r="CH953" i="2"/>
  <c r="CI953" i="2" s="1"/>
  <c r="CK953" i="2"/>
  <c r="CM954" i="2"/>
  <c r="CH954" i="2"/>
  <c r="CI954" i="2" s="1"/>
  <c r="CM955" i="2"/>
  <c r="CH955" i="2"/>
  <c r="CI955" i="2" s="1"/>
  <c r="CK955" i="2"/>
  <c r="CK956" i="2"/>
  <c r="CK957" i="2"/>
  <c r="CK959" i="2"/>
  <c r="CK960" i="2"/>
  <c r="CK961" i="2"/>
  <c r="CK962" i="2"/>
  <c r="CK963" i="2"/>
  <c r="CK964" i="2"/>
  <c r="CK965" i="2"/>
  <c r="CK966" i="2"/>
  <c r="CK967" i="2"/>
  <c r="CK968" i="2"/>
  <c r="CK969" i="2"/>
  <c r="CK970" i="2"/>
  <c r="CK973" i="2"/>
  <c r="CM951" i="2"/>
  <c r="AI14" i="5"/>
  <c r="AH14" i="5"/>
  <c r="BX67" i="6"/>
  <c r="BX68" i="6"/>
  <c r="BS51" i="6"/>
  <c r="BY51" i="6" s="1"/>
  <c r="BS50" i="6"/>
  <c r="BY50" i="6" s="1"/>
  <c r="AO59" i="6"/>
  <c r="BX59" i="6" s="1"/>
  <c r="BV54" i="6"/>
  <c r="R64" i="4"/>
  <c r="CH764" i="2"/>
  <c r="CI764" i="2" s="1"/>
  <c r="AL11" i="5"/>
  <c r="AH11" i="5" s="1"/>
  <c r="BS35" i="6"/>
  <c r="BY35" i="6" s="1"/>
  <c r="CH963" i="2"/>
  <c r="CI963" i="2" s="1"/>
  <c r="CH711" i="2"/>
  <c r="CI711" i="2" s="1"/>
  <c r="BI18" i="2"/>
  <c r="CG18" i="2" s="1"/>
  <c r="CJ18" i="2" s="1"/>
  <c r="AI13" i="5"/>
  <c r="AL6" i="5"/>
  <c r="AH6" i="5" s="1"/>
  <c r="BU30" i="6"/>
  <c r="BX30" i="6" s="1"/>
  <c r="BU36" i="6"/>
  <c r="BX36" i="6" s="1"/>
  <c r="BU44" i="6"/>
  <c r="BX44" i="6" s="1"/>
  <c r="BU12" i="6"/>
  <c r="BX12" i="6" s="1"/>
  <c r="BI738" i="2"/>
  <c r="CG738" i="2" s="1"/>
  <c r="CJ738" i="2" s="1"/>
  <c r="CH885" i="2"/>
  <c r="CI885" i="2" s="1"/>
  <c r="CH859" i="2"/>
  <c r="CI859" i="2" s="1"/>
  <c r="CH3" i="2"/>
  <c r="CI3" i="2" s="1"/>
  <c r="CH909" i="2"/>
  <c r="CI909" i="2" s="1"/>
  <c r="CH887" i="2"/>
  <c r="CI887" i="2" s="1"/>
  <c r="CH7" i="2"/>
  <c r="CI7" i="2" s="1"/>
  <c r="CH15" i="2"/>
  <c r="CI15" i="2" s="1"/>
  <c r="CH41" i="2"/>
  <c r="CI41" i="2" s="1"/>
  <c r="CH879" i="2"/>
  <c r="CI879" i="2" s="1"/>
  <c r="CH877" i="2"/>
  <c r="CI877" i="2" s="1"/>
  <c r="CH849" i="2"/>
  <c r="CI849" i="2" s="1"/>
  <c r="BI764" i="2"/>
  <c r="CG764" i="2" s="1"/>
  <c r="CJ764" i="2" s="1"/>
  <c r="CH821" i="2"/>
  <c r="CI821" i="2" s="1"/>
  <c r="BI3" i="2"/>
  <c r="BI793" i="2"/>
  <c r="CH918" i="2"/>
  <c r="CI918" i="2" s="1"/>
  <c r="CH861" i="2"/>
  <c r="CI861" i="2" s="1"/>
  <c r="BI763" i="2"/>
  <c r="CG763" i="2" s="1"/>
  <c r="CJ763" i="2" s="1"/>
  <c r="BJ738" i="2"/>
  <c r="CM738" i="2" s="1"/>
  <c r="BI775" i="2"/>
  <c r="CG775" i="2" s="1"/>
  <c r="CJ775" i="2" s="1"/>
  <c r="BI806" i="2"/>
  <c r="CG806" i="2" s="1"/>
  <c r="CJ806" i="2" s="1"/>
  <c r="BI881" i="2"/>
  <c r="BI962" i="2"/>
  <c r="CG962" i="2" s="1"/>
  <c r="CH734" i="2"/>
  <c r="CI734" i="2" s="1"/>
  <c r="CH903" i="2"/>
  <c r="CI903" i="2" s="1"/>
  <c r="CH777" i="2"/>
  <c r="CI777" i="2" s="1"/>
  <c r="CH785" i="2"/>
  <c r="CI785" i="2" s="1"/>
  <c r="BI711" i="2"/>
  <c r="CG711" i="2" s="1"/>
  <c r="CJ711" i="2" s="1"/>
  <c r="CH895" i="2"/>
  <c r="CI895" i="2" s="1"/>
  <c r="BI859" i="2"/>
  <c r="CG859" i="2" s="1"/>
  <c r="CJ859" i="2" s="1"/>
  <c r="CH851" i="2"/>
  <c r="CI851" i="2" s="1"/>
  <c r="BI713" i="2"/>
  <c r="CG713" i="2" s="1"/>
  <c r="CJ713" i="2" s="1"/>
  <c r="BI798" i="2"/>
  <c r="CG798" i="2" s="1"/>
  <c r="CJ798" i="2" s="1"/>
  <c r="BI808" i="2"/>
  <c r="BI810" i="2"/>
  <c r="CH21" i="2"/>
  <c r="CI21" i="2" s="1"/>
  <c r="CH13" i="2"/>
  <c r="CI13" i="2" s="1"/>
  <c r="CH29" i="2"/>
  <c r="CI29" i="2" s="1"/>
  <c r="CH912" i="2"/>
  <c r="CI912" i="2" s="1"/>
  <c r="CH5" i="2"/>
  <c r="CI5" i="2" s="1"/>
  <c r="BI45" i="2"/>
  <c r="CG45" i="2" s="1"/>
  <c r="CJ45" i="2" s="1"/>
  <c r="CH1001" i="2"/>
  <c r="CI1001" i="2" s="1"/>
  <c r="CH798" i="2"/>
  <c r="CI798" i="2" s="1"/>
  <c r="CH759" i="2"/>
  <c r="CI759" i="2" s="1"/>
  <c r="CH756" i="2"/>
  <c r="CI756" i="2" s="1"/>
  <c r="CH800" i="2"/>
  <c r="CI800" i="2" s="1"/>
  <c r="CH748" i="2"/>
  <c r="CI748" i="2" s="1"/>
  <c r="CH815" i="2"/>
  <c r="CI815" i="2" s="1"/>
  <c r="CH720" i="2"/>
  <c r="CI720" i="2" s="1"/>
  <c r="BI701" i="2"/>
  <c r="CG701" i="2" s="1"/>
  <c r="CJ701" i="2" s="1"/>
  <c r="CH761" i="2"/>
  <c r="CI761" i="2" s="1"/>
  <c r="BI716" i="2"/>
  <c r="CG716" i="2" s="1"/>
  <c r="CJ716" i="2" s="1"/>
  <c r="BI742" i="2"/>
  <c r="CG742" i="2" s="1"/>
  <c r="CJ742" i="2" s="1"/>
  <c r="CH845" i="2"/>
  <c r="CI845" i="2" s="1"/>
  <c r="CH841" i="2"/>
  <c r="CI841" i="2" s="1"/>
  <c r="CH747" i="2"/>
  <c r="CI747" i="2" s="1"/>
  <c r="BI702" i="2"/>
  <c r="CG702" i="2" s="1"/>
  <c r="CJ702" i="2" s="1"/>
  <c r="CH837" i="2"/>
  <c r="CI837" i="2" s="1"/>
  <c r="CH742" i="2"/>
  <c r="CI742" i="2" s="1"/>
  <c r="BI706" i="2"/>
  <c r="CH939" i="2"/>
  <c r="CI939" i="2" s="1"/>
  <c r="CH917" i="2"/>
  <c r="CI917" i="2" s="1"/>
  <c r="BI709" i="2"/>
  <c r="CG709" i="2" s="1"/>
  <c r="CJ709" i="2" s="1"/>
  <c r="BI722" i="2"/>
  <c r="BI732" i="2"/>
  <c r="CG732" i="2" s="1"/>
  <c r="CJ732" i="2" s="1"/>
  <c r="BI762" i="2"/>
  <c r="CG762" i="2" s="1"/>
  <c r="CJ762" i="2" s="1"/>
  <c r="BI800" i="2"/>
  <c r="CG800" i="2" s="1"/>
  <c r="CJ800" i="2" s="1"/>
  <c r="BI977" i="2"/>
  <c r="CG977" i="2" s="1"/>
  <c r="CJ977" i="2" s="1"/>
  <c r="CH989" i="2"/>
  <c r="CI989" i="2" s="1"/>
  <c r="CH904" i="2"/>
  <c r="CI904" i="2" s="1"/>
  <c r="BI718" i="2"/>
  <c r="CM702" i="2"/>
  <c r="BJ701" i="2"/>
  <c r="BI967" i="2"/>
  <c r="CG967" i="2" s="1"/>
  <c r="CJ967" i="2" s="1"/>
  <c r="BI106" i="2"/>
  <c r="BI98" i="2"/>
  <c r="CG98" i="2" s="1"/>
  <c r="CJ98" i="2" s="1"/>
  <c r="BI90" i="2"/>
  <c r="CG90" i="2" s="1"/>
  <c r="CJ90" i="2" s="1"/>
  <c r="BI66" i="2"/>
  <c r="CG66" i="2" s="1"/>
  <c r="CJ66" i="2" s="1"/>
  <c r="BI58" i="2"/>
  <c r="CG58" i="2" s="1"/>
  <c r="CJ58" i="2" s="1"/>
  <c r="BI50" i="2"/>
  <c r="CG50" i="2" s="1"/>
  <c r="CJ50" i="2" s="1"/>
  <c r="CH709" i="2"/>
  <c r="CI709" i="2" s="1"/>
  <c r="CH945" i="2"/>
  <c r="CI945" i="2" s="1"/>
  <c r="CH878" i="2"/>
  <c r="CI878" i="2" s="1"/>
  <c r="CH941" i="2"/>
  <c r="CI941" i="2" s="1"/>
  <c r="CH762" i="2"/>
  <c r="CI762" i="2" s="1"/>
  <c r="BI917" i="2"/>
  <c r="CG917" i="2" s="1"/>
  <c r="CJ917" i="2" s="1"/>
  <c r="BI945" i="2"/>
  <c r="BI947" i="2"/>
  <c r="CG947" i="2" s="1"/>
  <c r="BI949" i="2"/>
  <c r="CG949" i="2" s="1"/>
  <c r="CJ949" i="2" s="1"/>
  <c r="BI959" i="2"/>
  <c r="CG959" i="2" s="1"/>
  <c r="CJ959" i="2" s="1"/>
  <c r="BI985" i="2"/>
  <c r="CG985" i="2" s="1"/>
  <c r="CJ985" i="2" s="1"/>
  <c r="BJ2" i="2"/>
  <c r="BI2" i="2"/>
  <c r="CG2" i="2" s="1"/>
  <c r="CJ2" i="2" s="1"/>
  <c r="BY34" i="6"/>
  <c r="AK40" i="4"/>
  <c r="AG40" i="4" s="1"/>
  <c r="BX28" i="6"/>
  <c r="BY28" i="6"/>
  <c r="AK38" i="4"/>
  <c r="AG38" i="4" s="1"/>
  <c r="R38" i="4"/>
  <c r="AP28" i="6"/>
  <c r="BV28" i="6" s="1"/>
  <c r="AO28" i="6"/>
  <c r="BS26" i="6"/>
  <c r="BY26" i="6" s="1"/>
  <c r="BS27" i="6"/>
  <c r="BY27" i="6" s="1"/>
  <c r="BY21" i="6"/>
  <c r="BU21" i="6"/>
  <c r="BX21" i="6" s="1"/>
  <c r="AK20" i="4"/>
  <c r="AG20" i="4" s="1"/>
  <c r="R20" i="4"/>
  <c r="AK22" i="4"/>
  <c r="AG22" i="4" s="1"/>
  <c r="R22" i="4"/>
  <c r="AK25" i="4"/>
  <c r="AG25" i="4" s="1"/>
  <c r="R25" i="4"/>
  <c r="AK27" i="4"/>
  <c r="AG27" i="4" s="1"/>
  <c r="R27" i="4"/>
  <c r="AK28" i="4"/>
  <c r="AG28" i="4" s="1"/>
  <c r="R28" i="4"/>
  <c r="AK31" i="4"/>
  <c r="AG31" i="4" s="1"/>
  <c r="R31" i="4"/>
  <c r="BJ28" i="11"/>
  <c r="BI28" i="11"/>
  <c r="CK28" i="11"/>
  <c r="CG28" i="11"/>
  <c r="CJ28" i="11" s="1"/>
  <c r="BJ29" i="11"/>
  <c r="BI29" i="11"/>
  <c r="CK29" i="11"/>
  <c r="CG29" i="11"/>
  <c r="CJ29" i="11" s="1"/>
  <c r="BJ30" i="11"/>
  <c r="BI30" i="11"/>
  <c r="CK30" i="11"/>
  <c r="CG30" i="11"/>
  <c r="CJ30" i="11" s="1"/>
  <c r="BJ31" i="11"/>
  <c r="BI31" i="11"/>
  <c r="CK31" i="11"/>
  <c r="CG31" i="11"/>
  <c r="CJ31" i="11" s="1"/>
  <c r="BJ32" i="11"/>
  <c r="BI32" i="11"/>
  <c r="CK32" i="11"/>
  <c r="CG32" i="11"/>
  <c r="CJ32" i="11" s="1"/>
  <c r="BJ33" i="11"/>
  <c r="BI33" i="11"/>
  <c r="CK33" i="11"/>
  <c r="CG33" i="11"/>
  <c r="CJ33" i="11" s="1"/>
  <c r="BJ34" i="11"/>
  <c r="BI34" i="11"/>
  <c r="CK34" i="11"/>
  <c r="CG34" i="11"/>
  <c r="CJ34" i="11" s="1"/>
  <c r="CM779" i="2"/>
  <c r="CH779" i="2"/>
  <c r="CI779" i="2" s="1"/>
  <c r="CK779" i="2"/>
  <c r="BJ814" i="2"/>
  <c r="BI814" i="2"/>
  <c r="CG814" i="2" s="1"/>
  <c r="CJ814" i="2" s="1"/>
  <c r="CK814" i="2"/>
  <c r="BJ813" i="2"/>
  <c r="BI813" i="2"/>
  <c r="CG813" i="2" s="1"/>
  <c r="CJ813" i="2" s="1"/>
  <c r="CK813" i="2"/>
  <c r="BJ801" i="2"/>
  <c r="BI801" i="2"/>
  <c r="AL12" i="5"/>
  <c r="AH12" i="5" s="1"/>
  <c r="BY20" i="6"/>
  <c r="BU20" i="6"/>
  <c r="BX20" i="6" s="1"/>
  <c r="BU22" i="6"/>
  <c r="BX22" i="6" s="1"/>
  <c r="AL4" i="5"/>
  <c r="AH4" i="5" s="1"/>
  <c r="BS15" i="6"/>
  <c r="BY15" i="6" s="1"/>
  <c r="BU18" i="6"/>
  <c r="BX18" i="6" s="1"/>
  <c r="AL3" i="5"/>
  <c r="AH3" i="5" s="1"/>
  <c r="AL5" i="5"/>
  <c r="AH5" i="5" s="1"/>
  <c r="BV158" i="6"/>
  <c r="CA158" i="6"/>
  <c r="BV140" i="6"/>
  <c r="CA140" i="6"/>
  <c r="BV131" i="6"/>
  <c r="CA131" i="6"/>
  <c r="BV65" i="6"/>
  <c r="CA65" i="6"/>
  <c r="BV68" i="6"/>
  <c r="CA68" i="6"/>
  <c r="AO69" i="6"/>
  <c r="BU69" i="6" s="1"/>
  <c r="BX69" i="6" s="1"/>
  <c r="BV73" i="6"/>
  <c r="CA73" i="6"/>
  <c r="BU74" i="6"/>
  <c r="BX74" i="6" s="1"/>
  <c r="BV75" i="6"/>
  <c r="CA75" i="6"/>
  <c r="BU76" i="6"/>
  <c r="BX76" i="6" s="1"/>
  <c r="BV77" i="6"/>
  <c r="CA77" i="6"/>
  <c r="BV78" i="6"/>
  <c r="CA78" i="6"/>
  <c r="BV79" i="6"/>
  <c r="CA79" i="6"/>
  <c r="BV80" i="6"/>
  <c r="CA80" i="6"/>
  <c r="BV81" i="6"/>
  <c r="CA81" i="6"/>
  <c r="BV82" i="6"/>
  <c r="CA82" i="6"/>
  <c r="BV85" i="6"/>
  <c r="CA85" i="6"/>
  <c r="BV88" i="6"/>
  <c r="CA88" i="6"/>
  <c r="BV89" i="6"/>
  <c r="CA89" i="6"/>
  <c r="BV91" i="6"/>
  <c r="CA91" i="6"/>
  <c r="BV97" i="6"/>
  <c r="CA97" i="6"/>
  <c r="BV98" i="6"/>
  <c r="CA98" i="6"/>
  <c r="BV109" i="6"/>
  <c r="CA109" i="6"/>
  <c r="BU111" i="6"/>
  <c r="BX111" i="6" s="1"/>
  <c r="BV114" i="6"/>
  <c r="CA114" i="6"/>
  <c r="AO115" i="6"/>
  <c r="BU115" i="6" s="1"/>
  <c r="BX115" i="6" s="1"/>
  <c r="BV122" i="6"/>
  <c r="CA122" i="6"/>
  <c r="BV124" i="6"/>
  <c r="CA124" i="6"/>
  <c r="BU124" i="6"/>
  <c r="BX124" i="6" s="1"/>
  <c r="BV128" i="6"/>
  <c r="CA128" i="6"/>
  <c r="BV130" i="6"/>
  <c r="CA130" i="6"/>
  <c r="BU132" i="6"/>
  <c r="BX132" i="6" s="1"/>
  <c r="BU136" i="6"/>
  <c r="BX136" i="6" s="1"/>
  <c r="BV141" i="6"/>
  <c r="CA141" i="6"/>
  <c r="BU144" i="6"/>
  <c r="BX144" i="6" s="1"/>
  <c r="BU147" i="6"/>
  <c r="BX147" i="6" s="1"/>
  <c r="BV150" i="6"/>
  <c r="CA150" i="6"/>
  <c r="BV154" i="6"/>
  <c r="CA154" i="6"/>
  <c r="BV160" i="6"/>
  <c r="CA160" i="6"/>
  <c r="AO161" i="6"/>
  <c r="BU161" i="6" s="1"/>
  <c r="BX161" i="6" s="1"/>
  <c r="BV162" i="6"/>
  <c r="CA162" i="6"/>
  <c r="BV164" i="6"/>
  <c r="CA164" i="6"/>
  <c r="BU168" i="6"/>
  <c r="BX168" i="6" s="1"/>
  <c r="BV172" i="6"/>
  <c r="CA172" i="6"/>
  <c r="BV173" i="6"/>
  <c r="CA173" i="6"/>
  <c r="BU175" i="6"/>
  <c r="BX175" i="6" s="1"/>
  <c r="BV176" i="6"/>
  <c r="CA176" i="6"/>
  <c r="BV179" i="6"/>
  <c r="CA179" i="6"/>
  <c r="BU183" i="6"/>
  <c r="BX183" i="6" s="1"/>
  <c r="BU193" i="6"/>
  <c r="BX193" i="6" s="1"/>
  <c r="BU197" i="6"/>
  <c r="BX197" i="6" s="1"/>
  <c r="BU56" i="6"/>
  <c r="BX56" i="6" s="1"/>
  <c r="BV61" i="6"/>
  <c r="CA61" i="6"/>
  <c r="CA8" i="6"/>
  <c r="BV8" i="6"/>
  <c r="CA9" i="6"/>
  <c r="BV9" i="6"/>
  <c r="BV12" i="6"/>
  <c r="CA12" i="6"/>
  <c r="BV18" i="6"/>
  <c r="CA18" i="6"/>
  <c r="CA24" i="6"/>
  <c r="BV24" i="6"/>
  <c r="CA25" i="6"/>
  <c r="BV25" i="6"/>
  <c r="CA32" i="6"/>
  <c r="BV32" i="6"/>
  <c r="CA33" i="6"/>
  <c r="BV33" i="6"/>
  <c r="BV36" i="6"/>
  <c r="CA36" i="6"/>
  <c r="CA40" i="6"/>
  <c r="BV40" i="6"/>
  <c r="CA41" i="6"/>
  <c r="BV41" i="6"/>
  <c r="BV44" i="6"/>
  <c r="CA44" i="6"/>
  <c r="CA48" i="6"/>
  <c r="BV48" i="6"/>
  <c r="CA49" i="6"/>
  <c r="BV49" i="6"/>
  <c r="BV52" i="6"/>
  <c r="CA52" i="6"/>
  <c r="AP4" i="6"/>
  <c r="AO4" i="6"/>
  <c r="BU4" i="6" s="1"/>
  <c r="BX4" i="6" s="1"/>
  <c r="BV4" i="6"/>
  <c r="CA4" i="6"/>
  <c r="CK19" i="2"/>
  <c r="CK132" i="2"/>
  <c r="CH967" i="2"/>
  <c r="CI967" i="2" s="1"/>
  <c r="CM967" i="2"/>
  <c r="CH725" i="2"/>
  <c r="CI725" i="2" s="1"/>
  <c r="CM725" i="2"/>
  <c r="CH732" i="2"/>
  <c r="CI732" i="2" s="1"/>
  <c r="CM732" i="2"/>
  <c r="CH704" i="2"/>
  <c r="CI704" i="2" s="1"/>
  <c r="CM704" i="2"/>
  <c r="CH714" i="2"/>
  <c r="CI714" i="2" s="1"/>
  <c r="CM714" i="2"/>
  <c r="CH726" i="2"/>
  <c r="CI726" i="2" s="1"/>
  <c r="CM726" i="2"/>
  <c r="CH745" i="2"/>
  <c r="CI745" i="2" s="1"/>
  <c r="CM745" i="2"/>
  <c r="CH753" i="2"/>
  <c r="CI753" i="2" s="1"/>
  <c r="CM753" i="2"/>
  <c r="CH757" i="2"/>
  <c r="CI757" i="2" s="1"/>
  <c r="CM757" i="2"/>
  <c r="CH760" i="2"/>
  <c r="CI760" i="2" s="1"/>
  <c r="CM760" i="2"/>
  <c r="CH775" i="2"/>
  <c r="CI775" i="2" s="1"/>
  <c r="CM775" i="2"/>
  <c r="CH776" i="2"/>
  <c r="CI776" i="2" s="1"/>
  <c r="CM776" i="2"/>
  <c r="CH780" i="2"/>
  <c r="CI780" i="2" s="1"/>
  <c r="CM780" i="2"/>
  <c r="CH786" i="2"/>
  <c r="CI786" i="2" s="1"/>
  <c r="CM786" i="2"/>
  <c r="CH787" i="2"/>
  <c r="CI787" i="2" s="1"/>
  <c r="CM787" i="2"/>
  <c r="CH792" i="2"/>
  <c r="CI792" i="2" s="1"/>
  <c r="CM792" i="2"/>
  <c r="CH799" i="2"/>
  <c r="CI799" i="2" s="1"/>
  <c r="CM799" i="2"/>
  <c r="CH804" i="2"/>
  <c r="CI804" i="2" s="1"/>
  <c r="CM804" i="2"/>
  <c r="CH806" i="2"/>
  <c r="CI806" i="2" s="1"/>
  <c r="CM806" i="2"/>
  <c r="CH808" i="2"/>
  <c r="CI808" i="2" s="1"/>
  <c r="CM808" i="2"/>
  <c r="CH809" i="2"/>
  <c r="CI809" i="2" s="1"/>
  <c r="CM809" i="2"/>
  <c r="CH816" i="2"/>
  <c r="CI816" i="2" s="1"/>
  <c r="CM816" i="2"/>
  <c r="CH819" i="2"/>
  <c r="CI819" i="2" s="1"/>
  <c r="CM819" i="2"/>
  <c r="CH822" i="2"/>
  <c r="CI822" i="2" s="1"/>
  <c r="CM822" i="2"/>
  <c r="CH825" i="2"/>
  <c r="CI825" i="2" s="1"/>
  <c r="CM825" i="2"/>
  <c r="CH829" i="2"/>
  <c r="CI829" i="2" s="1"/>
  <c r="CM829" i="2"/>
  <c r="CH830" i="2"/>
  <c r="CI830" i="2" s="1"/>
  <c r="CM830" i="2"/>
  <c r="CH834" i="2"/>
  <c r="CI834" i="2" s="1"/>
  <c r="CM834" i="2"/>
  <c r="CH836" i="2"/>
  <c r="CI836" i="2" s="1"/>
  <c r="CM836" i="2"/>
  <c r="CH842" i="2"/>
  <c r="CI842" i="2" s="1"/>
  <c r="CM842" i="2"/>
  <c r="CH847" i="2"/>
  <c r="CI847" i="2" s="1"/>
  <c r="CM847" i="2"/>
  <c r="CH865" i="2"/>
  <c r="CI865" i="2" s="1"/>
  <c r="CM865" i="2"/>
  <c r="CH868" i="2"/>
  <c r="CI868" i="2" s="1"/>
  <c r="CM868" i="2"/>
  <c r="CH871" i="2"/>
  <c r="CI871" i="2" s="1"/>
  <c r="CM871" i="2"/>
  <c r="CH900" i="2"/>
  <c r="CI900" i="2" s="1"/>
  <c r="CM900" i="2"/>
  <c r="CH925" i="2"/>
  <c r="CI925" i="2" s="1"/>
  <c r="CM925" i="2"/>
  <c r="CH927" i="2"/>
  <c r="CI927" i="2" s="1"/>
  <c r="CM927" i="2"/>
  <c r="CH943" i="2"/>
  <c r="CI943" i="2" s="1"/>
  <c r="CM943" i="2"/>
  <c r="CM948" i="2"/>
  <c r="CH960" i="2"/>
  <c r="CI960" i="2" s="1"/>
  <c r="CM960" i="2"/>
  <c r="CH964" i="2"/>
  <c r="CI964" i="2" s="1"/>
  <c r="CM964" i="2"/>
  <c r="CH973" i="2"/>
  <c r="CI973" i="2" s="1"/>
  <c r="CM973" i="2"/>
  <c r="CH974" i="2"/>
  <c r="CI974" i="2" s="1"/>
  <c r="CM974" i="2"/>
  <c r="CH986" i="2"/>
  <c r="CI986" i="2" s="1"/>
  <c r="CM986" i="2"/>
  <c r="CH990" i="2"/>
  <c r="CI990" i="2" s="1"/>
  <c r="CM990" i="2"/>
  <c r="CH997" i="2"/>
  <c r="CI997" i="2" s="1"/>
  <c r="CM997" i="2"/>
  <c r="CH708" i="2"/>
  <c r="CI708" i="2" s="1"/>
  <c r="CM708" i="2"/>
  <c r="BJ105" i="2"/>
  <c r="CM105" i="2" s="1"/>
  <c r="BI105" i="2"/>
  <c r="CG105" i="2" s="1"/>
  <c r="CJ105" i="2" s="1"/>
  <c r="BJ97" i="2"/>
  <c r="CH97" i="2" s="1"/>
  <c r="CI97" i="2" s="1"/>
  <c r="BI97" i="2"/>
  <c r="BJ89" i="2"/>
  <c r="BI89" i="2"/>
  <c r="CG89" i="2" s="1"/>
  <c r="CJ89" i="2" s="1"/>
  <c r="BJ81" i="2"/>
  <c r="CM81" i="2" s="1"/>
  <c r="BI81" i="2"/>
  <c r="CG81" i="2" s="1"/>
  <c r="CJ81" i="2" s="1"/>
  <c r="BI74" i="2"/>
  <c r="CG74" i="2" s="1"/>
  <c r="CJ74" i="2" s="1"/>
  <c r="BJ74" i="2"/>
  <c r="CH74" i="2" s="1"/>
  <c r="CI74" i="2" s="1"/>
  <c r="BJ73" i="2"/>
  <c r="CM73" i="2" s="1"/>
  <c r="BI73" i="2"/>
  <c r="CG73" i="2" s="1"/>
  <c r="CJ73" i="2" s="1"/>
  <c r="BJ65" i="2"/>
  <c r="BI65" i="2"/>
  <c r="CG65" i="2" s="1"/>
  <c r="CJ65" i="2" s="1"/>
  <c r="BJ57" i="2"/>
  <c r="CM57" i="2" s="1"/>
  <c r="BI57" i="2"/>
  <c r="CG57" i="2" s="1"/>
  <c r="CJ57" i="2" s="1"/>
  <c r="BJ49" i="2"/>
  <c r="CM49" i="2" s="1"/>
  <c r="BI49" i="2"/>
  <c r="CG49" i="2" s="1"/>
  <c r="CJ49" i="2" s="1"/>
  <c r="BI15" i="2"/>
  <c r="CG15" i="2" s="1"/>
  <c r="CJ15" i="2" s="1"/>
  <c r="BI170" i="2"/>
  <c r="CG170" i="2" s="1"/>
  <c r="CJ170" i="2" s="1"/>
  <c r="BI165" i="2"/>
  <c r="CG165" i="2" s="1"/>
  <c r="CJ165" i="2" s="1"/>
  <c r="BJ165" i="2"/>
  <c r="CH165" i="2" s="1"/>
  <c r="CI165" i="2" s="1"/>
  <c r="BI164" i="2"/>
  <c r="BI162" i="2"/>
  <c r="BI154" i="2"/>
  <c r="BJ154" i="2"/>
  <c r="CH154" i="2" s="1"/>
  <c r="CI154" i="2" s="1"/>
  <c r="BI149" i="2"/>
  <c r="CG149" i="2" s="1"/>
  <c r="CJ149" i="2" s="1"/>
  <c r="BI146" i="2"/>
  <c r="CG146" i="2" s="1"/>
  <c r="CJ146" i="2" s="1"/>
  <c r="BI138" i="2"/>
  <c r="CG138" i="2" s="1"/>
  <c r="CJ138" i="2" s="1"/>
  <c r="BJ138" i="2"/>
  <c r="CH138" i="2" s="1"/>
  <c r="CI138" i="2" s="1"/>
  <c r="BI130" i="2"/>
  <c r="CG130" i="2" s="1"/>
  <c r="CJ130" i="2" s="1"/>
  <c r="BI122" i="2"/>
  <c r="CG122" i="2" s="1"/>
  <c r="CJ122" i="2" s="1"/>
  <c r="BI114" i="2"/>
  <c r="BJ114" i="2"/>
  <c r="CH114" i="2" s="1"/>
  <c r="CI114" i="2" s="1"/>
  <c r="BY19" i="6"/>
  <c r="BU19" i="6"/>
  <c r="BX19" i="6" s="1"/>
  <c r="BU45" i="6"/>
  <c r="BX45" i="6" s="1"/>
  <c r="BV2" i="6"/>
  <c r="BY8" i="6"/>
  <c r="BU8" i="6"/>
  <c r="BX8" i="6" s="1"/>
  <c r="BV10" i="6"/>
  <c r="BV16" i="6"/>
  <c r="BY24" i="6"/>
  <c r="BU24" i="6"/>
  <c r="BX24" i="6" s="1"/>
  <c r="BV26" i="6"/>
  <c r="BY32" i="6"/>
  <c r="BU32" i="6"/>
  <c r="BX32" i="6" s="1"/>
  <c r="BV34" i="6"/>
  <c r="BY40" i="6"/>
  <c r="BU40" i="6"/>
  <c r="BX40" i="6" s="1"/>
  <c r="BV42" i="6"/>
  <c r="BY48" i="6"/>
  <c r="BU48" i="6"/>
  <c r="BX48" i="6" s="1"/>
  <c r="BV50" i="6"/>
  <c r="BV3" i="6"/>
  <c r="BU9" i="6"/>
  <c r="BX9" i="6" s="1"/>
  <c r="BY9" i="6"/>
  <c r="BV11" i="6"/>
  <c r="BV17" i="6"/>
  <c r="BU25" i="6"/>
  <c r="BX25" i="6" s="1"/>
  <c r="BY25" i="6"/>
  <c r="BV27" i="6"/>
  <c r="BU33" i="6"/>
  <c r="BX33" i="6" s="1"/>
  <c r="BY33" i="6"/>
  <c r="BV35" i="6"/>
  <c r="BU41" i="6"/>
  <c r="BX41" i="6" s="1"/>
  <c r="BV43" i="6"/>
  <c r="BU49" i="6"/>
  <c r="BX49" i="6" s="1"/>
  <c r="BY49" i="6"/>
  <c r="BV51" i="6"/>
  <c r="BY5" i="6"/>
  <c r="BU5" i="6"/>
  <c r="BX5" i="6" s="1"/>
  <c r="BY13" i="6"/>
  <c r="BU13" i="6"/>
  <c r="BX13" i="6" s="1"/>
  <c r="BY37" i="6"/>
  <c r="BU37" i="6"/>
  <c r="BX37" i="6" s="1"/>
  <c r="BU2" i="6"/>
  <c r="BX2" i="6" s="1"/>
  <c r="BU10" i="6"/>
  <c r="BX10" i="6" s="1"/>
  <c r="BU16" i="6"/>
  <c r="BX16" i="6" s="1"/>
  <c r="BU26" i="6"/>
  <c r="BX26" i="6" s="1"/>
  <c r="BU34" i="6"/>
  <c r="BX34" i="6" s="1"/>
  <c r="BU42" i="6"/>
  <c r="BX42" i="6" s="1"/>
  <c r="BU50" i="6"/>
  <c r="BX50" i="6" s="1"/>
  <c r="BV7" i="6"/>
  <c r="BV15" i="6"/>
  <c r="BV23" i="6"/>
  <c r="BV31" i="6"/>
  <c r="BV39" i="6"/>
  <c r="BV47" i="6"/>
  <c r="BV6" i="6"/>
  <c r="BV14" i="6"/>
  <c r="BV22" i="6"/>
  <c r="BV30" i="6"/>
  <c r="BV38" i="6"/>
  <c r="BV46" i="6"/>
  <c r="BY52" i="6"/>
  <c r="BU52" i="6"/>
  <c r="BX52" i="6" s="1"/>
  <c r="BY29" i="6"/>
  <c r="BU29" i="6"/>
  <c r="BX29" i="6" s="1"/>
  <c r="BY6" i="6"/>
  <c r="BU6" i="6"/>
  <c r="BX6" i="6" s="1"/>
  <c r="BY14" i="6"/>
  <c r="BU14" i="6"/>
  <c r="BX14" i="6" s="1"/>
  <c r="BY22" i="6"/>
  <c r="BY30" i="6"/>
  <c r="BY38" i="6"/>
  <c r="BU38" i="6"/>
  <c r="BX38" i="6" s="1"/>
  <c r="BY46" i="6"/>
  <c r="BU46" i="6"/>
  <c r="BX46" i="6" s="1"/>
  <c r="BY53" i="6"/>
  <c r="BU53" i="6"/>
  <c r="BX53" i="6" s="1"/>
  <c r="AO3" i="6"/>
  <c r="BU3" i="6" s="1"/>
  <c r="BX3" i="6" s="1"/>
  <c r="BU7" i="6"/>
  <c r="BX7" i="6" s="1"/>
  <c r="AO11" i="6"/>
  <c r="BU11" i="6" s="1"/>
  <c r="BX11" i="6" s="1"/>
  <c r="AO17" i="6"/>
  <c r="BU17" i="6" s="1"/>
  <c r="BX17" i="6" s="1"/>
  <c r="BU23" i="6"/>
  <c r="BX23" i="6" s="1"/>
  <c r="AO27" i="6"/>
  <c r="BU27" i="6" s="1"/>
  <c r="BX27" i="6" s="1"/>
  <c r="BU31" i="6"/>
  <c r="BX31" i="6" s="1"/>
  <c r="AO35" i="6"/>
  <c r="BU35" i="6" s="1"/>
  <c r="BX35" i="6" s="1"/>
  <c r="BU39" i="6"/>
  <c r="BX39" i="6" s="1"/>
  <c r="AO43" i="6"/>
  <c r="BU43" i="6" s="1"/>
  <c r="BX43" i="6" s="1"/>
  <c r="BU47" i="6"/>
  <c r="BX47" i="6" s="1"/>
  <c r="AO51" i="6"/>
  <c r="BU51" i="6" s="1"/>
  <c r="BX51" i="6" s="1"/>
  <c r="BV5" i="6"/>
  <c r="BV13" i="6"/>
  <c r="BV19" i="6"/>
  <c r="BV29" i="6"/>
  <c r="BV37" i="6"/>
  <c r="BV45" i="6"/>
  <c r="BV53" i="6"/>
  <c r="AL146" i="5"/>
  <c r="AH146" i="5" s="1"/>
  <c r="AL106" i="5"/>
  <c r="AH106" i="5" s="1"/>
  <c r="AL90" i="5"/>
  <c r="AH90" i="5" s="1"/>
  <c r="AL74" i="5"/>
  <c r="AH74" i="5" s="1"/>
  <c r="AL58" i="5"/>
  <c r="AH58" i="5" s="1"/>
  <c r="AL42" i="5"/>
  <c r="AH42" i="5" s="1"/>
  <c r="AL27" i="5"/>
  <c r="AL170" i="5"/>
  <c r="AH170" i="5" s="1"/>
  <c r="AL138" i="5"/>
  <c r="AH138" i="5" s="1"/>
  <c r="AL130" i="5"/>
  <c r="AH130" i="5" s="1"/>
  <c r="AL98" i="5"/>
  <c r="AH98" i="5" s="1"/>
  <c r="AL66" i="5"/>
  <c r="AH66" i="5" s="1"/>
  <c r="AI162" i="5"/>
  <c r="AI154" i="5"/>
  <c r="AI82" i="5"/>
  <c r="AI50" i="5"/>
  <c r="AL177" i="5"/>
  <c r="AH177" i="5" s="1"/>
  <c r="AL173" i="5"/>
  <c r="AH173" i="5" s="1"/>
  <c r="AL169" i="5"/>
  <c r="AH169" i="5" s="1"/>
  <c r="AL165" i="5"/>
  <c r="AH165" i="5" s="1"/>
  <c r="AL161" i="5"/>
  <c r="AH161" i="5" s="1"/>
  <c r="AL157" i="5"/>
  <c r="AH157" i="5" s="1"/>
  <c r="AL153" i="5"/>
  <c r="AH153" i="5" s="1"/>
  <c r="AL149" i="5"/>
  <c r="AH149" i="5" s="1"/>
  <c r="AL145" i="5"/>
  <c r="AH145" i="5" s="1"/>
  <c r="AL141" i="5"/>
  <c r="AH141" i="5" s="1"/>
  <c r="AL137" i="5"/>
  <c r="AH137" i="5" s="1"/>
  <c r="AL133" i="5"/>
  <c r="AH133" i="5" s="1"/>
  <c r="AL129" i="5"/>
  <c r="AH129" i="5" s="1"/>
  <c r="AL125" i="5"/>
  <c r="AH125" i="5" s="1"/>
  <c r="AL121" i="5"/>
  <c r="AH121" i="5" s="1"/>
  <c r="AL117" i="5"/>
  <c r="AH117" i="5" s="1"/>
  <c r="AL113" i="5"/>
  <c r="AH113" i="5" s="1"/>
  <c r="AL109" i="5"/>
  <c r="AH109" i="5" s="1"/>
  <c r="AL105" i="5"/>
  <c r="AH105" i="5" s="1"/>
  <c r="AL101" i="5"/>
  <c r="AH101" i="5" s="1"/>
  <c r="AL97" i="5"/>
  <c r="AH97" i="5" s="1"/>
  <c r="AL93" i="5"/>
  <c r="AH93" i="5" s="1"/>
  <c r="AL89" i="5"/>
  <c r="AH89" i="5" s="1"/>
  <c r="AL85" i="5"/>
  <c r="AH85" i="5" s="1"/>
  <c r="AL81" i="5"/>
  <c r="AH81" i="5" s="1"/>
  <c r="AL77" i="5"/>
  <c r="AH77" i="5" s="1"/>
  <c r="AL73" i="5"/>
  <c r="AH73" i="5" s="1"/>
  <c r="AL69" i="5"/>
  <c r="AH69" i="5" s="1"/>
  <c r="AL65" i="5"/>
  <c r="AH65" i="5" s="1"/>
  <c r="AL61" i="5"/>
  <c r="AH61" i="5" s="1"/>
  <c r="AL57" i="5"/>
  <c r="AH57" i="5" s="1"/>
  <c r="AL53" i="5"/>
  <c r="AH53" i="5" s="1"/>
  <c r="AL49" i="5"/>
  <c r="AH49" i="5" s="1"/>
  <c r="AL45" i="5"/>
  <c r="AH45" i="5" s="1"/>
  <c r="AL41" i="5"/>
  <c r="AH41" i="5" s="1"/>
  <c r="AL37" i="5"/>
  <c r="AH37" i="5" s="1"/>
  <c r="AL32" i="5"/>
  <c r="AH32" i="5" s="1"/>
  <c r="AL30" i="5"/>
  <c r="AH30" i="5" s="1"/>
  <c r="AL122" i="5"/>
  <c r="AH122" i="5" s="1"/>
  <c r="AL114" i="5"/>
  <c r="AH114" i="5" s="1"/>
  <c r="BJ100" i="2"/>
  <c r="BI100" i="2"/>
  <c r="CG100" i="2" s="1"/>
  <c r="CJ100" i="2" s="1"/>
  <c r="BI978" i="2"/>
  <c r="CG978" i="2" s="1"/>
  <c r="CH738" i="2"/>
  <c r="CI738" i="2" s="1"/>
  <c r="CH972" i="2"/>
  <c r="CI972" i="2" s="1"/>
  <c r="BI797" i="2"/>
  <c r="CG797" i="2" s="1"/>
  <c r="CJ797" i="2" s="1"/>
  <c r="CH168" i="2"/>
  <c r="CI168" i="2" s="1"/>
  <c r="CM168" i="2"/>
  <c r="CM160" i="2"/>
  <c r="CH160" i="2"/>
  <c r="CI160" i="2" s="1"/>
  <c r="CM152" i="2"/>
  <c r="CH152" i="2"/>
  <c r="CI152" i="2" s="1"/>
  <c r="CM144" i="2"/>
  <c r="CH144" i="2"/>
  <c r="CI144" i="2" s="1"/>
  <c r="CM136" i="2"/>
  <c r="CH136" i="2"/>
  <c r="CI136" i="2" s="1"/>
  <c r="CM128" i="2"/>
  <c r="CH128" i="2"/>
  <c r="CI128" i="2" s="1"/>
  <c r="BJ108" i="2"/>
  <c r="BI108" i="2"/>
  <c r="CG108" i="2" s="1"/>
  <c r="CJ108" i="2" s="1"/>
  <c r="BJ92" i="2"/>
  <c r="BI92" i="2"/>
  <c r="CG92" i="2" s="1"/>
  <c r="CJ92" i="2" s="1"/>
  <c r="BJ76" i="2"/>
  <c r="BI76" i="2"/>
  <c r="CG76" i="2" s="1"/>
  <c r="CJ76" i="2" s="1"/>
  <c r="BJ60" i="2"/>
  <c r="BI60" i="2"/>
  <c r="CG60" i="2" s="1"/>
  <c r="CJ60" i="2" s="1"/>
  <c r="CH992" i="2"/>
  <c r="CI992" i="2" s="1"/>
  <c r="CH980" i="2"/>
  <c r="CI980" i="2" s="1"/>
  <c r="CH82" i="2"/>
  <c r="CI82" i="2" s="1"/>
  <c r="CM82" i="2"/>
  <c r="CM167" i="2"/>
  <c r="CH167" i="2"/>
  <c r="CI167" i="2" s="1"/>
  <c r="CM159" i="2"/>
  <c r="CH159" i="2"/>
  <c r="CI159" i="2" s="1"/>
  <c r="BI970" i="2"/>
  <c r="CG970" i="2" s="1"/>
  <c r="CJ970" i="2" s="1"/>
  <c r="CH28" i="2"/>
  <c r="CI28" i="2" s="1"/>
  <c r="CH970" i="2"/>
  <c r="CI970" i="2" s="1"/>
  <c r="CH157" i="2"/>
  <c r="CI157" i="2" s="1"/>
  <c r="CM157" i="2"/>
  <c r="CH141" i="2"/>
  <c r="CI141" i="2" s="1"/>
  <c r="CM141" i="2"/>
  <c r="CH976" i="2"/>
  <c r="CI976" i="2" s="1"/>
  <c r="CH791" i="2"/>
  <c r="CI791" i="2" s="1"/>
  <c r="CM156" i="2"/>
  <c r="CH156" i="2"/>
  <c r="CI156" i="2" s="1"/>
  <c r="BI976" i="2"/>
  <c r="CG976" i="2" s="1"/>
  <c r="CJ976" i="2" s="1"/>
  <c r="BI996" i="2"/>
  <c r="CH968" i="2"/>
  <c r="CI968" i="2" s="1"/>
  <c r="BI799" i="2"/>
  <c r="CG799" i="2" s="1"/>
  <c r="CJ799" i="2" s="1"/>
  <c r="BJ84" i="2"/>
  <c r="BI84" i="2"/>
  <c r="CG84" i="2" s="1"/>
  <c r="CJ84" i="2" s="1"/>
  <c r="BJ68" i="2"/>
  <c r="BI68" i="2"/>
  <c r="CG68" i="2" s="1"/>
  <c r="CJ68" i="2" s="1"/>
  <c r="BJ52" i="2"/>
  <c r="BI52" i="2"/>
  <c r="CG52" i="2" s="1"/>
  <c r="CJ52" i="2" s="1"/>
  <c r="CM169" i="2"/>
  <c r="CH169" i="2"/>
  <c r="CI169" i="2" s="1"/>
  <c r="CH161" i="2"/>
  <c r="CI161" i="2" s="1"/>
  <c r="CM161" i="2"/>
  <c r="CH153" i="2"/>
  <c r="CI153" i="2" s="1"/>
  <c r="CM153" i="2"/>
  <c r="CM145" i="2"/>
  <c r="CH145" i="2"/>
  <c r="CI145" i="2" s="1"/>
  <c r="CM137" i="2"/>
  <c r="CH137" i="2"/>
  <c r="CI137" i="2" s="1"/>
  <c r="CM129" i="2"/>
  <c r="CH129" i="2"/>
  <c r="CI129" i="2" s="1"/>
  <c r="CM121" i="2"/>
  <c r="CH121" i="2"/>
  <c r="CI121" i="2" s="1"/>
  <c r="CM113" i="2"/>
  <c r="CH113" i="2"/>
  <c r="CI113" i="2" s="1"/>
  <c r="BI169" i="2"/>
  <c r="CG169" i="2" s="1"/>
  <c r="CJ169" i="2" s="1"/>
  <c r="BI161" i="2"/>
  <c r="CG161" i="2" s="1"/>
  <c r="CJ161" i="2" s="1"/>
  <c r="BI153" i="2"/>
  <c r="CG153" i="2" s="1"/>
  <c r="CJ153" i="2" s="1"/>
  <c r="BI145" i="2"/>
  <c r="CG145" i="2" s="1"/>
  <c r="CJ145" i="2" s="1"/>
  <c r="BI137" i="2"/>
  <c r="CG137" i="2" s="1"/>
  <c r="CJ137" i="2" s="1"/>
  <c r="BI129" i="2"/>
  <c r="CG129" i="2" s="1"/>
  <c r="CJ129" i="2" s="1"/>
  <c r="BI121" i="2"/>
  <c r="CG121" i="2" s="1"/>
  <c r="CJ121" i="2" s="1"/>
  <c r="BI113" i="2"/>
  <c r="CG113" i="2" s="1"/>
  <c r="CJ113" i="2" s="1"/>
  <c r="CK170" i="2"/>
  <c r="CK162" i="2"/>
  <c r="CG162" i="2"/>
  <c r="CJ162" i="2" s="1"/>
  <c r="CK154" i="2"/>
  <c r="CG154" i="2"/>
  <c r="CJ154" i="2" s="1"/>
  <c r="CK146" i="2"/>
  <c r="CK138" i="2"/>
  <c r="CK130" i="2"/>
  <c r="CK122" i="2"/>
  <c r="CK114" i="2"/>
  <c r="CG114" i="2"/>
  <c r="CJ114" i="2" s="1"/>
  <c r="CK106" i="2"/>
  <c r="CG106" i="2"/>
  <c r="CJ106" i="2" s="1"/>
  <c r="CK98" i="2"/>
  <c r="CK90" i="2"/>
  <c r="CK82" i="2"/>
  <c r="CK74" i="2"/>
  <c r="CK66" i="2"/>
  <c r="CK58" i="2"/>
  <c r="CK50" i="2"/>
  <c r="CK108" i="2"/>
  <c r="CH107" i="2"/>
  <c r="CI107" i="2" s="1"/>
  <c r="CM107" i="2"/>
  <c r="CH99" i="2"/>
  <c r="CI99" i="2" s="1"/>
  <c r="CM99" i="2"/>
  <c r="CH91" i="2"/>
  <c r="CI91" i="2" s="1"/>
  <c r="CM91" i="2"/>
  <c r="CH83" i="2"/>
  <c r="CI83" i="2" s="1"/>
  <c r="CM83" i="2"/>
  <c r="CH75" i="2"/>
  <c r="CI75" i="2" s="1"/>
  <c r="CM75" i="2"/>
  <c r="CH67" i="2"/>
  <c r="CI67" i="2" s="1"/>
  <c r="CM67" i="2"/>
  <c r="CH59" i="2"/>
  <c r="CI59" i="2" s="1"/>
  <c r="CM59" i="2"/>
  <c r="CH51" i="2"/>
  <c r="CI51" i="2" s="1"/>
  <c r="CM51" i="2"/>
  <c r="CM120" i="2"/>
  <c r="CH120" i="2"/>
  <c r="CI120" i="2" s="1"/>
  <c r="CM112" i="2"/>
  <c r="CH112" i="2"/>
  <c r="CI112" i="2" s="1"/>
  <c r="BI168" i="2"/>
  <c r="CG168" i="2" s="1"/>
  <c r="CJ168" i="2" s="1"/>
  <c r="BI160" i="2"/>
  <c r="CG160" i="2" s="1"/>
  <c r="CJ160" i="2" s="1"/>
  <c r="BI152" i="2"/>
  <c r="CG152" i="2" s="1"/>
  <c r="CJ152" i="2" s="1"/>
  <c r="BI144" i="2"/>
  <c r="CG144" i="2" s="1"/>
  <c r="CJ144" i="2" s="1"/>
  <c r="BI136" i="2"/>
  <c r="CG136" i="2" s="1"/>
  <c r="CJ136" i="2" s="1"/>
  <c r="BI128" i="2"/>
  <c r="CG128" i="2" s="1"/>
  <c r="CJ128" i="2" s="1"/>
  <c r="BI120" i="2"/>
  <c r="CG120" i="2" s="1"/>
  <c r="CJ120" i="2" s="1"/>
  <c r="BI112" i="2"/>
  <c r="CG112" i="2" s="1"/>
  <c r="CJ112" i="2" s="1"/>
  <c r="BI104" i="2"/>
  <c r="CG104" i="2" s="1"/>
  <c r="CJ104" i="2" s="1"/>
  <c r="BI96" i="2"/>
  <c r="CG96" i="2" s="1"/>
  <c r="CJ96" i="2" s="1"/>
  <c r="BI88" i="2"/>
  <c r="CG88" i="2" s="1"/>
  <c r="CJ88" i="2" s="1"/>
  <c r="BI80" i="2"/>
  <c r="CG80" i="2" s="1"/>
  <c r="CJ80" i="2" s="1"/>
  <c r="BI72" i="2"/>
  <c r="CG72" i="2" s="1"/>
  <c r="CJ72" i="2" s="1"/>
  <c r="BI64" i="2"/>
  <c r="CG64" i="2" s="1"/>
  <c r="CJ64" i="2" s="1"/>
  <c r="BI56" i="2"/>
  <c r="CG56" i="2" s="1"/>
  <c r="CJ56" i="2" s="1"/>
  <c r="BI48" i="2"/>
  <c r="CG48" i="2" s="1"/>
  <c r="CJ48" i="2" s="1"/>
  <c r="BJ164" i="2"/>
  <c r="BJ66" i="2"/>
  <c r="CK169" i="2"/>
  <c r="CK161" i="2"/>
  <c r="CK145" i="2"/>
  <c r="CK137" i="2"/>
  <c r="CK129" i="2"/>
  <c r="CK121" i="2"/>
  <c r="CK113" i="2"/>
  <c r="CK105" i="2"/>
  <c r="CK97" i="2"/>
  <c r="CG97" i="2"/>
  <c r="CJ97" i="2" s="1"/>
  <c r="CK89" i="2"/>
  <c r="CK81" i="2"/>
  <c r="CK73" i="2"/>
  <c r="CK65" i="2"/>
  <c r="CK57" i="2"/>
  <c r="CK49" i="2"/>
  <c r="CK100" i="2"/>
  <c r="CM151" i="2"/>
  <c r="CH151" i="2"/>
  <c r="CI151" i="2" s="1"/>
  <c r="CM143" i="2"/>
  <c r="CH143" i="2"/>
  <c r="CI143" i="2" s="1"/>
  <c r="CM135" i="2"/>
  <c r="CH135" i="2"/>
  <c r="CI135" i="2" s="1"/>
  <c r="CM127" i="2"/>
  <c r="CH127" i="2"/>
  <c r="CI127" i="2" s="1"/>
  <c r="CM119" i="2"/>
  <c r="CH119" i="2"/>
  <c r="CI119" i="2" s="1"/>
  <c r="CM111" i="2"/>
  <c r="CH111" i="2"/>
  <c r="CI111" i="2" s="1"/>
  <c r="BI167" i="2"/>
  <c r="CG167" i="2" s="1"/>
  <c r="CJ167" i="2" s="1"/>
  <c r="BI159" i="2"/>
  <c r="CG159" i="2" s="1"/>
  <c r="CJ159" i="2" s="1"/>
  <c r="BI151" i="2"/>
  <c r="CG151" i="2" s="1"/>
  <c r="CJ151" i="2" s="1"/>
  <c r="BI143" i="2"/>
  <c r="CG143" i="2" s="1"/>
  <c r="CJ143" i="2" s="1"/>
  <c r="BI135" i="2"/>
  <c r="CG135" i="2" s="1"/>
  <c r="CJ135" i="2" s="1"/>
  <c r="BI127" i="2"/>
  <c r="CG127" i="2" s="1"/>
  <c r="CJ127" i="2" s="1"/>
  <c r="BI119" i="2"/>
  <c r="CG119" i="2" s="1"/>
  <c r="CJ119" i="2" s="1"/>
  <c r="BI111" i="2"/>
  <c r="CG111" i="2" s="1"/>
  <c r="CJ111" i="2" s="1"/>
  <c r="BI103" i="2"/>
  <c r="CG103" i="2" s="1"/>
  <c r="CJ103" i="2" s="1"/>
  <c r="BI95" i="2"/>
  <c r="CG95" i="2" s="1"/>
  <c r="CJ95" i="2" s="1"/>
  <c r="BI87" i="2"/>
  <c r="CG87" i="2" s="1"/>
  <c r="CJ87" i="2" s="1"/>
  <c r="BI79" i="2"/>
  <c r="CG79" i="2" s="1"/>
  <c r="CJ79" i="2" s="1"/>
  <c r="BI71" i="2"/>
  <c r="CG71" i="2" s="1"/>
  <c r="CJ71" i="2" s="1"/>
  <c r="BI63" i="2"/>
  <c r="CG63" i="2" s="1"/>
  <c r="CJ63" i="2" s="1"/>
  <c r="BI55" i="2"/>
  <c r="CG55" i="2" s="1"/>
  <c r="CJ55" i="2" s="1"/>
  <c r="BI47" i="2"/>
  <c r="CG47" i="2" s="1"/>
  <c r="CJ47" i="2" s="1"/>
  <c r="BJ162" i="2"/>
  <c r="BJ106" i="2"/>
  <c r="BJ58" i="2"/>
  <c r="CK168" i="2"/>
  <c r="CK160" i="2"/>
  <c r="CK152" i="2"/>
  <c r="CK144" i="2"/>
  <c r="CK136" i="2"/>
  <c r="CK128" i="2"/>
  <c r="CK120" i="2"/>
  <c r="CK112" i="2"/>
  <c r="CK104" i="2"/>
  <c r="CK96" i="2"/>
  <c r="CK88" i="2"/>
  <c r="CK80" i="2"/>
  <c r="CK72" i="2"/>
  <c r="CK64" i="2"/>
  <c r="CK56" i="2"/>
  <c r="CK48" i="2"/>
  <c r="CK156" i="2"/>
  <c r="CK92" i="2"/>
  <c r="CM89" i="2"/>
  <c r="CH89" i="2"/>
  <c r="CI89" i="2" s="1"/>
  <c r="CM65" i="2"/>
  <c r="CH65" i="2"/>
  <c r="CI65" i="2" s="1"/>
  <c r="CM166" i="2"/>
  <c r="CH166" i="2"/>
  <c r="CI166" i="2" s="1"/>
  <c r="CM158" i="2"/>
  <c r="CH158" i="2"/>
  <c r="CI158" i="2" s="1"/>
  <c r="CM150" i="2"/>
  <c r="CH150" i="2"/>
  <c r="CI150" i="2" s="1"/>
  <c r="CM142" i="2"/>
  <c r="CH142" i="2"/>
  <c r="CI142" i="2" s="1"/>
  <c r="CM134" i="2"/>
  <c r="CH134" i="2"/>
  <c r="CI134" i="2" s="1"/>
  <c r="CM126" i="2"/>
  <c r="CH126" i="2"/>
  <c r="CI126" i="2" s="1"/>
  <c r="CM118" i="2"/>
  <c r="CH118" i="2"/>
  <c r="CI118" i="2" s="1"/>
  <c r="BI166" i="2"/>
  <c r="CG166" i="2" s="1"/>
  <c r="CJ166" i="2" s="1"/>
  <c r="BI158" i="2"/>
  <c r="CG158" i="2" s="1"/>
  <c r="CJ158" i="2" s="1"/>
  <c r="BI150" i="2"/>
  <c r="CG150" i="2" s="1"/>
  <c r="CJ150" i="2" s="1"/>
  <c r="BI142" i="2"/>
  <c r="CG142" i="2" s="1"/>
  <c r="CJ142" i="2" s="1"/>
  <c r="BI134" i="2"/>
  <c r="CG134" i="2" s="1"/>
  <c r="CJ134" i="2" s="1"/>
  <c r="BI126" i="2"/>
  <c r="CG126" i="2" s="1"/>
  <c r="CJ126" i="2" s="1"/>
  <c r="BI118" i="2"/>
  <c r="CG118" i="2" s="1"/>
  <c r="CJ118" i="2" s="1"/>
  <c r="BI110" i="2"/>
  <c r="CG110" i="2" s="1"/>
  <c r="CJ110" i="2" s="1"/>
  <c r="BI102" i="2"/>
  <c r="CG102" i="2" s="1"/>
  <c r="CJ102" i="2" s="1"/>
  <c r="BI94" i="2"/>
  <c r="CG94" i="2" s="1"/>
  <c r="CJ94" i="2" s="1"/>
  <c r="BI86" i="2"/>
  <c r="CG86" i="2" s="1"/>
  <c r="CJ86" i="2" s="1"/>
  <c r="BI78" i="2"/>
  <c r="CG78" i="2" s="1"/>
  <c r="CJ78" i="2" s="1"/>
  <c r="BI70" i="2"/>
  <c r="CG70" i="2" s="1"/>
  <c r="CJ70" i="2" s="1"/>
  <c r="BI62" i="2"/>
  <c r="CG62" i="2" s="1"/>
  <c r="CJ62" i="2" s="1"/>
  <c r="BI54" i="2"/>
  <c r="BI46" i="2"/>
  <c r="CG46" i="2" s="1"/>
  <c r="CJ46" i="2" s="1"/>
  <c r="BJ149" i="2"/>
  <c r="BJ130" i="2"/>
  <c r="BJ50" i="2"/>
  <c r="CK167" i="2"/>
  <c r="CK159" i="2"/>
  <c r="CK151" i="2"/>
  <c r="CK143" i="2"/>
  <c r="CK135" i="2"/>
  <c r="CK127" i="2"/>
  <c r="CK119" i="2"/>
  <c r="CK111" i="2"/>
  <c r="CK103" i="2"/>
  <c r="CK95" i="2"/>
  <c r="CK87" i="2"/>
  <c r="CK71" i="2"/>
  <c r="CK63" i="2"/>
  <c r="CK55" i="2"/>
  <c r="CK47" i="2"/>
  <c r="CK148" i="2"/>
  <c r="CK84" i="2"/>
  <c r="CM104" i="2"/>
  <c r="CH104" i="2"/>
  <c r="CI104" i="2" s="1"/>
  <c r="CM96" i="2"/>
  <c r="CH96" i="2"/>
  <c r="CI96" i="2" s="1"/>
  <c r="CM88" i="2"/>
  <c r="CH88" i="2"/>
  <c r="CI88" i="2" s="1"/>
  <c r="CM80" i="2"/>
  <c r="CH80" i="2"/>
  <c r="CI80" i="2" s="1"/>
  <c r="CM72" i="2"/>
  <c r="CH72" i="2"/>
  <c r="CI72" i="2" s="1"/>
  <c r="CM64" i="2"/>
  <c r="CH64" i="2"/>
  <c r="CI64" i="2" s="1"/>
  <c r="CM56" i="2"/>
  <c r="CH56" i="2"/>
  <c r="CI56" i="2" s="1"/>
  <c r="CM48" i="2"/>
  <c r="CH48" i="2"/>
  <c r="CI48" i="2" s="1"/>
  <c r="CH133" i="2"/>
  <c r="CI133" i="2" s="1"/>
  <c r="CM133" i="2"/>
  <c r="CM125" i="2"/>
  <c r="CH125" i="2"/>
  <c r="CI125" i="2" s="1"/>
  <c r="CM117" i="2"/>
  <c r="CH117" i="2"/>
  <c r="CI117" i="2" s="1"/>
  <c r="BI157" i="2"/>
  <c r="CG157" i="2" s="1"/>
  <c r="CJ157" i="2" s="1"/>
  <c r="BI141" i="2"/>
  <c r="CG141" i="2" s="1"/>
  <c r="CJ141" i="2" s="1"/>
  <c r="BI133" i="2"/>
  <c r="CG133" i="2" s="1"/>
  <c r="CJ133" i="2" s="1"/>
  <c r="BI125" i="2"/>
  <c r="CG125" i="2" s="1"/>
  <c r="CJ125" i="2" s="1"/>
  <c r="BI117" i="2"/>
  <c r="CG117" i="2" s="1"/>
  <c r="CJ117" i="2" s="1"/>
  <c r="BI109" i="2"/>
  <c r="CG109" i="2" s="1"/>
  <c r="CJ109" i="2" s="1"/>
  <c r="BI101" i="2"/>
  <c r="CG101" i="2" s="1"/>
  <c r="CJ101" i="2" s="1"/>
  <c r="BI93" i="2"/>
  <c r="CG93" i="2" s="1"/>
  <c r="CJ93" i="2" s="1"/>
  <c r="BI85" i="2"/>
  <c r="CG85" i="2" s="1"/>
  <c r="CJ85" i="2" s="1"/>
  <c r="BI77" i="2"/>
  <c r="CG77" i="2" s="1"/>
  <c r="CJ77" i="2" s="1"/>
  <c r="BI69" i="2"/>
  <c r="CG69" i="2" s="1"/>
  <c r="CJ69" i="2" s="1"/>
  <c r="BI61" i="2"/>
  <c r="CG61" i="2" s="1"/>
  <c r="CJ61" i="2" s="1"/>
  <c r="BI53" i="2"/>
  <c r="CG53" i="2" s="1"/>
  <c r="CJ53" i="2" s="1"/>
  <c r="BJ170" i="2"/>
  <c r="BJ146" i="2"/>
  <c r="BJ98" i="2"/>
  <c r="CK166" i="2"/>
  <c r="CK158" i="2"/>
  <c r="CK150" i="2"/>
  <c r="CK134" i="2"/>
  <c r="CK126" i="2"/>
  <c r="CK110" i="2"/>
  <c r="CK94" i="2"/>
  <c r="CK86" i="2"/>
  <c r="CK78" i="2"/>
  <c r="CK70" i="2"/>
  <c r="CK62" i="2"/>
  <c r="CK46" i="2"/>
  <c r="CK140" i="2"/>
  <c r="CK76" i="2"/>
  <c r="BI861" i="2"/>
  <c r="CG861" i="2" s="1"/>
  <c r="CJ861" i="2" s="1"/>
  <c r="BI865" i="2"/>
  <c r="CG865" i="2" s="1"/>
  <c r="CJ865" i="2" s="1"/>
  <c r="BI875" i="2"/>
  <c r="CG875" i="2" s="1"/>
  <c r="CJ875" i="2" s="1"/>
  <c r="BI877" i="2"/>
  <c r="CG877" i="2" s="1"/>
  <c r="CJ877" i="2" s="1"/>
  <c r="BI879" i="2"/>
  <c r="CG879" i="2" s="1"/>
  <c r="CJ879" i="2" s="1"/>
  <c r="CM103" i="2"/>
  <c r="CH103" i="2"/>
  <c r="CI103" i="2" s="1"/>
  <c r="CM95" i="2"/>
  <c r="CH95" i="2"/>
  <c r="CI95" i="2" s="1"/>
  <c r="CM87" i="2"/>
  <c r="CH87" i="2"/>
  <c r="CI87" i="2" s="1"/>
  <c r="CM79" i="2"/>
  <c r="CH79" i="2"/>
  <c r="CI79" i="2" s="1"/>
  <c r="CM71" i="2"/>
  <c r="CH71" i="2"/>
  <c r="CI71" i="2" s="1"/>
  <c r="CM63" i="2"/>
  <c r="CH63" i="2"/>
  <c r="CI63" i="2" s="1"/>
  <c r="CM55" i="2"/>
  <c r="CH55" i="2"/>
  <c r="CI55" i="2" s="1"/>
  <c r="CM47" i="2"/>
  <c r="CH47" i="2"/>
  <c r="CI47" i="2" s="1"/>
  <c r="CH148" i="2"/>
  <c r="CI148" i="2" s="1"/>
  <c r="CM148" i="2"/>
  <c r="CH140" i="2"/>
  <c r="CI140" i="2" s="1"/>
  <c r="CM140" i="2"/>
  <c r="CH132" i="2"/>
  <c r="CI132" i="2" s="1"/>
  <c r="CM132" i="2"/>
  <c r="CH124" i="2"/>
  <c r="CI124" i="2" s="1"/>
  <c r="CM124" i="2"/>
  <c r="CH116" i="2"/>
  <c r="CI116" i="2" s="1"/>
  <c r="CM116" i="2"/>
  <c r="BI156" i="2"/>
  <c r="CG156" i="2" s="1"/>
  <c r="CJ156" i="2" s="1"/>
  <c r="BI148" i="2"/>
  <c r="CG148" i="2" s="1"/>
  <c r="CJ148" i="2" s="1"/>
  <c r="BI140" i="2"/>
  <c r="CG140" i="2" s="1"/>
  <c r="CJ140" i="2" s="1"/>
  <c r="BI132" i="2"/>
  <c r="BI124" i="2"/>
  <c r="CG124" i="2" s="1"/>
  <c r="CJ124" i="2" s="1"/>
  <c r="BI116" i="2"/>
  <c r="CG116" i="2" s="1"/>
  <c r="CJ116" i="2" s="1"/>
  <c r="CK165" i="2"/>
  <c r="CK157" i="2"/>
  <c r="CK149" i="2"/>
  <c r="CK141" i="2"/>
  <c r="CK133" i="2"/>
  <c r="CK125" i="2"/>
  <c r="CK117" i="2"/>
  <c r="CK109" i="2"/>
  <c r="CK101" i="2"/>
  <c r="CK93" i="2"/>
  <c r="CK85" i="2"/>
  <c r="CK77" i="2"/>
  <c r="CK69" i="2"/>
  <c r="CK61" i="2"/>
  <c r="CK53" i="2"/>
  <c r="CK68" i="2"/>
  <c r="BI745" i="2"/>
  <c r="CG745" i="2" s="1"/>
  <c r="CJ745" i="2" s="1"/>
  <c r="BI946" i="2"/>
  <c r="CG946" i="2" s="1"/>
  <c r="CJ946" i="2" s="1"/>
  <c r="BI948" i="2"/>
  <c r="CG948" i="2" s="1"/>
  <c r="CJ948" i="2" s="1"/>
  <c r="BI966" i="2"/>
  <c r="CG966" i="2" s="1"/>
  <c r="CJ966" i="2" s="1"/>
  <c r="BI968" i="2"/>
  <c r="CG968" i="2" s="1"/>
  <c r="CJ968" i="2" s="1"/>
  <c r="BI972" i="2"/>
  <c r="CG972" i="2" s="1"/>
  <c r="CJ972" i="2" s="1"/>
  <c r="BI974" i="2"/>
  <c r="CG974" i="2" s="1"/>
  <c r="BI980" i="2"/>
  <c r="CG980" i="2" s="1"/>
  <c r="CJ980" i="2" s="1"/>
  <c r="BI982" i="2"/>
  <c r="CG982" i="2" s="1"/>
  <c r="CJ982" i="2" s="1"/>
  <c r="BI984" i="2"/>
  <c r="CG984" i="2" s="1"/>
  <c r="CJ984" i="2" s="1"/>
  <c r="CM110" i="2"/>
  <c r="CH110" i="2"/>
  <c r="CI110" i="2" s="1"/>
  <c r="CM102" i="2"/>
  <c r="CH102" i="2"/>
  <c r="CI102" i="2" s="1"/>
  <c r="CM94" i="2"/>
  <c r="CH94" i="2"/>
  <c r="CI94" i="2" s="1"/>
  <c r="CM86" i="2"/>
  <c r="CH86" i="2"/>
  <c r="CI86" i="2" s="1"/>
  <c r="CM78" i="2"/>
  <c r="CH78" i="2"/>
  <c r="CI78" i="2" s="1"/>
  <c r="CM70" i="2"/>
  <c r="CH70" i="2"/>
  <c r="CI70" i="2" s="1"/>
  <c r="CM62" i="2"/>
  <c r="CH62" i="2"/>
  <c r="CI62" i="2" s="1"/>
  <c r="CM54" i="2"/>
  <c r="CH54" i="2"/>
  <c r="CI54" i="2" s="1"/>
  <c r="CM46" i="2"/>
  <c r="CH46" i="2"/>
  <c r="CI46" i="2" s="1"/>
  <c r="CM163" i="2"/>
  <c r="CH163" i="2"/>
  <c r="CI163" i="2" s="1"/>
  <c r="CH155" i="2"/>
  <c r="CI155" i="2" s="1"/>
  <c r="CM155" i="2"/>
  <c r="CH147" i="2"/>
  <c r="CI147" i="2" s="1"/>
  <c r="CM147" i="2"/>
  <c r="CH139" i="2"/>
  <c r="CI139" i="2" s="1"/>
  <c r="CM139" i="2"/>
  <c r="CH131" i="2"/>
  <c r="CI131" i="2" s="1"/>
  <c r="CM131" i="2"/>
  <c r="CH123" i="2"/>
  <c r="CI123" i="2" s="1"/>
  <c r="CM123" i="2"/>
  <c r="CH115" i="2"/>
  <c r="CI115" i="2" s="1"/>
  <c r="CM115" i="2"/>
  <c r="BI163" i="2"/>
  <c r="CG163" i="2" s="1"/>
  <c r="CJ163" i="2" s="1"/>
  <c r="BI155" i="2"/>
  <c r="CG155" i="2" s="1"/>
  <c r="CJ155" i="2" s="1"/>
  <c r="BI147" i="2"/>
  <c r="CG147" i="2" s="1"/>
  <c r="CJ147" i="2" s="1"/>
  <c r="BI139" i="2"/>
  <c r="CG139" i="2" s="1"/>
  <c r="CJ139" i="2" s="1"/>
  <c r="BI131" i="2"/>
  <c r="CG131" i="2" s="1"/>
  <c r="CJ131" i="2" s="1"/>
  <c r="BI123" i="2"/>
  <c r="CG123" i="2" s="1"/>
  <c r="CJ123" i="2" s="1"/>
  <c r="BI115" i="2"/>
  <c r="CG115" i="2" s="1"/>
  <c r="CJ115" i="2" s="1"/>
  <c r="BI107" i="2"/>
  <c r="CG107" i="2" s="1"/>
  <c r="CJ107" i="2" s="1"/>
  <c r="BI99" i="2"/>
  <c r="CG99" i="2" s="1"/>
  <c r="CJ99" i="2" s="1"/>
  <c r="BI91" i="2"/>
  <c r="CG91" i="2" s="1"/>
  <c r="CJ91" i="2" s="1"/>
  <c r="BI83" i="2"/>
  <c r="CG83" i="2" s="1"/>
  <c r="CJ83" i="2" s="1"/>
  <c r="BI75" i="2"/>
  <c r="CG75" i="2" s="1"/>
  <c r="CJ75" i="2" s="1"/>
  <c r="BI67" i="2"/>
  <c r="CG67" i="2" s="1"/>
  <c r="CJ67" i="2" s="1"/>
  <c r="BI59" i="2"/>
  <c r="CG59" i="2" s="1"/>
  <c r="CJ59" i="2" s="1"/>
  <c r="BI51" i="2"/>
  <c r="CG51" i="2" s="1"/>
  <c r="CJ51" i="2" s="1"/>
  <c r="BJ122" i="2"/>
  <c r="BJ90" i="2"/>
  <c r="CK124" i="2"/>
  <c r="CK60" i="2"/>
  <c r="CG718" i="2"/>
  <c r="CJ718" i="2" s="1"/>
  <c r="CH109" i="2"/>
  <c r="CI109" i="2" s="1"/>
  <c r="CM109" i="2"/>
  <c r="CH101" i="2"/>
  <c r="CI101" i="2" s="1"/>
  <c r="CM101" i="2"/>
  <c r="CM93" i="2"/>
  <c r="CH93" i="2"/>
  <c r="CI93" i="2" s="1"/>
  <c r="CM85" i="2"/>
  <c r="CH85" i="2"/>
  <c r="CI85" i="2" s="1"/>
  <c r="CH77" i="2"/>
  <c r="CI77" i="2" s="1"/>
  <c r="CM77" i="2"/>
  <c r="CH69" i="2"/>
  <c r="CI69" i="2" s="1"/>
  <c r="CM69" i="2"/>
  <c r="CM61" i="2"/>
  <c r="CH61" i="2"/>
  <c r="CI61" i="2" s="1"/>
  <c r="CM53" i="2"/>
  <c r="CH53" i="2"/>
  <c r="CI53" i="2" s="1"/>
  <c r="BI82" i="2"/>
  <c r="CG82" i="2" s="1"/>
  <c r="CJ82" i="2" s="1"/>
  <c r="CK163" i="2"/>
  <c r="CK155" i="2"/>
  <c r="CK147" i="2"/>
  <c r="CK139" i="2"/>
  <c r="CK131" i="2"/>
  <c r="CK123" i="2"/>
  <c r="CK115" i="2"/>
  <c r="CK107" i="2"/>
  <c r="CK99" i="2"/>
  <c r="CK91" i="2"/>
  <c r="CK83" i="2"/>
  <c r="CK75" i="2"/>
  <c r="CK67" i="2"/>
  <c r="CK59" i="2"/>
  <c r="CK51" i="2"/>
  <c r="CK116" i="2"/>
  <c r="CK52" i="2"/>
  <c r="CH866" i="2"/>
  <c r="CI866" i="2" s="1"/>
  <c r="CM44" i="2"/>
  <c r="CH44" i="2"/>
  <c r="CI44" i="2" s="1"/>
  <c r="CH933" i="2"/>
  <c r="CI933" i="2" s="1"/>
  <c r="CH888" i="2"/>
  <c r="CI888" i="2" s="1"/>
  <c r="BI857" i="2"/>
  <c r="CG857" i="2" s="1"/>
  <c r="CJ857" i="2" s="1"/>
  <c r="CH876" i="2"/>
  <c r="CI876" i="2" s="1"/>
  <c r="CH19" i="2"/>
  <c r="CI19" i="2" s="1"/>
  <c r="CH884" i="2"/>
  <c r="CI884" i="2" s="1"/>
  <c r="CH874" i="2"/>
  <c r="CI874" i="2" s="1"/>
  <c r="CH870" i="2"/>
  <c r="CI870" i="2" s="1"/>
  <c r="CH940" i="2"/>
  <c r="CI940" i="2" s="1"/>
  <c r="CH882" i="2"/>
  <c r="CI882" i="2" s="1"/>
  <c r="BI870" i="2"/>
  <c r="CG870" i="2" s="1"/>
  <c r="CJ870" i="2" s="1"/>
  <c r="BI872" i="2"/>
  <c r="CG872" i="2" s="1"/>
  <c r="CJ872" i="2" s="1"/>
  <c r="CH735" i="2"/>
  <c r="CI735" i="2" s="1"/>
  <c r="CH741" i="2"/>
  <c r="CI741" i="2" s="1"/>
  <c r="CH985" i="2"/>
  <c r="CI985" i="2" s="1"/>
  <c r="BI994" i="2"/>
  <c r="CG994" i="2" s="1"/>
  <c r="CJ994" i="2" s="1"/>
  <c r="CH1000" i="2"/>
  <c r="CI1000" i="2" s="1"/>
  <c r="BI765" i="2"/>
  <c r="CG765" i="2" s="1"/>
  <c r="CJ765" i="2" s="1"/>
  <c r="CH773" i="2"/>
  <c r="CI773" i="2" s="1"/>
  <c r="BI27" i="2"/>
  <c r="CG27" i="2" s="1"/>
  <c r="CJ27" i="2" s="1"/>
  <c r="BI19" i="2"/>
  <c r="CG19" i="2" s="1"/>
  <c r="CJ19" i="2" s="1"/>
  <c r="BI774" i="2"/>
  <c r="BI815" i="2"/>
  <c r="CG815" i="2" s="1"/>
  <c r="CJ815" i="2" s="1"/>
  <c r="BI819" i="2"/>
  <c r="CG819" i="2" s="1"/>
  <c r="CJ819" i="2" s="1"/>
  <c r="BI961" i="2"/>
  <c r="CG961" i="2" s="1"/>
  <c r="CJ961" i="2" s="1"/>
  <c r="BI989" i="2"/>
  <c r="CG989" i="2" s="1"/>
  <c r="CJ989" i="2" s="1"/>
  <c r="BI997" i="2"/>
  <c r="CG997" i="2" s="1"/>
  <c r="CJ997" i="2" s="1"/>
  <c r="BI999" i="2"/>
  <c r="CG999" i="2" s="1"/>
  <c r="CJ999" i="2" s="1"/>
  <c r="BI1001" i="2"/>
  <c r="CG1001" i="2" s="1"/>
  <c r="CJ1001" i="2" s="1"/>
  <c r="BI776" i="2"/>
  <c r="CG776" i="2" s="1"/>
  <c r="CJ776" i="2" s="1"/>
  <c r="BI780" i="2"/>
  <c r="CG780" i="2" s="1"/>
  <c r="CJ780" i="2" s="1"/>
  <c r="BI785" i="2"/>
  <c r="CG785" i="2" s="1"/>
  <c r="CJ785" i="2" s="1"/>
  <c r="BI787" i="2"/>
  <c r="CG787" i="2" s="1"/>
  <c r="CJ787" i="2" s="1"/>
  <c r="BI789" i="2"/>
  <c r="CG789" i="2" s="1"/>
  <c r="CJ789" i="2" s="1"/>
  <c r="BI791" i="2"/>
  <c r="CG791" i="2" s="1"/>
  <c r="CJ791" i="2" s="1"/>
  <c r="BI938" i="2"/>
  <c r="CG938" i="2" s="1"/>
  <c r="CJ938" i="2" s="1"/>
  <c r="BI940" i="2"/>
  <c r="CG940" i="2" s="1"/>
  <c r="CJ940" i="2" s="1"/>
  <c r="BI944" i="2"/>
  <c r="CG944" i="2" s="1"/>
  <c r="CJ944" i="2" s="1"/>
  <c r="BI983" i="2"/>
  <c r="CG983" i="2" s="1"/>
  <c r="CJ983" i="2" s="1"/>
  <c r="CH767" i="2"/>
  <c r="CI767" i="2" s="1"/>
  <c r="CH27" i="2"/>
  <c r="CI27" i="2" s="1"/>
  <c r="BI990" i="2"/>
  <c r="CG990" i="2" s="1"/>
  <c r="CJ990" i="2" s="1"/>
  <c r="CH712" i="2"/>
  <c r="CI712" i="2" s="1"/>
  <c r="BI988" i="2"/>
  <c r="CG988" i="2" s="1"/>
  <c r="CJ988" i="2" s="1"/>
  <c r="CH996" i="2"/>
  <c r="CI996" i="2" s="1"/>
  <c r="BI992" i="2"/>
  <c r="CG992" i="2" s="1"/>
  <c r="CJ992" i="2" s="1"/>
  <c r="CH1002" i="2"/>
  <c r="CI1002" i="2" s="1"/>
  <c r="BI986" i="2"/>
  <c r="CG986" i="2" s="1"/>
  <c r="CJ986" i="2" s="1"/>
  <c r="CH988" i="2"/>
  <c r="CI988" i="2" s="1"/>
  <c r="BI935" i="2"/>
  <c r="CG935" i="2" s="1"/>
  <c r="CJ935" i="2" s="1"/>
  <c r="CH905" i="2"/>
  <c r="CI905" i="2" s="1"/>
  <c r="CH820" i="2"/>
  <c r="CI820" i="2" s="1"/>
  <c r="BI757" i="2"/>
  <c r="CG757" i="2" s="1"/>
  <c r="CJ757" i="2" s="1"/>
  <c r="CH731" i="2"/>
  <c r="CI731" i="2" s="1"/>
  <c r="BI1000" i="2"/>
  <c r="CG1000" i="2" s="1"/>
  <c r="CJ1000" i="2" s="1"/>
  <c r="CH994" i="2"/>
  <c r="CI994" i="2" s="1"/>
  <c r="BI933" i="2"/>
  <c r="CG933" i="2" s="1"/>
  <c r="CJ933" i="2" s="1"/>
  <c r="CH935" i="2"/>
  <c r="CI935" i="2" s="1"/>
  <c r="BI786" i="2"/>
  <c r="CG786" i="2" s="1"/>
  <c r="CJ786" i="2" s="1"/>
  <c r="BI755" i="2"/>
  <c r="CG755" i="2" s="1"/>
  <c r="CJ755" i="2" s="1"/>
  <c r="BI710" i="2"/>
  <c r="CG710" i="2" s="1"/>
  <c r="CJ710" i="2" s="1"/>
  <c r="BI866" i="2"/>
  <c r="CG866" i="2" s="1"/>
  <c r="CJ866" i="2" s="1"/>
  <c r="BI998" i="2"/>
  <c r="CG998" i="2" s="1"/>
  <c r="CJ998" i="2" s="1"/>
  <c r="BI777" i="2"/>
  <c r="CG777" i="2" s="1"/>
  <c r="CJ777" i="2" s="1"/>
  <c r="BI747" i="2"/>
  <c r="CG747" i="2" s="1"/>
  <c r="CJ747" i="2" s="1"/>
  <c r="BI714" i="2"/>
  <c r="CG714" i="2" s="1"/>
  <c r="CJ714" i="2" s="1"/>
  <c r="BI743" i="2"/>
  <c r="CG743" i="2" s="1"/>
  <c r="CJ743" i="2" s="1"/>
  <c r="CH728" i="2"/>
  <c r="CI728" i="2" s="1"/>
  <c r="BI924" i="2"/>
  <c r="CG924" i="2" s="1"/>
  <c r="CJ924" i="2" s="1"/>
  <c r="BJ924" i="2"/>
  <c r="CH975" i="2"/>
  <c r="CI975" i="2" s="1"/>
  <c r="CH981" i="2"/>
  <c r="CI981" i="2" s="1"/>
  <c r="CM9" i="2"/>
  <c r="CH9" i="2"/>
  <c r="CI9" i="2" s="1"/>
  <c r="BI975" i="2"/>
  <c r="CG975" i="2" s="1"/>
  <c r="CJ975" i="2" s="1"/>
  <c r="BI965" i="2"/>
  <c r="CG965" i="2" s="1"/>
  <c r="CJ965" i="2" s="1"/>
  <c r="CH957" i="2"/>
  <c r="CI957" i="2" s="1"/>
  <c r="CH706" i="2"/>
  <c r="CI706" i="2" s="1"/>
  <c r="BJ766" i="2"/>
  <c r="CM766" i="2" s="1"/>
  <c r="BI766" i="2"/>
  <c r="CG766" i="2" s="1"/>
  <c r="CJ766" i="2" s="1"/>
  <c r="BJ768" i="2"/>
  <c r="CM768" i="2" s="1"/>
  <c r="BI768" i="2"/>
  <c r="CG768" i="2" s="1"/>
  <c r="CJ768" i="2" s="1"/>
  <c r="BJ770" i="2"/>
  <c r="CM770" i="2" s="1"/>
  <c r="BI770" i="2"/>
  <c r="CG770" i="2" s="1"/>
  <c r="CJ770" i="2" s="1"/>
  <c r="BJ772" i="2"/>
  <c r="CM772" i="2" s="1"/>
  <c r="BI772" i="2"/>
  <c r="CG772" i="2" s="1"/>
  <c r="CJ772" i="2" s="1"/>
  <c r="BJ934" i="2"/>
  <c r="CM934" i="2" s="1"/>
  <c r="BI934" i="2"/>
  <c r="CG934" i="2" s="1"/>
  <c r="CJ934" i="2" s="1"/>
  <c r="CH936" i="2"/>
  <c r="CI936" i="2" s="1"/>
  <c r="BJ987" i="2"/>
  <c r="CM987" i="2" s="1"/>
  <c r="BI987" i="2"/>
  <c r="CG987" i="2" s="1"/>
  <c r="CJ987" i="2" s="1"/>
  <c r="CH993" i="2"/>
  <c r="CI993" i="2" s="1"/>
  <c r="CH999" i="2"/>
  <c r="CI999" i="2" s="1"/>
  <c r="BI973" i="2"/>
  <c r="CG973" i="2" s="1"/>
  <c r="CJ973" i="2" s="1"/>
  <c r="CH971" i="2"/>
  <c r="CI971" i="2" s="1"/>
  <c r="CH746" i="2"/>
  <c r="CI746" i="2" s="1"/>
  <c r="BJ750" i="2"/>
  <c r="CM750" i="2" s="1"/>
  <c r="BI750" i="2"/>
  <c r="CG750" i="2" s="1"/>
  <c r="CJ750" i="2" s="1"/>
  <c r="BJ752" i="2"/>
  <c r="CM752" i="2" s="1"/>
  <c r="BI752" i="2"/>
  <c r="CG752" i="2" s="1"/>
  <c r="CJ752" i="2" s="1"/>
  <c r="BJ754" i="2"/>
  <c r="CM754" i="2" s="1"/>
  <c r="BI754" i="2"/>
  <c r="CG754" i="2" s="1"/>
  <c r="CJ754" i="2" s="1"/>
  <c r="CH789" i="2"/>
  <c r="CI789" i="2" s="1"/>
  <c r="CH793" i="2"/>
  <c r="CI793" i="2" s="1"/>
  <c r="CH908" i="2"/>
  <c r="CI908" i="2" s="1"/>
  <c r="BJ910" i="2"/>
  <c r="CM910" i="2" s="1"/>
  <c r="BI910" i="2"/>
  <c r="CG910" i="2" s="1"/>
  <c r="CJ910" i="2" s="1"/>
  <c r="CH938" i="2"/>
  <c r="CI938" i="2" s="1"/>
  <c r="BJ942" i="2"/>
  <c r="BI942" i="2"/>
  <c r="CG942" i="2" s="1"/>
  <c r="CJ942" i="2" s="1"/>
  <c r="CH944" i="2"/>
  <c r="CI944" i="2" s="1"/>
  <c r="CH926" i="2"/>
  <c r="CI926" i="2" s="1"/>
  <c r="BJ928" i="2"/>
  <c r="CM928" i="2" s="1"/>
  <c r="BI928" i="2"/>
  <c r="CG928" i="2" s="1"/>
  <c r="CJ928" i="2" s="1"/>
  <c r="BJ930" i="2"/>
  <c r="CM930" i="2" s="1"/>
  <c r="BI930" i="2"/>
  <c r="CG930" i="2" s="1"/>
  <c r="CJ930" i="2" s="1"/>
  <c r="CH969" i="2"/>
  <c r="CI969" i="2" s="1"/>
  <c r="BI971" i="2"/>
  <c r="CG971" i="2" s="1"/>
  <c r="CG725" i="2"/>
  <c r="CJ725" i="2" s="1"/>
  <c r="BI920" i="2"/>
  <c r="CG920" i="2" s="1"/>
  <c r="CJ920" i="2" s="1"/>
  <c r="BJ920" i="2"/>
  <c r="CM920" i="2" s="1"/>
  <c r="BJ961" i="2"/>
  <c r="CH977" i="2"/>
  <c r="CI977" i="2" s="1"/>
  <c r="BJ802" i="2"/>
  <c r="CM802" i="2" s="1"/>
  <c r="BI802" i="2"/>
  <c r="CG802" i="2" s="1"/>
  <c r="CJ802" i="2" s="1"/>
  <c r="CH810" i="2"/>
  <c r="CI810" i="2" s="1"/>
  <c r="CH875" i="2"/>
  <c r="CI875" i="2" s="1"/>
  <c r="CH881" i="2"/>
  <c r="CI881" i="2" s="1"/>
  <c r="CH883" i="2"/>
  <c r="CI883" i="2" s="1"/>
  <c r="CH889" i="2"/>
  <c r="CI889" i="2" s="1"/>
  <c r="CH893" i="2"/>
  <c r="CI893" i="2" s="1"/>
  <c r="CH899" i="2"/>
  <c r="CI899" i="2" s="1"/>
  <c r="BI922" i="2"/>
  <c r="CG922" i="2" s="1"/>
  <c r="CJ922" i="2" s="1"/>
  <c r="BJ922" i="2"/>
  <c r="BI981" i="2"/>
  <c r="CG981" i="2" s="1"/>
  <c r="CJ981" i="2" s="1"/>
  <c r="BI969" i="2"/>
  <c r="CG969" i="2" s="1"/>
  <c r="CJ969" i="2" s="1"/>
  <c r="CH25" i="2"/>
  <c r="CI25" i="2" s="1"/>
  <c r="BJ705" i="2"/>
  <c r="CM705" i="2" s="1"/>
  <c r="BI705" i="2"/>
  <c r="CG705" i="2" s="1"/>
  <c r="CJ705" i="2" s="1"/>
  <c r="CH710" i="2"/>
  <c r="CI710" i="2" s="1"/>
  <c r="CH818" i="2"/>
  <c r="CI818" i="2" s="1"/>
  <c r="CH844" i="2"/>
  <c r="CI844" i="2" s="1"/>
  <c r="CH850" i="2"/>
  <c r="CI850" i="2" s="1"/>
  <c r="CH854" i="2"/>
  <c r="CI854" i="2" s="1"/>
  <c r="BJ983" i="2"/>
  <c r="CM983" i="2" s="1"/>
  <c r="BI926" i="2"/>
  <c r="CG926" i="2" s="1"/>
  <c r="CJ926" i="2" s="1"/>
  <c r="CH755" i="2"/>
  <c r="CI755" i="2" s="1"/>
  <c r="BJ781" i="2"/>
  <c r="CM781" i="2" s="1"/>
  <c r="BI781" i="2"/>
  <c r="CG781" i="2" s="1"/>
  <c r="CJ781" i="2" s="1"/>
  <c r="BJ783" i="2"/>
  <c r="CM783" i="2" s="1"/>
  <c r="BI783" i="2"/>
  <c r="CG783" i="2" s="1"/>
  <c r="CJ783" i="2" s="1"/>
  <c r="BJ790" i="2"/>
  <c r="CM790" i="2" s="1"/>
  <c r="BI790" i="2"/>
  <c r="CG790" i="2" s="1"/>
  <c r="CJ790" i="2" s="1"/>
  <c r="BJ794" i="2"/>
  <c r="CM794" i="2" s="1"/>
  <c r="BI794" i="2"/>
  <c r="CG794" i="2" s="1"/>
  <c r="CJ794" i="2" s="1"/>
  <c r="CH796" i="2"/>
  <c r="CI796" i="2" s="1"/>
  <c r="BI841" i="2"/>
  <c r="CG841" i="2" s="1"/>
  <c r="CJ841" i="2" s="1"/>
  <c r="BI741" i="2"/>
  <c r="CG741" i="2" s="1"/>
  <c r="CJ741" i="2" s="1"/>
  <c r="BI767" i="2"/>
  <c r="CG767" i="2" s="1"/>
  <c r="CJ767" i="2" s="1"/>
  <c r="BI849" i="2"/>
  <c r="CG849" i="2" s="1"/>
  <c r="CJ849" i="2" s="1"/>
  <c r="BI851" i="2"/>
  <c r="CG851" i="2" s="1"/>
  <c r="CJ851" i="2" s="1"/>
  <c r="BI941" i="2"/>
  <c r="CG941" i="2" s="1"/>
  <c r="CJ941" i="2" s="1"/>
  <c r="BI943" i="2"/>
  <c r="CG943" i="2" s="1"/>
  <c r="CJ943" i="2" s="1"/>
  <c r="CG945" i="2"/>
  <c r="CJ945" i="2" s="1"/>
  <c r="BI759" i="2"/>
  <c r="CG759" i="2" s="1"/>
  <c r="CJ759" i="2" s="1"/>
  <c r="BI761" i="2"/>
  <c r="CG761" i="2" s="1"/>
  <c r="CJ761" i="2" s="1"/>
  <c r="BI918" i="2"/>
  <c r="CG918" i="2" s="1"/>
  <c r="CJ918" i="2" s="1"/>
  <c r="BI740" i="2"/>
  <c r="CG740" i="2" s="1"/>
  <c r="CJ740" i="2" s="1"/>
  <c r="BI963" i="2"/>
  <c r="CG963" i="2" s="1"/>
  <c r="CJ963" i="2" s="1"/>
  <c r="BI726" i="2"/>
  <c r="CG726" i="2" s="1"/>
  <c r="CJ726" i="2" s="1"/>
  <c r="BI730" i="2"/>
  <c r="CG730" i="2" s="1"/>
  <c r="CJ730" i="2" s="1"/>
  <c r="BI746" i="2"/>
  <c r="CG746" i="2" s="1"/>
  <c r="CJ746" i="2" s="1"/>
  <c r="BI792" i="2"/>
  <c r="BI822" i="2"/>
  <c r="CG822" i="2" s="1"/>
  <c r="CJ822" i="2" s="1"/>
  <c r="CK918" i="2"/>
  <c r="CH921" i="2"/>
  <c r="CI921" i="2" s="1"/>
  <c r="CH923" i="2"/>
  <c r="CI923" i="2" s="1"/>
  <c r="CH901" i="2"/>
  <c r="CI901" i="2" s="1"/>
  <c r="CH823" i="2"/>
  <c r="CI823" i="2" s="1"/>
  <c r="CH839" i="2"/>
  <c r="CI839" i="2" s="1"/>
  <c r="CH978" i="2"/>
  <c r="CI978" i="2" s="1"/>
  <c r="CH795" i="2"/>
  <c r="CI795" i="2" s="1"/>
  <c r="CH853" i="2"/>
  <c r="CI853" i="2" s="1"/>
  <c r="CH857" i="2"/>
  <c r="CI857" i="2" s="1"/>
  <c r="CH856" i="2"/>
  <c r="CI856" i="2" s="1"/>
  <c r="CH797" i="2"/>
  <c r="CI797" i="2" s="1"/>
  <c r="BI927" i="2"/>
  <c r="CG927" i="2" s="1"/>
  <c r="CJ927" i="2" s="1"/>
  <c r="BI811" i="2"/>
  <c r="CG811" i="2" s="1"/>
  <c r="CJ811" i="2" s="1"/>
  <c r="CH832" i="2"/>
  <c r="CI832" i="2" s="1"/>
  <c r="CH824" i="2"/>
  <c r="CI824" i="2" s="1"/>
  <c r="BI779" i="2"/>
  <c r="CG779" i="2" s="1"/>
  <c r="CJ779" i="2" s="1"/>
  <c r="CH803" i="2"/>
  <c r="CI803" i="2" s="1"/>
  <c r="CH743" i="2"/>
  <c r="CI743" i="2" s="1"/>
  <c r="CH719" i="2"/>
  <c r="CI719" i="2" s="1"/>
  <c r="BI960" i="2"/>
  <c r="CG960" i="2" s="1"/>
  <c r="CJ960" i="2" s="1"/>
  <c r="CH869" i="2"/>
  <c r="CI869" i="2" s="1"/>
  <c r="CH765" i="2"/>
  <c r="CI765" i="2" s="1"/>
  <c r="CG722" i="2"/>
  <c r="CJ722" i="2" s="1"/>
  <c r="BI731" i="2"/>
  <c r="CG731" i="2" s="1"/>
  <c r="CJ731" i="2" s="1"/>
  <c r="BI804" i="2"/>
  <c r="CG804" i="2" s="1"/>
  <c r="CJ804" i="2" s="1"/>
  <c r="BI839" i="2"/>
  <c r="CG839" i="2" s="1"/>
  <c r="CJ839" i="2" s="1"/>
  <c r="BI955" i="2"/>
  <c r="CG955" i="2" s="1"/>
  <c r="CJ955" i="2" s="1"/>
  <c r="CH995" i="2"/>
  <c r="CI995" i="2" s="1"/>
  <c r="BI956" i="2"/>
  <c r="CG956" i="2" s="1"/>
  <c r="CJ956" i="2" s="1"/>
  <c r="CH956" i="2"/>
  <c r="CI956" i="2" s="1"/>
  <c r="BI809" i="2"/>
  <c r="CG809" i="2" s="1"/>
  <c r="CJ809" i="2" s="1"/>
  <c r="CH811" i="2"/>
  <c r="CI811" i="2" s="1"/>
  <c r="CH807" i="2"/>
  <c r="CI807" i="2" s="1"/>
  <c r="BI721" i="2"/>
  <c r="CG721" i="2" s="1"/>
  <c r="CJ721" i="2" s="1"/>
  <c r="CH717" i="2"/>
  <c r="CI717" i="2" s="1"/>
  <c r="BI739" i="2"/>
  <c r="CG739" i="2" s="1"/>
  <c r="CJ739" i="2" s="1"/>
  <c r="BI903" i="2"/>
  <c r="CG903" i="2" s="1"/>
  <c r="CJ903" i="2" s="1"/>
  <c r="BI936" i="2"/>
  <c r="CG936" i="2" s="1"/>
  <c r="CJ936" i="2" s="1"/>
  <c r="CH984" i="2"/>
  <c r="CI984" i="2" s="1"/>
  <c r="BI954" i="2"/>
  <c r="CG954" i="2" s="1"/>
  <c r="CH873" i="2"/>
  <c r="CI873" i="2" s="1"/>
  <c r="BI795" i="2"/>
  <c r="CG795" i="2" s="1"/>
  <c r="CJ795" i="2" s="1"/>
  <c r="BI719" i="2"/>
  <c r="CG719" i="2" s="1"/>
  <c r="CJ719" i="2" s="1"/>
  <c r="BI952" i="2"/>
  <c r="CG952" i="2" s="1"/>
  <c r="CH929" i="2"/>
  <c r="CI929" i="2" s="1"/>
  <c r="BI873" i="2"/>
  <c r="CG873" i="2" s="1"/>
  <c r="CJ873" i="2" s="1"/>
  <c r="BI856" i="2"/>
  <c r="CG856" i="2" s="1"/>
  <c r="CJ856" i="2" s="1"/>
  <c r="BI807" i="2"/>
  <c r="CG807" i="2" s="1"/>
  <c r="CJ807" i="2" s="1"/>
  <c r="BI803" i="2"/>
  <c r="CG803" i="2" s="1"/>
  <c r="CJ803" i="2" s="1"/>
  <c r="CH751" i="2"/>
  <c r="CI751" i="2" s="1"/>
  <c r="CH721" i="2"/>
  <c r="CI721" i="2" s="1"/>
  <c r="BI964" i="2"/>
  <c r="CG964" i="2" s="1"/>
  <c r="CJ964" i="2" s="1"/>
  <c r="BI950" i="2"/>
  <c r="CG950" i="2" s="1"/>
  <c r="CJ950" i="2" s="1"/>
  <c r="BI853" i="2"/>
  <c r="CG853" i="2" s="1"/>
  <c r="CJ853" i="2" s="1"/>
  <c r="BI805" i="2"/>
  <c r="CG805" i="2" s="1"/>
  <c r="CJ805" i="2" s="1"/>
  <c r="CG793" i="2"/>
  <c r="CJ793" i="2" s="1"/>
  <c r="CH774" i="2"/>
  <c r="CI774" i="2" s="1"/>
  <c r="BI717" i="2"/>
  <c r="CG717" i="2" s="1"/>
  <c r="CJ717" i="2" s="1"/>
  <c r="BI824" i="2"/>
  <c r="CG824" i="2" s="1"/>
  <c r="CJ824" i="2" s="1"/>
  <c r="BI993" i="2"/>
  <c r="CG993" i="2" s="1"/>
  <c r="CJ993" i="2" s="1"/>
  <c r="BI995" i="2"/>
  <c r="CG995" i="2" s="1"/>
  <c r="CJ995" i="2" s="1"/>
  <c r="BI929" i="2"/>
  <c r="CG929" i="2" s="1"/>
  <c r="CJ929" i="2" s="1"/>
  <c r="BI871" i="2"/>
  <c r="CG871" i="2" s="1"/>
  <c r="CJ871" i="2" s="1"/>
  <c r="CH826" i="2"/>
  <c r="CI826" i="2" s="1"/>
  <c r="BI769" i="2"/>
  <c r="CG769" i="2" s="1"/>
  <c r="CJ769" i="2" s="1"/>
  <c r="CH896" i="2"/>
  <c r="CI896" i="2" s="1"/>
  <c r="BI937" i="2"/>
  <c r="CG937" i="2" s="1"/>
  <c r="CJ937" i="2" s="1"/>
  <c r="BJ937" i="2"/>
  <c r="CM937" i="2" s="1"/>
  <c r="CH894" i="2"/>
  <c r="CI894" i="2" s="1"/>
  <c r="BI735" i="2"/>
  <c r="CG735" i="2" s="1"/>
  <c r="CJ735" i="2" s="1"/>
  <c r="BJ782" i="2"/>
  <c r="CM782" i="2" s="1"/>
  <c r="BI782" i="2"/>
  <c r="CG782" i="2" s="1"/>
  <c r="CJ782" i="2" s="1"/>
  <c r="CH966" i="2"/>
  <c r="CI966" i="2" s="1"/>
  <c r="BI773" i="2"/>
  <c r="CG773" i="2" s="1"/>
  <c r="CJ773" i="2" s="1"/>
  <c r="BI816" i="2"/>
  <c r="CG816" i="2" s="1"/>
  <c r="CJ816" i="2" s="1"/>
  <c r="BI820" i="2"/>
  <c r="CG820" i="2" s="1"/>
  <c r="CJ820" i="2" s="1"/>
  <c r="BI758" i="2"/>
  <c r="CG758" i="2" s="1"/>
  <c r="CJ758" i="2" s="1"/>
  <c r="BI751" i="2"/>
  <c r="CG751" i="2" s="1"/>
  <c r="CJ751" i="2" s="1"/>
  <c r="BI753" i="2"/>
  <c r="CG753" i="2" s="1"/>
  <c r="CJ753" i="2" s="1"/>
  <c r="BI707" i="2"/>
  <c r="CG707" i="2" s="1"/>
  <c r="CJ707" i="2" s="1"/>
  <c r="BI712" i="2"/>
  <c r="CG712" i="2" s="1"/>
  <c r="CJ712" i="2" s="1"/>
  <c r="BI760" i="2"/>
  <c r="CG760" i="2" s="1"/>
  <c r="CJ760" i="2" s="1"/>
  <c r="BI834" i="2"/>
  <c r="CG834" i="2" s="1"/>
  <c r="CJ834" i="2" s="1"/>
  <c r="BI889" i="2"/>
  <c r="CG889" i="2" s="1"/>
  <c r="CJ889" i="2" s="1"/>
  <c r="BI923" i="2"/>
  <c r="CG923" i="2" s="1"/>
  <c r="CJ923" i="2" s="1"/>
  <c r="BI704" i="2"/>
  <c r="CG704" i="2" s="1"/>
  <c r="CJ704" i="2" s="1"/>
  <c r="BI869" i="2"/>
  <c r="CG869" i="2" s="1"/>
  <c r="CJ869" i="2" s="1"/>
  <c r="BI939" i="2"/>
  <c r="CG939" i="2" s="1"/>
  <c r="CJ939" i="2" s="1"/>
  <c r="BI900" i="2"/>
  <c r="CG900" i="2" s="1"/>
  <c r="CJ900" i="2" s="1"/>
  <c r="CH852" i="2"/>
  <c r="CI852" i="2" s="1"/>
  <c r="CH864" i="2"/>
  <c r="CI864" i="2" s="1"/>
  <c r="CH991" i="2"/>
  <c r="CI991" i="2" s="1"/>
  <c r="CH998" i="2"/>
  <c r="CI998" i="2" s="1"/>
  <c r="CH729" i="2"/>
  <c r="CI729" i="2" s="1"/>
  <c r="BI864" i="2"/>
  <c r="CG864" i="2" s="1"/>
  <c r="CJ864" i="2" s="1"/>
  <c r="BJ758" i="2"/>
  <c r="CM758" i="2" s="1"/>
  <c r="BI991" i="2"/>
  <c r="CG991" i="2" s="1"/>
  <c r="CJ991" i="2" s="1"/>
  <c r="CH769" i="2"/>
  <c r="CI769" i="2" s="1"/>
  <c r="CH718" i="2"/>
  <c r="CI718" i="2" s="1"/>
  <c r="CH722" i="2"/>
  <c r="CI722" i="2" s="1"/>
  <c r="BJ744" i="2"/>
  <c r="CM744" i="2" s="1"/>
  <c r="BI744" i="2"/>
  <c r="CG744" i="2" s="1"/>
  <c r="CJ744" i="2" s="1"/>
  <c r="BI749" i="2"/>
  <c r="CG749" i="2" s="1"/>
  <c r="CJ749" i="2" s="1"/>
  <c r="CH739" i="2"/>
  <c r="CI739" i="2" s="1"/>
  <c r="CH703" i="2"/>
  <c r="CI703" i="2" s="1"/>
  <c r="CH713" i="2"/>
  <c r="CI713" i="2" s="1"/>
  <c r="BI724" i="2"/>
  <c r="CG724" i="2" s="1"/>
  <c r="CJ724" i="2" s="1"/>
  <c r="BJ724" i="2"/>
  <c r="CM724" i="2" s="1"/>
  <c r="CK930" i="2"/>
  <c r="CH749" i="2"/>
  <c r="CI749" i="2" s="1"/>
  <c r="BJ715" i="2"/>
  <c r="CM715" i="2" s="1"/>
  <c r="BI715" i="2"/>
  <c r="CG715" i="2" s="1"/>
  <c r="CJ715" i="2" s="1"/>
  <c r="BI727" i="2"/>
  <c r="CG727" i="2" s="1"/>
  <c r="CJ727" i="2" s="1"/>
  <c r="BI733" i="2"/>
  <c r="CG733" i="2" s="1"/>
  <c r="CJ733" i="2" s="1"/>
  <c r="BJ733" i="2"/>
  <c r="CM733" i="2" s="1"/>
  <c r="BI737" i="2"/>
  <c r="CG737" i="2" s="1"/>
  <c r="CJ737" i="2" s="1"/>
  <c r="BJ737" i="2"/>
  <c r="CM737" i="2" s="1"/>
  <c r="CG996" i="2"/>
  <c r="CJ996" i="2" s="1"/>
  <c r="BI855" i="2"/>
  <c r="CG855" i="2" s="1"/>
  <c r="CJ855" i="2" s="1"/>
  <c r="BJ858" i="2"/>
  <c r="CM858" i="2" s="1"/>
  <c r="BI858" i="2"/>
  <c r="CG858" i="2" s="1"/>
  <c r="CJ858" i="2" s="1"/>
  <c r="BJ860" i="2"/>
  <c r="CM860" i="2" s="1"/>
  <c r="BI860" i="2"/>
  <c r="CG860" i="2" s="1"/>
  <c r="CJ860" i="2" s="1"/>
  <c r="CH862" i="2"/>
  <c r="CI862" i="2" s="1"/>
  <c r="BJ867" i="2"/>
  <c r="CM867" i="2" s="1"/>
  <c r="BI867" i="2"/>
  <c r="CG867" i="2" s="1"/>
  <c r="CJ867" i="2" s="1"/>
  <c r="BJ838" i="2"/>
  <c r="CM838" i="2" s="1"/>
  <c r="BI838" i="2"/>
  <c r="CG838" i="2" s="1"/>
  <c r="CJ838" i="2" s="1"/>
  <c r="CH872" i="2"/>
  <c r="CI872" i="2" s="1"/>
  <c r="BI880" i="2"/>
  <c r="CG880" i="2" s="1"/>
  <c r="CJ880" i="2" s="1"/>
  <c r="BJ880" i="2"/>
  <c r="CM880" i="2" s="1"/>
  <c r="BI921" i="2"/>
  <c r="CG921" i="2" s="1"/>
  <c r="CJ921" i="2" s="1"/>
  <c r="BI953" i="2"/>
  <c r="CG953" i="2" s="1"/>
  <c r="CJ953" i="2" s="1"/>
  <c r="CG706" i="2"/>
  <c r="CJ706" i="2" s="1"/>
  <c r="CH43" i="2"/>
  <c r="CI43" i="2" s="1"/>
  <c r="CM43" i="2"/>
  <c r="CM35" i="2"/>
  <c r="CH35" i="2"/>
  <c r="CI35" i="2" s="1"/>
  <c r="BI831" i="2"/>
  <c r="CG831" i="2" s="1"/>
  <c r="CJ831" i="2" s="1"/>
  <c r="BI11" i="2"/>
  <c r="CG11" i="2" s="1"/>
  <c r="CJ11" i="2" s="1"/>
  <c r="BI4" i="2"/>
  <c r="CG4" i="2" s="1"/>
  <c r="CJ4" i="2" s="1"/>
  <c r="BI723" i="2"/>
  <c r="CG723" i="2" s="1"/>
  <c r="CJ723" i="2" s="1"/>
  <c r="BI43" i="2"/>
  <c r="CG43" i="2" s="1"/>
  <c r="CJ43" i="2" s="1"/>
  <c r="BI850" i="2"/>
  <c r="CG850" i="2" s="1"/>
  <c r="CJ850" i="2" s="1"/>
  <c r="BI6" i="2"/>
  <c r="CG6" i="2" s="1"/>
  <c r="CJ6" i="2" s="1"/>
  <c r="BI728" i="2"/>
  <c r="CG728" i="2" s="1"/>
  <c r="CJ728" i="2" s="1"/>
  <c r="BI823" i="2"/>
  <c r="CG823" i="2" s="1"/>
  <c r="CJ823" i="2" s="1"/>
  <c r="BI882" i="2"/>
  <c r="CG882" i="2" s="1"/>
  <c r="CJ882" i="2" s="1"/>
  <c r="BI9" i="2"/>
  <c r="CG9" i="2" s="1"/>
  <c r="CJ9" i="2" s="1"/>
  <c r="BI825" i="2"/>
  <c r="CG825" i="2" s="1"/>
  <c r="CJ825" i="2" s="1"/>
  <c r="BI845" i="2"/>
  <c r="CG845" i="2" s="1"/>
  <c r="CJ845" i="2" s="1"/>
  <c r="BI852" i="2"/>
  <c r="CG852" i="2" s="1"/>
  <c r="CJ852" i="2" s="1"/>
  <c r="BI862" i="2"/>
  <c r="CG862" i="2" s="1"/>
  <c r="CJ862" i="2" s="1"/>
  <c r="BI7" i="2"/>
  <c r="CH771" i="2"/>
  <c r="CI771" i="2" s="1"/>
  <c r="CH890" i="2"/>
  <c r="CI890" i="2" s="1"/>
  <c r="CH863" i="2"/>
  <c r="CI863" i="2" s="1"/>
  <c r="CH788" i="2"/>
  <c r="CI788" i="2" s="1"/>
  <c r="CH828" i="2"/>
  <c r="CI828" i="2" s="1"/>
  <c r="CH965" i="2"/>
  <c r="CI965" i="2" s="1"/>
  <c r="BI771" i="2"/>
  <c r="CG771" i="2" s="1"/>
  <c r="CJ771" i="2" s="1"/>
  <c r="BI21" i="2"/>
  <c r="CG21" i="2" s="1"/>
  <c r="CJ21" i="2" s="1"/>
  <c r="CG810" i="2"/>
  <c r="CJ810" i="2" s="1"/>
  <c r="CH763" i="2"/>
  <c r="CI763" i="2" s="1"/>
  <c r="CH959" i="2"/>
  <c r="CI959" i="2" s="1"/>
  <c r="CH812" i="2"/>
  <c r="CI812" i="2" s="1"/>
  <c r="CG801" i="2"/>
  <c r="CJ801" i="2" s="1"/>
  <c r="CH805" i="2"/>
  <c r="CI805" i="2" s="1"/>
  <c r="CH730" i="2"/>
  <c r="CI730" i="2" s="1"/>
  <c r="BI863" i="2"/>
  <c r="CG863" i="2" s="1"/>
  <c r="CJ863" i="2" s="1"/>
  <c r="CG881" i="2"/>
  <c r="CJ881" i="2" s="1"/>
  <c r="CH727" i="2"/>
  <c r="CI727" i="2" s="1"/>
  <c r="BJ817" i="2"/>
  <c r="CM817" i="2" s="1"/>
  <c r="BI817" i="2"/>
  <c r="CG817" i="2" s="1"/>
  <c r="CJ817" i="2" s="1"/>
  <c r="BJ915" i="2"/>
  <c r="CM915" i="2" s="1"/>
  <c r="BI915" i="2"/>
  <c r="CG915" i="2" s="1"/>
  <c r="CJ915" i="2" s="1"/>
  <c r="CH736" i="2"/>
  <c r="CI736" i="2" s="1"/>
  <c r="CG808" i="2"/>
  <c r="CJ808" i="2" s="1"/>
  <c r="BJ848" i="2"/>
  <c r="CM848" i="2" s="1"/>
  <c r="BI848" i="2"/>
  <c r="CG848" i="2" s="1"/>
  <c r="CJ848" i="2" s="1"/>
  <c r="BI39" i="2"/>
  <c r="CG39" i="2" s="1"/>
  <c r="CJ39" i="2" s="1"/>
  <c r="BJ898" i="2"/>
  <c r="CM898" i="2" s="1"/>
  <c r="BI898" i="2"/>
  <c r="CG898" i="2" s="1"/>
  <c r="CJ898" i="2" s="1"/>
  <c r="BI34" i="2"/>
  <c r="CG34" i="2" s="1"/>
  <c r="CJ34" i="2" s="1"/>
  <c r="BI748" i="2"/>
  <c r="CG748" i="2" s="1"/>
  <c r="CJ748" i="2" s="1"/>
  <c r="BJ840" i="2"/>
  <c r="CM840" i="2" s="1"/>
  <c r="BI840" i="2"/>
  <c r="CG840" i="2" s="1"/>
  <c r="CJ840" i="2" s="1"/>
  <c r="BJ42" i="2"/>
  <c r="CM42" i="2" s="1"/>
  <c r="BI42" i="2"/>
  <c r="CG42" i="2" s="1"/>
  <c r="CJ42" i="2" s="1"/>
  <c r="BJ26" i="2"/>
  <c r="CM26" i="2" s="1"/>
  <c r="BI26" i="2"/>
  <c r="CG26" i="2" s="1"/>
  <c r="CJ26" i="2" s="1"/>
  <c r="BJ18" i="2"/>
  <c r="CM18" i="2" s="1"/>
  <c r="BJ10" i="2"/>
  <c r="CM10" i="2" s="1"/>
  <c r="BI10" i="2"/>
  <c r="CG10" i="2" s="1"/>
  <c r="CJ10" i="2" s="1"/>
  <c r="BI812" i="2"/>
  <c r="CG812" i="2" s="1"/>
  <c r="CJ812" i="2" s="1"/>
  <c r="BI828" i="2"/>
  <c r="CG828" i="2" s="1"/>
  <c r="CJ828" i="2" s="1"/>
  <c r="BI33" i="2"/>
  <c r="CG33" i="2" s="1"/>
  <c r="CJ33" i="2" s="1"/>
  <c r="BI830" i="2"/>
  <c r="CG830" i="2" s="1"/>
  <c r="CJ830" i="2" s="1"/>
  <c r="BI844" i="2"/>
  <c r="CG844" i="2" s="1"/>
  <c r="CJ844" i="2" s="1"/>
  <c r="BI878" i="2"/>
  <c r="CG878" i="2" s="1"/>
  <c r="CJ878" i="2" s="1"/>
  <c r="BJ40" i="2"/>
  <c r="CM40" i="2" s="1"/>
  <c r="BI40" i="2"/>
  <c r="CG40" i="2" s="1"/>
  <c r="CJ40" i="2" s="1"/>
  <c r="BJ32" i="2"/>
  <c r="BI32" i="2"/>
  <c r="CG32" i="2" s="1"/>
  <c r="CJ32" i="2" s="1"/>
  <c r="BJ24" i="2"/>
  <c r="CM24" i="2" s="1"/>
  <c r="BI24" i="2"/>
  <c r="CG24" i="2" s="1"/>
  <c r="CJ24" i="2" s="1"/>
  <c r="BI16" i="2"/>
  <c r="CG16" i="2" s="1"/>
  <c r="CJ16" i="2" s="1"/>
  <c r="BI8" i="2"/>
  <c r="CG8" i="2" s="1"/>
  <c r="CJ8" i="2" s="1"/>
  <c r="BI31" i="2"/>
  <c r="CG31" i="2" s="1"/>
  <c r="CJ31" i="2" s="1"/>
  <c r="BI5" i="2"/>
  <c r="CG5" i="2" s="1"/>
  <c r="CJ5" i="2" s="1"/>
  <c r="BI899" i="2"/>
  <c r="CG899" i="2" s="1"/>
  <c r="CJ899" i="2" s="1"/>
  <c r="BI29" i="2"/>
  <c r="CG29" i="2" s="1"/>
  <c r="CJ29" i="2" s="1"/>
  <c r="BI17" i="2"/>
  <c r="CG17" i="2" s="1"/>
  <c r="CJ17" i="2" s="1"/>
  <c r="BI908" i="2"/>
  <c r="CG908" i="2" s="1"/>
  <c r="CJ908" i="2" s="1"/>
  <c r="BI38" i="2"/>
  <c r="CG38" i="2" s="1"/>
  <c r="CJ38" i="2" s="1"/>
  <c r="BJ30" i="2"/>
  <c r="CM30" i="2" s="1"/>
  <c r="BI30" i="2"/>
  <c r="CG30" i="2" s="1"/>
  <c r="CJ30" i="2" s="1"/>
  <c r="BJ22" i="2"/>
  <c r="BI22" i="2"/>
  <c r="BI14" i="2"/>
  <c r="CG14" i="2" s="1"/>
  <c r="CJ14" i="2" s="1"/>
  <c r="BJ14" i="2"/>
  <c r="BI41" i="2"/>
  <c r="CG41" i="2" s="1"/>
  <c r="CJ41" i="2" s="1"/>
  <c r="BJ39" i="2"/>
  <c r="CH16" i="2"/>
  <c r="CI16" i="2" s="1"/>
  <c r="CM16" i="2"/>
  <c r="BI818" i="2"/>
  <c r="BI836" i="2"/>
  <c r="CG836" i="2" s="1"/>
  <c r="CJ836" i="2" s="1"/>
  <c r="BI854" i="2"/>
  <c r="CG854" i="2" s="1"/>
  <c r="CJ854" i="2" s="1"/>
  <c r="BI884" i="2"/>
  <c r="CG884" i="2" s="1"/>
  <c r="CJ884" i="2" s="1"/>
  <c r="BI887" i="2"/>
  <c r="CG887" i="2" s="1"/>
  <c r="CJ887" i="2" s="1"/>
  <c r="BI893" i="2"/>
  <c r="CG893" i="2" s="1"/>
  <c r="CJ893" i="2" s="1"/>
  <c r="BI904" i="2"/>
  <c r="CG904" i="2" s="1"/>
  <c r="CJ904" i="2" s="1"/>
  <c r="BI905" i="2"/>
  <c r="CG905" i="2" s="1"/>
  <c r="CJ905" i="2" s="1"/>
  <c r="BI913" i="2"/>
  <c r="CG913" i="2" s="1"/>
  <c r="CJ913" i="2" s="1"/>
  <c r="BI951" i="2"/>
  <c r="CG951" i="2" s="1"/>
  <c r="CJ951" i="2" s="1"/>
  <c r="BI1002" i="2"/>
  <c r="CG1002" i="2" s="1"/>
  <c r="CJ1002" i="2" s="1"/>
  <c r="BI13" i="2"/>
  <c r="CG13" i="2" s="1"/>
  <c r="CJ13" i="2" s="1"/>
  <c r="BJ38" i="2"/>
  <c r="BJ8" i="2"/>
  <c r="CM8" i="2" s="1"/>
  <c r="BI874" i="2"/>
  <c r="CG874" i="2" s="1"/>
  <c r="CJ874" i="2" s="1"/>
  <c r="BI44" i="2"/>
  <c r="CG44" i="2" s="1"/>
  <c r="CJ44" i="2" s="1"/>
  <c r="BI36" i="2"/>
  <c r="BJ36" i="2"/>
  <c r="CM36" i="2" s="1"/>
  <c r="BI28" i="2"/>
  <c r="CG28" i="2" s="1"/>
  <c r="CJ28" i="2" s="1"/>
  <c r="BJ20" i="2"/>
  <c r="CM20" i="2" s="1"/>
  <c r="BI20" i="2"/>
  <c r="CG20" i="2" s="1"/>
  <c r="CJ20" i="2" s="1"/>
  <c r="BI12" i="2"/>
  <c r="CG12" i="2" s="1"/>
  <c r="CJ12" i="2" s="1"/>
  <c r="BJ12" i="2"/>
  <c r="CM12" i="2" s="1"/>
  <c r="BI37" i="2"/>
  <c r="CG37" i="2" s="1"/>
  <c r="CJ37" i="2" s="1"/>
  <c r="BI25" i="2"/>
  <c r="CG25" i="2" s="1"/>
  <c r="CJ25" i="2" s="1"/>
  <c r="BJ6" i="2"/>
  <c r="BI35" i="2"/>
  <c r="CG35" i="2" s="1"/>
  <c r="CJ35" i="2" s="1"/>
  <c r="BI23" i="2"/>
  <c r="CG23" i="2" s="1"/>
  <c r="CJ23" i="2" s="1"/>
  <c r="CK42" i="2"/>
  <c r="CK34" i="2"/>
  <c r="CK26" i="2"/>
  <c r="CK18" i="2"/>
  <c r="CH4" i="2"/>
  <c r="CI4" i="2" s="1"/>
  <c r="CH855" i="2"/>
  <c r="CI855" i="2" s="1"/>
  <c r="CK852" i="2"/>
  <c r="CK35" i="2"/>
  <c r="BI796" i="2"/>
  <c r="CG796" i="2" s="1"/>
  <c r="CJ796" i="2" s="1"/>
  <c r="CH45" i="2"/>
  <c r="CI45" i="2" s="1"/>
  <c r="CH740" i="2"/>
  <c r="CI740" i="2" s="1"/>
  <c r="CH17" i="2"/>
  <c r="CI17" i="2" s="1"/>
  <c r="CK10" i="2"/>
  <c r="CK17" i="2"/>
  <c r="CH11" i="2"/>
  <c r="CI11" i="2" s="1"/>
  <c r="CH982" i="2"/>
  <c r="CI982" i="2" s="1"/>
  <c r="BI868" i="2"/>
  <c r="CG868" i="2" s="1"/>
  <c r="CJ868" i="2" s="1"/>
  <c r="CK27" i="2"/>
  <c r="BI846" i="2"/>
  <c r="CG846" i="2" s="1"/>
  <c r="CJ846" i="2" s="1"/>
  <c r="BJ846" i="2"/>
  <c r="CM846" i="2" s="1"/>
  <c r="BJ891" i="2"/>
  <c r="CM891" i="2" s="1"/>
  <c r="BI891" i="2"/>
  <c r="CG891" i="2" s="1"/>
  <c r="CJ891" i="2" s="1"/>
  <c r="BJ827" i="2"/>
  <c r="CM827" i="2" s="1"/>
  <c r="BI827" i="2"/>
  <c r="CG827" i="2" s="1"/>
  <c r="CJ827" i="2" s="1"/>
  <c r="BJ906" i="2"/>
  <c r="CM906" i="2" s="1"/>
  <c r="BI906" i="2"/>
  <c r="CG906" i="2" s="1"/>
  <c r="CJ906" i="2" s="1"/>
  <c r="BI914" i="2"/>
  <c r="CG914" i="2" s="1"/>
  <c r="CJ914" i="2" s="1"/>
  <c r="BJ914" i="2"/>
  <c r="CM914" i="2" s="1"/>
  <c r="BJ831" i="2"/>
  <c r="CM831" i="2" s="1"/>
  <c r="BI843" i="2"/>
  <c r="CG843" i="2" s="1"/>
  <c r="CJ843" i="2" s="1"/>
  <c r="BJ843" i="2"/>
  <c r="CM843" i="2" s="1"/>
  <c r="BJ886" i="2"/>
  <c r="CM886" i="2" s="1"/>
  <c r="BI886" i="2"/>
  <c r="CG886" i="2" s="1"/>
  <c r="CJ886" i="2" s="1"/>
  <c r="BI895" i="2"/>
  <c r="CG895" i="2" s="1"/>
  <c r="CJ895" i="2" s="1"/>
  <c r="BJ833" i="2"/>
  <c r="CM833" i="2" s="1"/>
  <c r="BI833" i="2"/>
  <c r="CG833" i="2" s="1"/>
  <c r="CJ833" i="2" s="1"/>
  <c r="BJ892" i="2"/>
  <c r="CM892" i="2" s="1"/>
  <c r="BI892" i="2"/>
  <c r="CG892" i="2" s="1"/>
  <c r="CJ892" i="2" s="1"/>
  <c r="BI894" i="2"/>
  <c r="CG894" i="2" s="1"/>
  <c r="CJ894" i="2" s="1"/>
  <c r="BI703" i="2"/>
  <c r="CG703" i="2" s="1"/>
  <c r="CJ703" i="2" s="1"/>
  <c r="BI835" i="2"/>
  <c r="CG835" i="2" s="1"/>
  <c r="CJ835" i="2" s="1"/>
  <c r="BJ835" i="2"/>
  <c r="CM835" i="2" s="1"/>
  <c r="BJ897" i="2"/>
  <c r="CM897" i="2" s="1"/>
  <c r="BI897" i="2"/>
  <c r="CG897" i="2" s="1"/>
  <c r="CJ897" i="2" s="1"/>
  <c r="BI919" i="2"/>
  <c r="CG919" i="2" s="1"/>
  <c r="CJ919" i="2" s="1"/>
  <c r="BJ919" i="2"/>
  <c r="CM919" i="2" s="1"/>
  <c r="BI902" i="2"/>
  <c r="CG902" i="2" s="1"/>
  <c r="CJ902" i="2" s="1"/>
  <c r="BJ902" i="2"/>
  <c r="CM902" i="2" s="1"/>
  <c r="BI720" i="2"/>
  <c r="CG720" i="2" s="1"/>
  <c r="CJ720" i="2" s="1"/>
  <c r="BI907" i="2"/>
  <c r="CG907" i="2" s="1"/>
  <c r="CJ907" i="2" s="1"/>
  <c r="BJ907" i="2"/>
  <c r="CM907" i="2" s="1"/>
  <c r="BI912" i="2"/>
  <c r="CG912" i="2" s="1"/>
  <c r="CJ912" i="2" s="1"/>
  <c r="BI925" i="2"/>
  <c r="CG925" i="2" s="1"/>
  <c r="CJ925" i="2" s="1"/>
  <c r="BI829" i="2"/>
  <c r="CG829" i="2" s="1"/>
  <c r="CJ829" i="2" s="1"/>
  <c r="BI832" i="2"/>
  <c r="CG832" i="2" s="1"/>
  <c r="CJ832" i="2" s="1"/>
  <c r="BI883" i="2"/>
  <c r="CG883" i="2" s="1"/>
  <c r="CJ883" i="2" s="1"/>
  <c r="BI888" i="2"/>
  <c r="CG888" i="2" s="1"/>
  <c r="CJ888" i="2" s="1"/>
  <c r="BI729" i="2"/>
  <c r="CG729" i="2" s="1"/>
  <c r="CJ729" i="2" s="1"/>
  <c r="BI734" i="2"/>
  <c r="CG734" i="2" s="1"/>
  <c r="CJ734" i="2" s="1"/>
  <c r="BI901" i="2"/>
  <c r="CG901" i="2" s="1"/>
  <c r="CJ901" i="2" s="1"/>
  <c r="BI909" i="2"/>
  <c r="CG909" i="2" s="1"/>
  <c r="CJ909" i="2" s="1"/>
  <c r="BI821" i="2"/>
  <c r="CG821" i="2" s="1"/>
  <c r="CJ821" i="2" s="1"/>
  <c r="BI837" i="2"/>
  <c r="CG837" i="2" s="1"/>
  <c r="CJ837" i="2" s="1"/>
  <c r="BI896" i="2"/>
  <c r="CG896" i="2" s="1"/>
  <c r="CJ896" i="2" s="1"/>
  <c r="BI957" i="2"/>
  <c r="CG957" i="2" s="1"/>
  <c r="CJ957" i="2" s="1"/>
  <c r="BI826" i="2"/>
  <c r="CG826" i="2" s="1"/>
  <c r="CJ826" i="2" s="1"/>
  <c r="BI842" i="2"/>
  <c r="CG842" i="2" s="1"/>
  <c r="CJ842" i="2" s="1"/>
  <c r="BI847" i="2"/>
  <c r="CG847" i="2" s="1"/>
  <c r="CJ847" i="2" s="1"/>
  <c r="BI876" i="2"/>
  <c r="CG876" i="2" s="1"/>
  <c r="CJ876" i="2" s="1"/>
  <c r="BI885" i="2"/>
  <c r="CG885" i="2" s="1"/>
  <c r="CJ885" i="2" s="1"/>
  <c r="BI890" i="2"/>
  <c r="CH723" i="2"/>
  <c r="CI723" i="2" s="1"/>
  <c r="CH707" i="2"/>
  <c r="CI707" i="2" s="1"/>
  <c r="CH716" i="2"/>
  <c r="CI716" i="2" s="1"/>
  <c r="CH913" i="2"/>
  <c r="CI913" i="2" s="1"/>
  <c r="CH962" i="2"/>
  <c r="CI962" i="2" s="1"/>
  <c r="BV171" i="6"/>
  <c r="BU79" i="6"/>
  <c r="BX79" i="6" s="1"/>
  <c r="BY79" i="6"/>
  <c r="BY83" i="6"/>
  <c r="BU83" i="6"/>
  <c r="BX83" i="6" s="1"/>
  <c r="BY87" i="6"/>
  <c r="BU87" i="6"/>
  <c r="BX87" i="6" s="1"/>
  <c r="BY91" i="6"/>
  <c r="BU91" i="6"/>
  <c r="BX91" i="6" s="1"/>
  <c r="BY95" i="6"/>
  <c r="BU95" i="6"/>
  <c r="BX95" i="6" s="1"/>
  <c r="BY99" i="6"/>
  <c r="BU99" i="6"/>
  <c r="BX99" i="6" s="1"/>
  <c r="BV133" i="6"/>
  <c r="BV159" i="6"/>
  <c r="BV163" i="6"/>
  <c r="BV183" i="6"/>
  <c r="BU78" i="6"/>
  <c r="BX78" i="6" s="1"/>
  <c r="BY78" i="6"/>
  <c r="BY82" i="6"/>
  <c r="BU82" i="6"/>
  <c r="BX82" i="6" s="1"/>
  <c r="BU86" i="6"/>
  <c r="BX86" i="6" s="1"/>
  <c r="BY86" i="6"/>
  <c r="BU90" i="6"/>
  <c r="BX90" i="6" s="1"/>
  <c r="BY90" i="6"/>
  <c r="BY94" i="6"/>
  <c r="BU94" i="6"/>
  <c r="BX94" i="6" s="1"/>
  <c r="BU98" i="6"/>
  <c r="BX98" i="6" s="1"/>
  <c r="BY98" i="6"/>
  <c r="BY102" i="6"/>
  <c r="BU102" i="6"/>
  <c r="BX102" i="6" s="1"/>
  <c r="BV149" i="6"/>
  <c r="BV170" i="6"/>
  <c r="BY179" i="6"/>
  <c r="BU192" i="6"/>
  <c r="BX192" i="6" s="1"/>
  <c r="BY192" i="6"/>
  <c r="BV117" i="6"/>
  <c r="BY191" i="6"/>
  <c r="BV152" i="6"/>
  <c r="BY164" i="6"/>
  <c r="BU129" i="6"/>
  <c r="BX129" i="6" s="1"/>
  <c r="BY129" i="6"/>
  <c r="BV71" i="6"/>
  <c r="BY77" i="6"/>
  <c r="BU77" i="6"/>
  <c r="BX77" i="6" s="1"/>
  <c r="BY81" i="6"/>
  <c r="BU81" i="6"/>
  <c r="BX81" i="6" s="1"/>
  <c r="BY85" i="6"/>
  <c r="BU85" i="6"/>
  <c r="BX85" i="6" s="1"/>
  <c r="BY89" i="6"/>
  <c r="BU89" i="6"/>
  <c r="BX89" i="6" s="1"/>
  <c r="BU93" i="6"/>
  <c r="BX93" i="6" s="1"/>
  <c r="BY93" i="6"/>
  <c r="BY97" i="6"/>
  <c r="BU97" i="6"/>
  <c r="BX97" i="6" s="1"/>
  <c r="BY101" i="6"/>
  <c r="BU101" i="6"/>
  <c r="BX101" i="6" s="1"/>
  <c r="BY155" i="6"/>
  <c r="BU155" i="6"/>
  <c r="BX155" i="6" s="1"/>
  <c r="BY71" i="6"/>
  <c r="BV108" i="6"/>
  <c r="BU135" i="6"/>
  <c r="BX135" i="6" s="1"/>
  <c r="BY135" i="6"/>
  <c r="BY181" i="6"/>
  <c r="BU181" i="6"/>
  <c r="BX181" i="6" s="1"/>
  <c r="BV74" i="6"/>
  <c r="BV125" i="6"/>
  <c r="BV72" i="6"/>
  <c r="BU141" i="6"/>
  <c r="BX141" i="6" s="1"/>
  <c r="BY141" i="6"/>
  <c r="BU80" i="6"/>
  <c r="BX80" i="6" s="1"/>
  <c r="BY80" i="6"/>
  <c r="BY84" i="6"/>
  <c r="BU84" i="6"/>
  <c r="BX84" i="6" s="1"/>
  <c r="BY88" i="6"/>
  <c r="BU88" i="6"/>
  <c r="BX88" i="6" s="1"/>
  <c r="BU92" i="6"/>
  <c r="BX92" i="6" s="1"/>
  <c r="BY92" i="6"/>
  <c r="BU96" i="6"/>
  <c r="BX96" i="6" s="1"/>
  <c r="BY96" i="6"/>
  <c r="BU100" i="6"/>
  <c r="BX100" i="6" s="1"/>
  <c r="BY100" i="6"/>
  <c r="BY172" i="6"/>
  <c r="AO166" i="6"/>
  <c r="BU166" i="6" s="1"/>
  <c r="BX166" i="6" s="1"/>
  <c r="BX66" i="6"/>
  <c r="BV70" i="6"/>
  <c r="BU173" i="6"/>
  <c r="BX173" i="6" s="1"/>
  <c r="BV151" i="6"/>
  <c r="AO116" i="6"/>
  <c r="BU116" i="6" s="1"/>
  <c r="BX116" i="6" s="1"/>
  <c r="AO156" i="6"/>
  <c r="AO159" i="6"/>
  <c r="BU159" i="6" s="1"/>
  <c r="BX159" i="6" s="1"/>
  <c r="AO178" i="6"/>
  <c r="BU178" i="6" s="1"/>
  <c r="BX178" i="6" s="1"/>
  <c r="AO189" i="6"/>
  <c r="BU189" i="6" s="1"/>
  <c r="BX189" i="6" s="1"/>
  <c r="AP191" i="6"/>
  <c r="CA191" i="6" s="1"/>
  <c r="AO191" i="6"/>
  <c r="BU191" i="6" s="1"/>
  <c r="BX191" i="6" s="1"/>
  <c r="AP196" i="6"/>
  <c r="CA196" i="6" s="1"/>
  <c r="AO196" i="6"/>
  <c r="BU196" i="6" s="1"/>
  <c r="BX196" i="6" s="1"/>
  <c r="BV55" i="6"/>
  <c r="BV178" i="6"/>
  <c r="BV120" i="6"/>
  <c r="BV84" i="6"/>
  <c r="BV94" i="6"/>
  <c r="BY76" i="6"/>
  <c r="BU140" i="6"/>
  <c r="BX140" i="6" s="1"/>
  <c r="BY147" i="6"/>
  <c r="BY136" i="6"/>
  <c r="BV87" i="6"/>
  <c r="AP69" i="6"/>
  <c r="CA69" i="6" s="1"/>
  <c r="BY73" i="6"/>
  <c r="BU73" i="6"/>
  <c r="BX73" i="6" s="1"/>
  <c r="BU109" i="6"/>
  <c r="BX109" i="6" s="1"/>
  <c r="AP161" i="6"/>
  <c r="CA161" i="6" s="1"/>
  <c r="AO174" i="6"/>
  <c r="BU174" i="6" s="1"/>
  <c r="BX174" i="6" s="1"/>
  <c r="BU176" i="6"/>
  <c r="BX176" i="6" s="1"/>
  <c r="AP190" i="6"/>
  <c r="CA190" i="6" s="1"/>
  <c r="AO190" i="6"/>
  <c r="BU190" i="6" s="1"/>
  <c r="BX190" i="6" s="1"/>
  <c r="AP199" i="6"/>
  <c r="CA199" i="6" s="1"/>
  <c r="AO199" i="6"/>
  <c r="BU199" i="6" s="1"/>
  <c r="BX199" i="6" s="1"/>
  <c r="BV63" i="6"/>
  <c r="BV166" i="6"/>
  <c r="BU123" i="6"/>
  <c r="BX123" i="6" s="1"/>
  <c r="BV92" i="6"/>
  <c r="BU158" i="6"/>
  <c r="BX158" i="6" s="1"/>
  <c r="AO146" i="6"/>
  <c r="BU146" i="6" s="1"/>
  <c r="BX146" i="6" s="1"/>
  <c r="AO71" i="6"/>
  <c r="BU71" i="6" s="1"/>
  <c r="BX71" i="6" s="1"/>
  <c r="BV167" i="6"/>
  <c r="BV139" i="6"/>
  <c r="BY132" i="6"/>
  <c r="BV103" i="6"/>
  <c r="BV129" i="6"/>
  <c r="BU156" i="6"/>
  <c r="BX156" i="6" s="1"/>
  <c r="AP198" i="6"/>
  <c r="CA198" i="6" s="1"/>
  <c r="AO198" i="6"/>
  <c r="BU198" i="6" s="1"/>
  <c r="BX198" i="6" s="1"/>
  <c r="BU126" i="6"/>
  <c r="BX126" i="6" s="1"/>
  <c r="BV101" i="6"/>
  <c r="BV96" i="6"/>
  <c r="BV102" i="6"/>
  <c r="BV90" i="6"/>
  <c r="BY66" i="6"/>
  <c r="AO125" i="6"/>
  <c r="BU125" i="6" s="1"/>
  <c r="BX125" i="6" s="1"/>
  <c r="BU182" i="6"/>
  <c r="BX182" i="6" s="1"/>
  <c r="AO108" i="6"/>
  <c r="BU108" i="6" s="1"/>
  <c r="BX108" i="6" s="1"/>
  <c r="AO117" i="6"/>
  <c r="BU117" i="6" s="1"/>
  <c r="BX117" i="6" s="1"/>
  <c r="AO170" i="6"/>
  <c r="BU170" i="6" s="1"/>
  <c r="BX170" i="6" s="1"/>
  <c r="AP188" i="6"/>
  <c r="CA188" i="6" s="1"/>
  <c r="AO188" i="6"/>
  <c r="BU188" i="6" s="1"/>
  <c r="BX188" i="6" s="1"/>
  <c r="AO169" i="6"/>
  <c r="BU169" i="6" s="1"/>
  <c r="BX169" i="6" s="1"/>
  <c r="AO177" i="6"/>
  <c r="BU177" i="6" s="1"/>
  <c r="BX177" i="6" s="1"/>
  <c r="BY54" i="6"/>
  <c r="BU54" i="6"/>
  <c r="BX54" i="6" s="1"/>
  <c r="BY55" i="6"/>
  <c r="BU55" i="6"/>
  <c r="BX55" i="6" s="1"/>
  <c r="BV56" i="6"/>
  <c r="BY62" i="6"/>
  <c r="BX62" i="6"/>
  <c r="BX63" i="6"/>
  <c r="BV59" i="6"/>
  <c r="AO164" i="6"/>
  <c r="BU164" i="6" s="1"/>
  <c r="BX164" i="6" s="1"/>
  <c r="AO172" i="6"/>
  <c r="BU172" i="6" s="1"/>
  <c r="BX172" i="6" s="1"/>
  <c r="AO180" i="6"/>
  <c r="BU180" i="6" s="1"/>
  <c r="BX180" i="6" s="1"/>
  <c r="BX58" i="6"/>
  <c r="BY58" i="6"/>
  <c r="BV60" i="6"/>
  <c r="AO163" i="6"/>
  <c r="BU163" i="6" s="1"/>
  <c r="BX163" i="6" s="1"/>
  <c r="AO171" i="6"/>
  <c r="BU171" i="6" s="1"/>
  <c r="BX171" i="6" s="1"/>
  <c r="AO179" i="6"/>
  <c r="BU179" i="6" s="1"/>
  <c r="BX179" i="6" s="1"/>
  <c r="BY56" i="6"/>
  <c r="BX60" i="6"/>
  <c r="BJ784" i="2"/>
  <c r="CM784" i="2" s="1"/>
  <c r="BI784" i="2"/>
  <c r="CG784" i="2" s="1"/>
  <c r="CJ784" i="2" s="1"/>
  <c r="CK784" i="2"/>
  <c r="CG164" i="2" l="1"/>
  <c r="CJ164" i="2" s="1"/>
  <c r="CG22" i="2"/>
  <c r="CJ22" i="2" s="1"/>
  <c r="CG36" i="2"/>
  <c r="CJ36" i="2" s="1"/>
  <c r="CG818" i="2"/>
  <c r="CJ818" i="2" s="1"/>
  <c r="CG7" i="2"/>
  <c r="CJ7" i="2" s="1"/>
  <c r="CG54" i="2"/>
  <c r="CJ54" i="2" s="1"/>
  <c r="CG3" i="2"/>
  <c r="CJ3" i="2" s="1"/>
  <c r="CG774" i="2"/>
  <c r="CJ774" i="2" s="1"/>
  <c r="CG890" i="2"/>
  <c r="CJ890" i="2" s="1"/>
  <c r="CK890" i="2"/>
  <c r="CG132" i="2"/>
  <c r="CJ132" i="2" s="1"/>
  <c r="CM97" i="2"/>
  <c r="BU15" i="6"/>
  <c r="BX15" i="6" s="1"/>
  <c r="CH73" i="2"/>
  <c r="CI73" i="2" s="1"/>
  <c r="CM138" i="2"/>
  <c r="CM165" i="2"/>
  <c r="CH40" i="2"/>
  <c r="CI40" i="2" s="1"/>
  <c r="CH30" i="2"/>
  <c r="CI30" i="2" s="1"/>
  <c r="CM114" i="2"/>
  <c r="CH81" i="2"/>
  <c r="CI81" i="2" s="1"/>
  <c r="CH920" i="2"/>
  <c r="CI920" i="2" s="1"/>
  <c r="CH983" i="2"/>
  <c r="CI983" i="2" s="1"/>
  <c r="CH57" i="2"/>
  <c r="CI57" i="2" s="1"/>
  <c r="CM154" i="2"/>
  <c r="CM74" i="2"/>
  <c r="CH49" i="2"/>
  <c r="CI49" i="2" s="1"/>
  <c r="CH105" i="2"/>
  <c r="CI105" i="2" s="1"/>
  <c r="CH937" i="2"/>
  <c r="CI937" i="2" s="1"/>
  <c r="CH701" i="2"/>
  <c r="CI701" i="2" s="1"/>
  <c r="CM701" i="2"/>
  <c r="CM2" i="2"/>
  <c r="CH2" i="2"/>
  <c r="CI2" i="2" s="1"/>
  <c r="CM34" i="11"/>
  <c r="CH34" i="11"/>
  <c r="CI34" i="11" s="1"/>
  <c r="CM33" i="11"/>
  <c r="CH33" i="11"/>
  <c r="CI33" i="11" s="1"/>
  <c r="CM32" i="11"/>
  <c r="CH32" i="11"/>
  <c r="CI32" i="11" s="1"/>
  <c r="CM31" i="11"/>
  <c r="CH31" i="11"/>
  <c r="CI31" i="11" s="1"/>
  <c r="CM30" i="11"/>
  <c r="CH30" i="11"/>
  <c r="CI30" i="11" s="1"/>
  <c r="CM29" i="11"/>
  <c r="CH29" i="11"/>
  <c r="CI29" i="11" s="1"/>
  <c r="CM28" i="11"/>
  <c r="CH28" i="11"/>
  <c r="CI28" i="11" s="1"/>
  <c r="CM814" i="2"/>
  <c r="CH814" i="2"/>
  <c r="CI814" i="2" s="1"/>
  <c r="CM813" i="2"/>
  <c r="CH813" i="2"/>
  <c r="CI813" i="2" s="1"/>
  <c r="CM801" i="2"/>
  <c r="CH801" i="2"/>
  <c r="CI801" i="2" s="1"/>
  <c r="CH922" i="2"/>
  <c r="CI922" i="2" s="1"/>
  <c r="CM922" i="2"/>
  <c r="CH961" i="2"/>
  <c r="CI961" i="2" s="1"/>
  <c r="CM961" i="2"/>
  <c r="CH942" i="2"/>
  <c r="CI942" i="2" s="1"/>
  <c r="CM942" i="2"/>
  <c r="CH924" i="2"/>
  <c r="CI924" i="2" s="1"/>
  <c r="CM924" i="2"/>
  <c r="CH130" i="2"/>
  <c r="CI130" i="2" s="1"/>
  <c r="CM130" i="2"/>
  <c r="CM162" i="2"/>
  <c r="CH162" i="2"/>
  <c r="CI162" i="2" s="1"/>
  <c r="CM149" i="2"/>
  <c r="CH149" i="2"/>
  <c r="CI149" i="2" s="1"/>
  <c r="CH66" i="2"/>
  <c r="CI66" i="2" s="1"/>
  <c r="CM66" i="2"/>
  <c r="CH68" i="2"/>
  <c r="CI68" i="2" s="1"/>
  <c r="CM68" i="2"/>
  <c r="CH60" i="2"/>
  <c r="CI60" i="2" s="1"/>
  <c r="CM60" i="2"/>
  <c r="CH108" i="2"/>
  <c r="CI108" i="2" s="1"/>
  <c r="CM108" i="2"/>
  <c r="CH750" i="2"/>
  <c r="CI750" i="2" s="1"/>
  <c r="CH164" i="2"/>
  <c r="CI164" i="2" s="1"/>
  <c r="CM164" i="2"/>
  <c r="CH122" i="2"/>
  <c r="CI122" i="2" s="1"/>
  <c r="CM122" i="2"/>
  <c r="CH52" i="2"/>
  <c r="CI52" i="2" s="1"/>
  <c r="CM52" i="2"/>
  <c r="CH98" i="2"/>
  <c r="CI98" i="2" s="1"/>
  <c r="CM98" i="2"/>
  <c r="CH84" i="2"/>
  <c r="CI84" i="2" s="1"/>
  <c r="CM84" i="2"/>
  <c r="CH76" i="2"/>
  <c r="CI76" i="2" s="1"/>
  <c r="CM76" i="2"/>
  <c r="CH146" i="2"/>
  <c r="CI146" i="2" s="1"/>
  <c r="CM146" i="2"/>
  <c r="CM170" i="2"/>
  <c r="CH170" i="2"/>
  <c r="CI170" i="2" s="1"/>
  <c r="CH58" i="2"/>
  <c r="CI58" i="2" s="1"/>
  <c r="CM58" i="2"/>
  <c r="CH92" i="2"/>
  <c r="CI92" i="2" s="1"/>
  <c r="CM92" i="2"/>
  <c r="CH90" i="2"/>
  <c r="CI90" i="2" s="1"/>
  <c r="CM90" i="2"/>
  <c r="CH50" i="2"/>
  <c r="CI50" i="2" s="1"/>
  <c r="CM50" i="2"/>
  <c r="CH106" i="2"/>
  <c r="CI106" i="2" s="1"/>
  <c r="CM106" i="2"/>
  <c r="CH100" i="2"/>
  <c r="CI100" i="2" s="1"/>
  <c r="CM100" i="2"/>
  <c r="CH858" i="2"/>
  <c r="CI858" i="2" s="1"/>
  <c r="CH10" i="2"/>
  <c r="CI10" i="2" s="1"/>
  <c r="CH781" i="2"/>
  <c r="CI781" i="2" s="1"/>
  <c r="CH36" i="2"/>
  <c r="CI36" i="2" s="1"/>
  <c r="CH802" i="2"/>
  <c r="CI802" i="2" s="1"/>
  <c r="CH934" i="2"/>
  <c r="CI934" i="2" s="1"/>
  <c r="CH766" i="2"/>
  <c r="CI766" i="2" s="1"/>
  <c r="CH794" i="2"/>
  <c r="CI794" i="2" s="1"/>
  <c r="CH705" i="2"/>
  <c r="CI705" i="2" s="1"/>
  <c r="CH772" i="2"/>
  <c r="CI772" i="2" s="1"/>
  <c r="CH930" i="2"/>
  <c r="CI930" i="2" s="1"/>
  <c r="CH910" i="2"/>
  <c r="CI910" i="2" s="1"/>
  <c r="CH754" i="2"/>
  <c r="CI754" i="2" s="1"/>
  <c r="CH790" i="2"/>
  <c r="CI790" i="2" s="1"/>
  <c r="CH987" i="2"/>
  <c r="CI987" i="2" s="1"/>
  <c r="CH770" i="2"/>
  <c r="CI770" i="2" s="1"/>
  <c r="CH928" i="2"/>
  <c r="CI928" i="2" s="1"/>
  <c r="CH752" i="2"/>
  <c r="CI752" i="2" s="1"/>
  <c r="CH783" i="2"/>
  <c r="CI783" i="2" s="1"/>
  <c r="CH768" i="2"/>
  <c r="CI768" i="2" s="1"/>
  <c r="CH24" i="2"/>
  <c r="CI24" i="2" s="1"/>
  <c r="CH26" i="2"/>
  <c r="CI26" i="2" s="1"/>
  <c r="CH782" i="2"/>
  <c r="CI782" i="2" s="1"/>
  <c r="CH860" i="2"/>
  <c r="CI860" i="2" s="1"/>
  <c r="CH715" i="2"/>
  <c r="CI715" i="2" s="1"/>
  <c r="CH737" i="2"/>
  <c r="CI737" i="2" s="1"/>
  <c r="CH880" i="2"/>
  <c r="CI880" i="2" s="1"/>
  <c r="CH724" i="2"/>
  <c r="CI724" i="2" s="1"/>
  <c r="CH744" i="2"/>
  <c r="CI744" i="2" s="1"/>
  <c r="CH838" i="2"/>
  <c r="CI838" i="2" s="1"/>
  <c r="CH867" i="2"/>
  <c r="CI867" i="2" s="1"/>
  <c r="CH733" i="2"/>
  <c r="CI733" i="2" s="1"/>
  <c r="CH758" i="2"/>
  <c r="CI758" i="2" s="1"/>
  <c r="CM38" i="2"/>
  <c r="CH38" i="2"/>
  <c r="CI38" i="2" s="1"/>
  <c r="CM14" i="2"/>
  <c r="CH14" i="2"/>
  <c r="CI14" i="2" s="1"/>
  <c r="CH817" i="2"/>
  <c r="CI817" i="2" s="1"/>
  <c r="CH32" i="2"/>
  <c r="CI32" i="2" s="1"/>
  <c r="CM32" i="2"/>
  <c r="CH898" i="2"/>
  <c r="CI898" i="2" s="1"/>
  <c r="CM22" i="2"/>
  <c r="CH22" i="2"/>
  <c r="CI22" i="2" s="1"/>
  <c r="CH848" i="2"/>
  <c r="CI848" i="2" s="1"/>
  <c r="CM6" i="2"/>
  <c r="CH6" i="2"/>
  <c r="CI6" i="2" s="1"/>
  <c r="CM39" i="2"/>
  <c r="CH39" i="2"/>
  <c r="CI39" i="2" s="1"/>
  <c r="CH840" i="2"/>
  <c r="CI840" i="2" s="1"/>
  <c r="CH915" i="2"/>
  <c r="CI915" i="2" s="1"/>
  <c r="CH42" i="2"/>
  <c r="CI42" i="2" s="1"/>
  <c r="CH34" i="2"/>
  <c r="CI34" i="2" s="1"/>
  <c r="CH8" i="2"/>
  <c r="CI8" i="2" s="1"/>
  <c r="CH37" i="2"/>
  <c r="CI37" i="2" s="1"/>
  <c r="CH843" i="2"/>
  <c r="CI843" i="2" s="1"/>
  <c r="CH907" i="2"/>
  <c r="CI907" i="2" s="1"/>
  <c r="CH892" i="2"/>
  <c r="CI892" i="2" s="1"/>
  <c r="CH914" i="2"/>
  <c r="CI914" i="2" s="1"/>
  <c r="CH827" i="2"/>
  <c r="CI827" i="2" s="1"/>
  <c r="CH831" i="2"/>
  <c r="CI831" i="2" s="1"/>
  <c r="CH18" i="2"/>
  <c r="CI18" i="2" s="1"/>
  <c r="CH891" i="2"/>
  <c r="CI891" i="2" s="1"/>
  <c r="CH835" i="2"/>
  <c r="CI835" i="2" s="1"/>
  <c r="CH902" i="2"/>
  <c r="CI902" i="2" s="1"/>
  <c r="CH919" i="2"/>
  <c r="CI919" i="2" s="1"/>
  <c r="CH833" i="2"/>
  <c r="CI833" i="2" s="1"/>
  <c r="CH846" i="2"/>
  <c r="CI846" i="2" s="1"/>
  <c r="CH906" i="2"/>
  <c r="CI906" i="2" s="1"/>
  <c r="CH12" i="2"/>
  <c r="CI12" i="2" s="1"/>
  <c r="CH886" i="2"/>
  <c r="CI886" i="2" s="1"/>
  <c r="CH897" i="2"/>
  <c r="CI897" i="2" s="1"/>
  <c r="CH20" i="2"/>
  <c r="CI20" i="2" s="1"/>
  <c r="CH33" i="2"/>
  <c r="CI33" i="2" s="1"/>
  <c r="BV191" i="6"/>
  <c r="BV190" i="6"/>
  <c r="BV199" i="6"/>
  <c r="BV69" i="6"/>
  <c r="BV161" i="6"/>
  <c r="BV188" i="6"/>
  <c r="BV198" i="6"/>
  <c r="BV196" i="6"/>
  <c r="CH784" i="2"/>
  <c r="CI784" i="2" s="1"/>
  <c r="AH28" i="5"/>
  <c r="AL28" i="5"/>
  <c r="S28" i="5"/>
  <c r="V28" i="5"/>
  <c r="AI2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Yennifer Tatiana Quiceno Pardo</author>
  </authors>
  <commentList>
    <comment ref="U109" authorId="0" shapeId="0" xr:uid="{F31A72B3-49E7-439F-B99B-EF8E3D27EF67}">
      <text>
        <r>
          <rPr>
            <sz val="11"/>
            <color theme="1"/>
            <rFont val="Calibri"/>
            <family val="2"/>
            <scheme val="minor"/>
          </rPr>
          <t xml:space="preserve">Yennifer Tatiana Quiceno Pardo:
indeterminado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<sst xmlns="http://schemas.openxmlformats.org/spreadsheetml/2006/main" count="33933" uniqueCount="10062">
  <si>
    <t>MENU</t>
  </si>
  <si>
    <t>BASE CONTRATOS</t>
  </si>
  <si>
    <t>BASE PROCESOS</t>
  </si>
  <si>
    <t>BASE OTROSÍ CONVENIOS</t>
  </si>
  <si>
    <t>BASE OTROSÍ CONTRATOS</t>
  </si>
  <si>
    <t>BASE LIQUIDACIONES</t>
  </si>
  <si>
    <t>i</t>
  </si>
  <si>
    <t>No. 
Cto</t>
  </si>
  <si>
    <t>TIPO DE CONTRATO</t>
  </si>
  <si>
    <t>NÚMERO DEL PROCESO DE SELECCIÓN TAL CUAL APARECE EN LA MINUTA Y COMO FUE PUBLICADO EN EL SECOP</t>
  </si>
  <si>
    <t>CLASE DE CONTRATO</t>
  </si>
  <si>
    <t>CONTRATISTA: NATURALEZA</t>
  </si>
  <si>
    <t>CONTRATISTA: TIPO IDENTIFICACIÓN</t>
  </si>
  <si>
    <t>CONTRATISTA: NÚMERO DE IDENTIFICACIÓN</t>
  </si>
  <si>
    <t>CONTRATISTA : NOMBRE COMPLETO O RAZON SOCIAL</t>
  </si>
  <si>
    <t xml:space="preserve">CONTRATISTA:  NOMBRE DEL REPRESENTANTE LEGAL </t>
  </si>
  <si>
    <t>CONTRATISTA:  REPRESENTANTE LEGAL - NÚMERO DE CÉDULA</t>
  </si>
  <si>
    <t>OBJETO DEL CONTRATO Y/O CONVENIO</t>
  </si>
  <si>
    <t>LUGAR DE EJECUCIÓN DEL CONTRATO (MUNICIPIO)</t>
  </si>
  <si>
    <t>FECHA DE SUSCRIPCIÓN</t>
  </si>
  <si>
    <t>FECHA DE INICIO</t>
  </si>
  <si>
    <t>FECHA DE TERMINACIÓN INICIAL</t>
  </si>
  <si>
    <t>PLAZO INICIAL DEL CONTRATO</t>
  </si>
  <si>
    <t>AFECTACIÓN DEL RECURSO</t>
  </si>
  <si>
    <t>Nº CDP:
Disp.presupuestal</t>
  </si>
  <si>
    <t>PROYECTO</t>
  </si>
  <si>
    <t xml:space="preserve">CDP: Valor  </t>
  </si>
  <si>
    <t xml:space="preserve">RP - Rubro </t>
  </si>
  <si>
    <t xml:space="preserve">VALOR INICIAL CONTRATO </t>
  </si>
  <si>
    <t>FORMA DE PAGO: HONORARIOS MENSUALES PACTADOS PARA PRESTACIÓN DE SERVICIO ASISTENCIAL O PROFESIONAL</t>
  </si>
  <si>
    <t xml:space="preserve">VALOR CONVENIO </t>
  </si>
  <si>
    <t>No PÓLIZA</t>
  </si>
  <si>
    <t>ÁREA ORDENADORA DEL GASTO</t>
  </si>
  <si>
    <t>ORDENADOR: NOMBRE COMPLETO</t>
  </si>
  <si>
    <t>ORDENADOR: NÚMERO DE CÉDULA</t>
  </si>
  <si>
    <t>ÁREA SOLICITANTE</t>
  </si>
  <si>
    <t>SUPERVISOR: CARGO DEL SUPERVISOR</t>
  </si>
  <si>
    <t>SUPERVISOR: NOMBRE COMPLETO</t>
  </si>
  <si>
    <t>SUPERVISOR: NÚMERO DE CÉDULA</t>
  </si>
  <si>
    <t>MODALIDAD DE SELECCIÓN</t>
  </si>
  <si>
    <t>OBLIGACIONES ESPECIFICAS</t>
  </si>
  <si>
    <t xml:space="preserve">VINCULACIÓN SIGEP </t>
  </si>
  <si>
    <t xml:space="preserve">PUBLICACIÓN PROACTIVA DECLARACIÓN DE BIENES Y RENTAS Y REGISTRO DE CONFLICTOS DE INTERÉS </t>
  </si>
  <si>
    <t>DECLARACIÓN DE RENTA</t>
  </si>
  <si>
    <t>CURSO DE TRANSPARENCIA</t>
  </si>
  <si>
    <t>FECHA DE NACIMIENTO (PRESTACIÓN DE SERVICIOS PERSONA NATURAL)</t>
  </si>
  <si>
    <t>EDAD</t>
  </si>
  <si>
    <t>GRUPO TRAMITADOR</t>
  </si>
  <si>
    <t>ABOGADO</t>
  </si>
  <si>
    <t>CESIÓN 1:
FECHA DE SUSCRIPCIÓN</t>
  </si>
  <si>
    <t>CESIÓN 1: 
NOMBRE COMPLETO</t>
  </si>
  <si>
    <t>CESIÓN 1:
No. IDENTIFICACIÓN</t>
  </si>
  <si>
    <t>CESIÓN 1:
OBJETO</t>
  </si>
  <si>
    <t>CESIÓN 1:
VALOR CESIONADO</t>
  </si>
  <si>
    <t>CESIÓN 2:
FECHA DE SUSCRIPCIÓN</t>
  </si>
  <si>
    <t>CESIÓN 2: 
NOMBRE COMPLETO</t>
  </si>
  <si>
    <t>CESIÓN 2:
No. IDENTIFICACIÓN</t>
  </si>
  <si>
    <t>CESIÓN 2:
OBJETO</t>
  </si>
  <si>
    <t>CESIÓN 2:
VALOR CESIONADO</t>
  </si>
  <si>
    <t>PRORROGA 1: FECHA SUSCRIPCION</t>
  </si>
  <si>
    <t>PRORROGA 1: PLAZO</t>
  </si>
  <si>
    <t>PRORROGA 2: FECHA</t>
  </si>
  <si>
    <t>PRORROGA 2: PLAZO</t>
  </si>
  <si>
    <t>TOTAL DÍAS PRORROGADOS</t>
  </si>
  <si>
    <t>DISMINUCIÓN DE NÚMERO DE DIASTERMINACIÓN ANTICIPADA</t>
  </si>
  <si>
    <t>FECHA TERMINACIÓN ANTICIPADA</t>
  </si>
  <si>
    <t>PLAZO TOTAL DEL CONTRATO</t>
  </si>
  <si>
    <t>FECHA DE TERMINACIÓN FINAL</t>
  </si>
  <si>
    <t>MODIFICACIÓN 1:  FECHA DE SUSCRIPCIÓN</t>
  </si>
  <si>
    <t>MODIFICIACIÓN 1:       OBJETO</t>
  </si>
  <si>
    <t>MODIFICACIÓN 2:  FECHA DE SUSCRIPCIÓN</t>
  </si>
  <si>
    <t>MODIFICIACIÓN 2:       OBJETO</t>
  </si>
  <si>
    <t>MODIFICACIÓN 3:  FECHA DE SUSCRIPCIÓN</t>
  </si>
  <si>
    <t>MODIFICIACIÓN 3:       OBJETO</t>
  </si>
  <si>
    <t>ADICIÓN 1:  FECHA DE SUSCRIPCIÓN</t>
  </si>
  <si>
    <t>ADICIÓN 1:       VALOR</t>
  </si>
  <si>
    <t>CDP ADICIÓN 1</t>
  </si>
  <si>
    <t>ADICIÓN 1:       OBJETO</t>
  </si>
  <si>
    <t>ADICIÓN 2:  FECHA DE SUSCRIPCIÓN</t>
  </si>
  <si>
    <t>ADICIÓN 2:       VALOR</t>
  </si>
  <si>
    <t>CDP ADICIÓN 2</t>
  </si>
  <si>
    <t>ADICIÓN 2:       OBJETO</t>
  </si>
  <si>
    <t>ADICIÓN 3:  FECHA DE SUSCRIPCIÓN</t>
  </si>
  <si>
    <t>ADICIÓN 3:       VALOR</t>
  </si>
  <si>
    <t>CDP ADICIÓN 3</t>
  </si>
  <si>
    <t>ADICIÓN 3:       OBJETO</t>
  </si>
  <si>
    <t>ADICIÓN: VALOR TOTAL</t>
  </si>
  <si>
    <t>DISMINUCION: VALOR</t>
  </si>
  <si>
    <t>VALOR FINAL DEL CONTRATO DESPUES DE MODIFICACIONES</t>
  </si>
  <si>
    <t>VALOR EJECUTADO (DILIGENCIA FINANCIERA)</t>
  </si>
  <si>
    <t>VALOR PAGADO PROGRAMADO</t>
  </si>
  <si>
    <t>PORCENTAJE DE AVANCE FÍSICO PROGRAMADO</t>
  </si>
  <si>
    <t>PORCENTAJE DE AVANCE FÍSICO REAL</t>
  </si>
  <si>
    <t>PORCENTAJE AVANCE PRESUPUESTAL PROGRAMADO</t>
  </si>
  <si>
    <t>PORCENTAJE AVANCE PRESUPUESTAL REAL</t>
  </si>
  <si>
    <t>FECHA DE LIQUIDACIÓN DEL CONTRATO</t>
  </si>
  <si>
    <t>ESTADO</t>
  </si>
  <si>
    <t>OBSERVACIONES</t>
  </si>
  <si>
    <t>NUMERO DE RADICADO</t>
  </si>
  <si>
    <t>GENERO</t>
  </si>
  <si>
    <t>NUMERO DE REGISTRO PRESUPUESTAL</t>
  </si>
  <si>
    <t>NUMERO DE REGISTRO PRESUPUESTAL  ADICION / CESION</t>
  </si>
  <si>
    <t>13.38</t>
  </si>
  <si>
    <t>2024-0001</t>
  </si>
  <si>
    <t>CTO</t>
  </si>
  <si>
    <t>CD-001-2024</t>
  </si>
  <si>
    <t>9 PRESTACIÓN DE SERVICIOS</t>
  </si>
  <si>
    <t>1 PERSONA NATURAL</t>
  </si>
  <si>
    <t>3 CÉDULA DE CIUDADANÍA</t>
  </si>
  <si>
    <t xml:space="preserve">GIOHANA CATARINE GONZALES  TURIZO </t>
  </si>
  <si>
    <t xml:space="preserve">13.38 PRESTACIÓN DE SERVICIOS PROFESIONALES COMO ABOGADO PARA APOYAR EL DESARROLLO Y SEGUIMIENTO  DE LA ACTIVIDAD CONTRACTUAL EN EL MARCO DEL PROYECTO DE FORTALECIMIENTO ORGANIZACIONAL Y LA IMPLEMENTACIÓN DE LA POLÍTICA DE COMPRAS PÚBLICAS Y DE CONTRATACIÓN DEL ICETEX
</t>
  </si>
  <si>
    <t>BOGOTA</t>
  </si>
  <si>
    <t>2 INVERSIÓN</t>
  </si>
  <si>
    <t>CDEF-24-2024</t>
  </si>
  <si>
    <t>FORTALECIMIENTO ORGANIZACIONAL</t>
  </si>
  <si>
    <t>IG 332901003</t>
  </si>
  <si>
    <t>SECRETARÍA_GENERAL</t>
  </si>
  <si>
    <t>COORDINADOR(A) GRUPO DE CONTRATACIÓN</t>
  </si>
  <si>
    <t>1 CONTRATACION DIRECTA</t>
  </si>
  <si>
    <t>1 SI</t>
  </si>
  <si>
    <t>1 PUBLICADO</t>
  </si>
  <si>
    <t>GRUPO_DE_CONTRATACIÓN</t>
  </si>
  <si>
    <t>LAURA NARANJO</t>
  </si>
  <si>
    <t>FEMENINO</t>
  </si>
  <si>
    <t>13.25</t>
  </si>
  <si>
    <t>2024-0002</t>
  </si>
  <si>
    <t>CD-002-2024</t>
  </si>
  <si>
    <t>AMANDA CATALINA  CARREÑO BUITRAGO</t>
  </si>
  <si>
    <t xml:space="preserve">13.25 PRESTACIÓN DE SERVICIOS PROFESIONALES EN DERECHO PARA BRINDAR ASESORÍA JURÍDICA EN LAS DIFERENTES ETAPAS DE LA ACTIVIDAD CONTRACTUAL DE ACUERDO CON LAS POLÍTICAS DE CELEBRACIÓN Y EJECUCIÓN  DE CONTRATOS EN EL MARCO DEL "PROYECTO DE FORTALECIMIENTO ORGANIZACIONAL" DEL ICETEX.
</t>
  </si>
  <si>
    <t>CDEF-117-2024</t>
  </si>
  <si>
    <t>13.24</t>
  </si>
  <si>
    <t>2024-0003</t>
  </si>
  <si>
    <t>CD-003-2024</t>
  </si>
  <si>
    <t>LAURA MARCELA LUQUE PINEDO</t>
  </si>
  <si>
    <t>13.24 PRESTACIÓN DE SERVICIOS PROFESIONALES EN DERECHO PARA BRINDAR ASESORÍA JURÍDICA EN LAS DIFERENTES ETAPAS DE LA ACTIVIDAD CONTRACTUAL DE ACUERDO CON LAS POLÍTICAS DE CELEBRACIÓN Y EJECUCIÓN  DE CONTRATOS EN EL MARCO DEL "PROYECTO DE FORTALECIMIENTO ORGANIZACIONAL" DEL ICETEX.</t>
  </si>
  <si>
    <t>CDEF-12-2024</t>
  </si>
  <si>
    <t>13.43</t>
  </si>
  <si>
    <t>2024-0004</t>
  </si>
  <si>
    <t>CD-004-2024</t>
  </si>
  <si>
    <t>LUIS ESTEBAN REYES ARIAS</t>
  </si>
  <si>
    <t>13.43 PRESTACIÓN DE SERVICIOS PROFESIONALES PARA APOYAR EL IMPULSO DE LOS PROCESOS, PROCEDIMIENTOS Y TRÁMITE EN LA GESTIÓN DE LA POLÍTICA DE COMPRAS PÚBLICAS Y DE CONTRATACIÓN EN EL MARCO DEL PROYECTO DE "FORTALECIMIENTO ORGANIZACIONAL" DEL ICETEX</t>
  </si>
  <si>
    <t>CDEF-28-2024</t>
  </si>
  <si>
    <t>MASCULINO</t>
  </si>
  <si>
    <t>13.33</t>
  </si>
  <si>
    <t>2024-0005</t>
  </si>
  <si>
    <t>CD-005-2024</t>
  </si>
  <si>
    <t>LAURA NARANJO JARAMILLO</t>
  </si>
  <si>
    <t xml:space="preserve">13.33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</si>
  <si>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CDEF-19-2024</t>
  </si>
  <si>
    <t>13.28</t>
  </si>
  <si>
    <t>2024-0006</t>
  </si>
  <si>
    <t>CD-006-2024</t>
  </si>
  <si>
    <t xml:space="preserve">
DAHYANNA JIMENA ANGARITA SALAZAR
</t>
  </si>
  <si>
    <t xml:space="preserve">13.28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</si>
  <si>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CDEF-15-2024</t>
  </si>
  <si>
    <t>13.27</t>
  </si>
  <si>
    <t>2024-0007</t>
  </si>
  <si>
    <t>CD-007-2024</t>
  </si>
  <si>
    <t>INGRID ZULIN PINEDO TOCORA</t>
  </si>
  <si>
    <t xml:space="preserve">13.27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</si>
  <si>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CDEF-14-2024</t>
  </si>
  <si>
    <t>13.29</t>
  </si>
  <si>
    <t>2024-0008</t>
  </si>
  <si>
    <t>CD-008-2024</t>
  </si>
  <si>
    <t xml:space="preserve">DIANA  MARÍA GONZALEZ GORDILLO </t>
  </si>
  <si>
    <t xml:space="preserve">13.29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</si>
  <si>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CDEF-16-2024</t>
  </si>
  <si>
    <t>13.30</t>
  </si>
  <si>
    <t>2024-0009</t>
  </si>
  <si>
    <t>CD-009-2024</t>
  </si>
  <si>
    <t>DIANA CAROLINA GUEVARA ESCOBAR</t>
  </si>
  <si>
    <t xml:space="preserve">13.30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</si>
  <si>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CDEF-17-2024</t>
  </si>
  <si>
    <t>13.34</t>
  </si>
  <si>
    <t>2024-0010</t>
  </si>
  <si>
    <t>CD-010-2024</t>
  </si>
  <si>
    <t>JOSE GREGORIO SARMIENTO ORTIZ</t>
  </si>
  <si>
    <t xml:space="preserve">13.34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</si>
  <si>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CDEF-20-2024</t>
  </si>
  <si>
    <t>13.35</t>
  </si>
  <si>
    <t>2024-0011</t>
  </si>
  <si>
    <t>CD-011-2024</t>
  </si>
  <si>
    <t>JUAN CAMILO CEDIEL BORRERO</t>
  </si>
  <si>
    <t xml:space="preserve">13.35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</si>
  <si>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CDEF-21-2024</t>
  </si>
  <si>
    <t>13.36</t>
  </si>
  <si>
    <t>2024-0012</t>
  </si>
  <si>
    <t>CD-012-2024</t>
  </si>
  <si>
    <t>BRESMAN GUSTAVO SANCHEZ OSPINA</t>
  </si>
  <si>
    <t xml:space="preserve">13.36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</si>
  <si>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CDEF-22-2024</t>
  </si>
  <si>
    <t>13.32</t>
  </si>
  <si>
    <t>2024-0013</t>
  </si>
  <si>
    <t>CD-013-2024</t>
  </si>
  <si>
    <t xml:space="preserve">SEBASTIAN AYALA CALDERON </t>
  </si>
  <si>
    <t xml:space="preserve">13.32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</si>
  <si>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CDEF-118-2024</t>
  </si>
  <si>
    <t>13.31</t>
  </si>
  <si>
    <t>2024-0014</t>
  </si>
  <si>
    <t>CD-014-2024</t>
  </si>
  <si>
    <t xml:space="preserve">OSCAR ANDRES GUTIERREZ HOYOS </t>
  </si>
  <si>
    <t xml:space="preserve">13.31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</si>
  <si>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CDEF-18-2024</t>
  </si>
  <si>
    <t>13.26</t>
  </si>
  <si>
    <t>2024-0015</t>
  </si>
  <si>
    <t>CD-015-2024</t>
  </si>
  <si>
    <t>DIANA PATRICIA JALLER BUSTILLO</t>
  </si>
  <si>
    <t xml:space="preserve">13.26 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</si>
  <si>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CDEF-13-2024</t>
  </si>
  <si>
    <t>12.20</t>
  </si>
  <si>
    <t>2024-0016</t>
  </si>
  <si>
    <t>CD-016-2024</t>
  </si>
  <si>
    <t>GISSET XIMENA BARRETO VILLAMIL</t>
  </si>
  <si>
    <t>PRESTAR LOS SERVICIOS PROFESIONALES ESPECIALIZADOS EN LA MEJORA DE LOS PROCESOS PRESUPUESTALES
ENFOCADOS EN LA PLANEACIÓN, DISEÑO Y DESARROLLO DE MECANISMOS QUE PERMITAN LA INTEGRACIÓN Y EL ANÁLISIS DE INFORMACIÓN PRESUPUESTAL EN EL MARCO DEL PROYECTO DE INVERSIÓN DE BANCA ABIERTA Y TRANSPARENTE E INHOUSE BANKING.</t>
  </si>
  <si>
    <t>CDEF-05-2024</t>
  </si>
  <si>
    <t>BANCA ABIERTA Y TRANSPARENTE E
INHOUSE B</t>
  </si>
  <si>
    <t>IG332902005</t>
  </si>
  <si>
    <t>VICEPRESIDENCIA_FINANCIERA</t>
  </si>
  <si>
    <t>COORDINADOR(A) GRUPO DE PRESUPUESTO</t>
  </si>
  <si>
    <t>Apoyar en la estructuración de mecanismos de registro, seguimiento y control de
operaciones presupuestales relacionadas con vigencias futuras, acorde a los procedimientos
establecidos y requeridos en el marco de la modernización de las funciones financieras del
Instituto.
2. Proponer iniciativas que propendan por la articulación de actores para la apropiación e
implementación de mecanismos para la optimización de los procesos que soportan la
operación financiera del Instituto, con especial énfasis en el seguimiento y control de
vigencias futuras.
3. Apoyar en el seguimiento y control de los requerimientos relacionados con la mitigación de
riesgos del proceso de Gestión Presupuestal, los planes de mejoramiento y los lineamientos
impartidos en el marco del proyecto de inversión de banca abierta y transparente.
4. Apoyar la estructuración de insumos técnicos para dar respuesta a los requerimientos de
información solicitados por entes internos y/o externos en el marco de los proyectos de
inversión Inhouse Banking,
5. Apoyar en la estructuración y conceptualización técnica de iniciativas que permitan la
simplificación, estandarización e integración de procesos de la gestión presupuestal del
ICETEX en el marco del proyecto de inversión de banca abierta y transparente e In House
Banking.
6. Apoyar el diseño, apropiación e implementación de mecanismos para la optimización de los
procesos presupuestales que se adelantan en el marco de la modernización de las funciones
financieras del Instituto.
7. Apoyar la apropiación e implementación de esquemas de reporte y control a la gestión
presupuestal del Instituto en el marco del proyecto de inversión de banca abierta y
Código: F451
ESTUDIO PREVIO SIMPLIFICADO
Versión: 3
Fecha: 04/12/2023
Página 7 de 13
transparente.
8. Analizar la información generada a partir de las bases de datos presupuestales con el fin de
verificar su fidelidad.
9. Las demás obligaciones que se requieran para el cumplimiento a cabalidad del objeto
contractual y que sean inherentes a la naturaleza del contrato.
10. Cumplir con los indicadores de gestión establecidos.</t>
  </si>
  <si>
    <t>SEBASTIAN AYALA</t>
  </si>
  <si>
    <t>WILLIAM ALEXANDER VALENCIA NEMOCON</t>
  </si>
  <si>
    <t>20243030000152-I Id: 4085611</t>
  </si>
  <si>
    <t>12.19</t>
  </si>
  <si>
    <t>2024-0017</t>
  </si>
  <si>
    <t>CD-017-2024</t>
  </si>
  <si>
    <t>PRESTAR LOS SERVICIOS PROFESIONALES EN LA ESTRUCTURACIÓN DE INICIATIVAS PARA LA OPTIMIZACIÓN DE MECANISMOS DE ADMINISTRACIÓN DE LOS SISTEMAS DE GESTIÓN PRESUPUESTAL Y SUS BASES DE DATOS EN EL MARCO DEL PROYECTO DE INVERSIÓN DE BANCA ABIERTA Y TRANSPARENTE E INHOUSE BANKING.</t>
  </si>
  <si>
    <t>CDEF-04-2024</t>
  </si>
  <si>
    <t xml:space="preserve">1. Apoyar en la estructuración de mecanismos de registro, seguimiento y control de operaciones presupuestales relacionadas con vigencias futuras, acorde a los procedimientos establecidos y requeridos en el marco de la modernización de las funciones financieras del Instituto. 
2. Proponer iniciativas que propendan por la articulación de actores para la apropiación e implementación de mecanismos para la optimización de los procesos que soportan la operación financiera del Instituto, con especial énfasis en el seguimiento y control de vigencias futuras.
3. Apoyar en el seguimiento y control de los requerimientos relacionados con la mitigación de riesgos del proceso de Gestión Presupuestal, los planes de mejoramiento y los lineamientos impartidos en el marco del proyecto de inversión de banca abierta y transparente. 
4. Apoyar la estructuración de insumos técnicos para dar respuesta a los requerimientos de información solicitados por entes internos y/o externos en el marco de los proyectos de inversión Inhouse Banking,
5. Apoyar en la estructuración y conceptualización técnica de iniciativas que permitan la simplificación, estandarización e integración de procesos de la gestión presupuestal del ICETEX en el marco del proyecto de inversión de banca abierta y transparente e In House Banking. 
6. Apoyar el diseño, apropiación e implementación de mecanismos para la optimización de los procesos presupuestales que se adelantan en el marco de la modernización de las funciones financieras del Instituto.
7. Apoyar la apropiación e implementación de esquemas de reporte y control a la gestión presupuestal del Instituto en el marco del proyecto de inversión de banca abierta y transparente. 
8. Analizar la información generada a partir de las bases de datos presupuestales con el fin de verificar su fidelidad. 
9. Las demás obligaciones que se requieran para el cumplimiento a cabalidad del objeto contractual y que sean inherentes a la naturaleza del contrato.
10. Cumplir con los indicadores de gestión establecidos
</t>
  </si>
  <si>
    <t>20243030000154-I Id: 4085614</t>
  </si>
  <si>
    <t>13.39</t>
  </si>
  <si>
    <t>2024-0018</t>
  </si>
  <si>
    <t>CD-018-2024</t>
  </si>
  <si>
    <t>RAUL ALFREDO QUEVEDO</t>
  </si>
  <si>
    <t>PRESTACIÓN DE SERVICIOS DE APOYO TÉCNICO A LA GESTIÓN DE LA POLÍTICA DE COMPRAS PÚBLICAS Y DE CONTRATACIÓN EN EL MARCO DEL PROYECTO DENOMINADO “FORTALECIMIENTO ORGANIZACIONAL" DEL ICETEX</t>
  </si>
  <si>
    <t>CDEF-25-2024</t>
  </si>
  <si>
    <t xml:space="preserve">1.	Proyectar comunicaciones para atender los requerimientos internos y externos relacionados con las actividades desarrolladas por el grupo de contratos, así como los requerimientos de los entes de control, en el marco del proyecto de inversión. 
2.	Realizar la radicación de documentos, así́ como el direccionamiento respectivo, de conformidad con lo establecido en los procedimientos del Grupo de Contratación de acuerdo con el objeto contractual. 
3.	Servir como canal de comunicación con el área de gestión documental para gestionar la consecución de expedientes, documentos y de toda la información que requiera el Grupo de Contratación y en general de la Secretaria General en cumplimiento de la política de MIPG. 
4.	Apoyar en la actualización, clasificación y organización de los documentos físicos y virtuales propios de los procesos del grupo de contratos y en la actualización de la base de datos del grupo de contratos, así como brindar información respecto de la misma, de conformidad con las metas y objetivos del proyecto de inversión. 
5.	Apoyar en la vinculación, creación y revisión de las hojas de vida del SIGEP, alineados con las metas del proyecto de inversión en pro del fortalecimiento organizacional. 
6.	Elaborar los informes y reportes previa coordinación con el supervisor del contrato de acuerdo con las actividades y procesos realizados en el Grupo de Contratación en el marco del objeto contractual. 
7.	Adelantar los tramites a cargo, en el marco del proyecto de fortalecimiento organizacional y la implementación de la política de compras públicas y de contratación, promoviendo el cierre de brechas que se presenten.
8.	Las demás obligaciones que sean asignadas por quien ejerza la función de la supervisión del contrato.
</t>
  </si>
  <si>
    <t>12.18</t>
  </si>
  <si>
    <t>2024-0019</t>
  </si>
  <si>
    <t>CD-019-2024</t>
  </si>
  <si>
    <t>MARITZA ALEXANDRA CAICEDO GONZALEZ</t>
  </si>
  <si>
    <t>PRESTAR LOS SERVICIOS PROFESIONALES EN LA ACTUALIZACIÓN DE LOS SISTEMAS DE GESTIÓN PRESUPUESTAL DE LOS RECURSOS DE FONDOS Y PROPIOS Y EN EL PROCESO DE VALIDACIÓN DE LA EJECUCIÓN DEL PRESUPUESTO A PARTIR DEL PROCESAMIENTO Y ANÁLISIS DE LA INFORMACIÓN A CARGO DEL GRUPO DE PRESUPUESTO.</t>
  </si>
  <si>
    <t>1 FUNCIONAMIENTO</t>
  </si>
  <si>
    <t>CDEF-03-2024</t>
  </si>
  <si>
    <t xml:space="preserve"> HONORARIOS - VFN</t>
  </si>
  <si>
    <t>IG312001020400012</t>
  </si>
  <si>
    <t xml:space="preserve">1.	Apoyar la actualización, sistematización y soporte a las bases de datos de los sistemas o aplicativos de información relacionados con la gestión presupuestal de los recursos de fondos y propios.
2.	Apoyar la gestión de seguimiento y control de la información relacionada con los recursos en administración y propios en tiempo real para la generación de estadísticas de la operación. 
3.	Apoyar en el seguimiento a la ejecución presupuestal de los contratos del Instituto en las bases de datos del Grupo de Presupuesto frente a los registros en el aplicativo financiero, a través de la generación de reportes, depuración y validación de información.
4.	Apoyar la gestión de los registros presupuestales requeridos relacionados con los recursos de propios y de fondos acorde a los procedimientos establecidos, con el objetivo de garantizar la calidad de la información. 
5.	Apoyar la implementación y apropiación de las solicitudes de los aplicativos que soportan la gestión presupuestal del Instituto. 
6.	Apoyar en la verificación de los contratos y condiciones de fondos en administración con el fin de obtener la información fuente para la gestión presupuestal de la mencionada fuente de recursos. 
7.	Apoyar la gestión de seguimiento y control de la información a través de la validación y registro de órdenes de pago de recursos propios y de fondos. 
8.	Apoyar la gestión de seguimiento y control de la información relacionada a recursos Propios acorde a los procedimientos establecidos, requeridos en el marco de la modernización de las funciones financieras del Instituto para garantizar el adecuado manejo de los registros presupuestales correspondientes. 
9.	Apoyar la gestión de seguimiento y control presupuestal de los giros a través de la confirmación de las resoluciones cargadas en el sistema. 
10.	Cumplir con los indicadores de gestión establecidos.
</t>
  </si>
  <si>
    <t>20243030000170-I Id: 4085637</t>
  </si>
  <si>
    <t>12.16</t>
  </si>
  <si>
    <t>2024-0020</t>
  </si>
  <si>
    <t>CD-020-2024</t>
  </si>
  <si>
    <t>JULIETH SOSA ROMERO</t>
  </si>
  <si>
    <t>PRESTAR SERVICIOS TÉCNICOS PARA APOYAR LA MEJORA DE PROCESOS PRESUPUESTALES, GESTIONANDO LA EN LA IMPLEMENTACIÓN DE LOS SISTEMAS DE GESTIÓN PRESUPUESTAL REALIZANDO EL DEBIDO ACOMPAÑAMIENTO PARA LA APROPIACIÓN DE LOS MISMOS EN EL MARCO DEL PROYECTO DE INVERSIÓN DE BANCA ABIERTA Y TRANSPARENTE E INHOUSE BANKING.</t>
  </si>
  <si>
    <t>CDEF-30-2024</t>
  </si>
  <si>
    <t>BANCA ABIERTA Y TRANSPARENTE E INHOUSE B</t>
  </si>
  <si>
    <t xml:space="preserve">1.	Apoyar la sistematización, simplificación y optimización de procesos presupuestales que se adelantan en el marco de la modernización de las funciones financieras del Instituto y del proyecto de inversión In House Banking. 
2.	Apoyar en la apropiación de lineamientos para optimizar la gestión financiera y presupuestal, a partir del soporte operativo a los sistemas y bases de datos, en el marco de la implementación del proyecto de banca abierta y transparente e inhouse banking. 
3.	Apoyar en la gestión, validación y seguimiento de las solicitudes de índole presupuestal radicadas mediante los aplicativos de gestión adoptados por el Instituto para la generación de datos en tiempo real. 
4.	Apoyar en la gestión de requerimientos relacionados con las oportunidades de mejora de los aplicativos financieros del ICETEX, a través de la producción de informes, reportes y/o tableros de control. 
5.	Apoyar el despliegue, apropiación y estabilización e integración de aplicativos con los que cuenta el ICETEX para la gestión presupuestal. 
6.	Apoyar en la estructuración insumos para el seguimiento de la gestión de pagos de la entidad y la gestión de alertas tempranas que permitan la implementación de los más altos estándares y buenas prácticas en banca abierta y transparente e inhouse banking 
7.	Apoyar en la gestión de pagos, requeridos por los ordenadores del gasto, ejecutores y órganos de vigilancia y control, a través de la producción de informes, reportes y/o tableros de control.
8.	Apoyar la administración y registros presupuestales relacionados con recursos Propios acorde a los procedimientos y lineamientos establecidos, que permitan garantizar la calidad de la información y la producción de información en tiempo real. 
9.	Apoyar al Grupo de Presupuesto en los procesos de administración, sistematización y validación de la información presupuestal para la generación de estadísticas de la operación. 
10.	Las demás obligaciones que se requieran para el cumplimiento a cabalidad del objeto contractual y que sean inherentes a la naturaleza del contrato. 
11.	Cumplir con los indicadores de gestión establecidos.
</t>
  </si>
  <si>
    <t>20243030000172-I Id: 4085640</t>
  </si>
  <si>
    <t>12.2</t>
  </si>
  <si>
    <t>2024-0021</t>
  </si>
  <si>
    <t>CD-021-2024</t>
  </si>
  <si>
    <t>JENNIFER VIVIANA DÍAZ CARO</t>
  </si>
  <si>
    <t>PRESTAR LOS SERVICIOS PROFESIONALES ESPECIALIZADOS PARA LA ESTRUCTURACIÓN, SEGUIMIENTO Y CONTROL TÉCNICO Y PRESUPUESTAL DE INICIATIVAS RELACIONADAS CON LA EJECUCIÓN DE PROYECTOS ESTRATÉGICOS Y DE INVERSIÓN A CARGO DE LA VICEPRESIDENCIA FINANCIERA, BASADOS EN LA OPTIMIZACIÓN DE PROCEDIMIENTOS PARA LA GENERACIÓN DE SOLUCIONES FINANCIERAS ACORDES A LAS NECESIDADES DE LOS GRUPOS DE INCIDENCIA PARA LA OPTIMIZACIÓN DE LA ESTRUCTURA PASIVO Y DIVERSIFICACIÓN DE LAS FUENTES DE FONDEO.</t>
  </si>
  <si>
    <t>CDEF-07-2024</t>
  </si>
  <si>
    <t>OPTIMIZACIÓN DEL PASIVO Y
DIVERSIFICACIÓ</t>
  </si>
  <si>
    <t>IG332902004</t>
  </si>
  <si>
    <t>VICEPRESIDENTE FINANCIERO</t>
  </si>
  <si>
    <t xml:space="preserve">1.	Apoyar en la coordinación de la implementación y apropiación de mecanismos y herramientas de seguimiento, control y reporte de los proyectos, planes e iniciativas contemplados en el plan estratégico del Instituto, a cargo de la dependencia según la metodología establecida por la Oficina Asesora de Planeación. 
2.	Apoyar en la coordinación de la estabilización, apropiación y despliegue de procesos optimizados para la administración, seguimiento y gestión de las fuentes de fondeo que permitan generar eficiencias financieras a los grupos de incidencia. 
3.	Articular las diferentes instancias para la implementación de iniciativas de la Vicepresidencia Financiera con el objetivo de consolidar a adopción de buenas prácticas, lineamientos y estándares que permitan fortalecer las capacidades operativas y la cultura de control, mitigación de riesgos y eficiencia administrativa. 
4.	Apoyar en la formulación y apropiación de indicadores que permitan mejorar la oportunidad de seguimiento y reporte relacionados con las funciones financieras del Instituto, a través de la articulación del seguimiento y control de KPI´s (key performance indicators) de la Vicepresidencia Financiera y del Instituto. 
5.	Estructurar documentos técnicos, reglamentación o actos administrativos requeridos para la implementación de lineamientos, estándares y buenas prácticas en el marco del despliegue de proyectos estratégicos y de inversión a cargo de la Vicepresidencia Financiera. 
6.	Apoyar en la estructuración de los insumos técnicos para el análisis, gestión y consecución de aliados estratégicos que apalanquen el proyecto de transformación del Instituto, y especialmente lo relacionado con la diversificación de fuentes de fondeo en la búsqueda permanente de esquemas de financiación que permitan optimizar la estructura financiera del ICETEX. 
7.	Apoyar en la coordinación del despliegue de iniciativas, planes, proyectos, iniciativas y estrategias asignadas, y que se encaminen al cumplimiento de metas y despliegue de servicios financieros de calidad, eficientes e innovadores que fortalezca la apropiación de los principios de banca abierta y transparente adoptado por la entidad
8.	Gestionar acciones que permitan la simplificación, estandarización y optimización de procesos asociados al sistema de calidad y que permitan modernización de las funciones financieras del ICETEX. 
9.	Estructurar los estudios, análisis del sector económico, matriz de riesgos y demás insumos requeridos por la normatividad vigente, que permita adelantar los procesos en el marco de la implementación de los proyectos de inversión a cargo de la Vicepresidencia Financiera. 
10.	Articular con instancias internas y externas el despliegue e implementación de los proyectos de inversión de la Vicepresidencia Financiera, a partir de un esquema por áreas de gestión en el marco de implementación de los principios de banca abierta y transparente. 
11.	Cumplir con los indicadores de gestión establecidos. 
12.	Las demás obligaciones que se requieran para el cumplimiento a cabalidad del objeto contractual y que sean inherentes a la naturaleza del contrato.
</t>
  </si>
  <si>
    <t>20243030000202-I Id: 4085701</t>
  </si>
  <si>
    <t>13.40</t>
  </si>
  <si>
    <t>2024-0022</t>
  </si>
  <si>
    <t>CD-022-2024</t>
  </si>
  <si>
    <t>YUDY ROCIO ORDUZ PEREZ</t>
  </si>
  <si>
    <t>CDEF-26-2024</t>
  </si>
  <si>
    <t>Proyectar comunicaciones para atender los requerimientos internos y externos relacionados con las
actividades desarrolladas por el grupo de contratos, así como los requerimientos de los entes de
Código: F451
ESTUDIO PREVIO SIMPLIFICADO
Versión: 3
Fecha: 04/12/2023
Página 8 de 15
control, en el marco del proyecto de inversión.
2. Realizar la radicación de documentos, así́ como el direccionamiento respectivo, de conformidad con
lo establecido en los procedimientos del Grupo de Contratación de acuerdo con el objeto contractual.
3. Servir como canal de comunicación con el área de gestión documental para gestionar la consecución
de expedientes, documentos y de toda la información que requiera el Grupo de Contratación y en
general de la secretaria general en cumplimiento de la política de MIPG.
4. Apoyar en la actualización, clasificación y organización de los documentos físicos y virtuales propios
de los procesos del grupo de contratos y en la actualización de la base de datos del grupo de
contratos, así como brindar información respecto de la misma, de conformidad con las metas y
objetivos del proyecto de inversión.
5. Apoyar en la vinculación, creación y revisión de las hojas de vida del SIGEP, alineados con las metas
del proyecto de inversión en pro del fortalecimiento organizacional.
6. Elaborar los informes y reportes previa coordinación con el supervisor del contrato de acuerdo con
las actividades y procesos realizados en el Grupo de Contratación en el marco del objeto contractual.
7. Adelantar los tramites a cargo, en el marco del proyecto de fortalecimiento organizacional y la
implementación de la política de compras públicas y de contratación, promoviendo el cierre de
brechas que se presenten
8. Las demás obligaciones que sean asignadas por quien ejerza la función de la supervisión del
contrato.</t>
  </si>
  <si>
    <t>7.2</t>
  </si>
  <si>
    <t>2024-0023</t>
  </si>
  <si>
    <t>CD-023-2024</t>
  </si>
  <si>
    <t>JUAN SEBASTIAN MARTINEZ CONEJO</t>
  </si>
  <si>
    <t>"PRESTAR LOS SERVICIOS PROFESIONALES; PARA LA CONSTRUCCIÓN DE BASES HISTÓRICAS QUE PERMITAN LA EVALUACIÓN, SEGUIMIENTO Y ANÁLISIS DE LOS DIFERENTES COMPONENTES DE LOS MODELOS DE LOS SISTEMAS DE RIESGOS QUE SE ADMINISTRAN EN EL
ICETEX."</t>
  </si>
  <si>
    <t>CDEF-011-2024</t>
  </si>
  <si>
    <t xml:space="preserve"> HONORARIOS - ODR</t>
  </si>
  <si>
    <t>IG 312001020250012</t>
  </si>
  <si>
    <t>OFICINA_DE_RIESGOS</t>
  </si>
  <si>
    <t>COORDINADOR(A) GRUPO DE RIESGOS FINANCIEROS</t>
  </si>
  <si>
    <t xml:space="preserve">1.	Construir el tablero de indicadores de riesgos establecidos bajo la alineación con el SIAR. 
2.	Construir la base histórica, y actualizar según periodicidad establecida los indicadores seleccionados en el SIAR. 
3.	Ejecutar los modelos de riesgo construidos y/o calibrados para la gestión de riesgo de crédito. 
4.	Apoyar en la elaboración de informes y presentaciones requeridas dentro de la gestión y administración de los riesgos financieros. 
5.	Apoyar en la implementación de los procedimientos que se generan en el marco de alineación con el SIAR. 
6.	Verificar los resultados de la aplicación de los modelos como control dual para la confirmación de resultados establecidos en los respectivos manuales de implementación de los respectivos modelos. 
7.	Apoyar en la articulación de los modelos desarrollados o calibrados en la herramienta MODELER y/o SPSS. 
8.	Elaborar las macros de los modelos nuevos, así como las mejoras que se realicen con las respectivas guías para el paso a paso de la aplicación por parte del área misional. 
9.	Acompañar la verificación de los resultados que entregue la Dirección de Tecnología en la fase de puesta en producción de los modelos que se implementen conforme la necesidad de la Entidad. 
10.	Consolidación y/o construcción de bases de datos históricas y/o de fuentes externas que se requieran para atender requerimientos internos y de originados por propuestas de nuevas líneas de crédito o beneficios a usuarios. 11. Apoyo en el análisis, estudios, mejoras y aspectos de valor agregado referente a otros riesgos que gestione la Oficina de Riesgos. 
11, Capacitar al equipo en la administración y ejecución de los modelos que se construyan y/o calibran en el marco de la gestión de los riesgos que administra la Oficina de Riesgos.
</t>
  </si>
  <si>
    <t>NATALIA MURCIA</t>
  </si>
  <si>
    <t>20242510000216-I</t>
  </si>
  <si>
    <t>7.5</t>
  </si>
  <si>
    <t>2024-0024</t>
  </si>
  <si>
    <t>CD-024-2024</t>
  </si>
  <si>
    <t>GUSTAVO ADOLFO BELTRAN SABOGAL</t>
  </si>
  <si>
    <t>PRESTAR SERVICIOS PROFESIONALES COMO OFICIAL DE SEGURIDAD DE LA INFORMACIÓN Y PRIVACIDAD, PARA ADMINISTRAR EL SISTEMA DE GESTIÓN DE SEGURIDAD DE LA INFORMACIÓN Y DE LA PROTECCIÓN DE DATOS, CUMPLIENDO LOS LINEAMIENTOS EN EL MARCO NORMATIVO INTERNO Y EXTERNO EN LA MATERIA.</t>
  </si>
  <si>
    <t>CDEF-010-2024</t>
  </si>
  <si>
    <t>COORDINADOR(A) GRUPO DE RIESGOS NO FINANCIEROS</t>
  </si>
  <si>
    <t xml:space="preserve">OBLIGACIONES ESPECÍFICAS DEL CONTRATISTA	
1.	Coordinar la operación del Sistema de Gestion de Seguridad de la Información (SGSI) de la Entidad, alineado con la norma NTC ISO 27001:20013 y el Modelo de Seguridad y Privacidad de MinTIC a través, de la emisión de planes de: estratégicos y control operacional, de seguimiento del SGSD, de capacitación y sensibilización y seguimiento al cronograma de trabajo del equipo de seguridad. 
2.	Desarrollar y mantener el Programa de Protección de Datos Personales, con el fin de velar por el respeto a los derechos de los titulares de los datos personales, Informar y asesorar en las obligaciones de la regulación colombiana en la materia, supervisar el cumplimiento de la regulación, así como el principio de la responsabilidad demostrada. 
3.	Actualizar las políticas y procedimientos de seguridad digital y de protección de datos personales, con base en las necesidades de la entidad y los cambios normativos. 
4.	Presentación de informe a Junta Directiva, con la gestión realizada sobre el SGSD, las alertas sobre el SGSD y la actualización de políticas de seguridad digital y de protección de datos personales
5.	Establecer cronograma y hacer seguimiento a la revisión de la actualización del Inventario y clasificación de los Activos de Información. 
6.	Establecer cronograma y hacer seguimiento del monitoreo de riesgos de seguridad digital, ciberseguridad y protección de datos personales asistiendo a las diferentes áreas del Icetex en el análisis, evaluación y tratamiento de los riesgos de la Seguridad de la Información. 
7.	Hacer seguimiento a la gestión de los incidentes de seguridad digital con el respectivo plan de acción para garantizar su no repetición. 
8.	Revisar las alertas de seguridad generadas por las herramientas de monitoreo (SOC) y establecer posibles incidentes de seguridad. 
9.	Planear, probar y hacer seguimiento a la revisión del diseño y eficacia de los controles de la ISO 27001 y seguimiento a los planes de acción generados por oportunidades de mejora. 
10.	Acompañar y hacer seguimiento en la definición, ejecución y revisión de las pruebas de Ethical Hacking y re-test sobre los diferentes servicios tecnológicos y hacer seguimiento a los cierres de vulnerabilidades detectadas, a fin de proteger la plataforma tecnológica. 
11.	Promover una cultura de seguridad de la información que incluya actividades de difusión y capacitación para funcionarios, contratistas, proveedores y beneficiarios. 
12.	Apoyar en el desarrollo de actividades de divulgación y promoción de la importancia del SGSI, mediante campañas de sensibilización y comunicación. 
13.	Revisar y atender los conceptos de seguridad relacionados con seguridad digital y protección de datos personales requeridos por las áreas de la Entidad. 
14.	Participar en los proyectos de integración de sistemas de gestión, gestión de cambios, nuevos productos, procesos, proyectos tecnológicos y recuperación de desastres. 
15.	Atender a requerimientos de acuerdos estratégicos y/o contratación en materia de seguridad digital. 
16.	Proyectar el Comité de Riesgos con los temas de Seguridad de la Información con el fin de dar avance sobre la atención a la Política de Seguridad Digital a la alta dirección de la Entidad. 
17.	Hacer seguimiento al cumplimiento del Sistema de Gestión de Seguridad Digital con respecto de las normas colombianas en materia de seguridad y privacidad digital, así como las buenas prácticas, realizando seguimiento a las acciones de mejora. 
18.	Realizar mejora continua al sistema de gestión de seguridad digital a través de atención a hallazgos y oportunidades de mejora emitidos por la Oficina de Control Interno y Entes de Control. 
19.	Atender los requerimientos normativos bajo las normas Ley 1712, Ley 1581, de MinTic, buena práctica ISO 27001, normas de Superfinanciera y demás que se generen y aquellos que soliciten los Entes de Control como son MEN, CSIRT, COLCERT y demás entidades que requieran la participación del Icetex. 
20.	Revisión y seguimiento de cumplimiento de seguridad de proveedores (Seguimiento a revisión de seguridad en proveedores y Seguimiento a las respuestas de revisión de seguridad por los proveedores). 
21.	Gestionar y revisar los usuarios de los sistemas de información. 
22.	Participar en los comités de tecnología de Control de cambios, log y vulnerabilidades. 
23.	Apoyar fundamentalmente en el CIO de la entidad para mitigar los riesgos asociados a la tecnología (Seguridad Informática o Ciberseguridad). 
24.	Establecer la relación con otras entidades del sector público, educación y financiero, así como entes líderes en temas de ciberseguridad y seguridad digital: ColCERT, Ministerio de Tecnologías y Sistemas de Información, Escuela Superior de Guerra, Comando Conjunto Cibernético, Centro cibernético policial, etc. 
25.	Las demás obligaciones que sean acordes con el objeto contractual asignado por la supervisión del contrato. 
26.	Elaborar informes relacionados con la ejecución de su objeto contractual y obligaciones, cuando le sean solicitados. 
</t>
  </si>
  <si>
    <t xml:space="preserve">20242520000217-I </t>
  </si>
  <si>
    <t>8.1</t>
  </si>
  <si>
    <t>2024-0025</t>
  </si>
  <si>
    <t>CD-025-2024</t>
  </si>
  <si>
    <t>SANDRA GISELA TRIANA</t>
  </si>
  <si>
    <t>PRESTAR SERVICIOS DE APOYO TÉCNICO AL DESARROLLO DE LOS PROCESOS Y ACTIVIDADES RELACIONADOS CON LAS GESTIONES ADMINISTRATIVAS DE LA PRESIDENCIA DEL ICETEX</t>
  </si>
  <si>
    <t>CDEF-079-2024</t>
  </si>
  <si>
    <t>REMUNERACION SERVICIOS</t>
  </si>
  <si>
    <t xml:space="preserve">IG312001020200014 </t>
  </si>
  <si>
    <t>PRESIDENCIA</t>
  </si>
  <si>
    <t>PRESIDENTE</t>
  </si>
  <si>
    <t xml:space="preserve">Apoyar en la digitalización requerida dentro del proceso de gestión documental y registrar en los sistemas o herramientas la información requerida como apoyo al proceso de gestión documental.
2.	Efectuar el alistamiento, traslado, registro, consulta, préstamo y seguimiento de las unidades documentales solicitadas por las áreas o funcionarios del ICETEX.
3.	Apoyar las acciones y proceso de transferencias primarias que realiza el Grupo de Gestión Documental.
4.	Apoyar acciones de tipo operativo y gestiones administrativas del despacho que se desarrollen en el marco del respectivo proyecto de inversión relacionado con el fortalecimiento de la entidad.
5.	Cumplir con los indicadores de medición establecidos para el presente contrato
6.	Gestionar la creación de usuarios en los sistemas de información, para el personal directo y contratistas del Despacho, a través del diligenciamiento y entrega de los formatos respectivos al área encargada.
7.	Consolidar y clasificar por áreas los documentos enviados para revisión y posterior firma del Presidente.
8.	Las demás obligaciones que sean acordes con el objeto contractual y que sean asignadas por quien ejerza la función de supervisión del contrato.
</t>
  </si>
  <si>
    <t>20243030000221-I Id: 4085780</t>
  </si>
  <si>
    <t>8.2</t>
  </si>
  <si>
    <t>2024-0026</t>
  </si>
  <si>
    <t>CD-026-2024</t>
  </si>
  <si>
    <t>MARIA CRISTINA TOBON CAMACHO</t>
  </si>
  <si>
    <t>PRESTAR LOS SERVICIOS PROFESIONALES ESPECIALIZADOS EN LA ARTICULACIÓN CON DIFERENTES ACTORES Y ACOMPAÑAMIENTO DE LAS ACTIVIDADES QUE REALIZA EL PRESIDENTE DE LA ENTIDAD, ASÍ COMO LA REVISIÓN DE LOS DOCUMENTOS.</t>
  </si>
  <si>
    <t>CDEF-078-2024</t>
  </si>
  <si>
    <t>HONORARIOS PRE</t>
  </si>
  <si>
    <t xml:space="preserve">IG312001020200012 </t>
  </si>
  <si>
    <t xml:space="preserve">1.	Desarrollar actividades profesionales para el control y seguimiento de la ejecución y avance de la implementación de planes, programas, estrategias y herramientas que faciliten el cumplimiento del objeto misional del ICETEX, de conformidad con las directrices impartidas por la presidencia. 
2.	Elaborar y preparar informes que sean requeridos por la Presidencia del ICETEX, para adelantar actividad, reunión u encuentro externo. 
3.	Revisar jurídicamente todas las actas, comisiones, peticiones y demás documentos que sean firmados por el presidente o requieran su aval.
4.	Elaborar las bases de datos o matriz para el control y seguimiento de los compromisos que sean asignados a Presidencia, con el fin de poder implementar los objetivos institucionales de ICETEX. 
5.	Apoyar en la en la preparación de los temas a presentar al comité de Presidencia, así como participar de los mismos que le sean delegados por el supervisor y hacer seguimiento de los compromisos
6.	Proyectar, los documentos que se relacionen con las actividades que le sean encomendadas por el supervisor del contrato, en el marco del objeto contractual.
7.	Realizar aportes a las diferentes respuestas a los requerimientos internos y externos, así como a derechos de petición, consultas y demás solicitudes relacionadas con la Presidencia. 
8.	Acompañar los comités, mesas de trabajo y reuniones de coordinación, seguimiento o información que se programen en el marco de las actividades del presidente de la entidad, efectuando los reportes e informes pertinentes que le sean solicitados. 
9.	Realizar los viajes nacionales e internacionales autorizados por el supervisor en cumplimiento del contrato, cuando las necesidades del servicio lo requieran.
10.	Las demás obligaciones que sean acordes con el objeto contractual asignado por quien ejerza la función de la Supervisión del Contrato y/o el Presidente de la Entidad
</t>
  </si>
  <si>
    <t>20243030000220-I Id: 4085774</t>
  </si>
  <si>
    <t>13.75</t>
  </si>
  <si>
    <t>2024-0027</t>
  </si>
  <si>
    <t>CD-027-2024</t>
  </si>
  <si>
    <t>LADY CATHERINE BARBOSA HENRIQUEZ</t>
  </si>
  <si>
    <t>PRESTAR SERVICIOS TÉCNICOS PARA APOYAR Y GESTIONAR EL DESARROLLO DE ACTIVIDADES Y PROCEDIMIENTOS RELACIONADOS CON LAS GESTIONES ADMINISTRATIVAS Y DOCUMENTALES DEL GRUPO DE ACUERDOS ESTRATÉGICOS QUE SE REQUIERAN EN EL MARCO DEL PROYECTO DE INVERSIÓN DENOMINADO "FORTALECIMIENTO ORGANIZACIONA</t>
  </si>
  <si>
    <t>CDEF-120-2024</t>
  </si>
  <si>
    <t xml:space="preserve">IG332901003 </t>
  </si>
  <si>
    <t>COORDINADOR(A) GRUPO DE ACUERDOS ESTRATÉGICOS</t>
  </si>
  <si>
    <t xml:space="preserve">1.	Proyectar comunicaciones para atender los requerimientos internos y externos relacionados con las actividades desarrolladas por el Grupo de Acuerdos Estratégicos. 
2.	Llevar a cabo la radicación de los diferentes documentos que se originen al interior del Grupo de Acuerdos Estratégicos, de conformidad con lo establecido en los procedimientos de gestión documental de la entidad.
3.	Apoyar los trámites y actividades administrativas del Grupo de Acuerdos Estratégicos en las cuales el supervisor solicite apoyo o sea designado. 
4.	Apoyar en el diligenciamiento de información en los diferentes aplicativos del ICETEX que le sean asignados por el supervisor del contrato. 
5.	Apoyar en la actualización, clasificación y organización de los documentos físicos y virtuales propios de los procesos del Grupo de Acuerdos Estratégicos. 
6.	Apoyar en la creación de los expedientes electrónicos dentro de la herramienta de gestión documental.  
7.	Elaborar los informes y reportes solicitados por el supervisor de acuerdo con las actividades y procesos realizados en el Grupo de Acuerdos Estratégicos.  
8.	Desarrollar las actividades relacionadas con la clasificación, consulta y envío al archivo de los documentos requeridos dentro del proceso de gestión documental relacionada con el Grupo de Acuerdos Estratégicos. 
9.	Apoyar la creación y/o actualización de los expedientes físicos y de los diferentes trámites, acorde con los procedimientos establecidos por la entidad para el manejo documental.  
10.	Apoyar técnicamente los procesos de organización, ordenación, restauración, inventario documental y descripción archivística de los expedientes pertenecientes al archivo del Grupo de Acuerdos Estratégicos, para su entrega al Archivo de la Entidad.  
11.	Apoyar la creación, identificación, actualización y control de los expedientes, documentos de los diferentes trámites requeridos para la gestión documental.
12.	Apoyar técnicamente los procesos de digitalización de documentos y tramites propios del Grupo de Acuerdos Estratégicos. 
13.	Asistir a las reuniones a las que sea citado o designado por parte del supervisor del contrato.  
14.	Las demás obligaciones que sean acordes con el objeto contractual y que sean asignadas por el supervisor del presente contrato.
</t>
  </si>
  <si>
    <t>PATRICIA JALLER</t>
  </si>
  <si>
    <t>20243030000255-I Id: 4085844</t>
  </si>
  <si>
    <t>12.1</t>
  </si>
  <si>
    <t>2024-0028</t>
  </si>
  <si>
    <t>CD-028-2024</t>
  </si>
  <si>
    <t>JUAN CARLOS ACEVEDO DURÁN</t>
  </si>
  <si>
    <t>PRESTAR LOS SERVICIOS PROFESIONALES FINANCIEROS ESPECIALIZADOS PARA LA ESTRUCTURACIÓN DE MECANISMOS, ESQUEMAS Y ESTÁNDARES QUE PERMITAN FORTALECER LA SIMPLIFICACIÓN, ESTANDARIZACIÓN Y SISTEMATIZACIÓN DE LOS PROCESOS Y EL FLUJO DE INFORMACIÓN QUE SOPORTA LA ADOPCIÓN DE LOS PROYECTOS DE INVERSIÓN BANCA ABIERTA Y TRANSPARENTE E INHOUSE BANKING, Y DE OPTIMIZACIÓN DE LA ESTRUCTURA PASIVO Y DIVERSIFICACIÓN DE LAS FUENTES DE FONDEO</t>
  </si>
  <si>
    <t xml:space="preserve">IG332902004 </t>
  </si>
  <si>
    <t xml:space="preserve">1.	Apoyar la articulación de las instancias correspondientes para la adopción, despliegue y apropiación de metodologías, marcos conceptuales, lineamientos, y estándares que permitan la implementación de iniciativas y proyectos de inversión de la Vicepresidencia Financiera y la transformación del Instituto. 
2.	Apoyar la estructuración de estudios y análisis de inteligencia de negocios que permitan la adecuada producción de información, y la analítica de datos para la toma de decisiones, la administración y gestión de recursos, y la mitigación de riesgos de la Entidad, en el marco de la modernización de las funciones financieras. 
3.	Apoyar la adopción, despliegue y apropiación de procesos optimizados, flujos de información y política de datos que fortalezcan la modernización de las funciones financieras del Instituto, a partir de la articulación de indicadores estratégicos e indicadores operativos, entre otros. 
4.	Apoyar en la estructuración de iniciativas, insumos técnicos, lineamientos, y metodologías para el fortalecimiento de la gestión financiera de la Instituto basado en tecnologías de la información, aplicaciones inteligentes, e innovación. 
5.	Apoyar la articulación de las instancias correspondientes para implementación metodologías, lineamientos y estándares que permitan la simplificación, estandarización y sistematización de los procesos en el marco de los proyectos de inversión a cargo de la Vicepresidencia financiera y la modernización de las funciones financieras del ICETEX. 
6.	Apoyar en la articulación de las instancias correspondientes para la apropiación de tableros de control, indicadores e informes que permitan la integración de datos núcleo, fuentes de información, y/o aplicativos para la óptima administración y asignación de recursos, la optimización del ciclo tesoral, y presupuestal, que redunden un cierre contable oportuno. 
7.	Apoyar la estructuración de los insumos técnicos y estudios requeridos para el despliegue de instrumentos, productos y/o mecanismos financieros que fortalezcan la capacidad operativa del Instituto, bajo metodologías de innovación, open banking e insurtech. 
8.	Apoyar en la estructuración de convenios, acuerdos, documentos técnicos, reglamentación y/o actos administrativos requeridos para el despliegue de iniciativas, y proyectos de inversión denominados Diversificación de Fuentes de Financiación, y banca abierta y transparente e inhouse banking. 
9.	Apoyar la estructuración de insumos técnicos necesarios para expedir actos administrativos para el cumplimiento de metas en el marco de los proyectos de inversión de la Vicepresidencia Financiera, y la Transformación del Instituto. 
10.	Apoyar la estructuración de insumos necesarios para dar respuestas de requerimientos de información solicitados por entes internos y/o externos, en el marco de los proyectos de inversión de la Vicepresidencia Financiera. 
11.	Cumplir con los indicadores de gestión establecidos. 
12.	Las demás obligaciones que se requieran para el cumplimiento a cabalidad del objeto contractual y que sean inherentes a la naturaleza del contrato.
</t>
  </si>
  <si>
    <t>20243030000230-I Id: 4085795</t>
  </si>
  <si>
    <t>4.17</t>
  </si>
  <si>
    <t>2024-0029</t>
  </si>
  <si>
    <t>CD-029-2024</t>
  </si>
  <si>
    <t>YEIMMY MARISOL CASTELLANOS ALVARADO</t>
  </si>
  <si>
    <t>PRESTAR LOS SERVICIOS PROFESIONALES ESPECIALIZADOS PARA DIRECCIONAR ESTRATÉGICAMENTE LA ESTRUCTURACIÓN, SEGUIMIENTO Y CONTROL DE LOS PROCESOS, POLÍTICAS PÚBLICAS, GESTIÓN DEL RIESGO, GESTIÓN DEL CRÉDITO Y DEMÁS PLANES DE GESTIÓN Y AUTOCONTROL, DE CONFORMIDAD CON LOS REQUERIMIENTOS ORGANIZACIONALES Y NORMATIVOS DEL ICETEX.</t>
  </si>
  <si>
    <t>CDEF-40-2024</t>
  </si>
  <si>
    <t>HONORARIOS – OCM</t>
  </si>
  <si>
    <t>IG312001020240012</t>
  </si>
  <si>
    <t>OFICINA_COMERCIAL_Y_DE_MERCADEO</t>
  </si>
  <si>
    <t>JEFE OFICINA COMERCIAL Y DE MERCADEO</t>
  </si>
  <si>
    <t>BRESMAN SANCHEZ</t>
  </si>
  <si>
    <t>20243030000256-I Id: 4085847</t>
  </si>
  <si>
    <t>4.2</t>
  </si>
  <si>
    <t>2024-0030</t>
  </si>
  <si>
    <t>CD-030-2024</t>
  </si>
  <si>
    <t>ERIKA DANIELA ROJAS MORENO</t>
  </si>
  <si>
    <t>PRESTAR SERVICIOS PROFESIONALES ESPECIALIZADOS, PARA ADELANTAR LA GESTIÓN JURÍDICA IDÓNEA DE APOYO Y ACOMPAÑAMIENTO QUE SURJAN CON OCASIÓN AL DESARROLLO ADMINISTRATIVO, OPERATIVO Y CONTRACTUAL DE LOS PROCESOS Y PROYECTOS DE LA OFICINA DE COMERCIAL Y DE MERCADEO Y SUS DIFERENTES EQUIPOS DE TRABAJO</t>
  </si>
  <si>
    <t>CDEF-85-2024</t>
  </si>
  <si>
    <t xml:space="preserve">1 
9. Acompañar, revisar, ajustar, la documentación requerida en el marco del trámite de modificaciones, Prórrogas, adiciones, cesiones etc., de los contratos de la Oficina Comercial y de Mercadeo. 
10. Acompañar los tramites que, en los procesos de selección de contratistas adelantados por las oficinas territoriales le sean asignados. 
11. Realizar seguimiento al procedimiento de liquidación de contratos velando porque no se pierda competencia legal para realizar las liquidaciones. 
12. Acompañar la supervisión de los contratos que le sean asignados, desde el punto de vista jurídico, de conformidad con lo establecido en el Manual de Contratación vigente de la Entidad. 
. Asesorar jurídicamente a la Oficina Comercial y de Mercadeo en asuntos propios del ordenamiento jurídico, administrativo y contractual, que le sean asignados en el proceso de toma de decisiones.
2. Elaborar o analizar o revisar jurídicamente las comunicaciones, documentos y procesos que deba firmar el jefe de la Oficina Comercial y de Mercadeo, así como a las coordinaciones de dicha Oficina y de las zonas territoriales.
3. Asesorar jurídicamente los temas en reuniones que deba asistir en el marco del contrato y cumplir con los compromisos que le sean asignados para su seguimiento y entrega.
4. Dar aplicación a directrices y normas que en materia contratación deba atender la Oficina Comercial y de Mercadeo.
5. Asesorar a la Oficina Comercial y de Mercadeo en trámites relacionados con requerimientos de entes de control, organismos públicos o privados. 
6. Asesorar y/o revisar y/o ajustar, la estructuración, según asignación de la supervisión del contrato, los estudios previos y verificar la documentación allegada para viabilidad de la contratación, con base en las normas en materia de contratación aplicables al ICETEX. 
7. Consultar, verificar, realizar, las actividades propias de los procedimientos precontractuales, contractuales y pos contractuales requeridos en el marco de las contrataciones de bienes y servicios que se desarrollen en la Oficina de Comercial y de Mercadeo.
8. Acompañar, revisar, ajustar, la documentación requerida en el marco del trámite de vigencias futuras para la contratación de necesidades de la Oficina Comercial y de Mercadeo. 
13. Las demás que sean inherentes para el logro del objeto contratado, asignadas por el supervisor del contrato.
</t>
  </si>
  <si>
    <t>20243030000263-I Id: 4085856</t>
  </si>
  <si>
    <t>4.71</t>
  </si>
  <si>
    <t>2024-0031</t>
  </si>
  <si>
    <t>CD-031-2024</t>
  </si>
  <si>
    <t>FERNANDO LUIS BARRIOS ESCOBAR</t>
  </si>
  <si>
    <t>PRESTAR SERVICIOS PROFESIONALES ESPECIALIZADOS PARA ADMINISTRAR Y COORDINAR ACTIVIDADES CONTRACTUALES Y ADMINISTRATIVAS NECESARIAS EN EL CONTEXTO DEL AVANCE DE PROYECTOS RELACIONADOS CON EL DESARROLLO DEL PLAN ESTRATÉGICO DE LA ENTIDAD Y LA "POLÍTICA DE GUÍA, INFORMACIÓN Y ACOMPAÑAMIENTO</t>
  </si>
  <si>
    <t>MONTERIA</t>
  </si>
  <si>
    <t>CDEF-39-2024</t>
  </si>
  <si>
    <t>COMUNIDAD ICETEX</t>
  </si>
  <si>
    <t>IG332911001</t>
  </si>
  <si>
    <t xml:space="preserve">Participar en la planeación, ejecución y seguimiento de las actividades que requiera el proyecto “Comunidad ICETEX”.
2. Acompañar los procesos precontractuales que le sean asignados para la ejecución de las actividades del proyecto “Comunidad ICETEX”.
3. Hacer seguimiento a la ejecución de recursos del proyecto “Comunidad ICETEX”.
4. Apoyar la gestión administrativa encaminada a facilitar el desarrollo y ejecución de las actividades del proyecto “Comunidad ICETEX”.
5. Apoyar los mecanismos estratégicos que permitan cumplir con los indicadores de gestión, planes de acción y planes de mejora del proyecto “Comunidad ICETEX”.
6. Asistir a reuniones y/o comités de conformidad con las necesidades de la entidad y la designación del supervisor del contrato.
7. Informe mensual de actividades y cumplimiento de los indicadores de gestión establecidos.
8. Apoyar la supervisión de los contratos que le sean asignados, desde el punto de vista técnico y/o administrativo y/o financiero y/o contable, de conformidad con lo establecido en el Manual de Contratación de la Entidad.
9. Las demás obligaciones que se requieran para el cumplimiento a cabalidad del objeto contractual y que sean inherentes a la naturaleza del contrato. 
</t>
  </si>
  <si>
    <t>CAMILO CEDIEL</t>
  </si>
  <si>
    <t>13.42</t>
  </si>
  <si>
    <t>2024-0032</t>
  </si>
  <si>
    <t>CD-032-2024</t>
  </si>
  <si>
    <t>ANGELA MARÍA GAYÓN MARTÍNEZ</t>
  </si>
  <si>
    <t>PRESTACIÓN DE SERVICIOS PROFESIONALES ESPECIALIZADOS PARA APOYAR EN EL DESARROLLO Y SEGUIMIENTO DE LOS PLANES Y PROYECTOS DE LA POLÍTICA DE COMPRAS Y CONTRATACIÓN PÚBLICA DE LA ENTIDAD EN EL MARCO DEL PROYECTO DENOMINADO “FORTALECIMIENTO ORGANIZACIONAL" DEL ICETEX.</t>
  </si>
  <si>
    <t>CDEF-119-2024</t>
  </si>
  <si>
    <t>12.32</t>
  </si>
  <si>
    <t>2024-0033</t>
  </si>
  <si>
    <t>CD-033-2024</t>
  </si>
  <si>
    <t>SERGIO ERNESTO BUSTOS HERRERA</t>
  </si>
  <si>
    <t>PRESTAR LOS SERVICIOS PROFESIONALES ESPECIALIZADOS PARA LA ADOPCIÓN DE LOS ESTÁNDARES, BUENAS PRÁCTICAS Y PROCEDIMIENTOS QUE SOPORTAN LA APROPIACIÓN HERRAMIENTAS TECNOLÓGICAS DISPUESTAS POR LA ENTIDAD PARA LA REGULARIZACIÓN Y SOSTENIBILIDAD DE LA INFORMACIÓN FINANCIERA DE LOS RECURSOS ADMINISTRADOS POR EL ICETEX, EN EL MARCO PROYECTO DE INVERSIÓN BANCA ABIERTA Y TRANSPARENTE E INHOUSE BANKING.</t>
  </si>
  <si>
    <t>CDEF-124-2024</t>
  </si>
  <si>
    <t xml:space="preserve">IG 332902005 </t>
  </si>
  <si>
    <t>DIRECTOR(A) DE CONTABILIDAD</t>
  </si>
  <si>
    <t xml:space="preserve">
1.	Apoyar la estructuración de mecanismos de registro, seguimiento y control para la estabilización de la implementación de la herramientas y aplicaciones que soportan el proceso en la regularización de la información contable de los recursos en administración. 
2.	Apoyar la articulación entre las áreas que intervienen en los procesos de regularización y sostenibilidad de la información financiera de los recursos administrados por el ICETEX, para la estabilización y adopción de las herramientas, lineamientos, estándares y mecanismos para la optimización del proceso de regularización de partidas conciliatorias. 
3.	Apoyar la elaboración de insumos técnicos para la implementación de las herramientas, lineamientos, estándares y mecanismos para la optimización del procedimiento de conciliación y regularización de la información contable de los recursos en administración. 
4.	Apoyar la gestión de seguimiento y control de la información, herramientas, y sistemas que soportan la operación recurrente de la información contable de los recursos entregados en administración por los constituyentes de los fondos y alianzas, a través de la verificación y conciliación de los estados de cuenta. 
5.	Apoyar en la gestión de consolidación, revisión y registro de las partidas conciliatorias derivado del proceso de sostenibilidad y regularización de la información financiera en los estados financieros que apliquen, con el objetivo de garantizar la calidad de la información contable y financiera del Instituto. 
6.	Apoyar en la gestión y soporte al proceso de reconocimiento contable de las obligaciones a cargo del ICETEX relativas a las cuentas por pagar generadas en la operación de la Entidad. 
7.	Apoyar en la estructuración y verificación de la exógena de los convenios administrados por la Entidad. 
8.	Apoyar en la formulación de los insumos técnicos que permitan dar respuesta de forma oportuna, a los requerimientos de información por agentes interno y externos. 
9.	Apoyar la estructuración de los insumos necesarios para el desarrollo de los procesos en el marco de la implementación de los proyectos de inversión a cargo de la Vicepresidencia Financiera. 
10.	Las demás obligaciones que se requieran para el cumplimiento a cabalidad del objeto contractual y que sean inherentes a la naturaleza del contrato. 
</t>
  </si>
  <si>
    <t>20243030000235-I Id: 4085805</t>
  </si>
  <si>
    <t>13.37</t>
  </si>
  <si>
    <t>2024-0034</t>
  </si>
  <si>
    <t>CD-034-2024</t>
  </si>
  <si>
    <t>ORLANDO ELIAS CURE ALVAREZ</t>
  </si>
  <si>
    <t>PRESTACIÓN DE SERVICIOS PROFESIONALES ECONÓMICOS ESPECIALIZADOS PARA APOYAR EL DESARROLLO Y SEGUIMIENTO DE LA ACTIVIDAD CONTRACTUAL EN EL MARCO DEL PROYECTO DE FORTALECIMIENTO ORGANIZACIONAL Y LA IMPLEMENTACIÓN DE LA POLÍTICA DE COMPRAS PÚBLICAS Y DE CONTRATACIÓN DEL ICETEX</t>
  </si>
  <si>
    <t>CDEF-23-2024</t>
  </si>
  <si>
    <t xml:space="preserve">1.	Hacer parte del comité de estructuración y/o apoyar a las diferentes áreas del ICETEX en la estructuración de los estudios previos de los certámenes o tramites contractuales, en especial lo que respecta al análisis del sector y estudio del mercado, así como en la definición de  factores de selección que permitan identificar la oferta más favorable desde el punto de vista económico y financiero de las actividades planeadas en el Plan Anual de Adquisiciones 2024. 
2.	Brindar apoyo en la articulación de los temas financieros que se requieran en las etapas precontractual y contractual de los certámenes o trámites contractuales. 
3.	Hacer parte del comité evaluador, y/o apoyar cuando se requiera al comité́ ́ evaluador financiero en la revisión de la parte contable- financiera de las propuestas recibidas, teniendo en cuenta los requisitos solicitados en los Términos de Referencia para los certámenes o trámites respectivos. 
4.	Realizar los Trámites financieros pertinentes de los certámenes, trámites contractuales o liquidaciones relacionados con la ejecución presupuestal y/o balance económico de los contratos o convenios ante la Vicepresidencia Financiera y/o Grupo de Presupuesto, según se requiera. 
5.	Apoyar en los informes estadísticos de ejecución de presupuesto de los certámenes o trámites contractuales que requiera el supervisor del contrato.
</t>
  </si>
  <si>
    <t>13.44</t>
  </si>
  <si>
    <t>2024-0035</t>
  </si>
  <si>
    <t>CD-035-2024</t>
  </si>
  <si>
    <t>ERIKA CLEMENCIA ROMERO GUERRERO</t>
  </si>
  <si>
    <t>PRESTAR SERVICIOS PROFESIONALES JURIDICOS EN LAS ACTIVIDADES PROPIAS DEL GRUPO DE CONTRATACIÓN</t>
  </si>
  <si>
    <t>CDEF-29-2024</t>
  </si>
  <si>
    <t xml:space="preserve">1.	Apoyar al Grupo de Contratación en la coordinación y seguimiento para el cumplimiento de los asuntos a su cargo, especialmente en la medición de tiempos de entrega de acuerdo a la planeación estratégica del Grupo y a las necesidades de la Entidad.
2.	Acompañar el seguimiento para el cumplimiento de lineamientos y procedimientos jurídicos de la Entidad.
3.	Acompañar y asesorar el proceso de planeación estratégica de la Entidad y el seguimiento al Plan de Adquisiciones. 
4.	Apoyar la organización y desarrollo del Comité de Contratación del ICETEX, elaborar las actas y llevar el control de los asuntos presentados por las distintas áreas interesadas. 
5.	Cumplir con los indicadores de gestión establecidos.
6.	Las demás actividades que le sean asignadas por el Supervisor, en el marco del objeto  contractual
</t>
  </si>
  <si>
    <t>9.32</t>
  </si>
  <si>
    <t>2024-0036</t>
  </si>
  <si>
    <t>CD-036-2024</t>
  </si>
  <si>
    <t>NELLY JOHANNA GRANADOS AVENDAÑO</t>
  </si>
  <si>
    <t>PRESTAR LOS SERVICIOS PROFESIONALES ESPECIALIZADOS PARA LA REPRESENTACIÓN EN PROCESOS DE INSOLVENCIA ECONOMICA DE PERSONA NATURAL NO COMERCIANTE,QUE SE NOTIFIQUEN AL ICETEX Y ORIENTAR Y TRAMITAR LOS PROCESOS QUE EN MATERIA DE CONTRATACIÓN DESARROLLE LA VICEPRESIDENCIA DE CRÉDITO Y COBRANZA, HACIENDO SEGUIMIENTO PRE CONTRACTUAL, CONTRACTUAL Y POSCONTRACTUAL REQUERIDO POR EL AREA.</t>
  </si>
  <si>
    <t>CDEF-127-2024</t>
  </si>
  <si>
    <t>HONORARIOS – VCC</t>
  </si>
  <si>
    <t xml:space="preserve">IG312001020600012 </t>
  </si>
  <si>
    <t>VICEPRESIDENCIA_DE_CRÉDITO_Y_COBRANZA</t>
  </si>
  <si>
    <t>DIRECTOR(A) DE COBRANZAS</t>
  </si>
  <si>
    <t>Asistir o participar en las audiencias de insolvencia económica de persona natural no
comerciante que sean notificadas al ICETEX.
2. Realizar seguimiento a los procesos de insolvencia económica, de acuerdo a las
audiencias en las que participa o asiste, hasta su finalización.
3. Solicitar a las áreas correspondientes en el ICETEX, la información de los créditos y
estado de los mismos para participar en las audiencias de insolvencia a su cargo.
4. Analizar y realizar seguimiento a los acuerdo de pago correspondientes a los procesos
de insolvencia económica de persona natural no comerciante.
5. Proyectar los documentos que sean requeridos para los procesos de insolvencia
económica.
6. Proyectar estudios previos y verificar la documentación allegada para solicitud de
viabilidad de la contratación, aplicando las normas en materia de contratación que
operen para el ICETEX.
7. Realizar el apoyo para la publicación de los documentos en el portal SECOP II,
inherentes a la ejecución de los contratos de la Dirección de Cobranza y el despacho de
la Vicepresidencia.
8. Hacer seguimiento a las diferentes etapas y cumplimiento de términos y cronogramas
de los procesos precontractuales, contractuales y post contractuales que adelanta la
Vicepresidencia de Crédito y Cobranza.
9. Brindar apoyo en las actividades inherentes a los procesos de contratación de servicios
BPO, adelantados por licitación o a través Colombia Compra Eficiente.
10. Organizar la documentación de contenido contractual y demás soportes que conforman
el expediente único para ser entregados al Grupo de Contratación o a la persona
encargada del Archivo.
11. Apoyar el trámite correspondiente para el efectivo pago a los Contratistas de la Dirección
de Cobranza y el despacho de la Vicepresidencia.
12. Las demás obligaciones que se requieran para el cumplimiento a cabalidad del objeto
contractual y que sean inherentes a la naturaleza del contrato.
13. Cumplir con los indicadores de gestión establecidos</t>
  </si>
  <si>
    <t>DIANA GONZALEZ</t>
  </si>
  <si>
    <t>20243030000270-I Id: 4085863</t>
  </si>
  <si>
    <t>9.33</t>
  </si>
  <si>
    <t>2024-0037</t>
  </si>
  <si>
    <t>CD-037-2024</t>
  </si>
  <si>
    <t>MARIA CLAUDIA ALEJANDRA SAA</t>
  </si>
  <si>
    <t>PRESTAR LOS SERVICIOS PROFESIONALES PARA EL APOYO A LAS DIFERENTES ACTIVIDADES REQUERIDAS EN EL DESARROLLO DE LA GESTIÓN JUDICIAL Y EFECTUAR LA REPRESENTACIÓN EN PROCESOS DE INSOLVENCIA ECONÓMICA DE PERSONA NATURAL NO COMERCIANTE, QUE SE NOTIFIQUEN AL ICETEX, ASÍ COMO TAMBIEN APOYAR LOS PROCESOS QUE EN MATERIA CONTRACTUAL DESARROLLE LA DIRECCIÓN DE COBRANZA..</t>
  </si>
  <si>
    <t>CDEF-130-2024</t>
  </si>
  <si>
    <t xml:space="preserve">
1. Asistir o participar en las audiencias de insolvencia económica de persona natural no comerciante que sean notificadas al ICETEX.
2. Realizar seguimiento a los procesos de insolvencia económica, de acuerdo a las audiencias en las que participa o asiste, hasta su finalización.
3. Solicitar a las áreas correspondientes en el ICETEX, la información de los créditos y estado de los mismos para participar en las audiencias de insolvencia a su cargo.
4. Analizar y realizar seguimiento a los acuerdo de pago correspondientes a los procesos de insolvencia económica de persona natural no comerciante.
5. Proyectar los documentos que sean requeridos para los procesos de insolvencia económica.
6. Apoyar actividades requeridas en el desarrollo de las medidas cautelares de los procesos de cobro jurídico, tales como actualizar el estado de las medidas cautelares en la base de cobro judicial.
7. Presentar la propuesta de acción con ocasión al trámite de las medidas cautelares ante el abogado a cargo conforme las actuaciones registradas en la página de la rama judicial y/o información reportada por abogado a cargo del proceso de cobro jurídico.
8. Enviar los oficios de embargo a las entidades bancarias correspondientes vía correo electrónico, así como  a los juzgados en los casos requeridos por el abogado a cargo del proceso de cobro jurídico.
9. Solicitar ante los juzgados, los autos por medio de los cuales se decreta la medida cautelar y los oficios de embargo cuando sean requeridos por el abogado a cargo del proceso de cobro jurídico.
10. Evacuar los correos  allegados a cobrojudicialcetex.gov.co.
11. Brindar el apoyo que se requiera en los procesos de contratación de la Vicepresidencia de Crédito y Cobranza, en lo correspondiente al trámite precontractual y contractual en los contratos de prestación de servicios y demás contratos del área.
12. Las demás obligaciones que se requieran para el cumplimiento a cabalidad del objeto contractual y que sean inherentes a la naturaleza del contrato.
13. Cumplir con los indicadores de gestión establecidos
</t>
  </si>
  <si>
    <t>20243030000269-I Id: 4085862</t>
  </si>
  <si>
    <t>10.1</t>
  </si>
  <si>
    <t>2024-0038</t>
  </si>
  <si>
    <t>CD-038-2025</t>
  </si>
  <si>
    <t>NINI JOHANNA FRANCO MONTOYA</t>
  </si>
  <si>
    <t>PRESTAR SUS SERVICIOS PROFESIONALES LIDERANDO LA GESTIÓN JURIDICA DE LOS FONDOS A CARGO DE LA VICEPRESIDENCIA DE FONDOS EN ADMINISTRACIÓN; ASÍ COMO LOS TEMAS RELACIONADOS CON LOS PROCESOS DE CONTRATACIÓN A CARGO DE DICHA DEPENDENCIA.</t>
  </si>
  <si>
    <t>CDEF-191-2024</t>
  </si>
  <si>
    <t>HONORARIOS VFA</t>
  </si>
  <si>
    <t>IG312001020700012</t>
  </si>
  <si>
    <t>VICEPRESIDENCIA_DE_FONDOS_EN_ADMINISTRACIÓN</t>
  </si>
  <si>
    <t>VICEPRESIDENTE DE FONDOS EN ADMINISTRACIÓN</t>
  </si>
  <si>
    <t xml:space="preserve">1.	Asesorar al Vicepresidente de Fondos en Administración y a los colaboradores a su cargo en los temas jurídicos relacionados con los fondos administrados por esta dependencia. 
2.	Orientar desde el punto de vista jurídico la constitución de nuevos fondos a cargo de la Vicepresidencia de Fondos en Administración y la suscripción de convenios, contratos, reglamentos operativos y demás documentos concernientes. 
3.	Revisar los reglamentos operativos, otrosí, y demás documentos necesarios para la correcta ejecución de los fondos a cargo de la Vicepresidencia de Fondos en Administración.
4.	Actuar como enlace entre la Vicepresidencia de Fondos en Administración y la Oficina de Acuerdos Estratégicos del ICETEX. 
5.	Revisar los proyectos de respuestas de peticiones internas y externas, actos administrativos, conceptos, desde el punto de vista jurídico, que le sean requeridos y que guarden relación con los procesos a cargo de la Vicepresidencia de Fondos en Administración.
6.	Apoyar la construcción y actualización del plan de anual de adquisiciones de acuerdo con las competencias de la Vicepresidencia de Fondos en Administración. 
7.	Revisar los estudios y documentos previos de los procesos contractuales, que se adelanten en la Vicepresidencia de Fondos en Administración, de acuerdo con la normatividad en materia de contratación aplicables a EL ICETEX.
8.	Preparar y consolidar la información a presentar en el Comité de Acuerdos Estratégicos en los casos que aplique.
9.	Apoyar la supervisión de los contratos y/o convenios que le sean asignados, relacionados con el objeto contractual.
10.	Garantizar la confidencialidad, reserva y privacidad de la información que por razón de sus actividades deba manejar en desarrollo del contrato. 
11.	Asistir y/o participar en los comités, mesas de trabajo y demás reuniones relacionadas con el objeto contractual.
12.	Desplazarse en oficinas institucionales ubicadas en ciudades o municipios distintos a Bogotá D.C, por solicitud del supervisor, previo el otorgamiento de la correspondiente autorización de desplazamiento. 
13.	Las demás asignadas por el supervisor y que tengan relación con el objeto del presente contrato. 
</t>
  </si>
  <si>
    <t>20243030000271-I Id: 4085864</t>
  </si>
  <si>
    <t>4.26</t>
  </si>
  <si>
    <t>2024-0039</t>
  </si>
  <si>
    <t>CD-039-2024</t>
  </si>
  <si>
    <t>ELIANA STEPHANIA GALINDO PENAGOS</t>
  </si>
  <si>
    <t>"PRESTAR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t>
  </si>
  <si>
    <t>CDEF-054-2024</t>
  </si>
  <si>
    <t xml:space="preserve">IG312001020240012 </t>
  </si>
  <si>
    <t xml:space="preserve">
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que, de acuerdo con sus funciones, tengan injerencia sobre los procesos desarrollados de manera integral a través de la ingeniería en los procesos y proyectos (rapidez, solución de problemas, control de ejecución presupuestal operativo, prevención del riesgo, disminución de PQRS, optimización de KPI´S operativos y las demás aplicables) a través de la planificación, diseño y toma de decisiones para la mejora continua y la correcta atención de los grupos de interés del ICETEX.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</si>
  <si>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20243030000272-I Id: 4085865</t>
  </si>
  <si>
    <t>4.18</t>
  </si>
  <si>
    <t>2024-0040</t>
  </si>
  <si>
    <t>CD-040-2024</t>
  </si>
  <si>
    <t>LUZ YANIRA SALAMANCA MARTINEZ</t>
  </si>
  <si>
    <t>PRESTAR LOS SERVICIOS PROFESIONALES ESPECIALIZADOS PARA CONTROL Y CUMPLIMIENTO DE LOS PROGRAMAS, PROCESOS, TAREAS, OPERACIONES Y ACTIVIDADES RELACIONADOS CON LOS PROCESOS, AUDITORÍAS, POLÍTICAS PÚBLICAS, GESTIÓN DEL RIESGO, GESTIÓN DEL CRÉDITO Y DEMÁS PLANES DE GESTIÓN Y AUTOCONTROL, DE CONFORMIDAD CON LOS REQUERIMIENTOS ORGANIZACIONALES Y NORMATIVOS DEL ICETEX”,</t>
  </si>
  <si>
    <t>CDEF-051-2024</t>
  </si>
  <si>
    <t xml:space="preserve">
1.	Cumplir con el plan de trabajo entregado por la supervisión en el cual se relacionen los objetivos y metas a desarrollar durante la vigencia del contrato.
2.	Gestionar la correcta y oportuna gestión de requerimientos gerenciales asociados a la planeación estratégica, comités, juntas y demás políticas y demás requerimientos organizacionales y normativos del ICETEX
3.	Planificar, guiar y controlar de forma eficiente y oportuna la gestión de auditorías en el marco de los procesos y procedimientos de la Oficina comercial y de Mercadeo o en el que esta intervenga, teniendo en cuenta de forma integral el esquema establecido en la ingeniería en los procesos y proyectos (rapidez, solución de problemas, control de ejecución presupuestal operativo, prevención del riesgo, disminución de PQRS, optimización de KPI´S operativos y las demás aplicables) para mejora continua y la correcta atención de los grupos de interés del ICETEX.
4.	Establecer un esquema de alertas multinivel (gerenciales, administrativas u operativas) que permita adelantar de manera oportuna planes de trabajo para la mejora en la atención de los grupos de interés del ICETEX garantizando el seguimiento y control a las mismas.
5.	Apoyar la generación de alertas que así correspondan para la correcta documentación y gestión de los riesgos asociados a la Oficina Comercial y de Mercadeo o los procesos en la que esta dependencia participe.
6.	Apoyar las iniciativas de mejora que apunten a la optimización y desarrollo de las actividades operativas y/o administrativas desarrolladas asociadas al Sistema de Atención al Consumidor Financiero en el marco de los procesos y procedimientos de la Oficina comercial y de Mercadeo o en las que ella participe.
7.	Cumplir con los lineamientos de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8.	Desplazarse a las diferentes ciudades del país, en caso de ser necesario para la debida ejecución del contrato, previa coordinación con el supervisor.
9.	Las demás que sean inherentes para el logro del objeto contratado, asignadas por el supervisor del contrato.
</t>
  </si>
  <si>
    <t>20243030000275-I Id: 4085868</t>
  </si>
  <si>
    <t>4.1</t>
  </si>
  <si>
    <t>2024-0041</t>
  </si>
  <si>
    <t>CD-041-2024</t>
  </si>
  <si>
    <t>EDGAR MAURICIO CUERVO</t>
  </si>
  <si>
    <t>PRESTAR SERVICIOS PROFESIONALES ESPECIALIZADOS PARA GARANTIZAR LA MEJORA CONTINUA, DESARROLLOS, AUTOMATIZACIONES Y EFICIENCIAS EN EL MARCO DE LOS PROCESOS DE LA OFICINA COMERCIAL Y DE MERCADEO Y SUS DIFERENTES EQUIPOS DE TRABAJO.</t>
  </si>
  <si>
    <t>CDEF-084-2024</t>
  </si>
  <si>
    <t xml:space="preserve">1.	Elaborar y suscribir conjuntamente con el supervisor del contrato el cronograma de trabajo.
2.	Responder ante el supervisor del contrato, por la planeación que permita cumplir con la ejecución del objeto del contrato con oportunidad, cubrimiento, eficacia, y calidad del servicio.
3.	Plantear el organigrama de los integrantes de los proyectos mediante la definición de responsabilidades de cada miembro del equipo.
4.	Orientar y dirigir el recurso humano para garantizar la mejora continua, desarrollos, automatizaciones y eficiencias en el servicio.
5.	Velar por el estricto cumplimiento de los cronogramas de trabajo de los contratistas que hagan parte de los proyectos asociados al curso normal del servicio de la entidad, así como a los programas estratégicos de la entidad y del equipo i3.
6.	Realizar seguimiento y control al consumo de recursos, presupuesto, tiempo y cumplimiento de las actividades propuestas dentro de los cronogramas de los proyectos.
7.	Integrar los esfuerzos de las distintas áreas del ICETEX y posibles terceros que participen en los proyectos o programas estratégicos.
8.	Emitir conceptos técnicos en aquellos asuntos que le sean solicitados por la supervisión del contrato, y que estén relacionados con el objeto contractual.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</si>
  <si>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20243030000281-I Id: 4085874</t>
  </si>
  <si>
    <t>4.3</t>
  </si>
  <si>
    <t>2024-0042</t>
  </si>
  <si>
    <t>CD-042-2024</t>
  </si>
  <si>
    <t>JULIO CESAR CASTAÑO ARIZA</t>
  </si>
  <si>
    <t>PRESTAR SERVICIOS PROFESIONALES ESPECIALIZADOS PARA LIDERAR EL DESARROLLO, ADMINISTRACIÓN Y GENERACIÓN DE DATA, EN EL MARCO DEL DESARROLLO DE LA GESTIÓN DEL GOBIERNO DE DATOS DE LA OFICINA COMERCIAL Y DE MERCADEO, ASÍ COMO LA ADMINISTRACIÓN FUNCIONAL DEL CRM DE LA ENTIDAD</t>
  </si>
  <si>
    <t xml:space="preserve">
1.	Elaborar y entregar plan de trabajo y aprobación por parte del supervisor del contrato, de conformidad con las estipulaciones contractuales.
2.	Definir junto con los equipos de la Oficina comercial y de mercadeo los informes y necesidades de datos de acuerdo a las obligaciones y actividades a desarrollar por parte de la Oficina
3.	Establecidos los datos requeridos, definir los criterios de fuentes, extracción, visualización, periodicidad y características requeridas para contar con los datos requeridos en el marco de las funciones de la Oficina Comercial y de mercadeo.
4.	Liderar la construcción de informes y generación de información requerida de acuerdo a las necesidades de la Oficina comercial y de mercadeo
5.	Establecer los parámetros de intercambio de información entre la oficina Comercial y de Mercadeo del Icetex y entidades externas, parámetros y condiciones a establecer a través de mecanismos de ruta segura
6.	Liderar el proceso de administración de usuarios de acceso a los sistemas de información del Icetex, para los agentes del proveedor de atencion al usuario
7.	Gestionar todas las novedades de los casos registrados en el aplicativo CRM de la Entidad, que se presentan en desarrollo de la operación de atención al usuario y de la gestión comercial y de mercadeo.
8.	Mantener, actualizar y depurar los usuarios habilitados del aplicativo CRM-, en concordancia con los procedimientos de seguridad informatica establecidos por la entidad. 
9.	Administrar funcionalmente el aplicativo CRM de la Entidad
10.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Presentar, en caso de que aplique, para revisión y aprobación de la supervisión del contrato, propuestas de mejora continua, automatización e innovación de los procesos asociados a la atención de los grupos de interés.
13.	Brindar acompañamiento en relación con las actividades que le sean asignadas, en el marco de las funciones de la Oficina de Comercial y de Mercadeo. 
14.	Brindar apoyo y asesoría técnica en los comités o reuniones a las que sea convocado y que la Entidad requiera acompañamiento. 
15.	Participar, desde el alcance del objeto y sus obligaciones contractuales, todo el proceso de planeación, implementación y puesta en marcha, de proyectos donde participen una o más dependencias de la Entidad, de acuerdo a lo requerido por el supervisro del contrato.
16.	Las demás que sean inherentes para el logro del objeto contratado, asignadas por el supervisor del contrato.
</t>
  </si>
  <si>
    <t>20243030000284-I Id: 4085886</t>
  </si>
  <si>
    <t>4.133</t>
  </si>
  <si>
    <t>2024-0043</t>
  </si>
  <si>
    <t>CD-043-2024</t>
  </si>
  <si>
    <t>MARITZA VELEZ COORONADO</t>
  </si>
  <si>
    <t>APOYAR LA GESTIÓN ADMINISTRATIVA, COMERCIAL Y OPERATIVA DE LA TERRITORIAL NOROCCIDENTE EN ARTICULACIÓN CON LA OFICINA COMERCIAL Y DE MERCADEO Y LAS DEMÁS DEPENDENCIAS DEL NIVEL  CENTRAL</t>
  </si>
  <si>
    <t>MEDELLIN</t>
  </si>
  <si>
    <t>CDEF-165-2024</t>
  </si>
  <si>
    <t>OTROS SERVICIOS OPERATIVOS
- OCM</t>
  </si>
  <si>
    <t>IG312001020240014</t>
  </si>
  <si>
    <t>TERRITORIAL_NOROCCIDENTE</t>
  </si>
  <si>
    <t>ASESOR TERRITORIAL ZONA NOROCCIDENTE</t>
  </si>
  <si>
    <t xml:space="preserve">OBLIGACIONES ESPECÍFICAS DEL CONTRATISTA	1.	Apoyar y gestionar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Interactuar con el personal del operador de servicio al cliente en las diferentes oficinas con el fin de atender y gestionar oportunamente las diferentes novedades de servicio en el proceso de atención presencial presentadas con los usuarios de la entidad, así como las mejoras locativas requeridas para la debida operación de las oficinas.
c.	Gestionar los arreglos locativos requeridos para la óptima operación de las oficinas de la territorial.
d.	Gestionar con las diferentes áreas a nivel central, la oportuna y eficiente ejecución de los procesos relativos a la gestión del Talento Humano, Seguridad en el trabajo, Riesgos, operación de la plataforma tecnológica, entre otros.    
e.	Apoyar el proceso de pago de servicios públicos, arrendamientos, administraciones y demás rubros correspondientes a la caja menor a cargo de la territorial.
f.	Apoyar la ejecución del proceso de control, manejo y actualización de inventarios de las oficinas a cargo de la territorial.
g.	Gestionar la solución oportuna ante las diferentes entidades proveedoras de servicios de las oficinas (servicios públicos, operadores tecnológicos, entre otros) ante las fallas y /o situaciones que afecten la debida operación de la oficina y la continuidad en la atención a los usuarios.    
h.	Atender las visitas de auditorías de control interno y presentación de informes requeridos a la territorial por las diferentes áreas de la entidad.
i.	Apoyar en la preparación y presentar de los informes requeridos por las diferentes áreas de la entidad a nivel central. 
2.	Apoyar y ejecutar desde el punto de vista técnico los procedimientos precontractuales, contractuales y poscontractuales requeridos para adelantar las contrataciones de bienes y servicios o aliados estratégicos que se desarrollen en la territorial,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7.	Asesorar y acompañar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12.	Cumplir con los indicadores de gestión establecidos.
</t>
  </si>
  <si>
    <t>20243030000286-I Id: 4085894</t>
  </si>
  <si>
    <t>13.62</t>
  </si>
  <si>
    <t>2024-0044</t>
  </si>
  <si>
    <t>CD-044-2024</t>
  </si>
  <si>
    <t>CESAR ENRIQUE AUCIQUE PEDROZA</t>
  </si>
  <si>
    <t>PRESTAR SERVICIOS PROFESIONALES AL GRUPO DE DESARROLLO Y TRANSFORMACIÓN ORGANIZACIONAL DE LA SECRETARÍA GENERAL PARA LA IMPLEMENTACIÓN DEL PLAN INSTITUCIONAL DE CAPACITACIÓN DEL ICETEX, ASÍ COMO LA EJECUCIÓN DE LAS ESTRATEGIAS, PLANES, PROGRAMAS Y PROYECTOS EN QUE PARTICIPE EL ÁREA EN EL MARCO DEL PROCESO DE TRANSFORMACIÓN DE LA CULTURA ORGANIZACIONAL QUE ADELANTA LA ENTIDAD</t>
  </si>
  <si>
    <t>CDEF-180-2024</t>
  </si>
  <si>
    <t>SERVICIOS PARA CAPACITACION</t>
  </si>
  <si>
    <t>IG1002004020005</t>
  </si>
  <si>
    <t>COORDINADOR(A) GRUPO DE DESARROLLO Y TRANSFORMACIÓN ORGANIZACIONAL</t>
  </si>
  <si>
    <t xml:space="preserve">OBLIGACIONES ESPECÍFICAS DEL CONTRATISTA	
1.	Realizar el apoyo técnico para la elaboración del diagnóstico de las necesidades de capacitación y formación de los servidores públicos del ICETEX, así como en la construcción del Plan Institucional de Capacitación de la entidad, conforme a la normatividad vigente. 
2.	Llevar a cabo el acompañamiento técnico en los procesos de contratación, supervisión y seguimiento de las actividades previstas en el Plan Institucional de Capacitación definido por la entidad. 
3.	Realizar las acciones necesarias para la planeación y seguimiento de la ejecución presupuestal orientada al desarrollo de las actividades contenidas en el Plan Institucional de Capacitación agotando para ello los procesos administrativos pertinentes. 
4.	Realizar el seguimiento y actualización de los indicadores de los procesos a los que contribuyen las acciones de formación y capacitación a cargo del Grupo de Desarrollo y Transformación Organizacional de la Secretaría General. 
5.	Participar en las actividades de planificación y desarrollo de los planes, programas y proyectos a cargo de la Secretaría General, relacionados con los procesos de transformación y desarrollo de la cultura organizacional de la entidad, teniendo en cuenta los lineamientos estratégicos establecidos por la entidad para tal fin. 
6.	Realizar seguimiento a la ejecución presupuestal de la vigencia, en lo concerniente a las diferentes actividades realizadas por el Grupo de Desarrollo y Transformación Organizacional, agotando para ello los procesos administrativos pertinentes. 
7.	Asistir a las reuniones o actividades que se realicen con los funcionarios, contratistas y demás miembros del Grupo de Desarrollo y Transformación Organizacional de la Secretaría General, relacionados con los procesos de transformación y desarrollo de la cultura organizacional del ICETEX a los que sea convocado o delegado por el-la supervisor-a o el-la secretario-a General de la entidad. 
8.	Proyectar los actos administrativos relacionados con el quehacer de su objeto contractual, observando los más altos criterios de calidad y asertividad. 
9.	Elaborar y entregar oportunamente los conceptos, estudios, análisis, recomendaciones e informes que sean solicitados por el-la supervisor-a, la Secretaría General o por los distintos grupos de interés de la institución, garantizando la calidad y confiabilidad de los mismos. 
10.	Apoyar en la realización de las actividades de formación, sensibilización, socialización y/o difusión de asuntos relacionados con el Código de Integridad y el Plan Anual Anticorrupción. 
11.	Las demás asignadas por el Supervisor, relacionadas con el objeto y la naturaleza del contrato. 
</t>
  </si>
  <si>
    <t>DAHIANA ANGARITA</t>
  </si>
  <si>
    <t>20243030000277-I Id: 4085870</t>
  </si>
  <si>
    <t>4.134</t>
  </si>
  <si>
    <t>2024-0045</t>
  </si>
  <si>
    <t>CD-045-2024</t>
  </si>
  <si>
    <t>JENNIFER CAMPO RESTREPO</t>
  </si>
  <si>
    <t>IMPLEMENTAR ESTRATEGIAS PARA LA EJECUCIÓN DEL PLAN COMERCIAL DE LA TERRITORIAL NOROCCIDENTE ASOCIADAS AL PORTAFOLIO DE SERVICIOS DE ICETEX EN LA REGIÓN, EN ARTICULACIÓN CON LA OFICINA COMERCIAL Y DE MERCADEO DEL NIVEL CENTRAL</t>
  </si>
  <si>
    <t>CDEF-166-2024</t>
  </si>
  <si>
    <t xml:space="preserve">
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t>
  </si>
  <si>
    <t>20243030000288-I Id: 4085904</t>
  </si>
  <si>
    <t>9.19</t>
  </si>
  <si>
    <t>2024-0046</t>
  </si>
  <si>
    <t>CD-046-2024</t>
  </si>
  <si>
    <t>STEFANIA FAJARDO VELASCO</t>
  </si>
  <si>
    <t>"PRESTAR LOS SERVICIOS PROFESIONALES ESPECIALIZADOS
PARA ORIENTAR Y TRAMITAR LOS PROCESOS QUE EN MATERIA DE CONTRATACIÓN POR PRESTACIÓN DE SERVICIOS REQUIERE EL GRUPO DE CRÉDITO, ASÍ COMO REALIZAR SEGUIMIENTO Y CONTROL DE LOS PROCESOS DEL SISTEMA DE GESTIÓN DE CALIDAD."</t>
  </si>
  <si>
    <t>CDEF-125-2024</t>
  </si>
  <si>
    <t xml:space="preserve">
HONORARIOS – VCC
</t>
  </si>
  <si>
    <t>IG-312001020600012</t>
  </si>
  <si>
    <t>VICEPRESIDENTE DE CRÉDITO Y COBRANZA</t>
  </si>
  <si>
    <t xml:space="preserve">1.	Apoyar administrativamente los procesos pre y pos contractuales de los contratos de prestación de servicios a cargo de la Vicepresidencia de Crédito y Cobranza realizando la validación, verificación, medición y control, así como llevar registro de los mismos. 
2.	Crear, consolidar y organizar las órdenes de pago de los contratos por contratación directa de acuerdo con el procedimiento establecido.
3.	Apoyar en la gestión administrativa en cuanto a las actividades de archivo de los documentos de contractuales, así como entregarlos a la dependencia correspondiente.
4.	Realizar programación presupuestal, así como generar seguimiento del mismo. 
5.	Elaborar desde el punto de vista técnico actas de liquidación, minutas, actas de inicio entre otros documentos y actividades para la suscripción de convenios y contratos.
6.	Brindar la información necesaria para la actualización y seguimiento a los trámites registrados en la plataforma Sistema Único de Información de Trámites (SUIT) del departamento administrativo de la función pública, así como apoyar en las propuestas para las acciones de racionalización de los procedimientos del área.
7.	Elaborar y apoyar la actualización de procesos y procedimientos, así como lo demás requerimientos que se presenten respecto de las normas técnicas en sistemas de calidad.
8.	Realizar seguimiento a los planes de acción y mejoras del Grupo Crédito, en el Sistema Integral calidad del ICETEX de manera coordinada de acuerdo con los procesos y procedimientos.
9.	Brindar acompañamiento y participar desde el punto de vista técnico a las auditorías internas y externas, así como apoyar las solicitudes del equipo MECI (Modelo Estándar de Control Interno) de la entidad.
10.	Proyectar la respuesta a los requerimientos externos o internos que le sean asignados, dentro del tiempo establecido para ello, a través de los medios que se determinen, así como realizar memorandos en caso de requerirse.
11.	Suministrar la información requerida a las áreas de la Entidad para realizar la difusión de los programas de crédito educativo y financiamiento a las Instituciones de Educación Superior (IES).
12.	Apoyar en la elaboración de documentos, manuales, guías, etc; requeridos para los procesos de legalización y renovación de créditos, así mismo en caso de ser necesario realizar la respectiva difusión de la información con el fin de mantener la información actualizada de acuerdo con los lineamientos de lenguaje claro.
13.	Registrar eventos de riesgos en caso de evidenciar incidencias en el proceso de legalización y renovación de créditos educativos, así como realizar seguimiento a los mismos. 
14.	Ejecutar las pruebas sobre las plataformas de cargue de documentos, formularios, legalización, renovación que le sean asignadas por la Coordinación de Crédito.
15.	Crear Arandas con el fin de mantener la información actualizada, mitigar el riesgo y reducir la cantidad de requerimientos de los procesos.
16.	Proyectar o apoyar las capacitaciones que le sean asignadas por la Coordinación de Crédito.
17.	Elaborar y presentar los informes de gestión que se requieran y se relacionen con el cumplimiento del objeto contractual.
18.	Cumplir con los indicadores de gestión establecidos.
19.	Las demás obligaciones que se requieran para el cumplimiento a cabalidad del objeto contractual y que sean inherentes a la naturaleza del contrato.
</t>
  </si>
  <si>
    <t>20243030000283-I Id: 4085882</t>
  </si>
  <si>
    <t>10.2</t>
  </si>
  <si>
    <t>2024-0047</t>
  </si>
  <si>
    <t>CD-047-2024</t>
  </si>
  <si>
    <t>CLAUDIA MILENA MELO</t>
  </si>
  <si>
    <t>PRESTAR SUS SERVICIOS PROFESIONALES ESPECIALIZADOS, APOYANDO LA GESTIÓN JURÍDICA DE LOS FONDOS A CARGO DE LA VICEPRESIDENCIA DE FONDOS EN ADMINISTRACIÓN; ASÍ COMO LOS TEMAS RELACIONADOS CON LOS PROCESOS DE CONTRATACIÓN A SU CARGO</t>
  </si>
  <si>
    <t>CDEF-199-2024</t>
  </si>
  <si>
    <t xml:space="preserve">
HONORARIOS – VFA
</t>
  </si>
  <si>
    <t xml:space="preserve">1.	Revisar los formatos, convenios, contratos, reglamentos operativos y demás documentos concernientes con la constitución de nuevos fondos a cargo de la Vicepresidencia de Fondos en Administración, previo a la radicación en el área de Acuerdos Estratégicos. 
2.	Revisar los otrosí, y demás documentos necesarios para la correcta ejecución de los fondos a cargo de la Vicepresidencia de Fondos en Administración, previo a la radicación en el área de Acuerdos Estratégicos. 
3.	Revisar la actualización de los reglamentos Operativos de los fondos administrados por la Vicepresidencia de Fondos en Administración. 
4.	Emitir conceptos, proyectar y revisar las respuestas de peticiones internas y externas, actos administrativos, que le sean requeridos y que guarden relación con los procesos a cargo de la Vicepresidencia de Fondos en Administración.
5.	Proyectar y revisar los estudios y documentos previos de los procesos contractuales requeridos en la Vicepresidencia de Fondos en Administración, de acuerdo con la normatividad en materia de contratación aplicables a EL ICETEX.
6.	Brindar acompañamiento en las mesas que se adelanten con los constituyentes y potenciales aliados a fin de resolver inquietudes desde el punto de vista jurídico.  
7.	Apoyar la supervisión de los contratos y/o convenios que le sean asignados, relacionados con el objeto contractual.
8.	Incorporar a los expedientes de los fondos y las carpetas compartidas de la Vicepresidencia de Fondos en Administración la información que surja en el desarrollo del objeto contractual y hacer correcto uso de las mismas.
9.	Garantizar la confidencialidad, reserva y privacidad de la información que por razón de sus actividades deba manejar en desarrollo del contrato. 
10.	Asistir y/o participar en los comités, mesas de trabajo y demás reuniones relacionadas con el objeto contractual.
11.	Desplazarse en oficinas institucionales ubicadas en ciudades o municipios distintos a Bogotá D.C, por solicitud del supervisor, previo el otorgamiento de la correspondiente autorización de desplazamiento. 
12.	Las demás asignadas por el supervisor y que tengan relación con el objeto del presente contrato.
</t>
  </si>
  <si>
    <t>JOSE GREGORIO SARMIENTO</t>
  </si>
  <si>
    <t>20243030000295-I Id: 4085932</t>
  </si>
  <si>
    <t>4.30</t>
  </si>
  <si>
    <t>2024-0048</t>
  </si>
  <si>
    <t>CD-048-2024</t>
  </si>
  <si>
    <t>LUZ HELENA MORALES CELIS</t>
  </si>
  <si>
    <t>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t>
  </si>
  <si>
    <t>CDEF-072-2024</t>
  </si>
  <si>
    <t xml:space="preserve">
1.	Cumplir con el plan de trabajo entregado por la supervisión en el cual se relacionen los objetivos y metas a desarrollar durante la vigencia del contrato. 
2.	Responder oportunamente lo solicitado para la gestión de requerimientos gerenciales asociados a la planeación estratégica, comités, juntas y demás políticas y demás requerimientos organizacionales y normativos del ICETEX
3.	Apoyar a la supervisión del contrato en requerimientos asociados a la gestión de auditorías en el marco de los procesos y procedimientos de la Oficina comercial y de Mercadeo o en las que ella participe.
4.	Brindar propuestas de valor e insumos para el desarrollo de los procesos y su optimización a través de la ingeniería en los procesos y proyectos (análisis de rapidez, solución de problemas, control de ejecución presupuestal operativo, prevención del riesgo, disminución de PQRS, optimización de KPI´S operativos y las demás aplicables) para la correcta atención de los grupos de interés del ICETEX.
5.	Colaborar en la debida gestión de de actividades estratégicas asociadas a los planes y proyectos públicos normativos emitidos por los diferentes entes de control para la correcta atención y gestión de los grupos de interés del ICETEX.
6.	Validar, documentar y hacer seguimiento a los riesgos identificados en el marco modelo de servicio, así cómo realizar propuestas teniendo como principal objetivo la identificación de las causas y fortalecimiento de controles.
7.	Proponer iniciativas de mejora que apunten a la optimización y desarrollo de las actividades operativas y/o administrativas desarrolladas asociadas al Sistema de Atención al Consumidor Financiero en el marco de los procesos y procedimientos de la Oficina comercial y de Mercadeo o en las que ella participe.
8.	Dirigir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</si>
  <si>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20243030000296-I Id: 4085933</t>
  </si>
  <si>
    <t>4.32</t>
  </si>
  <si>
    <t>2024-0049</t>
  </si>
  <si>
    <t>CD-049-2024</t>
  </si>
  <si>
    <t xml:space="preserve">HAZBLEIDY VANESSA HERNANDEZ CORTES </t>
  </si>
  <si>
    <t>CDEF-056-2024</t>
  </si>
  <si>
    <t xml:space="preserve">1.	Cumplir con el plan de trabajo entregado por la supervisión en el cual se relacionen los objetivos y metas a desarrollar durante la vigencia del contrato. 
2.	Responder oportunamente lo solicitado para la gestión de requerimientos gerenciales asociados a la planeación estratégica, comités, juntas y demás políticas y demás requerimientos organizacionales y normativos del ICETEX
3.	Apoyar a la supervisión del contrato en requerimientos asociados a la gestión de auditorías en el marco de los procesos y procedimientos de la Oficina comercial y de Mercadeo o en las que ella participe.
4.	Brindar propuestas de valor e insumos para el desarrollo de los procesos y su optimización a través de la ingeniería en los procesos y proyectos (análisis de rapidez, solución de problemas, control de ejecución presupuestal operativo, prevención del riesgo, disminución de PQRS, optimización de KPI´S operativos y las demás aplicables) para la correcta atención de los grupos de interés del ICETEX.
5.	Colaborar en la debida gestión de actividades estratégicas asociadas a los planes y proyectos públicos normativos emitidos por los diferentes entes de control para la correcta atención y gestión de los grupos de interés del ICETEX.
6.	Validar, documentar y hacer seguimiento a los riesgos identificados en el marco modelo de servicio, así cómo realizar propuestas teniendo como principal objetivo la identificación de las causas y fortalecimiento de controles.
7.	Proponer iniciativas de mejora que apunten a la optimización y desarrollo de las actividades operativas y/o administrativas desarrolladas asociadas al Sistema de Atención al Consumidor Financiero en el marco de los procesos y procedimientos de la Oficina comercial y de Mercadeo o en las que ella participe.
8.	Dirigir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</si>
  <si>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20243030000297-I Id: 4085934</t>
  </si>
  <si>
    <t>12.22</t>
  </si>
  <si>
    <t>2024-0050</t>
  </si>
  <si>
    <t>CD-050-2024</t>
  </si>
  <si>
    <t>MAYERLY GONZALEZ GORDILLO</t>
  </si>
  <si>
    <t>PRESTAR LOS SERVICIOS PROFESIONALES ESPECIALIZADOS PARA FORTALECIMIENTO Y OPTIMIZACIÓN DE LOS PROCESOS Y MECANISMOS QUE RESPALDAN LA ADMINISTRACIÓN DE LOS RECURSOS DE LA LEY 1777 DE 2016 MANEJADOS POR EL INSTITUTO, EN EL MARCO DE LA MODERNIZACIÓN DE LAS FUNCIONES FINANCIERAS DEL ICETEX Y EL PROYECTO DE INVERSIÓN DE BANCA ABIERTA Y TRANSPARENTE E INHOUSE BANKING</t>
  </si>
  <si>
    <t>BANCA ABIERTA Y TRANSPARENTE
E INHOUSE B</t>
  </si>
  <si>
    <t xml:space="preserve">IG332902005 </t>
  </si>
  <si>
    <t>DIRECTOR(A) DE TESORERÍA</t>
  </si>
  <si>
    <t xml:space="preserve">1.	Apoyar en la estructuración de procesos y datos que permitan la sistematización y automatización de la gestión de inversiones relacionadas con el proyecto "cuentas abandonadas", conforme a lo establecido en la Ley 1777 de 2016. 
2.	Apoyar en la administración de las herramientas y optimización de procesos que permitan la actualización y verificación del sistema de datos relacionados con la valoración, traslado y devolución de fondos de cuentas en estado de abandono, de acuerdo con la información proporcionada por las instituciones financieras, en el marco del proyecto de Inhouse banking. 
3.	Apoyar la gestión financiera del área a través de la valoración del portafolio de inversiones administrado por el ICETEX, acorde a las condiciones del mercado. 
4.	Apoyar la implementación los mejores estándares que permitan la optimización e integración de procesos, normas y pautas para la modernización de las funciones financieras que respaldan las operaciones de la Dirección de Tesorería. 
5.	Apoyar en la estructuración y adopción de controles para las operaciones de inversión aprobadas por el ICETEX, según lo especificado en el Manual de Inversiones. 
6.	Estructurar documentos relativos a los procedimientos de cuentas abandonadas y gestión de inversiones. 
7.	Brindar apoyo a la Vicepresidencia Financiera y a la dirección de Tesoreria en la implementación de iniciativas en el marco del proyecto de inversión Banca Abierta y Transparente e Inhouse Banking y de diversificación de fuentes de fondeo. 
8.	Apoyar la estructuración de insumos técnicos para dar respuesta a los requerimientos de información solicitados por entes internos y/o externos en el marco del proyecto "cuentas abandonadas", conforme a lo establecido en la Ley 1777 de 2016. 
9.	Las demás obligaciones que se requieran para el cumplimiento a cabalidad del objeto contractual y que sean inherentes a la naturaleza del contrato. 
10.	Dar cumplimiento a los indicadores de gestión establecidos en el contrato. 
</t>
  </si>
  <si>
    <t xml:space="preserve">JHON JAIRO LOZADA LOZANO </t>
  </si>
  <si>
    <t>CESIÓN DEL CONTRATO DE PRESTACIÓN DE SERVICIOS NO. 2024-0050 SUSCRITO ENTRE
EL INSTITUTO COLOMBIANO DE CRÉDITO EDUCATIVO Y ESTUDIOS TÉCNICOS EN EL
EXTERIOR “MARIANO OSPINA PÉREZ” – ICETEX Y MAYERLY GONZALEZ GORDILLO A JHON
JAIRO LOZADA LOZANO</t>
  </si>
  <si>
    <t>20244100000292-I Id: 4085919</t>
  </si>
  <si>
    <t>4.19</t>
  </si>
  <si>
    <t>2024-0051</t>
  </si>
  <si>
    <t>CD-051-2024</t>
  </si>
  <si>
    <t xml:space="preserve">ALBA ADRIANA CHITIVA LOZANO </t>
  </si>
  <si>
    <t>PRESTAR LOS SERVICIOS PROFESIONALES ESPECIALIZADOS PARA EL SEGUIMIENTO Y CONTROL DE LOS PROGRAMAS, PROCESOS Y ACTIVIDADES RELACIONADOS CON LA GESTIÓN DEL RIESGO, GESTIÓN DEL CRÉDITO Y DEMÁS PLANES DE GESTIÓN Y AUTOCONTROL, DE CONFORMIDAD CON LOS REQUERIMIENTOS ORGANIZACIONALES Y NORMATIVOS DEL ICETEX</t>
  </si>
  <si>
    <t>CDEF-057--2024</t>
  </si>
  <si>
    <t xml:space="preserve">1.	Cumplir con el plan de trabajo entregado por la supervisión en el cual se relacionen los objetivos y metas a desarrollar durante la vigencia del contrato.
2.	Gestionar la correcta y oportuna gestión de requerimientos gerenciales asociados a la planeación estratégica, comités, juntas y demás políticas y demás requerimientos organizacionales y normativos del ICETEX.
3.	Planificar, guiar y controlar de forma eficiente y oportuna la gestión de auditorías en el marco de los procesos, procedimientos y documentación relacionada con el Defensor del Consumidor Financiero, Manual SAC (Sistema de Atención al Consumidor Financiero), Carta de trato digno al ciudadano y demás documentos que busquen proteger los derechos de las personas usuarias de los servicios de la Entidad.
4.	Planificar, guiar y controlar de forma eficiente y oportuna planes de mejora basados en los resultados de las atenciones de PQRS, Defensor del Consumidor Financiero, así como lo establecido en la matriz de hechos y situaciones SAC (Sistema de Atención al Consumidor Financiero), carta de trato digno al ciudadano y demás documentos que busquen proteger los derechos de las personas usuarias de los servicios de la Entidad realizando seguimiento y control de los planes de mejora propuestos.
5.	Apoyar la generación de alertas que así correspondan para la correcta documentación y gestión de los riesgos asociados a la Oficina Comercial y de Mercadeo o los procesos en la que esta dependencia participe.
6.	Implementar estrategias de capacitación y desarrollo de personas en temas asociados a la protección de los derechos de las personas usuarias de los servicios de la Entidad, en especial Defensor del Consumidor Financiero, Manual SAC (Sistema de Atención al Consumidor Financiero), Carta de trato digno al ciudadano.
7.	Dirigir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8.	Desplazarse a las diferentes ciudades del país, en caso de ser necesario para la debida ejecución del contrato, previa coordinación con el supervisor. 
9.	Las demás que sean inherentes para el logro del objeto contratado, asignadas por el supervisor del contrato.
</t>
  </si>
  <si>
    <t>20244100000298-I Id: 4085937</t>
  </si>
  <si>
    <t>4.117</t>
  </si>
  <si>
    <t>2024-0052</t>
  </si>
  <si>
    <t>CD-053-2024</t>
  </si>
  <si>
    <t>DAVID BERNARDO LONDOÑO ÁLVAREZ</t>
  </si>
  <si>
    <t>PRESTAR SERVICIOS PROFESIONALES ESPECIALIZADOS PARA LA COORDINACIÓN, DESARROLLO Y EJECUCIÓN DEL PLAN COMERCIAL DE LA TERRITORIAL SUROCCIDENTE QUE FOMENTE LA REGIONALIZACIÓN DEL PORTAFOLIO DE SERVICIOS DE LCETEX, EN ARTICULACIÓN CON LA OFICINA COMERCIAL Y DE MERCADEO DEL NIVEL CENTRAL.</t>
  </si>
  <si>
    <t>CALI</t>
  </si>
  <si>
    <t>CDEF-100--2024</t>
  </si>
  <si>
    <t>TERRITORIAL_SUROCCIDENTE</t>
  </si>
  <si>
    <t>ASESOR TERRITORIAL ZONA SUROCCIDENTE</t>
  </si>
  <si>
    <t xml:space="preserve">1.	Proponer e implementar iniciativas que propendan la consecución de los metas comerciales de la Territorial a nivel de las Instituciones de Educación Superior, grupos de Interés y entes territoriales.
2.	Apoyar la coordinación, gestionar y garantizar la debida y oportuna ejecución de las actividades del plan comercial de la Territorial por parte del equipo de contratistas comerciales.
3.	Apoyar la supervisión a nivel territorial de la operación del contratista operador de servicio al cliente y plantear recomendaciones para la mejora del servicio que presta ICETEX en las diferentes comunidades participantes en sus programas e iniciativas.
4.	Apoyar la supervisión de los convenios y contratos a cargo de la territorial. 
5.	Apoyar los procesos de capacitación y supervisión de las actividades comerciales y administrativas a ejecutar por parte de los contratistas comerciales a cargo de la territorial. 
6.	Implementar iniciativas de acompañamiento a los proyectos de vida de los estudiantes en la territorial Suroccidente, para promover el acceso, permanencia y graduación en la educación superior de calidad.
7.	Participar en los escenarios de discusión con grupos de interés de ICETEX para posteriormente analizar las recomendaciones y proponer iniciativas para su implementación en la Entidad, en el marco de los programas de la Planeación Estratégica.
8.	Gestionar, participar y trabajar en conjunto con las dependencias de la entidad y actores externos en la implementación de las propuestas y estrategia comerciales y administrativas que sean acogidas por la dirección de ICETEX, tendientes al cumplimiento de las metas comerciales y mejora en la operación de servicio al cliente.
9.	Apoyar y/o participar en los comités de evaluación, operativos y/o juntas administradoras de los convenios a cargo de la territorial.   
10.	Participar en la ejecución de estrategias comerciales para la regionalización del portafolio de Icetex con el propósito de incrementar el alcance y la cobertura de la entidad en los municipios apartados categorizados como intermedio, rural y rural disperso; para el cumplimiento de las metas comerciales asignadas a la territorial.    
11.	Ejecutar actividades de promoción del portafolio de servicios de Icetex, en forma presencial y/o virtual, con los aliados asignados por su supervisor con el propósito de cumplir la meta establecida. 
12.	Apoyar a la entidad en la consecución, definición e implementación de alianzas territoriales que permitan complementar las iniciativas o acciones definidas por ICETEX para el territorio asignado.
13.	Realizar las gestiones administrativas de la actividad comercial mediante la consolidación, actualización y registro de la información y documentación soporte.
14.	Desplazarse a las diferentes ciudades del país, en caso de ser necesario para la debida ejecución del contrato, previa coordinación con el supervisor.
15.	Realizar el debido proceso de gestión documental y envío al archivo único de la entidad de las actividades delegadas a su cargo, al igual que la presentación de los informes requeridos derivados de la ejecución presente contrato.
16.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17.	Las demás que sean inherentes para el logro del objeto contratado, asignadas por el supervisor del contrato.
</t>
  </si>
  <si>
    <t>20243030000309-I Id: 4085963</t>
  </si>
  <si>
    <t>13.41</t>
  </si>
  <si>
    <t>2024-0053</t>
  </si>
  <si>
    <t>CD-054-2024</t>
  </si>
  <si>
    <t>KATERINE LOPEZ ARNEDO</t>
  </si>
  <si>
    <t>PRESTACIÓN DE SERVICIOS PARA APOYAR LAS ACTIVIDADES INTERINSTITUCIONALES DE COOPERACIÓN TÉCNICA, REVISIÓN Y GESTIÓN DE ASUNTOS PROPIOS DEL GRUPO DE CONTRATACIÓN DEL ICETEX</t>
  </si>
  <si>
    <t>CDEF-027-2024</t>
  </si>
  <si>
    <t xml:space="preserve">1.	Realizar acompañamiento a reuniones relacionadas con sus actividades y que le sean asignadas por el supervisor del contrato.
2.	Emitir los conceptos que se requieran en el marco del objeto contractual.
3.	Apoyar en la promoción de buenas prácticas en desarrollo de las funciones propias del grupo de contratación.
4.	Las demás que sean asignadas en el desarrollo de la ejecución contractual relacionadas con el objeto del contrato.
</t>
  </si>
  <si>
    <t>2.15</t>
  </si>
  <si>
    <t>2024-0054</t>
  </si>
  <si>
    <t>CD-055-2024</t>
  </si>
  <si>
    <t>JUAN ESNEYDER AVILA ORJUELA</t>
  </si>
  <si>
    <t>PRESTAR LOS SERVICIOS PROFESIONALES ESPECIALIZADOS COMO LÍDER DEL EQUIPO DE INNOVACIÓN DEL ICETEX, IDENTIFICANDO OPORTUNIDADES PARA LA GENERACIÓN DE CAPACIDADES DE INNOVACIÓN, ASÍ COMO GUIAR LA MEJORA Y CREACIÓN DE PROCESOS, PRODUCTOS Y SERVICIOS EN LA ENTIDAD.</t>
  </si>
  <si>
    <t>CDEF-080-2024</t>
  </si>
  <si>
    <t>HONORARIOS-OAP</t>
  </si>
  <si>
    <t>OFICINA_ASESORA_DE_PLANEACIÓN</t>
  </si>
  <si>
    <t>JEFE OFICINA ASESORA DE PLANEACIÓN</t>
  </si>
  <si>
    <t xml:space="preserve">1.	Liderar la identificación de oportunidades para el desarrollo de innovaciones en el portafolio, procesos y estrategia alineados con el Plan Estratégico de la Entidad.  
2.	Destinar los integrantes del equipo de innovación y su grado de ocupación según las necesidades de cada uno de los proyectos o de las solicitudes de gestión realizadas al equipo.  
3.	Comunicar a la alta dirección los avances, resultados y logros alcanzados por el equipo de innovación, para conocer su percepción y utilizar la retroalimentación como insumo en los proyectos y acciones que este adelante. 
4.	Guiar y validar la ejecución de las acciones y proyectos que adelante el equipo de innovación de la entidad con el fin de desarrollar soluciones innovadoras y eficaces para los beneficiarios actuales y potenciales del ICETEX.
5.	Liderar la realización de estudios técnicos que soporten el diseño de los nuevos servicios de apoyo educativo, crédito y financiamiento, que otorga la entidad.
6.	Promover el trabajo colaborativo con las diferentes áreas de la entidad y el relacionamiento con los grupos de interés del ICETEX para impulsar la innovación.
7.	Plantear y/o participar en acciones de ideación, cocreación y promoción de la innovación en ICETEX según como sea requerido por el equipo de innovación de la entidad y en articulación con las demás áreas de la entidad. 
8.	Cumplir con los indicadores de gestión establecidos. 
9.	Las demás que sean inherentes a la naturaleza del contrato, así como observar las recomendaciones dadas por el Supervisor de este para asegurar el cumplimiento de la finalidad del contrato, sin afectar la independencia del contratista.
</t>
  </si>
  <si>
    <t>20243030000318-I Id: 4085979</t>
  </si>
  <si>
    <t>3.1</t>
  </si>
  <si>
    <t>2024-0055</t>
  </si>
  <si>
    <t>CD-056-2024</t>
  </si>
  <si>
    <t>ARINEL VILLALOBOS RIVEROS</t>
  </si>
  <si>
    <t>PRESTAR LOS SERVICIOS TÉCNICOS A LA OFICINA ASESORA JURÍDICA EN CUANTO AL DESARROLLO DE LAS ACTIVIDADES REQUERIDAS PARA LA GESTIÓN DE LAS COMUNICACIONES RECIBIDAS Y GENERADAS A TRAVÉS DEL SISTEMA DE GESTIÓN DOCUMENTAL Y DEL CANAL DIGITAL DE LA ENTIDAD</t>
  </si>
  <si>
    <t>REMUNERACIÓN SERVICIOS
TÉCNICOS - OJU</t>
  </si>
  <si>
    <t>IG312001020220014</t>
  </si>
  <si>
    <t>OFICINA_ASESORA_JURÍDICA</t>
  </si>
  <si>
    <t>JEFE OFICINA ASESORA JURÍDICA</t>
  </si>
  <si>
    <t xml:space="preserve">
1.	Recibir, revisar, clasificar, radicar, distribuir, controlar y digitar documentos, datos y correspondencia, de acuerdo con los sistemas y procedimientos dispuestos para ello y relacionados con los asuntos de competencia de la Oficina.
2.	Monitorear el correo electrónico habilitado para recibir notificaciones relacionadas con acciones de tutela promovidas contra la Entidad y apoyar el reparto de los asuntos sometidos a consideración de la Oficina, de acuerdo con las instrucciones del supervisor, a través del diligenciamiento y actualización de los formatos establecidos para el efecto, incluida la remisión de las respuestas a los despachos judiciales. 
3.	Orientar a los clientes internos y externos y suministrar la información que le sea solicitada, de conformidad con los procedimientos establecidos por la Entidad. 
4.	Apoyar actividades de oficina y de asistencia administrativa encaminadas a facilitar el desarrollo y ejecución de las actividades del área. 
5.	Entregar al Archivo de la Entidad conforme al procedimiento, la documentación de la oficina según las tablas de retención documental aprobadas por el Archivo General de la Nación, y demás normas de archivo vigentes.
6.	 6. Participar en la compilación y consolidación de la información que permita garantizar la calidad y oportunidad de la información de la Dependencia. 
7.	Contribuir en la elaboración de los informes, bases de datos, presentaciones y demás documentos que la dependencia requiera.
8.	Operar y mantener actualizados los diferentes sistemas de información de la Dependencia y verificar que dispongan de efectivos controles de seguridad.
9.	Digitalizar la documentación de la Oficina que determine el Supervisor del contrato. 
10.	Elaborar y recibir, en forma mensual y de acuerdo con las instrucciones del Supervisor del contrato y atendiendo los requerimientos del área, la solicitud de suministro de elementos de Oficina y propender por la racionalización de los mismos.
11.	Desarrollar las acciones asignadas tendientes al mejoramiento continuo de conformidad con las políticas de calidad implementadas en la entidad e implementar estrategias de mejoramiento que se hayan acordado con el Supervisor del contrato. 
12.	Participar en la actividad de identificación, monitoreo y control de riesgos asociados a la operación de la Oficina. 
13.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14.	Asistir y participar de las reuniones presenciales y/o virtuales a las que sea convocado por parte de la Oficina Asesora Jurídica o de las demás dependencias de la entidad. 
15.	Elaborar y radicar los documentos correspondientes en la oportunidad y de acuerdo con las directrices establecidas por la entidad, para el cobro mensual de los honorarios. 
16.	Atender los demás asuntos que, de conformidad con el objeto contractual, le sean asignados por la Oficina Asesora Jurídica.
</t>
  </si>
  <si>
    <t>20243030000313-I Id: 4085972</t>
  </si>
  <si>
    <t>10.7</t>
  </si>
  <si>
    <t>2024-0056</t>
  </si>
  <si>
    <t>CD-057-2024</t>
  </si>
  <si>
    <t>CATHERYNE YORLEDY RAMOS ALVAREZ</t>
  </si>
  <si>
    <t>CDEF-193-2024</t>
  </si>
  <si>
    <t xml:space="preserve">1.	Asesorar a la Vicepresidencia de Fondos en administración en los asuntos relacionados con la gestión financiera y presupuestal de los recursos administrados por la Vicepresidencia
2.	Gestionar las actividades asociadas al ciclo presupuestal de los recursos asignados a la Vicepresidencia, incluyendo el monitoreo y seguimiento periódico de la ejecución de dichos recursos.
3.	Liderar la elaboración de proyecciones financieras basadas en la información operativa, comercial y contable de los recursos administrados por la Vicepresidencia. 
4.	Adelantar la programación presupuestal para la vigencia 2025, en concordancia con la Planeación Estratégica de la Entidad.
5.	Proponer escenarios de inversión para los recursos administrados por la Vicepresidencia, fundamentados en los flujos de caja proyectados.
6.	Elaborar las proyecciones de los flujos de caja, utilizando la información operativa de los fondos bajo administración, así como, llevar a cabo las gestiones necesarias para favorecer su cumplimiento, mediante el seguimiento y control de su ejecución.
7.	Brindar apoyo técnico en el seguimiento de indicadores de ejecución financiera y presupuestal.
8.	Liderar la construcción y actualización del plan anual de adquisiciones, de acuerdo con las competencias de la Vicepresidencia de Fondos en Administración.
9.	Proyectar y/o revisar las respuestas internas y externas, que le sean requeridos y que guarden relación con los procesos a cargo de la Vicepresidencia de Fondos en Administración.
10.	Garantizar la confidencialidad, reserva y privacidad de la información que por razón de sus actividades deba manejar en desarrollo del contrato. 
11.	Asistir y/o participar en los comités, mesas de trabajo y demás reuniones relacionadas con el objeto contractual.
12.	Las demás asignadas por el supervisor y que tengan relación con el objeto del presente contrato. 
</t>
  </si>
  <si>
    <t>20243030000323-I Id: 4085984</t>
  </si>
  <si>
    <t>6.1</t>
  </si>
  <si>
    <t>2024-0057</t>
  </si>
  <si>
    <t>CD-058-2024</t>
  </si>
  <si>
    <t>GISELLE INGRID PAVA ARIAS</t>
  </si>
  <si>
    <t>PRESTAR SERVICIOS PROFESIONALES ESPECIALIZADOS PARA ASESORAR JURÍDICAMENTE A LA OFICINA DE RELACIONES INTERNACIONALES EN TODOS LOS ASUNTOS INHERENTES A LA EJECUCIÓN DE LA POLÍTICA DE COOPERACIÓN ACADÉMICA INTERNACIONAL E INTERINSTITUCIONAL DEL ICETEX Y SU PORTAFOLIO DE SERVICIOS</t>
  </si>
  <si>
    <t>CDEF-257-2024</t>
  </si>
  <si>
    <t xml:space="preserve">
HONORARIOS ORI
</t>
  </si>
  <si>
    <t>IG312001020270012</t>
  </si>
  <si>
    <t>OFICINA_DE_RELACIONES_INTERNACIONALES</t>
  </si>
  <si>
    <t>PROFESIONAL ESPECIALIZADO GRADO 04 OFICINA DE RELACIONES INTERNACIONALES</t>
  </si>
  <si>
    <t xml:space="preserve">
1.	Asesorar y apoyar a la Oficina de Relaciones Internacionales en el trámite y requerimientos jurídicos que se deriven del portafolio internacional de la ORI en articulación con la Oficina Asesora Jurídica, secretaria general (Grupo de Contratación y Grupo de Acuerdos Estratégicos.)
2.	Apoyar en el diseño y/o implementación de instrumentos normativos y/o de política que permitan establecer convenios y acuerdos de cooperación nacional e internacional en materia de educación superior.
3.	Elaborar y/o revisar los documentos que deban presentarse en el marco de procesos judiciales asociadas a las funciones de la Oficina de Relaciones Internacionales. 
4.	Apoyar la revisión de respuestas a órganos de control, control político y asesorar dicha gestión dentro de los términos de ley.
5.	Apoyar el seguimiento y la revisión de las actividades precontractuales, contractuales y post- contractuales que le solicite el supervisor.
6.	Asesorar a la Jefe de la Oficina de Relaciones Internacionales en asuntos de carácter administrativo y de control interno acorde a los procesos y procedimientos establecidos por el ICETEX. 
7.	Realizar el apoyo a la supervisión de los contratos asignados por el/la Jefe de la Oficina de Relaciones internacionales.
8.	Elaborar y tramitar los documentos necesarios conforme al proceso de comisiones establecido por el ICETEX, cuando se requiera su desplazamiento a nivel nacional o internacional en consonancia con las funciones de la ORI y del ICETEX.
9.	Las demás que sean requeridas por el Supervisor y se relacionen con el objeto contractual. .
</t>
  </si>
  <si>
    <t>20243030000312-I Id: 4085971</t>
  </si>
  <si>
    <t>6.10</t>
  </si>
  <si>
    <t>2024-0058</t>
  </si>
  <si>
    <t>CD-059-2024</t>
  </si>
  <si>
    <t>NESTOR FERNEY NAVARRETE RUNZA</t>
  </si>
  <si>
    <t>PRESTAR LOS SERVICIOS PROFESIONALES PARA APOYAR Y GESTIONAR LOS REQUERIMIENTOS INTERNOS Y EXTERNOS AL FORTALECIMIENTO, MEJORA Y DIVULGACIÓN DE LOS PROGRAMAS DEL PORTAFOLIO INTERNACIONAL EN EL MARCO DE LA POLÍTICA DE COOPERACIÓN ACADÉMICA INTERNACIONAL E INTERINSTITUCIONAL DEL ICETEX.</t>
  </si>
  <si>
    <t>CDEF-261-2024</t>
  </si>
  <si>
    <t>20243030000315-I Id: 4085975</t>
  </si>
  <si>
    <t>6.13</t>
  </si>
  <si>
    <t>2024-0059</t>
  </si>
  <si>
    <t>CD-060-2024</t>
  </si>
  <si>
    <t>JUAN SEBASTIAN GONZALEZ BRAVO</t>
  </si>
  <si>
    <t>PRESTAR SERVICIOS PROFESIONALES PARA APOYAR LA ARTICULACIÓN Y EL SEGUIMIENTO A LA GESTIÓN MISIONAL Y ADMINISTRATIVA DE LA OFICINA DE RELACIONES INTERNACIONALES DEL ICETEX.</t>
  </si>
  <si>
    <t>CDEF-00-2024</t>
  </si>
  <si>
    <t xml:space="preserve">OBLIGACIONES ESPECÍFICAS DEL CONTRATISTA	
1.	Organizar y asistir las actividades necesarias que demande la jefe de la ORI, para el ejercicio de las funciones y competencias a su cargo.  
2.	Desarrollar actividades profesionales para apoyar el seguimiento misional y administrativo de la ORI, de conformidad con las directrices impartidas por la jefe de la Oficina de Relaciones Internacionales. 
3.	Realizar la preparación de los documentos, oficios, informes y memorandos requeridos por la jefe de la ORI, para el normal desarrollo de las actividades a cargo de la dependencia. 
4.	Revisar y consolidar las solicitudes, memorandos, oficios y en general todos los documentos que suscriba la jefe de la Oficina de Relaciones Internacionales.  
5.	Elaborar las bases de datos, para el control y seguimiento de los compromisos asignados a la ORI en reuniones con aliados e instituciones de educación superior con el fin de garantizar su asignación y solución, cuando se requiera.    
6.	Llevar la agenda de actividades en las que participa la jefe de la ORI, atendiendo y gestionando lo que se requiera para garantizar la realización de los mismos.  
7.	Apoyar a la jefe de la ORI en la implementación de las actividades de seguimiento a compromisos establecidos con aliados, otras áreas de la entidad y al interior de la oficina. 
8.	Elaborar y tramitar los documentos necesarios conforme al proceso de comisiones establecido por el ICETEX, cuando se requiera su desplazamiento a nivel nacional o internacional en consonancia con las funciones de la ORI y del ICETEX.  
9.	Realizar las demás actividades que le sean asignadas en el marco del objeto contractual. 
.
</t>
  </si>
  <si>
    <t>0243030000315-I Id: 4085975</t>
  </si>
  <si>
    <t>4.95</t>
  </si>
  <si>
    <t>2024-0060</t>
  </si>
  <si>
    <t>CD-061-2024</t>
  </si>
  <si>
    <t>SANDRA LILIANA NOCUA MERCHAN,</t>
  </si>
  <si>
    <t>PRESTAR LOS SERVICIOS PROFESIONALES ESPECIALIZADOS PARA EL DISEÑO, IMPLEMENTACIÓN, EJECUCIÓN, SUPERVISIÓN, CONTROL Y MEJORA CONTINUA DE LAS ESTRATEGIAS DE MERCADEO DIGITAL QUE CONTRIBUYAN A LA PROMOCIÓN Y OTORGAMIENTO DEL PORTAFOLIO DE PRODUCTOS DEL ICETEX.</t>
  </si>
  <si>
    <t>CDEF-041-2024</t>
  </si>
  <si>
    <t>COORDINADOR(A) GRUPO GESTIÓN COMERCIAL Y MERCADEO</t>
  </si>
  <si>
    <t xml:space="preserve">
1.	Elaborar y entregar plan de trabajo y cronograma de actividades para aprobación de la supervisión del contrato, de conformidad con las estipulaciones contractuales. 
2.	Ejecutar la estrategia digital para el mejoramiento del embudo de conversión y cumplimiento de la meta comercial de créditos educativos conforme al plan comercial y de mercadeo. 
3.	Realizar el monitoreo y seguimiento de la estrategia digital planteada, midiendo mensualmente los KPIS requeridos para evaluar la eficiencia y efectividad de las estrategias implementadas. 
4.	Adelantar planes correctivos o de mejora que permitan optimizar la estrategia aplicada para obtener los objetivos propuestos. 
5.	Producir páginas de aterrizaje, secciones y módulos del portal web institucional entre otras herramientas digitales de apoyo, conforme las solicitudes radicadas en Aranda por las distintas áreas de la Entidad, como también lo requerido para cumplir con el plan comercial planteado para las diferentes convocatorias de crédito o becas del ICETEX. 
6.	Ajustes y modificaciones de las URL’s rotas en el portal web institucional, diagnosticadas y reportadas por la Vicepresidencia de Operaciones y Tecnología. 
7.	Efectuar y apoyar la gestión y solución de la estructura técnica y funcional del portal web, teniendo en cuenta el diagnóstico de la Vicepresidencia de Operaciones y Tecnología. 
8.	Aplicar en el diseño, diagramación y realización de las piezas gráficas y de contenido dentro de la web, la norma técnica 5854 y Resolución 1519 del 2020 del MINTIC y demás normas que sean expedidas sobre la materia. 
9.	Apoyar la supervisión de los contratos, en caso de ser requerido por la supervisión del contrato, desde el punto de vista técnico, administrativo, financiero y contable, de conformidad con lo establecido en el Manual de Contratación de la Entidad. 
10.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11.	Realizar las labores de acompañamiento en reuniones o comités, de conformidad con las necesidades de la entidad y la designación de supervisor del contrato. 
12.	Las demás que sean inherentes para el logro del objeto contratado, asignadas por el supervisor del contrato. 
</t>
  </si>
  <si>
    <t>20243030000328-I Id: 4085989</t>
  </si>
  <si>
    <t>4.90</t>
  </si>
  <si>
    <t>2024-0061</t>
  </si>
  <si>
    <t>CD-062-2024</t>
  </si>
  <si>
    <t>CARLOS EDUARDO MONTERROSA</t>
  </si>
  <si>
    <t>PRESTAR LOS SERVICIOS PROFESIONALES ESPECIALIZADOS, LIDERANDO EL MONTAJE, DESARROLLO, SEGUIMIENTO, CONTROL Y MEJORA CONTINUA DE LOS CANALES COMERCIALES DEL ICETEX DESTINADOS A LA PROMOCIÓN Y OTORGAMIENTO DEL PORTAFOLIO DE PRODUCTOS DEL ICETEX.</t>
  </si>
  <si>
    <t>CDEF-042-2024</t>
  </si>
  <si>
    <t xml:space="preserve">1. Elaborar y entregar plan de trabajo y cronograma de actividades para aprobación de la supervisión del contrato, de conformidad con las estipulaciones contractuales. 
2. Definir y asegurar la ejecución de estrategias comerciales y operativas para la presentación del portafolio de productos y servicios a través de los distintos canales de atención del contrato de atención al usuario 2022-0770, que conlleven al cumplimiento de los objetivos establecidos por la entidad.
3. Realizar análisis y seguimiento de los resultados del proceso comercial a través de los canales comerciales, identificando oportunidades de mejora y tomando acciones correctivas.
4. Desarrollar e implementar planes de acción para el cumplimiento de las metas establecidas para los canales comerciales, manteniendo estándares de calidad y experiencia durante el proceso.
5. Realizar seguimiento y evaluar el desempeño del equipo de canales comerciales, brindando retroalimentación y apoyo para su desarrollo profesional y personal.
6. Promover la innovación y la transformación digital en los canales comerciales, para mejorar la satisfacción y la experiencia de los beneficiarios potenciales.
7. Contribuir con la formación, entrenamiento y desarrollo de los colaboradores del equipo de canales comerciales, a través de programas de capacitación y coaching de acuerdo con las necesidades del equipo.
8. Apoyar la supervisión de los contratos, en caso de ser requerido por la supervisión del contrato, desde el punto de vista técnico, administrativo, financiero y contable, de conformidad con lo establecido en el Manual de Contratación de la Entidad.
9.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Realizar las labores de acompañamiento en reuniones o comités, de conformidad con las necesidades de la entidad y la designación de supervisor del contrato.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Las demás que sean inherentes para el logro del objeto contratado, asignadas por el supervisor del contrato.
</t>
  </si>
  <si>
    <t>20243030000334-I Id: 4085999</t>
  </si>
  <si>
    <t>4.118</t>
  </si>
  <si>
    <t>2024-0062</t>
  </si>
  <si>
    <t>CD-063-2024</t>
  </si>
  <si>
    <t>NATALY CEBALLOS SANTOS</t>
  </si>
  <si>
    <t>IMPLEMENTAR ESTRATEGIAS PARA LA EJECUCIÓN DEL PLAN COMERCIAL DE LA TERRITORIAL SUROCCIDENTE ASOCIADAS AL PORTAFOLIO DE SERVICIOS DE LCETEX EN LA REGIÓN, EN ARTICULACIÓN CON LA OFICINA COMERCIAL Y DE MERCADEO DEL NIVEL CENTRAL</t>
  </si>
  <si>
    <t>CDEF-101-2024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</si>
  <si>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</si>
  <si>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20243030000346-I Id: 4086013</t>
  </si>
  <si>
    <t>13.130</t>
  </si>
  <si>
    <t>2024-0063</t>
  </si>
  <si>
    <t>CD-064-2024</t>
  </si>
  <si>
    <t>LIZ ANDREA CHOLES BENAVIDES</t>
  </si>
  <si>
    <t>PRESTAR LOS SERVICIOS PROFESIONALES EN EL GRUPO DE ADMINISTRACIÓN DE RECURSOS FÍSICOS DE LA SECRETARÍA GENERAL, APOYANDO LA IDENTIFICACIÓN, REALIZACIÓN, SEGUIMIENTO Y EJECUCIÓN DE LOS PROCESOS ADMINISTRATIVOS DEL ICETEX</t>
  </si>
  <si>
    <t>CDEF-179-2024</t>
  </si>
  <si>
    <t>ADECUACIÓN E INTERVENTORÍA
PUNTOS DE ATENCIÓN</t>
  </si>
  <si>
    <t>IG32113022001</t>
  </si>
  <si>
    <t>COORDINADOR(A) GRUPO DE ADMINISTRACIÓN DE RECURSOS FÍSICOS</t>
  </si>
  <si>
    <t xml:space="preserve">1.	Apoyar el seguimiento y revisión a los trámites económicos y financieros requeridos para la operación de actividades transversales, en especial lo relativo a las operaciones relacionadas con la estructuración, seguimiento y liquidación de procesos contractuales en cada una de sus etapas.
2.	Proyectar las respuestas, desde el punto de vista económico y financiero a las observaciones presentadas en los procesos de contratación a cargo del Grupo de Administración de Recursos Físicos. 
3.	Apoyar al Grupo de Administración de Recursos Físicos en la elaboración y presentación de los documentos para solicitudes presupuestales, tributarias y de vigencias futuras. 
4.	Apoyar en el seguimiento de la adecuada ejecución de los recursos asignados para los diferentes procesos de contratación de bienes y servicios que se adelanten desde el área. 
5.	Apoyar desde su perfil en los planes de acción y de mejoramiento, programas y proyectos del Grupo de Administración de Recursos Físicos. 
6.	Apoyar el proceso y control de la Caja Menor asignada al Grupo de Administración de Recursos Físicos. 
7.	Apoyar la supervisión de los contratos y/o convenios que le sean asignados.
8.	Asistir y/o participar en los comités, incluyendo comités de evaluación de propuestas, talleres y demás reuniones que le designe el supervisor 
9.	9. Atender las peticiones y/o consultas que respecto del tema financiero y económico le indique el supervisor y se relacionen con el objeto del contrato. 
10.	Presentar los informes que le solicite el supervisor, sobre las actividades desarrolladas en ejecución del objeto contractual.
</t>
  </si>
  <si>
    <t>20243030000340-I Id: 4086005</t>
  </si>
  <si>
    <t>7.6</t>
  </si>
  <si>
    <t>2024-0064</t>
  </si>
  <si>
    <t>CD-065-2024</t>
  </si>
  <si>
    <t>JOSÉ GREGORIO RODRIGUEZ DUARTE</t>
  </si>
  <si>
    <t>PRESTAR SERVICIOS PROFESIONALES PARA APOYAR EL SISTEMA DE GESTIÓN DE SEGURIDAD DIGITAL BASADOS EN LA NORMA ISO 27001, LEY 1581 Y TODO EL MARCO NORMATIVO INTERNO Y EXTERNO DE LA ENTIDAD, HACIENDO ÉNFASIS EN LAS PRUEBAS DE CONTROLES DE SEGURIDAD DE LA INFORMACIÓN DESDE EL DISEÑO Y LA EFICACIA OPERATIVA.</t>
  </si>
  <si>
    <t>CDEF-164-2024</t>
  </si>
  <si>
    <t>HONORARIOS - ODR</t>
  </si>
  <si>
    <t xml:space="preserve">IG 312001020250012 </t>
  </si>
  <si>
    <t xml:space="preserve">1.	Actualizar las políticas y procedimientos de seguridad digital, con base en las necesidades de la entidad y los cambios normativos. 
2.	Apoyar presentación de informes a Junta Directiva y áreas de la Entidad con la gestión realizada sobre el SGSD, de acuerdo con las especificaciones de la solicitud. 
3.	Actualizar el inventario y clasificación de activos de información de la Entidad, de acuerdo con las normas y procedimientos existentes. 
4.	Generar los Reportes de Instrumentos de Gestión acordes con la Ley 1712 de 2014. 
5.	Realizar revisión, monitoreo y análisis de riesgos de seguridad digital, a los procesos de la Entidad, asistiendo a las diferentes áreas del Icetex en el análisis, acorde con los lineamientos normativos. 
6.	Realizar seguimiento a la generación de Planes de Tratamientos para aquellos riesgos que resulten con evaluación grave o crítica. 
7.	Actualizar la Declaración de Aplicabilidad de acuerdo con los resultados obtenidos de la evaluación de riesgos y su plan de tratamiento. 
8.	Analizar y gestionar los incidentes de seguridad digital, de acuerdo con la normativa existente e implementación de acciones de respuesta frente a los mismos. 
9.	Revisar de alertas de seguridad generadas por las herramientas de monitoreo (SOC) y establecer posibles incidentes de seguridad. 
10.	Probar y generar análisis del diseño y eficacia de los controles de la ISO 27001 y seguimiento a los planes de acción generados por oportunidades de mejora. 
11.	Generar los conceptos de seguridad relacionados con seguridad digital y de protección de datos personales requeridos por las áreas de la Entidad, de acuerdo con las políticas de la Entidad, normas externas existentes y buenas prácticas. 
12.	Analizar en los proyectos de integración de sistemas de gestión, gestión de cambios, nuevos productos, procesos, proyectos tecnológicos y recuperación de desastres. 
13.	Analizar los requerimientos de acuerdos estratégicos y/o contratación en materia de seguridad digital. 
14.	Proyectar el Comité de Riesgos con los temas Seguridad de la Información en los temas de responsabilidad, con el fin de dar avance sobre la atención a la Política de Seguridad Digital a la alta dirección de la Entidad. 
15.	Revisar el cumplimiento del Sistema de Gestión de Seguridad Digital con respecto de las normas colombianas en materia de seguridad y privacidad digital, así como las buenas prácticas, realizando seguimiento a las acciones de mejora. 
16.	Atender los requerimientos normativos bajo las normas Ley 1712, Ley 1581, de MinTic, buena práctica ISO 27001, normas de Superfinanciera y demás que se generen y aquellos que soliciten los Entes de Control como son MEN, CSIRT, COLCERT y demás entidades que requieran la participación del Icetex. 
17.	Revisar y hacer seguimiento en temas de seguridad digital a los proveedores definidos. 
18.	Las demás obligaciones que sean acordes con el objeto contractual asignado por la supervisión del contrato. 
19.	 Elaborar informes relacionados con la ejecución de su objeto contractual y obligaciones, cuando le sean solicitados.
</t>
  </si>
  <si>
    <t>20242520000347-I Id: 4086075</t>
  </si>
  <si>
    <t>10.3</t>
  </si>
  <si>
    <t>2024-0065</t>
  </si>
  <si>
    <t>CD-066-2024</t>
  </si>
  <si>
    <t>PAOLA ANDREA RINCÓN SÁNCHEZ</t>
  </si>
  <si>
    <t>PRESTAR SUS SERVICIOS PROFESIONALES APOYANDO DESDE EL PUNTO DE VISTA JURÍDICO LOS TEMAS RELACIONADOS CON LOS FONDOS A CARGO LA VICEPRESIDENCIA DE FONDOS EN ADMINISTRACIÓN.</t>
  </si>
  <si>
    <t>CDEF-197-2024</t>
  </si>
  <si>
    <t xml:space="preserve">1.	Proyectar los formatos, convenios, contratos, reglamentos operativos y demás documentos concernientes con la constitución de nuevos fondos a cargo de la Vicepresidencia de Fondos en Administración. 
2.	Revisar los otrosí, y demás documentos necesarios para la correcta ejecución de los fondos a cargo de la Vicepresidencia de Fondos en Administración.
3.	Revisar y actualizar los reglamentos Operativos de los fondos administrados por la Vicepresidencia de Fondos en Administración. 
4.	proyectar las respuestas de peticiones internas y externas, actos administrativos, que le sean requeridos y que guarden relación con los procesos a cargo de la Vicepresidencia de Fondos en Administración.
5.	Proyectar los estudios y documentos previos de los procesos contractuales requeridos en la Vicepresidencia de Fondos en Administración, de acuerdo con la normatividad en materia de contratación aplicables a EL ICETEX.
6.	Apoyar la supervisión de los contratos y/o convenios que le sean asignados, relacionados con el objeto contractual.
7.	Brindar acompañamiento en las mesas que se adelanten con los constituyentes y potenciales aliados a fin de resolver inquietudes desde el punto de vista jurídico. 
8.	Incorporar a los expedientes de los fondos y las carpetas compartidas de la Vicepresidencia de Fondos en Administración la información que surja en el desarrollo del objeto contractual y hacer correcto uso de las mismas.
9.	Asistir y/o participar en los comités, mesas de trabajo y demás reuniones relacionadas con el objeto contractual.
10.	Garantizar la confidencialidad, reserva y privacidad de la información que por razón de sus actividades deba manejar en desarrollo del contrato. 
11.	Desplazarse en oficinas institucionales ubicadas en ciudades o municipios distintos a Bogotá D.C, por solicitud del supervisor, previo el otorgamiento de la correspondiente autorización de desplazamiento. 
12.	Las demás asignadas por el supervisor y que tengan relación con el objeto del presente contrato.
</t>
  </si>
  <si>
    <t>NESTOR IVAN BERDUGO MORANTES</t>
  </si>
  <si>
    <t>Prestar sus servicios rofesionales apoyando desde el punto de vista jurídico los temas lacionadoscon los Fondos a cargo la cepresidencia de Fondos en dministración</t>
  </si>
  <si>
    <t>20243030000361-I Id: 4086046</t>
  </si>
  <si>
    <t>8.3</t>
  </si>
  <si>
    <t>2024-0066</t>
  </si>
  <si>
    <t>CD-067-2024</t>
  </si>
  <si>
    <t>JUAN LUIS DE LA HOZ PACHECO</t>
  </si>
  <si>
    <t>CDEF-146-2024</t>
  </si>
  <si>
    <t xml:space="preserve">
HONORARIOS – PRE
</t>
  </si>
  <si>
    <t>IG312001020200012</t>
  </si>
  <si>
    <t xml:space="preserve">1.	Intervenir en los diferentes trámites legislativos con acciones y actividades en calidad de enlace del ICETEX con el Congreso de la República.
2.	Identificar semanalmente los proyectos legislativos que impacten al ICETEX, coordinando acciones y conceptos que permitan contener posibles riesgos.
3.	Ejecutar estrategias de relacionamiento inteligente con el Congreso de la República para articular voluntades que permitan avanzar en la agenda de transformación institucional de la entidad.
4.	Atender los requerimientos que surjan con el Congreso de la República en virtud de la calidad de enlace, fundamentalmente, sirviendo de puente entre las solicitudes de los Congresistas y los funcionarios de la entidad.
5.	Asistir a las sesiones presenciales y/o virtuales de Comisiones Constitucionales y Plenarias del Congreso de la República, con el fin de incidir en las discusiones que le competan directamente a la entidad.
6.	Ejecutar acciones encaminadas a la construcción y materialización del proyecto de ley de reforma del ICETEX.
7.	Apoyar y ejecutar estrategias de relacionamiento inteligente con los ministerios y entidades públicas para atender y cooperar en los esfuerzos de articulación del Estado.
8.	Coordinar y acompañar a petición del Presidente de la Entidad, las visitas y mesas de trabajo regionales, con especial énfasis en el relacionamiento con autoridades locales, grupos estudiantiles y juveniles.
9.	Demás actividades que surjan por petición del presidente de la entidad.
</t>
  </si>
  <si>
    <t>20243030000372-I Id: 4086084</t>
  </si>
  <si>
    <t>9.7</t>
  </si>
  <si>
    <t>2024-0067</t>
  </si>
  <si>
    <t>CD-068-2024</t>
  </si>
  <si>
    <t>JANETH ROCIO IMBAJOA PECILLO</t>
  </si>
  <si>
    <t>"PRESTAR LOS SERVICIOS TÉCNICOS EN LA ATENCIÓN DE PQRS Y REQUERIMIENTOS INTERNOS Y EXTERNOS CORRESPONDIENTES AL GRUPO DE CRÉDITO A CARGO DE LA VICEPRESIDENCIA DE CRÉDITO Y COBRANZA."</t>
  </si>
  <si>
    <t>CDEF-129-2024</t>
  </si>
  <si>
    <t xml:space="preserve">REMUNERACIÓN DE SERVICIOS TÉCNICOS
</t>
  </si>
  <si>
    <t>IG 312001020600014</t>
  </si>
  <si>
    <t xml:space="preserve">	Gestionar las Solicitudes, Peticiones, Quejas, Reclamos y Denuncias en el aplicativo de CRM de ICETEX.
2.	Atender requerimientos externos, internos, entes de control para los procesos y procedimientos del área por los medios que se determinen de acuerdo con los tiempos establecidos. 
3.	Apoyar en la elaboración de informes, bases y presentaciones correspondientes al proceso de Condonación por graduación.
4.	Realizar apoyar al proceso para la firma de las garantías desmaterializadas a través de los medios que se determinen. 
5.	Proyectar capacitaciones con el fin de informar y fortalecer los procedimientos del área.
6.	Realizar pruebas de los procesos y procedimientos del área con el fin de garantizar que se encuentren correctos.
7.	Asistir y participar a las reuniones programadas.
8.	Elaborar y presentar los informes de gestión que se requieran y se relacionen con el cumplimiento del objeto contractual.
9.	Cumplir con los indicadores de gestión establecidos.
10.	Las demás obligaciones que se requieran para el cumplimiento a cabalidad del objeto contractual y que sean inherentes a la naturaleza del contrato.
</t>
  </si>
  <si>
    <t>20243030000373-I Id: 4086089</t>
  </si>
  <si>
    <t>9.6</t>
  </si>
  <si>
    <t>2024-0068</t>
  </si>
  <si>
    <t>CD-069-2024</t>
  </si>
  <si>
    <t>KATHERINE PEREZ JIMENEZ</t>
  </si>
  <si>
    <t>PRESTAR LOS SERVICIOS TÉCNICOS EN LA ATENCIÓN DE PQRS Y REQUERIMIENTOS INTERNOS Y EXTERNOS CORRESPONDIENTES AL GRUPO DE CRÉDITO A CARGO DE LA VICEPRESIDENCIA DE CRÉDITO Y COBRANZA.</t>
  </si>
  <si>
    <t>CDEF-128-2024</t>
  </si>
  <si>
    <t xml:space="preserve">Gestionar las Solicitudes, Peticiones, Quejas, Reclamos y Denuncias en el aplicativo de CRM de ICETEX.
2.	Atender requerimientos externos, internos, entes de control para los procesos y procedimientos del área por los medios que se determinen de acuerdo con los tiempos establecidos. 
3.	Realizar apoyar al proceso para la firma de las garantías desmaterializadas a través de los medios que se determinen. 
4.	Proyectar capacitaciones con el fin de informar y fortalecer los procedimientos del área.
5.	Realizar pruebas de los procesos y procedimientos del área con el fin de garantizar que se encuentren correctos.
6.	Asistir y participar a las reuniones programadas.
7.	Elaborar y presentar los informes de gestión que se requieran y se relacionen con el cumplimiento del objeto contractual.
8.	Cumplir con los indicadores de gestión establecidos.
9.	Las demás obligaciones que se requieran para el cumplimiento a cabalidad del objeto contractual y que sean inherentes a la naturaleza del contrato.
</t>
  </si>
  <si>
    <t>20243030000368-I Id: 4086078</t>
  </si>
  <si>
    <t>9.12</t>
  </si>
  <si>
    <t>2024-0069</t>
  </si>
  <si>
    <t>CD-070-2024</t>
  </si>
  <si>
    <t>JAIR FABIAN PARRA ALDANA</t>
  </si>
  <si>
    <t>PRESTAR LOS SERVICIOS PROFESIONALES PARA EL SEGUIMIENTO, EJECUCIÓN Y GESTIÓN DE LOS SUBFONDOS DE LA VICEPRESIDENCIA DE CRÉDITO Y COBRANZA (VCC) Y LAS LÍNEAS DE CRÉDITO ESPECIALES DEL PORTAFOLIO DE SERVICIOS.</t>
  </si>
  <si>
    <t>CDEF-126-2024</t>
  </si>
  <si>
    <t xml:space="preserve">
HONORARIOS –VCC
</t>
  </si>
  <si>
    <t xml:space="preserve">1.	Apoyar Validar y responder las peticiones, quejas, reclamos, solicitudes, denuncias, tutelas, CRM, defensores, requerimientos externos o internos en relación con los procesos de otorgamiento, legalización y renovación de las líneas de créditos, Subfondos y líneas especiales a través del aplicativo de CRM de ICETEX o los medios que se determinen de acuerdo con los tiempos establecidos.
2.	Identificar las tipificaciones más relevantes y realizar mensualmente planes de acción y estrategias con el objetivo de mitigar el riesgo y reducir la cantidad de requerimientos.
3.	Realizar pruebas de los procedimientos que le sean asignados con el fin de evitar errores que afecten las solicitudes y la operatividad.
4.	Revisar las minutas de los convenios suscritos por el ICETEX para la ejecución de los convenios de Subfondos, así como las líneas de créditos especiales creados por la Vicepresidencia de Crédito y Cobranza.
5.	Realizar y apoyar estudios técnicos, actas de liquidación, otros sí, parametrización, entre otros documentos y actividades para la suscripción de los convenios de Subfondos y líneas de créditos especiales.
6.	Realizar el seguimiento a los saldos que presenten cada uno de los convenios de Subfondos y líneas de créditos especiales, así como revisar los estados de cuenta con la información del Grupo de Cartera.
7.	Crear Arandas, infoservicios y documentos con el fin de mantener la información actualizada, mitigar el riesgo y reducir la cantidad de requerimientos de los procesos.
8.	Proyectar capacitaciones con el fin de informar y fortalecer los procedimientos del área. 
9.	Asistir y participar a las reuniones programadas.
10.	Elaborar y presentar los informes de gestión que se requieran y se relacionen con el cumplimiento del objeto contractual.
11.	Cumplir con los indicadores de gestión establecidos.
12.	Las demás obligaciones que se requieran para el cumplimiento a cabalidad del objeto contractual y que sean inherentes a la naturaleza del contrato."
</t>
  </si>
  <si>
    <t>20243030000374-I Id: 4086091</t>
  </si>
  <si>
    <t>9.14</t>
  </si>
  <si>
    <t>2024-0070</t>
  </si>
  <si>
    <t>CD-071-2024</t>
  </si>
  <si>
    <t>JORGE HELI CORONADO</t>
  </si>
  <si>
    <t>PRESTAR LOS SERVICIOS DE APOYO TÉCNICO EN EL ANÁLISIS DE SOLICITUDES DE CRÉDITO, MEDIANTE LA GESTIÓN, PROCESAMIENTO DE DATOS Y LA REALIZACIÓN DE ACTIVIDADES PROPIAS DEL PROCESO DE OTORGAMIENTO</t>
  </si>
  <si>
    <t>CDEF-132-2024</t>
  </si>
  <si>
    <t xml:space="preserve">OBLIGACIONES ESPECÍFICAS DEL CONTRATISTA	1.	Apoyar en la descarga previo y durante el comité de crédito las solicitudes registradas por los usuarios en la plataforma de formularios dispuesta por ICETEX.
2.	Apoyar en la consolidación de la base de datos conforme a la estructura determinada por los analistas del Grupo Crédito de la VCC, para procesar la información conforme a cada línea de crédito.
3.	Apoyar en la descarga y análisis de bases de datos con información de las solicitudes de crédito con el fin de ser consolidada. 
4.	Analizar y realizar el respectivo cruce de bases de datos de los resultados obtenidos de los análisis y consultas gestionadas por la Oficial de Cumplimiento y SARLAFT.
5.	Crear Arandas que se requieran para garantizar el flujo normal de las solicitudes de crédito. 
6.	Analizar y procesar las solicitudes registradas por los usuarios para comité de crédito correspondientes a las líneas de crédito del ICETEX asignadas, conforme los modelos y variables de calificación establecidos, así como apoyar en la generación de estadísticas del cada vez que termina la convocatoria.
7.	Entregar información veraz y actualizada del estado real de las solicitudes de crédito a las áreas de la entidad que así lo requieran.
8.	Apoyar los procesos de anulación de los créditos conforme a las indicaciones del comité de crédito y a la periodicidad establecida para dicho proceso. 
9.	Realizar pruebas de los procedimientos que le sean asignados con el fin de evitar errores que afecten las solicitudes y la operatividad. 
10.	Proyectar respuestas oportunas a los requerimientos presentados por los clientes externos que realiza los entes de control y/o internos sobre los servicios prestados por la Entidad.
11.	Asistir y participar a las reuniones programadas.
12.	Elaborar y presentar los informes de gestión que se requieran y se relacionen con el cumplimiento del objeto contractual. 
13.	Cumplir con los indicadores de gestión establecidos.
14.	Las demás obligaciones que se requieran para el cumplimiento a cabalidad del objeto contractual y que sean inherentes a la naturaleza del contrato.
</t>
  </si>
  <si>
    <t>20243030000375-I Id: 4086093</t>
  </si>
  <si>
    <t>3.2</t>
  </si>
  <si>
    <t>2024-0071</t>
  </si>
  <si>
    <t>CD-072-2024</t>
  </si>
  <si>
    <t>CAMILO ANDRES GIRALDO VELA</t>
  </si>
  <si>
    <t>PRESTAR LOS SERVICIOS PROFESIONALES JURÍDICOS ESPECIALIZADOS PARA ATENDER LA ACTIVIDAD JURÍDICA DEL ICETEX, DIRIGIDO A LA IMPLEMENTACIÓN DE LA DEFENSA JURÍDICA DE LA ENTIDAD EN ACCIONES DE TUTELA.”,CON EL FIN DE QUE SE REALICE LA REVISIÓN RESPECTIVA PARA CONTINUAR CON EL TRÁMITE CONTRACTUAL PARA EL AÑO 2024</t>
  </si>
  <si>
    <t>CDEF-33-2024</t>
  </si>
  <si>
    <t>HONORARIOS - OJU</t>
  </si>
  <si>
    <t>IG312001020220012H</t>
  </si>
  <si>
    <t xml:space="preserve">
1. Implementar las políticas y ejercer la defensa jurídica de la entidad frente a las acciones constitucionales y demás trámites asignados, de conformidad con el poder otorgado.
2. Atender dentro de los términos legales los requerimientos y/o trámites administrativos que le sean asignados en el marco de la política de defensa jurídica de la entidad.
3. Hacer seguimiento y gestionar en oportunidad con las áreas competentes el cumplimiento de los fallos judiciales de primera, segunda instancia y /o decisión de revisión de las acciones de tutela que le sean asignadas. 
4. Realizar la revisión de las acciones de tutela y trámites que le sean asignados y/o cuando sea requeridos por la Oficina Asesora Jurídica, y adelantar la gestión necesaria para la defensa jurídica de la entidad. 
5. Hacer seguimiento y gestionar en oportunidad con las áreas competentes todo lo necesario con el fin de garantizar el cierre definitivo de los incidentes de desacato que se notifiquen en contra de la entidad.  
6. Presentar un (1) informe semanal, en los formatos autorizados por la entidad, del estado en que se encuentran los incidentes de desacato asignados, junto con su indicador, y demás casos que encuentre relevantes y/o que le sean solicitados, indicando el riesgo en que puede encontrarse la entidad frente a los mismos. 
7. Gestionar a través de los aplicativos de la entidad, en forma oportuna los asuntos que le sean asignados, observando el trámite de actualización de la gestión.  
8. Generar los informes requeridos de conformidad con el objeto contractual y las obligaciones establecidas, así como los que sean requeridos por la supervisión del contrato. 
9. Proponer acciones para la disminución de acciones de tutela de acuerdo con la identificación que efectúe en el desarrollo de sus obligaciones. 
10. Desarrollar las acciones asignadas tendientes al mejoramiento continuo de conformidad con as políticas de calidad implementadas en la entidad. 
11.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el cual deberá contener un apéndice especial con el detalle del estado de cada trámite asignado. 
12. Elaborar y presentar, los poderes otorgados en cada una de las acciones de tutela y demás trámites que le sean asignados conforme al objeto del contrato y a la asignación que efectúe la Oficina Asesora Jurídica y al finalizar el contrato presentar a esta oficina la renuncia de los poderes con el último informe.  
13. Asistir y participar de las reuniones presenciales y/o virtuales a las que sea convocado por parte de la Oficina Asesora Jurídica o de las demás dependencias de la entidad.  
14. Elaborar y radicar los documentos correspondientes en la oportunidad y de acuerdo con las directrices establecidas por la entidad, para el cobro mensual de los honorarios. 
15. Elaborar una presentación mensual con las acciones de tutela que tuvieron mayor relevancia durante la vigencia, con el objeto de evidenciar la problemática que dio origen a la citada acción y exponer los casos escogidos en las sesiones presenciales convocadas trimestralmente en el marco de la Política de Prevención del Daño Antijurídico. 
16. Atender los demás asuntos que, de conformidad con el objeto contractual, le sean asignados por la Oficina Asesora Jurídica.
</t>
  </si>
  <si>
    <t>20243030000332-I Id: 4085997</t>
  </si>
  <si>
    <t>13.6</t>
  </si>
  <si>
    <t>2024-0072</t>
  </si>
  <si>
    <t>CD-073-2024</t>
  </si>
  <si>
    <t>ANA MARIA ISAZA RONDÓN</t>
  </si>
  <si>
    <t xml:space="preserve">PRESTAR SERVICIOS DE APOYO A LA GESTIÓN EN LAS ACTIVIDADES ADMINISTRATIVAS Y OPERATIVAS DEL DESPACHO DE LA SECRETARIA GENERAL DEL ICETEX. </t>
  </si>
  <si>
    <t>CDEF-224-2024</t>
  </si>
  <si>
    <t>IG332901003</t>
  </si>
  <si>
    <t>SECRETARIO GENERAL</t>
  </si>
  <si>
    <t xml:space="preserve">1.	Apoyar las actividades administrativas del Despacho de la Secretaría General del ICETEX y de las necesidades asociadas a la misma 
2.	Apoyar la elaboración y/ o proyectar los oficios, memorandos, informes competencia del Despacho de la Secretaria General.
3.	Controlar la correspondencia interna y externa, para lo cual deberá recibir, tramitar, distribuir y llevar los registros respectivos en la base de datos destinada para tal fin.
4.	Actualizar el Sistema Control Doc.  o en la herramienta tecnológica que disponga la entidad, la información y documentación de la Secretaría General.
5.	Atender a usuarios internos y externos en consultas y trámites de competencia del despacho de la Secretaría General del ICETEX
6.	Asistir a las reuniones presenciales o virtuales a las que se le cite para efectos de tratar asuntos relacionados con el objeto del contrato.
7.	Apoyar a los profesionales, y demás colaboradores de la Secretaría General en los trámites administrativos que se  requieran.
8.	Llevar el control y actualización de la agenda de la Secretaría General
9.	Realizar el pedido de suministros necesarios para el cumplimiento de las funciones de la Secretaría General.
10.	Las demás obligaciones que sean acordes con el objeto contractual asignado por la supervisión del contrato.
</t>
  </si>
  <si>
    <t>20243030000384-I Id: 4086118</t>
  </si>
  <si>
    <t>9.36</t>
  </si>
  <si>
    <t>2024-0073</t>
  </si>
  <si>
    <t>CD-074-2024</t>
  </si>
  <si>
    <t>KEIDY MILENA DIAZ PLAZA</t>
  </si>
  <si>
    <t>PRESTAR LOS SERVICIOS PROFESIONALES JURÍDICOS ESPECIALIZADOS EN TODOS LOS TEMAS CORRESPONDIENTES A LA VICEPRESIDENCIA DE CRÉDITO Y COBRANZA Y EN LO REFERENTE EN LA LIQUIDACIÓN DE LAS ALIANZAS Y/O CONVENIOS A CARGO DE LA VICEPRESIDENCIA</t>
  </si>
  <si>
    <t>CDEF-135-2024</t>
  </si>
  <si>
    <t xml:space="preserve"> HONORARIOS – VCC</t>
  </si>
  <si>
    <t>IG312001020600012</t>
  </si>
  <si>
    <t xml:space="preserve">OBLIGACIONES ESPECÍFICAS DEL CONTRATISTA	1.	Apoyar en el seguimiento jurídico de las alianzas activas, según las actividades a gestionar con el Constituyente, respecto a temas jurídicos.
2.	Apoyar con conceptos jurídicos sobre temas de liquidación de convenios generando las correspondientes recomendaciones de orden legal al área para el cierre de estos.
3.	Acompañar en las mesas de trabajo que se realicen con los constituyentes, para establecer los compromisos para adelantar el proceso de liquidación dentro de los términos legales establecidos.
4.	Asesorar jurídicamente al vicepresidente de Crédito y Cobranza en asuntos que le sean asignados para apoyar la toma de decisiones.
5.	Conceptuar sobre la aplicación de normas y la expedición de los actos administrativos que competan a diferentes niveles de la Entidad estableciendo unidad de criterio jurídico.
6.	Asistir a las reuniones de seguimiento que requiera el vicepresidente, realizando el procedimiento establecido por la entidad y cumpliendo con el protocolo de bioseguridad.
7.	Concertar y realizar el análisis jurídico para la constitución de nuevas alianzas o cualquier otro negocio jurídico de la VCC, que se suscriban con los distintos terceros (entidades Públicas y/o Privadas).
8.	Apoyar con estrategias jurídicas que permitan la oportunidad y efectividad del proceso de las alianzas activas y en estado de liquidación en cumplimiento a lo señalado en cada convenio y/o contrato interadministrativo.
9.	Las demás que sean inherentes a la naturaleza del contrato, así como observar las recomendaciones dadas por el Supervisor del mismo para asegurar el cumplimiento de la finalidad del contrato.
</t>
  </si>
  <si>
    <t>20243030000386-I Id: 4086120</t>
  </si>
  <si>
    <t>13.70</t>
  </si>
  <si>
    <t>2024-0074</t>
  </si>
  <si>
    <t>CD-075-2024</t>
  </si>
  <si>
    <t>ANGELICA PATRICIA CHILITO LENIS</t>
  </si>
  <si>
    <t>PRESTAR LOS SERVICIOS PROFESIONALES JURÍDICOS ESPECIALIZADOS PARA GESTIONAR Y APOYAR LOS TRÁMITES CORRESPONDIENTES A LOS ACUERDOS ESTRATÉGICOS EN EL MARCO DEL PROYECTO DE FORTALECIMIENTO ORGANIZACIONAL, CON MIRAS AL CUMPLIMIENTO DEL PLAN ESTRATÉGICO DE LA VIGENCIA.</t>
  </si>
  <si>
    <t>CDEF-182-2024</t>
  </si>
  <si>
    <t xml:space="preserve">1.	Verificar la documentación allegada por las áreas de la Entidad, para emitir la viabilidad de los acuerdos por parte del Grupo de Acuerdos Estratégicos.
2.	Hacer seguimiento a los diferentes trámites asignados con respecto a los acuerdos estratégicos que adelanta la Entidad en el marco del proyecto de fortalecimiento organizacional. 
3.	Apoyar en la estructuración de los acuerdos estratégicos cuando se requiera.
4.	Proyectar y revisar los documentos que se requieran en el desarrollo de la celebración de acuerdos estratégicos de la Entidad, tales como otrosíes, comunicaciones, respuesta observaciones, respuesta derechos de petición, requerimientos, documentos previos y todos aquellos que sean necesarios para la correcta realización o ejecución de los respectivos Acuerdos Estratégicos. 
5.	Realizar con su propia clave del Portal del SECOP la publicación de los documentos o trámites que le sean asignados. 
6.	Verificar previamente a la publicación de los documentos que hacen parte de los Acuerdos Estratégicos que estos cumplan con las debidas aprobaciones de las diferentes instancias y en concordancia con el Anexo No. 5 Acuerdos Estratégicos y que guarden plena relación con el objeto contractual.   
7.	Asistir a las reuniones que se requieran con ocasión a los diferentes trámites para la celebración de acuerdos estratégicos que adelanten las áreas.  
8.	Recibir de las áreas los respectivos documentos para su consolidación y remisión al comité estratégico cuando se requiera.  
9.	Realizar la verificación para aprobación de las garantías de los diferentes acuerdos estratégicos suscritos por la Entidad. 
10.	Elaborar las minutas de los contratos, convenios o acuerdos estratégicos con las respectivas formalidades y de acuerdo con la normatividad vigente.  
11.	Elaborar las diferentes adiciones, prórrogas y modificaciones de los contratos, convenios o acuerdos estratégicos que le sean asignadas y proyectar el formato correspondiente a los supervisores de los contratos, convenios o acuerdos estratégicos notificándole la asignación de la supervisión.  
12.	Reportar la información surgida en los trámites asignados, con el fin que se mantenga actualizada la base de datos y organizar la documentación que soporta cada uno de los trámites y que conforman el expediente único para ser entregados en custodia. 
13.	Hacer el acompañamiento jurídico en las reuniones donde se estructuren acuerdos estratégicos y haya sido solicitado dicho apoyo, previa coordinación con el supervisor del contrato. 
14.	Suministrar la información requerida por las áreas o autoridades competentes en cuanto a los acuerdos estratégicos cuando sea solicitado.
15.	Asistir a las reuniones a las que sea citado o designado por parte del supervisor del contrato. 
16.	Cumplir con los indicadores de gestión establecidos. 
17.	Realizar las revisiones de los trámites asignados en los tiempos establecidos, de acuerdo a los indicadores. 
18.	Las demás asignadas por el supervisor y que tengan relación con el objeto del presente contrato.
</t>
  </si>
  <si>
    <t>20243030000389-I Id: 4086123</t>
  </si>
  <si>
    <t>13.71</t>
  </si>
  <si>
    <t>2024-0075</t>
  </si>
  <si>
    <t>CD-076-2024</t>
  </si>
  <si>
    <t>LUZ JOHANNA MEDINA MARTÍNEZ</t>
  </si>
  <si>
    <t>CDEF-183-2024</t>
  </si>
  <si>
    <t>20243030000392-I Id: 4086126</t>
  </si>
  <si>
    <t>13.73</t>
  </si>
  <si>
    <t>2024-0076</t>
  </si>
  <si>
    <t>CD-077-2024</t>
  </si>
  <si>
    <t>JOHN JAIRO ANTONIO VIRGÜEZ</t>
  </si>
  <si>
    <t>PRESTAR LOS SERVICIOS PROFESIONALES JURÍDICOS ESPECIALIZADOS PARA GESTIONAR Y APOYAR LOS TRÁMITES CORRESPONDIENTES A LOS ACUERDOS ESTRATÉGICOS EN EL MARCO DEL PROYECTO DE FORTALECIMIENTO ORGANIZACIONAL, CON MIRAS AL CUMPLIMIENTO DEL PLAN ESTRATÉGICO DE LA VIGENCIA</t>
  </si>
  <si>
    <t>CDEF-185-2024</t>
  </si>
  <si>
    <t>20243030000396-I Id: 4086130</t>
  </si>
  <si>
    <t>13.63</t>
  </si>
  <si>
    <t>2024-0077</t>
  </si>
  <si>
    <t>CD-078-2024</t>
  </si>
  <si>
    <t>MARYORY PAOLA BURGOS VIÑA</t>
  </si>
  <si>
    <t>PRESTAR SERVICIOS PROFESIONALES AL GRUPO DE DESARROLLO Y TRANSFORMACIÓN ORGANIZACIONAL DE LA SECRETARÍA GENERAL PARA LA IMPLEMENTACIÓN DEL PLAN ESTRATÉGICO DEL TALENTO HUMANO EN LO CONCERNIENTE A BIENESTAR SOCIAL, INCENTIVOS Y MEJORAMIENTO DEL AMBIENTE LABORAL DEL ICETEX</t>
  </si>
  <si>
    <t>CDEF-121-2024</t>
  </si>
  <si>
    <t>SERVICIOS DE BIENESTAR SOCIAL</t>
  </si>
  <si>
    <t>IG311002004021004</t>
  </si>
  <si>
    <t xml:space="preserve">
1	Participar en la elaboración del diagnóstico de las necesidades de bienestar y la construcción del Plan Anual de Bienestar de la entidad, conforme a la normatividad vigente.
2	Contribuir técnicamente en los procesos de contratación, supervisión y seguimiento de las actividades previstas en el Plan Anual de Bienestar definido por la entidad, a la luz de su manual de contratación y supervisión.
3	Aportar y proyectar en la definición y el desarrollo de acciones que contribuyan al mejoramiento del clima organizacional institucional.
4	Participar en las acciones de planeación y seguimiento de la ejecución presupuestal orientada al desarrollo de las actividades contenidas en el Plan Anual de Bienestar agotando, para ello, los procesos administrativos pertinentes.
5	Verificar el planteamiento de las políticas, los planes, los procesos y los procedimientos a las que contribuyen las actividades de bienestar, incentivos y mejoramiento del ambiente laboral, gestionando su actualización con base en los cambios normativos y administrativos a los que haya lugar.
6	Participar en la construcción, seguimiento y actualización de los indicadores de los procesos a los que contribuyen las acciones de bienestar, incentivos y mejoramiento del ambiente laboral.
7	Gestionar en la estructuración de los planes de incentivos del ICETEX, acorde con la normatividad y la reglamentación institucional vigentes, así como su ejecución a la luz de los procedimientos establecidos.
8	Apoyar la construcción de las piezas de comunicación para la adecuada y oportuna ejecución de las actividades del Plan Anual de Bienestar, observando los parámetros establecidos por la Oficina Asesora de Comunicaciones.
9	Las demás asignadas por el Supervisor, relacionadas con el objeto y la naturaleza del contrato
</t>
  </si>
  <si>
    <t>20243030000378-I Id: 4086112</t>
  </si>
  <si>
    <t>13.74</t>
  </si>
  <si>
    <t>2024-0078</t>
  </si>
  <si>
    <t>CD-079-2024</t>
  </si>
  <si>
    <t>DIANA CAROLINA RODRIGUEZ PEÑA</t>
  </si>
  <si>
    <t>CDEF-186-2024</t>
  </si>
  <si>
    <t>20243030000400-I Id: 4086134</t>
  </si>
  <si>
    <t>10.6</t>
  </si>
  <si>
    <t>2024-0079</t>
  </si>
  <si>
    <t>CD-080-2024</t>
  </si>
  <si>
    <t>ANGYE SOREEL GARAVITO FAJARDO</t>
  </si>
  <si>
    <t xml:space="preserve">PRESTAR SUS SERVICIOS PROFESIONALES APOYANDO LAS ACTIVIDADES JURÍDICAS A CARGO DE LA VICEPRESIDENCIA DE FONDOS EN ADMINISTRACIÓN.
</t>
  </si>
  <si>
    <t xml:space="preserve">1.	Proyectar y revisar los formatos, reglamentos operativos, estudios previos y demás documentos relacionados con los procesos contractuales y los fondos a cargo de la Vicepresidencia de Fondos en Administración. 
2.	Proyectar los estudios y documentos previos de los procesos contractuales requeridos en la Vicepresidencia de Fondos en Administración, de acuerdo con la normatividad en materia de contratación aplicables a EL ICETEX.
3.	Apoyar la supervisión de los contratos y/o convenios que le sean asignados, relacionados con el objeto contractual.
4.	Asistir y/o participar en los comités, mesas de trabajo y demás reuniones relacionadas con el objeto contractual.
5.	Incorporar a los expedientes de los fondos y las carpetas compartidas de la Vicepresidencia de Fondos en Administración la información que surja en el desarrollo del objeto contractual y hacer correcto uso de estas.
6.	Garantizar la confidencialidad, reserva y privacidad de la información que por razón de sus actividades deba manejar en desarrollo del contrato. 
7.	Las demás asignadas por el supervisor y que tengan relación con el objeto del presente contrato.
</t>
  </si>
  <si>
    <t>12.5</t>
  </si>
  <si>
    <t>2024-0080</t>
  </si>
  <si>
    <t>CD-081-2024</t>
  </si>
  <si>
    <t>LUZ ANGÉLICA NOREÑA</t>
  </si>
  <si>
    <t>PRESTAR LOS SERVICIOS PROFESIONALES ESPECIALIZADOS EN EL SEGUIMIENTO TÉCNICO Y FINANCIERO DE LOS EMPRÉSTITOS CON EL BANCO MUNDIAL, LAS EMISIONES EN CIRCULACIÓN Y EL ANÁLISIS DE NUEVAS FUENTES DE FONDEO, EN EL MARCO DEL PROYECTO PARA LA OPTIMIZACIÓN DE LA ESTRUCTURA PASIVO Y DIVERSIFICACIÓN DE LAS FUENTES DE FONDEO.</t>
  </si>
  <si>
    <t>CDEF-09-2024</t>
  </si>
  <si>
    <t>OPTIMIZACIÓN DEL PASIVO Y DIVERSIFICACIÓN</t>
  </si>
  <si>
    <t xml:space="preserve">
1.	Apoyar el seguimiento y verificación de la información cuantitativa y cualitativa de los empréstitos BIRF 8836-CO, y BIRF 8701-CO, y de las operaciones derivadas del análisis e implementación de nuevas fuentes de fondeo de la entidad.
2.	Apoyar la estructuración, verificación, consolidación de insumos técnicos, indicadores, e información cuantitativa y cualitativa que permita la producción de la información financiera de los informes (IFR), el Plan Operativo Anual de Inversión -POAI y la Matriz de Indicadores, de acuerdo con los lineamientos y el plan de salvaguarda del Banco Mundial, el DNP, y el marco conceptual aplicable. 
3.	Apoyar en la preparación de misiones y visitas de seguimiento, documentos, reportes e insumos, que requiera el Banco Mundial y/o entidad financiadora u organismos de control. 
4.	Apoyar el seguimiento del cierre de la ejecución financiera del Convenio Especial de Cooperación 2017-0356 del componente Ecosistema Científico en el marco del Programa de Acceso y Calidad de la Educación Superior. 
5.	Apoyar la articulación de las diferentes instancias para el análisis, seguimiento y control a la administración y asignación de recursos del Instituto, a partir de la verificación y consolidación de las decisiones, actas e informes de los comités aplicables.
6.	Gestionar el desarrollo de la auditoría externa de la vigencia 2023 del Programa de Acceso y Calidad de la Educación Superior- PACES y gestionar las actividades necesarias para contratar firma auditora para los próximos años del empréstito 8836-CO.
7.	Apoyar elseguimiento al uso de los recursos y reporte de indicadores de gestión, producidos por la entidad en virtud de las emisiones de Bonos Sociales, y/o el marco legal y conceptual aplicable. 
8.	Apoyar la articulación de las instancias internas y externas para el análisis y estructuración de nuevas fuentes de fondeo, a partir de la implementación de principios, estándares y lineamientos basados en los Objetivos de Desarrollo Sostenible, Cooperación Internacional, y Banca Multilateral.
9.	Cumplir con los indicadores de gestión establecidos.
10.	Las demás obligaciones que sean acordes con el objeto contractual y que sean asignadas por quien ejerza la función de la supervisión del contrato. 
</t>
  </si>
  <si>
    <t>20243030000316-I Id: 4085976</t>
  </si>
  <si>
    <t>11.125</t>
  </si>
  <si>
    <t>2024-0081</t>
  </si>
  <si>
    <t>CD-082-2024</t>
  </si>
  <si>
    <t>INGRID JOHANNA ORTIZ RODRIGUEZ</t>
  </si>
  <si>
    <t>PRESTACIÓN DE SERVICIOS PROFESIONALES ESPECIALIZADOS PARA LA ARTICULACIÓN ESTRATÉGICA EN LA DEFINICIÓN, DOCUMENTACIÓN Y CONTROL DE LAS AUDITORÍAS INTERNAS Y EXTERNAS, ANALÍTICA DE LOS RIESGOS, ASEGURAMIENTO DEL SISTEMA DE GESTIÓN DE CALIDAD Y CONTRATACIÓN DE BIENES Y SERVICIOS DE LA OPERACIÓN EN EL ICETEX.</t>
  </si>
  <si>
    <t>CDEF-302-2024</t>
  </si>
  <si>
    <t xml:space="preserve">
HONORARIOS – VOT
</t>
  </si>
  <si>
    <t>IG312001020510012</t>
  </si>
  <si>
    <t>VICEPRESIDENCIA_DE_OPERACIONES_Y_TECNOLOGÍA</t>
  </si>
  <si>
    <t>COORDINADOR(A) GRUPO DE OPERACIONES</t>
  </si>
  <si>
    <t xml:space="preserve">Apoyar en el establecimiento y ejecución de la formulación de estrategias de los planes de mejora de la gestión del grupo de operación relacionados con los riesgos, entes auditores internos y externos, DCF u otros que así lo requieran.
2. Presentar y realizar seguimiento del mapa de riesgos SARO, PCN, SARLAFT, BIA, Seguridad de la información y Corrupción; así mismo verificación de los activos de información de la gestión del grupo de operaciones, de acuerdo con el cronograma definido por la oficina de riesgos.
3. Efectuar la preparación y análisis de los documentos de trabajo requeridos como soporte de auditorías que se adelanten en el área.
4. Aplicar estrategias y lineamientos del sistema de gestión de calidad en los procesos del área, de acuerdo con el grupo estratégico MECI de la Entidad.
5. Documentar o actualizar los procesos de Administración de Cartera, Terminación o cumplimiento de las obligaciones crediticias y Gestión del Desembolso alineados con el Sistema de Gestión de Calidad y Función Pública, utilizando las metodologías que el ICETEX ha establecido para tal fin.
6. Proyectar, medir y realizar seguimiento de los indicadores, oportunidades de mejora, u otros orientados al cumplimiento de los objetivos del grupo de operaciones.
7. Acompañamiento en la supervisión de los contratos que estén a cargo de la dependencia, velando por el cumplimiento de los procesos relacionados.
8. Proyectar y gestionar la articulación de necesidades, estudios previos, anexos técnicos y todo lo relacionado para procesos de contratación para la gestión del grupo de operaciones, implementando mecanismos que apunten al mejoramiento de la gestión.
9. Proyectar y realizar seguimiento del presupuesto para la contratación de los servicios propios de la dependencia desde la estructura de los procesos para la gestión del grupo de operaciones que articula la Entidad.
10. Responder a los requerimientos internos y externos en el tiempo establecido de la gestión del grupo de operaciones.
11. Acudir a las reuniones citados para la supervisión del contrato o que estén relacionadas con el objeto de este
</t>
  </si>
  <si>
    <t>EDWARD MOYANO</t>
  </si>
  <si>
    <t>20243030000413-I Id: 4086153</t>
  </si>
  <si>
    <t>13.12</t>
  </si>
  <si>
    <t>2024-0082</t>
  </si>
  <si>
    <t>CD-083-2024</t>
  </si>
  <si>
    <t>CRISTIAN FERNANDO SERNA CASTAÑO</t>
  </si>
  <si>
    <t>PRESTAR LOS SERVICIOS PROFESIONALES EN LA SECRETARIA GENERAL EN LOS ASUNTOS RELACIONADOS CON EL GOBIERNO CORPORATIVO Y DEMÁS ACTIVIDADES QUE SURJAN EN EL EJERCICIO DE LA SECRETARÍA TÉCNICA DE LA JUNTA DIRECTIVA DEL ICETEX</t>
  </si>
  <si>
    <t>CDEF-354-2024</t>
  </si>
  <si>
    <t xml:space="preserve">1.	Verificar el cumplimiento de las mejores prácticas en materia de gobierno corporativo, en el marco de las responsabilidades de la Secretaría General con relación a la Secretaría Técnica de la Junta Directiva del ICETEX.  
2.	Preparar las actas, extractos de actas, resúmenes ejecutivos de las Juntas Directivas y Comités de Apoyo a la Junta Directiva en los que participa la Secretaría General, revisando que se apliquen las mejores prácticas de gobierno corporativo.  
3.	Apoyar la elaboración de las convocatorias de sesiones de Junta Directiva ordinarias, extraordinarias, presenciales y no presenciales o por toma de decisiones por escrito.  
4.	Asistir a pre juntas ICETEX y pre juntas con el Ministerio de Educación Nacional, además de las sesiones de Junta Directiva y de los Comités de Apoyo de la Junta Directiva donde la Secretaría General tiene funciones específicas.  
5.	Revisar los documentos de diferentes áreas de la Entidad, relacionados con los temas y documentos técnicos que se someten a consideración de la Junta Directiva y de los Comités de Apoyo de la Junta Directiva donde la Secretaría General tiene funciones específicas, así como solicitar los ajustes necesarios, cuando a ello hubiere lugar.  
6.	Realizar seguimiento y dar impulso a los diferentes requerimientos relativos con asuntos de la Junta Directiva emitidos por las áreas internas de la Entidad, así como las solicitudes de los miembros de Junta Directiva.  
7.	Revisar la documentación correspondiente a solicitudes de vigencias futuras que requieren aprobación de la Junta Directiva y del Presidente del ICETEX de conformidad al procedimiento definido en el Estatuto de Presupuesto.  
8.	Ejercer las funciones de enlace con la Junta Directiva y de los Comités de Apoyo en los que la Secretaría General ejerza la secretaría técnica para gestionar los requerimientos logísticos que sean necesarios para el adecuado funcionamiento de las sesiones, así como velar por el cumplimiento en el pago de los Honorarios y Comisiones que sean requeridas por cada uno de los miembros de Junta Directiva en el desarrollo de sus actividades.
9.	Las demás que le sean solicitadas por la supervisión del contrato y que tengan relación con el objeto contractual. 
</t>
  </si>
  <si>
    <t>20243030000415-I Id: 4086159</t>
  </si>
  <si>
    <t>13.72</t>
  </si>
  <si>
    <t>2024-0083</t>
  </si>
  <si>
    <t>CD-084-2024</t>
  </si>
  <si>
    <t>MARTHA ROCIO BARRERO MURCIA</t>
  </si>
  <si>
    <t>CDEF-184-2024</t>
  </si>
  <si>
    <t>20243030000414-I Id: 4086155</t>
  </si>
  <si>
    <t>11.120</t>
  </si>
  <si>
    <t>2024-0084</t>
  </si>
  <si>
    <t>CD-085-2024</t>
  </si>
  <si>
    <t>DAIHANA ANGELICA RODRIGUEZ CASALLAS</t>
  </si>
  <si>
    <t xml:space="preserve">PRESTACIÓN DE SERVICIOS PROFESIONALES ESPECIALIZADOS PARA ARTICULAR ESTRATÉGICAMENTE EL CIERRE MENSUAL DE LA CARTERA, DEFINICIÓN Y DOCUMENTACIÓN DE REQUERIMIENTOS FUNCIONALES Y NO FUNCIONALES, ASÍ COMO METODOLOGÍAS PARA LA GESTIÓN DEL CONOCIMIENTO DEL ICETEX.  </t>
  </si>
  <si>
    <t>CDEF-301-2024</t>
  </si>
  <si>
    <t>Ejecutar las actividades tendientes al cumplimiento del cierre de cartera de la Entidad,
atendiendo los procedimientos adoptados por la administración de cartera.
2. Proponer y ejecutar actividades de mejora para la gestión del grupo de operaciones e
identificar las necesidades de estructuración e implementación de cambios.
3. Asegurar la correcta liquidación de los saldos de las obligaciones, generando información
confiable del cierre de cartera de la Entidad.
4. Analizar y ajustar las interfaces, diferencias, reportes u otros, para la correcta ejecución del
cierre de cartera.
5. Realizar conciliaciones en desarrollo de los procesos del Grupo de Operaciones; así mismo
informar a las áreas interesadas.
6. Generar informe del cierre de cartera y de la conciliación, indicando como mínimo avances,
estado y pendientes por ejecutar.
7. Identificación de las necesidades de requerimientos funcionales y no funcionales para la
mejora del àrea.
8. Participación en las pruebas de los requerimientos técnicos, con el fin de asegurar que cumpla
con la necesidad establecida para el área.
9. Seguimiento de cumplimiento de los cronogramas establecidos desde la entrega del
documento para su desarrollo hasta su puesta en producción; así mismo monitoreo de los
requerimientos puestos en producción, identificando su correcta funcionalidad.
10. Identificación y análisis de información de la cartera como insumo para la atención de los
requerimientos internos y externos, para toma de decisiones.
11. Responder a los requerimientos internos y externos en el tiempo establecido.
12. Acudir a las reuniones citadas para la supervisión del contrato o que estén relacionadas con
el objeto del mismo.</t>
  </si>
  <si>
    <t>20243030000412-I Id: 4086152</t>
  </si>
  <si>
    <t>10.5</t>
  </si>
  <si>
    <t>2024-0085</t>
  </si>
  <si>
    <t>CD-086-2024</t>
  </si>
  <si>
    <t>LEADY CAROLINA RIPE HERNANDEZ</t>
  </si>
  <si>
    <t>CDEF-198-2024</t>
  </si>
  <si>
    <t xml:space="preserve"> </t>
  </si>
  <si>
    <t xml:space="preserve">OBLIGACIONES ESPECÍFICAS DEL CONTRATISTA	1.	Proyectar los formatos, convenios, contratos, reglamentos operativos y demás documentos concernientes con la constitución de nuevos fondos a cargo de la Vicepresidencia de Fondos en Administración.  
2.	Revisar los otrosí, y demás documentos necesarios para la correcta ejecución de los fondos a cargo de la Vicepresidencia de Fondos en Administración. 
3.	Proyectar las respuestas de peticiones internas y externas, actos administrativos, que le sean requeridos y que guarden relación con los procesos a cargo de la Vicepresidencia de Fondos en Administración. 
4.	Proyectar los estudios y documentos previos de los procesos contractuales requeridos en la Vicepresidencia de Fondos en Administración, de acuerdo con la normatividad en materia de contratación aplicables a EL ICETEX. 
5.	Apoyar la supervisión de los contratos y/o convenios que le sean asignados, relacionados con el objeto contractual. 
6.	Incorporar a los expedientes de los fondos y las carpetas compartidas de la Vicepresidencia de Fondos en Administración la información que surja en el desarrollo del objeto contractual y hacer correcto uso de estas. 
7.	Asistir y/o participar en los comités, mesas de trabajo y demás reuniones relacionadas con el objeto contractual. 
8.	Garantizar la confidencialidad, reserva y privacidad de la información que por razón de sus actividades deba manejar en desarrollo del contrato.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</si>
  <si>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20243030000418-I Id: 4086184</t>
  </si>
  <si>
    <t>10.8</t>
  </si>
  <si>
    <t>2024-0086</t>
  </si>
  <si>
    <t>CD-087-2024</t>
  </si>
  <si>
    <t>NATALIA OSORIO VEGA</t>
  </si>
  <si>
    <t>PRESTAR SUS SERVICIOS PROFESIONALES APOYANDO LA GESTIÓN FINANCIERA Y PRESUPUESTAL A CARGO DE LA VICEPRESIDENCIA DE FONDOS EN ADMINISTRACIÓN, ASÍ COMO LAS ACTIVIDADES ADMINISTRATIVAS RELACIONADAS CON LAS MISMAS</t>
  </si>
  <si>
    <t>CDEF-194-2024</t>
  </si>
  <si>
    <t xml:space="preserve">1.	Revisar y validar las órdenes de pago requeridas en los fondos administrados por la Vicepresidencia de Fondos en Administración.
2.	Apoyar la revisión de las cuentas de cobro asociadas al presupuesto a cargo de la Vicepresidencia de Fondos en Administración.
3.	Realizar monitoreo y seguimiento a la gestión presupuestal y financiera de la Vicepresidencia de Fondos en Administración.
4.	Apoyar la generación de Informes, proyecciones y respuestas requeridas, en el marco del objeto contractual.
5.	Apoyar la solicitud de Certificados de Disponibilidad Presupuestal o liberación de recursos, cuando le sea requerido.
6.	Apoyar los trámites administrativos relacionados con la supervisión de los contratos a cargo de la Vicepresidencia de Fondos en Administración en las diferentes herramientas dispuestas para tal efecto. 
7.	Incorporar a los expedientes de los fondos y las carpetas compartidas de la Vicepresidencia de Fondos en Administración la información que surja en el desarrollo del objeto contractual y hacer correcto uso de estas.
8.	Garantizar la confidencialidad, reserva y privacidad de la información que por razón de sus actividades deba manejar en desarrollo del contrato. 
9.	Asistir y/o participar en los comités, mesas de trabajo y demás reuniones relacionadas con el objeto contractual.
10.	Las demás asignadas por el supervisor y que tengan relación con el objeto del presente contrato.
</t>
  </si>
  <si>
    <t>20243030000419-I Id: 4086188</t>
  </si>
  <si>
    <t>11.133</t>
  </si>
  <si>
    <t>2024-0087</t>
  </si>
  <si>
    <t>CD-088-2024</t>
  </si>
  <si>
    <t>NICOLAS LOPEZ DEL RIO</t>
  </si>
  <si>
    <t xml:space="preserve">PRESTACIÓN DE SERVICIOS TÉCNICOS DE APOYO PARA EL TRÁMITE DE ACTIVIDADES ADMINISTRATIVAS PROPIAS DEL ICETEX. </t>
  </si>
  <si>
    <t>CDEF-303-2024</t>
  </si>
  <si>
    <t>REMUNERACIÓN SERVICIOS TÉCNICOS - VOT</t>
  </si>
  <si>
    <t>IG312001020510014</t>
  </si>
  <si>
    <t>ANALISTA GRADO 04 GRUPO DE SISTEMAS DE INFORMACIÓN</t>
  </si>
  <si>
    <t xml:space="preserve">Apoyar las actividades administrativas de la conciliación de recaudos aplicados en la cartera de la Entidad. 
2. Apoyar las actividades de depuración y aplicación de recaudos rechazados.
3. Apoyar la identificación de partidas CARO de la información recibida de la dirección de tesorería.
4. Apoyar la extracción de los recaudos del aplicativo Apoteosys al aplicativo Core (SM, Signature).
5. Apoyar en la generación de la base para el envío del mailing a los beneficiarios. 
6. Generar informe de la conciliación mensual, indicando como mínimo avances, estado y pendientes por ejecutar. 
7.	Apoyar en la respuesta de los requerimientos internos y externos en el tiempo establecido correspondientes al Grupo de Operaciones; así como PQRS, SIC, defensor del consumidor financiero u otros. 
8.	Acudir a las reuniones citadas para la supervisión del contrato o que estén relacionadas con el objeto de este. 
9. Las demás que sean asignadas por la supervisión del contrato.
</t>
  </si>
  <si>
    <t>20243030000410-I Id: 4086150</t>
  </si>
  <si>
    <t>11.162</t>
  </si>
  <si>
    <t>2024-0088</t>
  </si>
  <si>
    <t>CD-089-2024</t>
  </si>
  <si>
    <t>HUGO OSPINA RUIZ</t>
  </si>
  <si>
    <t>PRESTACIÓN DE SERVICIOS PROFESIONALES ESPECIALIZADOS PARA EL DESARROLLO DE LAS ACTIVIDADES DE CONCILIACIÓN DE LA CARTERA Y/O CONTABLES RELACIONADAS CON LA GESTIÓN DE OPERACIONES DEL ICETEX</t>
  </si>
  <si>
    <t>CDEF-305-2024</t>
  </si>
  <si>
    <t xml:space="preserve">Realizar las conciliaciones de la cartera del ICETEX, según las necesidades y actividades tendientes al cumplimiento de los procedimientos de Administración de la Cartera. 
2.	Asegurar el cierre de la conciliación asignada, con el mínimo de diferencias; así mismo que se vea reflejado en la cartera como en la contabilidad cuando este se requiera o según lo establecido en los convenios del ICETEX. 
3.	Gestionar actividades de mejora para la conciliación de la cartera e IES e identificar las necesidades de estructuración e implementación de cambios en la operación. 
4.	Reportar situaciones evidenciadas en la cartera que estén generando inconsistencias y realizar seguimiento a los requerimientos tecnológicos u otros, hasta su solución requerida. 
5.	Responder a los requerimientos internos y externos en el tiempo establecido de la gestión del grupo de operaciones. 
6.	Acudir a las reuniones citadas para la supervisión del contrato o que estén relacionadas con el objeto de este
</t>
  </si>
  <si>
    <t>20243030000411-I Id: 4086151</t>
  </si>
  <si>
    <t>9.34</t>
  </si>
  <si>
    <t>2024-0089</t>
  </si>
  <si>
    <t>CD-090-2024</t>
  </si>
  <si>
    <t>ANGELICA ESPERANZA CARBONELL GARCIA,</t>
  </si>
  <si>
    <t>PRESTAR SERVICIOS PROFESIONALES ESPECIALIZADOS PARA IDEAR Y EJECUTAR ALTERNATIVAS DE APOYO FINANCIERO, DE ESTUDIO Y POLÍTICAS DE CRÉDITO EDUCATIVO Y/O DESARROLLO DE NUEVOS PRODUCTOS, SERVIR DE ARTICULADORA EN LOS PROYECTOS DE TRANSFORMACIÓN E INNOVACIÓN CON IMPACTO EN EL ÁREA</t>
  </si>
  <si>
    <t>CDEF-131-2024</t>
  </si>
  <si>
    <t>IG 312001020600012</t>
  </si>
  <si>
    <t xml:space="preserve">1.	Actualizar el plan anual de trabajo detallando las actividades a realizar, hitos, cronograma y seguimiento para el logro de los objetivos de los proyectos asignados.
2.	Realizar los análisis requeridos para la creación, desarrollo, transformación y mejora de alternativas de apoyo financiero dirigidas a beneficiarios del ICETEX.
3.	Efectuar la definición de las reglas de negocio de cada uno de los nuevos proyectos y medidas a ejecutar por medio de sesiones con las diferentes áreas involucradas, para el levantamiento de los parámetros necesarios de los proyectos a cargo.
4.	Efectuar el trámite y gestión de los aspectos requeridos para la ejecución de las medidas y proyectos a cargo.
5.	Participar en la creación y ejecución de campañas de socialización, transferencia de conocimiento y adopción del cambio de modificaciones de las medidas y proyectos a cargo. 
6.	Acompañar el seguimiento a la ejecución de alternativas de apoyo financiero, en articulación con las diferentes áreas involucradas.
7.	Servir de enlace como articulador en los espacios institucionales de creación, adopción, integración y ejecución de proyectos de innovación y transformación digital transversales con impacto en el área y promover la participación del área en las actividades de ideación, creación o gestión del conocimiento sobre los mismos.
8.	Presentar los informes técnicos requeridos por el supervisor para sustentar la toma de decisiones que deba adoptar el ICETEX.
9.	Apoyar a la Vicepresidencia en los temas que se deban llevar a Junta Directiva.
10.	Las demás que sean inherentes a la naturaleza del contrato, así como observar las recomendaciones dadas por el Supervisor del mismo para asegurar el cumplimiento de la finalidad del contrato.
</t>
  </si>
  <si>
    <t>OSCAR GUTIERREZ</t>
  </si>
  <si>
    <t>20243030000425-I Id: 4086205</t>
  </si>
  <si>
    <t>3.3</t>
  </si>
  <si>
    <t>2024-0090</t>
  </si>
  <si>
    <t>CD-091-2024</t>
  </si>
  <si>
    <t>MARTHA ADRIANA CATALINA BALLESTEROS SANCHEZ</t>
  </si>
  <si>
    <t>PRESTAR LOS SERVICIOS PROFESIONALES JURÍDICOS ESPECIALIZADOS PARA ATENDER LA ACTIVIDAD JURÍDICA DEL ICETEX, DIRIGIDO A LA IMPLEMENTACIÓN DE LA DEFENSA JURÍDICA DE LA ENTIDAD EN ACCIONES DE TUTELA.</t>
  </si>
  <si>
    <t>CDEF-034-2024</t>
  </si>
  <si>
    <t>IG312001020220012</t>
  </si>
  <si>
    <t>20243030000426-I Id: 4086212</t>
  </si>
  <si>
    <t>4.165</t>
  </si>
  <si>
    <t>2024-0091</t>
  </si>
  <si>
    <t>CD-092-2024</t>
  </si>
  <si>
    <t>KAREE MARGARITA BUITRAGO CALDERÓN</t>
  </si>
  <si>
    <t>PRESTAR SERVICIOS PROFESIONALES ESPECIALIZADOS PARA LA COORDINACIÓN, DESARROLLO Y EJECUCIÓN DEL PLAN COMERCIAL DE LA TERRITORIAL NORTE QUE FOMENTE LA REGIONALIZACIÓN DEL PORTAFOLIO DE SERVICIOS DE LCETEX, EN ARTICULACIÓN CON LA OFICINA COMERCIAL Y DE MERCADEO DEL NIVEL CENTRAL</t>
  </si>
  <si>
    <t>BARRANQUILLA</t>
  </si>
  <si>
    <t>CDEF-318-2024</t>
  </si>
  <si>
    <t>TERRITORIAL_NORTE</t>
  </si>
  <si>
    <t>ASESOR TERRITORIAL ZONA NORTE</t>
  </si>
  <si>
    <t xml:space="preserve">1.	Proponer e implementar iniciativas que propendan la consecución de los metas comerciales de la Territorial a nivel de las Instituciones de Educación Superior, grupos de Interés y entes territoriales.
2.	Coordinar, apoyar, gestionar y garantizar la debida y oportuna ejecución de las actividades del plan comercial de la Territorial por parte del equipo de contratistas comerciales.
3.	Apoyar la supervisión a nivel territorial de la operación del contratista operador de servicio al cliente y plantear recomendaciones para la mejora del servicio que presta ICETEX en las diferentes comunidades participantes en sus programas e iniciativas.
4.	Apoyar la supervisión de los convenios y contratos a cargo de la territorial. 
5.	Apoyar los procesos de capacitación y supervisión de las actividades comerciales y administrativas a ejecutar por parte de los contratistas comerciales a cargo de la territorial.
6.	Implementar iniciativas de acompañamiento a los proyectos de vida de los estudiantes en la territorial Norte, para promover el acceso, permanencia y graduación en la educación superior de calidad.
7.	Participar en los escenarios de discusión con grupos de interés de ICETEX para posteriormente analizar las recomendaciones y proponer iniciativas para su implementación en la Entidad, en el marco de los programas de la Planeación Estratégica.
8.	Coordinar, participar y trabajar en conjunto con las dependencias de la entidad y actores externos en la implementación de las propuestas y estrategia comerciales y administrativas que sean acogidas por la dirección de ICETEX, tendientes al cumplimiento de las metas comerciales y mejora en la operación de servicio al cliente.
9.	Apoyar y/o participar en los comités de evaluación, operativos y/o juntas administradoras de los convenios a cargo de la territorial.   
10.	Participar en la ejecución de estrategias comerciales para la regionalización del portafolio de Icetex con el propósito de incrementar el alcance y la cobertura de la entidad en los municipios apartados categorizados como intermedio, rural y rural disperso; para el cumplimiento de las metas comerciales asignadas a la territorial.    
11.	Ejecutar actividades de promoción del portafolio de servicios de Icetex, en forma presencial y/o virtual, con los aliados asignados por su supervisor con el propósito de cumplir la meta establecida. 
12.	Apoyar a la entidad en la consecución, definición e implementación de alianzas territoriales que permitan complementar las iniciativas o acciones definidas por ICETEX para el territorio asignado.
13.	Realizar las gestiones administrativas de la actividad comercial mediante la consolidación, actualización y registro de la información y documentación soporte.
14.	Desplazarse a las diferentes ciudades del país, en caso de ser necesario para la debida ejecución del contrato, previa coordinación con el supervisor.
15.	Realizar el debido proceso de gestión documental y envío al archivo único de la entidad de las actividades delegadas a su cargo, al igual que la presentación de los informes requeridos derivados de la ejecución presente contrato.
16.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17.	Las demás que sean inherentes para el logro del objeto contratado, asignadas por el supervisor del contrato.
</t>
  </si>
  <si>
    <t>20243030000417-I Id: 4086169</t>
  </si>
  <si>
    <t>4.135</t>
  </si>
  <si>
    <t>2024-0092</t>
  </si>
  <si>
    <t>CD-093-2024</t>
  </si>
  <si>
    <t>JOHN FABIO RUEDA CARDONA</t>
  </si>
  <si>
    <t>PRESTAR SERVICIOS PROFESIONALES ESPECIALIZADOS PARA LA COORDINACIÓN, DESARROLLO Y EJECUCIÓN DEL PLAN COMERCIAL DE LA TERRITORIAL NOROCCIDENTE QUE FOMENTE LA REGIONALIZACIÓN DEL PORTAFOLIO DE SERVICIOS DE ICETEX, EN ARTICULACIÓN CON LA OFICINA COMERCIAL Y DE MERCADEO DEL NIVEL CENTRAL.</t>
  </si>
  <si>
    <t>CDEF-167-2024</t>
  </si>
  <si>
    <t xml:space="preserve">1.	Proponer e implementar iniciativas que propendan la consecución de los metas comerciales de la Territorial a nivel de las Instituciones de Educación Superior, grupos de Interés y entes territoriales. 
2.	Coordinar, apoyar, gestionar y garantizar la debida y oportuna ejecución de las actividades del plan comercial de la Territorial por parte del equipo de contratistas comerciales. 
3.	Apoyar la supervisión a nivel territorial de la operación del contratista operador de servicio al cliente y plantear recomendaciones para la mejora del servicio que presta ICETEX en las diferentes comunidades participantes en sus programas e iniciativas. 
4.	Apoyar la supervisión de los convenios y contratos a cargo de la territorial.  
5.	Apoyar los procesos de capacitación y supervisión de las actividades comerciales y administrativas a ejecutar por parte de los contratistas comerciales a cargo de la territorial.  
6.	Implementar iniciativas de acompañamiento a los proyectos de vida de los estudiantes en la Territorial, para promover el acceso, permanencia y graduación en la educación superior de calidad. 
7.	Participar en los escenarios de discusión con grupos de interés de ICETEX para posteriormente analizar las recomendaciones y proponer iniciativas para su implementación en la Entidad, en el marco de los programas de la Planeación Estratégica. 
8.	Coordinar, participar y trabajar en conjunto con las dependencias de la entidad y actores externos en la implementación de las propuestas y estrategia comerciales y administrativas que sean acogidas por la dirección de ICETEX, tendientes al cumplimiento de las metas comerciales y mejora en la operación de servicio al cliente. 
9.	Apoyar y/o participar en los comités de evaluación, operativos y/o juntas administradoras de los convenios a cargo de la territorial.    
10.	Participar en la ejecución de estrategias comerciales para la regionalización del portafolio de Icetex con el propósito de incrementar el alcance y la cobertura de la entidad en los municipios apartados categorizados como intermedio, rural y rural disperso; para el cumplimiento de las metas comerciales asignadas a la territorial.     
11.	Ejecutar actividades de promoción del portafolio de servicios de ICETEX, en forma presencial y/o virtual, con los aliados asignados por su supervisor con el propósito de cumplir la meta establecida.  
12.	Apoyar a la entidad en la consecución, definición e implementación de alianzas territoriales que permitan complementar las iniciativas o acciones definidas por ICETEX para el territorio asignado. 
13.	Realizar las gestiones administrativas de la actividad comercial mediante la consolidación, actualización y registro de la información y documentación soporte. 
14.	Desplazarse a las diferentes ciudades del país, en caso de ser necesario para la debida ejecución del contrato, previa coordinación con el supervisor. 
15.	Realizar el debido proceso de gestión documental y envío al archivo único de la entidad de las actividades delegadas a su cargo, al igual que la presentación de los informes requeridos derivados de la ejecución presente contrato. 
16.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17.	Las demás que sean inherentes para el logro del objeto contratado, asignadas por el supervisor del contrato.
18.	Cumplir con los indicadores de gestión establecidos
</t>
  </si>
  <si>
    <t>20243030000124-I Id: 4085574</t>
  </si>
  <si>
    <t>4.53</t>
  </si>
  <si>
    <t>2024-0093</t>
  </si>
  <si>
    <t>CD-094-2024</t>
  </si>
  <si>
    <t>FREDY ROBERTO LOPEZ ALONSO</t>
  </si>
  <si>
    <t>PRESTAR SERVICIOS PROFESIONALES ESPECIALIZADOS PARA REALIZAR SEGUIMIENTO , DESARROLLO Y EJECUCIÓN DE LA SUPERVISIÓN TÉCNICA AL CONTRATO 2023 - 0704; UT INTERVENTORÍA BOP 2023</t>
  </si>
  <si>
    <t>CDEF-388-2024</t>
  </si>
  <si>
    <t>COORDINADOR(A) GRUPO GESTIÓN ESTRATÉGICA DE PQRSD</t>
  </si>
  <si>
    <t xml:space="preserve">OBLIGACIONES ESPECÍFICAS DEL CONTRATISTA	1.	Poner a disposición de ICETEX su capacidad profesional, experiencia y conocimientos, para apoyar a la coordinación del Grupo de Gestión Estratégica de PQRSD en el acompañamiento o apoyo a la supervisión del contrato 2023-0704 con la empresa UT Interventoría BPO 2023.
2.	Velar por los intereses de ICETEX frente a la firma de Interventoría y realizar el apoyo a la supervisión en la elaboración y acuerdos de los entregables y fechas de gestión dentro de las etapas de ejecución del contrato, acordando planes de trabajo y cronogramas de actividades de conformidad con todos los documentos que conforman los expedientes contractuales del contrato de Interventoría; el cual deberá ser aprobado por la coordinación del Grupo de Grupo de Gestión Estratégica de PQRSD, área designada como supervisora del objeto contractual. 
3.	Disponer las herramientas y estrategias, necesarias y acordes, para apoyar en la labor de adelantar las auditorias y las actividades de seguimiento y control que se acuerden o proponga la UT Interventoría BPO 2023 - contrato 2023-0704. 
4.	Ejecutar el acompañamiento a la ejecución de las acciones de mejora y demás actividades que se desprenden del contrato 2023-0704, en el marco del apoyo a la supervisión. 
5.	Contribuir a la supervisión del contrato 2023-0704 con la empresa UT Interventoría BPO 2023 sugiriendo acciones de mejora, en aras que se ejecute en debida forma el seguimiento técnico, administrativo, financiero, contable y jurídico objeto de la interventoría al contrato de Atención al Usuario.
6.	Realizar acompañamiento en la revisión de los diferentes informes presentados por la empresa UT Interventoría BPO 2023 correspondientes al seguimiento técnico, administrativo, financiero, contable y jurídico se enmarquen en los estudios previos, los anexos de especificaciones técnicas y de recursos humanos y el contrato 2023-0704. 
7.	Apoyar en la validación mensual del personal requerido en el contrato 2023-0704. El alcance de esta obligación incluye constatar periódicamente el cumplimiento de todas las obligaciones establecidas en la legislación laboral vigente en materia de seguridad social y las demás establecidas en el anexo de recursos humanos, junto con los documentos necesarios para comprobar el que se cumple el ofrecimiento realizado por la UT Interventoría BPO 2023 y por el cual recibió puntaje en la ponderación de su propuesta. 
8.	Brindar el apoyo y aportar su experticia en la construcción de las propuestas para la atención de las acciones correctivas, de mejora o planes de acción que en desarrollo de las actividades que realice la UT Interventoría BPO 2023 al contrato del proveedor de atención al usuario. 
9.	Acompañar en el seguimiento a la UT Interventoría BPO 2023 - contrato 2023-0704, del cumplimiento de todos los ofrecimientos realizados y por los cuales recibió puntaje en la ponderación de su propuesta, tales como la disponibilidad del Coordinador técnico adicional al equipo mínimo requerido y Capacitación en la Norma COPC CX para Organizaciones de Gestión de Vendors (VMOs, entre otras. 
10.	Apoyar en la verificación del cumplimiento de la periodicidad y completitud del contenido requerido, en la presentación de los informes estipulados contractualmente para la UT Interventoría BPO 2023 - contrato 2023-0704. 
11.	Apoyar en la validación de los informes presentados por la UT Interventoría BPO 2023 - contrato 2023-0704, los demás documentos requeridos y elaborar el certificado de recibo a satisfacción; así mismo de de ser procedente, proponer a la supervisión del contrato aplicar los descuentos en el pago por no cumplimiento de acuerdo de niveles de servicio. 
12.	Participar en las reuniones requeridas por ICETEX, así como articularse, con las dependencias o terceros en el marco de la supervisión a la UT Interventoría BPO 2023 - contrato 2023-0704. 
13.	Apoyar a la supervisión del contrato sobre los actos o conductas irregulares o ilícitas de los cuales tenga conocimiento, que sean realizados por cualquier persona relacionada con la UT Interventoría BPO 2023 - contrato 2023-0704.
14.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15.	Las demás que sean inherentes para el logro del objeto contratado, asignadas por el supervisor del contrato.
</t>
  </si>
  <si>
    <t>20243030000437-I Id: 4086254</t>
  </si>
  <si>
    <t>4.10</t>
  </si>
  <si>
    <t>2024-0094</t>
  </si>
  <si>
    <t>CD-095-2024</t>
  </si>
  <si>
    <t>PAOLA ANDREA ACOSTA CABRALES</t>
  </si>
  <si>
    <t>PRESTAR SERVICIOS PROFESIONALES ESPECIALIZADOS PARA DIRIGIR Y PROPONER LA EJECUCIÓN DE ACTIVIDADES ASOCIADAS AL DESARROLLO, SEGUIMIENTO, CONTROL Y ASEGURAMIENTO DE LOS PROYECTOS DE MEJORA CONTINUA QUE LE SEAN ASIGNADOS EN EL MARCO DE LOS PROCESOS DE LA OFICINA COMERCIAL Y DE MERCADEO Y SUS DIFERENTES EQUIPOS DE TRABAJO</t>
  </si>
  <si>
    <t>CDEF-093-2024</t>
  </si>
  <si>
    <t xml:space="preserve">
1.	Elaborar y suscribir conjuntamente con el supervisor del contrato el plan de trabajo y cronograma de actividades, que permitan identificar los entregables y fechas a realizar durante su ejecución. 
2.	Identificar proyectos ejecutados y procesos establecidos que impacten la operación de atención a los grupos de interés del ICETEX, estableciendo acciones para la optimización de la prestación del servicio. 
3.	Establecer y asegurar la planeación, desarrollo, ejecución, seguimiento y control de los proyectos que le sean asignados, de acuerdo con los lineamientos dados por la supervisión del contrato.
4.	Garantizar la ejecución de las acciones necesarias (riesgo, cambios, recursos, tiempo, actualizaciones y modificaciones) de los proyectos asociados al aseguramiento y desarrollo del modelo de atención al usuario y automatización de los procedimientos relacionados a la operación con los grupos de interés de la entidad.
5.	Emitir conceptos técnicos en aquellos asuntos que le sean solicitados por la supervisión del contrato, y que estén relacionados con el objeto contractual. 
6.	Ejecutar y apoyar desde el punto de vista técnico, las actividades propias de los procedimientos contractuales y/o poscontractuales que se desarrollen en el ICETEX bajo el modelo de atención 2023-2026.
7.	Realizar labores de acompañamiento en juntas, reuniones o comités, de conformidad con las necesidades de la Entidad y la designación del supervisor del contrato.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Realizar el acompañamiento, gestión y documentación de procesos y procedimientos, indicadores, planes de acción, planes de mejoramiento, reportes, auditorias de calidad, auditorías externas e internas, eventos de riesgos y demás, resultantes del ejercicio de control de los macroprocesos de la Oficina de Comercial y de Mercadeo.
10.	Las demás que sean inherentes para el logro del objeto contratado, asignadas por el supervisor del contrato.
</t>
  </si>
  <si>
    <t>20243030000444-I Id: 4086276</t>
  </si>
  <si>
    <t>13.79</t>
  </si>
  <si>
    <t>2024-0095</t>
  </si>
  <si>
    <t>CD-096-2024</t>
  </si>
  <si>
    <t>WILSON OSWALDO HUERFANO</t>
  </si>
  <si>
    <t>PRESTAR SERVICIOS PROFESIONALES ESPECIALIZADOS EN EL DESARROLLO Y SEGUIMIENTO DE LOS PLANES Y PROYECTOS DE LA POLÍTICA DE GESTIÓN DOCUMENTAL, ASÍ COMO EL APOYO A LA SUPERVISIÓN DE LOS PROCESOS CONTRACTUALES DE GESTIÓN DOCUMENTAL QUE ADELANTE LA ENTIDAD</t>
  </si>
  <si>
    <t>CDEF-457-2024</t>
  </si>
  <si>
    <t>GESTIÓN DOCUMENTAL</t>
  </si>
  <si>
    <t>IG312001020300092</t>
  </si>
  <si>
    <t>COORDINADOR(A) GRUPO DE GESTIÓN DOCUMENTAL</t>
  </si>
  <si>
    <t xml:space="preserve">OBLIGACIONES ESPECÍFICAS DEL CONTRATISTA	1.	Apoyar en el fortalecimiento de la política de Gestión Documental de MIPG a partir de su componente estratégico en las actividades de diseño, planeación, verificación, mejoramiento y sostenibilidad de la gestión documental de entidad, atendiendo los lineamientos del Archivo General de la Nación, Ministerio de Tecnologías de la Información y las Comunicaciones. 
2.	Hacer seguimiento a las actividades de integración, migración cargue de documentos y expedientes, creación de documentos y expedientes electrónicos en el sistema del Sistema de Gestión de Documentos Electrónicos de Archivo – SGDEA de ICETEX.
3.	Asesorar el diseño y administración de los acuerdos de niveles de servicio garantizando el adecuado soporte funcional del Sistema de Gestión Documental Electrónico de archivos - SGDEA. 
4.	Apoyar el proyecto de implementación del Sistema de Gestión Documental Electrónica de Archivos SGDEA en relación a los procesos de integración de los Sistemas de Información de la entidad con el Sistema de Gestión Documental Electrónica de Archivos SGDEA, migración de los Sistemas de Gestión Documental al Sistema de Gestión Documental Electrónica de Archivos SGDEA, cargue de los inventarios documentales de archivos de gestión, carpetas de beneficiarios, títulos valores en el Sistema de Gestión Documental Electrónica de Archivos SGDEA, creación de documentos y conformación de los Expedientes Electrónicos de Archivo para garantizar el cumplimiento de los objetivos de la Gestión Documental con el fin de fortalecer el componente tecnológico. 
5.	Validar que las metas estratégicas de la entidad, en materia de gestión documental, están cubiertas por la implementación, integración y capacitación del SGDEA y definir para cada una de ellas indicadores y métricas específicas que permitan medir la eficacia, eficiencia y calidad respecto del logro o resultado de los objetivos planteados. 
6.	 Prestar apoyo en las actividades dd documentación de las necesidades y apoyar el diseño de los casos de uso o historias de usuario, requeridos para la actualización de los servicios del Sistema de Gestión de Documentos Electrónicos de Archivo – SGDEA. 
7.	Apoyar la elaboración de los estudios previos relacionados con la gestión documental. 
8.	Servir de apoyo a la supervisión de los contratos que le sean asignados y que sean de competencia de la secretaria general y sus grupos internos de trabajo. 
9.	Las demás que le sean asignadas por el supervisor, en el marco del cumplimiento del objeto del contrato. 
</t>
  </si>
  <si>
    <t>20243030000439-I Id: 4086264</t>
  </si>
  <si>
    <t>1.2</t>
  </si>
  <si>
    <t>2024-0096</t>
  </si>
  <si>
    <t>CD-097-2024</t>
  </si>
  <si>
    <t>FEDERICO ZUÑIGA MARINO</t>
  </si>
  <si>
    <t>PRESTAR LOS SERVICIOS PROFESIONALES PARA APOYAR JURÍDICAMENTE LOS ASPECTOS CONTRACTUAL Y LEGALES DE LA OFICINA ASESORA DE COMUNICACIONES.</t>
  </si>
  <si>
    <t>CDEF-148-2024</t>
  </si>
  <si>
    <t>HONORARIOS - ODC</t>
  </si>
  <si>
    <t>IG312001020230012</t>
  </si>
  <si>
    <t>OFICINA_ASESORA_DE_COMUNICACIONES</t>
  </si>
  <si>
    <t>JEFE OFICINA ASESORA DE COMUNICACIONES</t>
  </si>
  <si>
    <t xml:space="preserve">OBLIGACIONES ESPECÍFICAS DEL CONTRATISTA	1.	Apoyar en la elaboración y/o revisión de los estudios y documentos previos sobre los procesos de contratación que deba adelantar la Oficina Asesora de Comunicaciones. 
2.	Apoyar jurídicamente a la Oficina Asesora de Comunicaciones en el seguimiento a la ejecución de los contratos y convenios suscritos por la Entidad, relacionados con la competencia legal.
3.	Apoyar jurídicamente en el diseño e implementación de los procesos y procedimientos a cargo de la Oficina Asesora de Comunicaciones.
4.	Revisar jurídicamente los documentos y/o actos administrativos que se generen o tengan relación con la Oficina Asesora de Comunicaciones y demás asuntos administrativos que le sean asignados por el supervisor del contrato.
5.	Apoyar la supervisión de los contratos que le sean asignados, desde el punto de vista jurídico, de conformidad con lo establecido en el Manual de Contratación de la Entidad.
6.	Asistir a reuniones y/o comités de conformidad con las necesidades de la entidad y la designación del supervisor del contrato. 
7.	Cumplir con los indicadores de gestión establecidos.
8.	Las demás obligaciones que se requieran para el cumplimiento a cabalidad del objeto contractual y que sean inherentes a la naturaleza del contrato.
</t>
  </si>
  <si>
    <t>20242430000440-I Id: 4086267</t>
  </si>
  <si>
    <t>9.24</t>
  </si>
  <si>
    <t>2024-0097</t>
  </si>
  <si>
    <t>CD-099-2024</t>
  </si>
  <si>
    <t xml:space="preserve">JUAN DIEGO ORTIZ HERRERA </t>
  </si>
  <si>
    <t>PRESTAR LOS SERVICIOS DE APOYO TÉCNICO EN EL ANÁLISIS DE SOLICITUDES DE CRÉDITO, PARA REALIZAR LAS VALIDACIONES PROPIAS DEL PROCESO DE OTORGAMIENTO CON LAS DIFERENTES ÁREAS DE LA ENTIDAD.</t>
  </si>
  <si>
    <t>CDEF-137-2024</t>
  </si>
  <si>
    <t xml:space="preserve">
REMUNERACIÓN DE SERVICIOS TÉCNICOS
</t>
  </si>
  <si>
    <t xml:space="preserve">	Apoyar en el análisis, procesamiento y consolidación de las solicitudes registradas por los usuarios para comité de crédito correspondientes a las líneas de crédito del ICETEX.
2.	Apoyar en la elaboración y diseño reportes estadísticos requeridos correspondientes al proceso de seguimiento de otorgamiento, legalización y renovación de créditos o los que se requieran que permitan brindar al área herramientas con el fin de analizar la información para la mejora continua y la optimización en los procesos.
3.	Apoyar en la publicación de los resultados de las solicitudes del comité de crédito.
4.	Realizar pruebas de los procedimientos que le sean asignados con el fin de evitar errores que afecten las solicitudes y la operatividad.
5.	Realizar actualización de las bases de las Instituciones de Educación Superior (IES) y programas en formularios de solicitud y C&amp;ctex a través de caso aranda solicitado al área de tecnología. 
6.	Realizar él envió, consolidación y seguimiento a las respuestas de listas de control y validaciones duales enviados a la Oficina de riesgos y la Oficina de Relaciones Internacionales, así como realizar anulaciones en caso de presentar novedades.
7.	Realizar consolidado de casos especiales presentados al comité de crédito. 
8.	Elaborar y presentar los informes de gestión que se requieran y se relacionen con el cumplimiento del objeto contractual.
9.	Asistir y participar a las reuniones programadas.
10.	Cumplir con los indicadores de gestión establecidos.
11.	Las demás obligaciones que se requieran para el cumplimiento a cabalidad del objeto contractual y que sean inherentes a la naturaleza del contrato.
</t>
  </si>
  <si>
    <t>20243030000442-I Id: 4086272</t>
  </si>
  <si>
    <t>13.86</t>
  </si>
  <si>
    <t>2024-0098</t>
  </si>
  <si>
    <t>CD-100-2024</t>
  </si>
  <si>
    <t>MARIA FERNANDA PIEDRAHITA ALVAREZ</t>
  </si>
  <si>
    <t>PRESTAR SERVICIOS DE APOYO A LA GESTIÓN EN LAS ACTIVIDADES PROPIAS DEL PROCESO DE GESTIÓN DE CORRESPONDENCIA, RELACIONADAS CON LA RADICACIÓN, ALISTAMIENTO PARA ENTREGA Y DISTRIBUCIÓN, DIGITALIZACIÓN, ORGANIZACIÓN Y ARCHIVO DE LAS COMUNICACIONES OFICIALES RECIBIDAS EN EL ICETEX Y ENVIADAS A TRAVÉS DEL SERVICIO POSTAL, EN EL MARCO DE LAS POLÍTICAS DE SERVICIO AL CIUDADANO Y GESTIÓN DOCUMENTAL DEL MIPG.</t>
  </si>
  <si>
    <t>CDEF-456-2024</t>
  </si>
  <si>
    <t>SERVICIOS POSTALES</t>
  </si>
  <si>
    <t xml:space="preserve">IG 311002004006002 </t>
  </si>
  <si>
    <t>COORDINADOR(A) GRUPO DE CORRESPONDENCIA</t>
  </si>
  <si>
    <t xml:space="preserve">1.	Apoyar en el fortalecimiento de la política de Gestión Documental de MIPG a partir de su componente estratégico en las actividades de diseño, planeación, verificación, mejoramiento y sostenibilidad de la gestión documental de entidad, atendiendo los lineamientos del Archivo General de la Nación, Ministerio de Tecnologías de la Información y las Comunicaciones. 
2.	Hacer seguimiento a las actividades de integración, migración cargue de documentos y expedientes, creación de documentos y expedientes electrónicos en el sistema del Sistema de Gestión de Documentos Electrónicos de Archivo – SGDEA de ICETEX.
3.	Asesorar el diseño y administración de los acuerdos de niveles de servicio garantizando el adecuado soporte funcional del Sistema de Gestión Documental Electrónico de archivos - SGDEA. 
4.	Apoyar el proyecto de implementación del Sistema de Gestión Documental Electrónica de Archivos SGDEA en relación a los procesos de integración de los Sistemas de Información de la entidad con el Sistema de Gestión Documental Electrónica de Archivos SGDEA, migración de los Sistemas de Gestión Documental al Sistema de Gestión Documental Electrónica de Archivos SGDEA, cargue 
</t>
  </si>
  <si>
    <t>20243030000470-I Id: 4086308</t>
  </si>
  <si>
    <t>1.1</t>
  </si>
  <si>
    <t>2024-0099</t>
  </si>
  <si>
    <t>CD-101-2024</t>
  </si>
  <si>
    <t>ALEX MAURICIO PINEDA LONDOÑO</t>
  </si>
  <si>
    <t>PRESTAR LOS SERVICIOS PROFESIONALES ESPECIALIZADOS EN COMUNICACIONES PARA GESTIONAR EL DESARROLLO Y EL SEGUIMIENTO DE LAS ESTRATEGIAS DE COMUNICACIONES</t>
  </si>
  <si>
    <t>CDEF-147-2024</t>
  </si>
  <si>
    <t xml:space="preserve"> HONORARIOS - ODC</t>
  </si>
  <si>
    <t xml:space="preserve">1.	Elaborar y desarrollar el plan estratégico de comunicaciones para ejecutar durante la vigencia 2024 de la entidad, con lineamiento de la Oficina Asesora de Comunicaciones.
2.	Revisar todos los contenidos y textos escritos (comunicados, textos para página web, micrositios y Copys de redes sociales) que realice la Oficina Asesora de Comunicaciones.
3.	Realizar la conceptualización y elaboración de campañas de divulgación con el fin de poner en marcha iniciativas que requieran difusión en los distintos canales que maneje la entidad y la Oficina Asesora de Comunicaciones.
4.	Gestionar el relacionamiento con los medios de comunicación para informar a la opinión pública sobre la gestión del ICETEX.
5.	Gestionar el relacionamiento con los públicos de interés del ICETEX con el fin de implementar los planes y/o estrategias de difusión que se interrelacionen directamente con la entidad.
6.	Realizar seguimiento a la gestión administrativa que corresponda a la Oficina Asesora de Comunicaciones del ICETEX.
7.	Asistir a reuniones y/o comités de conformidad con las necesidades de la entidad y la designación del supervisor del contrato.
8.	Cumplir con los indicadores de gestión establecidos.
9.	Apoyar la supervisión de los contratos que le sean asignados, desde el punto de vista técnico y/o administrativo y/o financiero y/o contable, de conformidad con lo establecido en el Manual de Contratación de la Entidad.
10.	Las demás obligaciones que se requieran para el cumplimiento a cabalidad del objeto contractual y que sean inherentes a la naturaleza del contrato
</t>
  </si>
  <si>
    <t>20242430000471-I Id: 4086309</t>
  </si>
  <si>
    <t>13.2</t>
  </si>
  <si>
    <t>2024-0100</t>
  </si>
  <si>
    <t>CD-102-2024</t>
  </si>
  <si>
    <t>JENNY MARISELA GUERRA RIZO</t>
  </si>
  <si>
    <t>PRESTAR LOS SERVICIOS PROFESIONALES A LA SECRETARIA GENERAL EN LAS ACTIVIDADES RELACIONADAS CON EL CONTROL Y SEGUIMIENTO A LA EJECUCIÓN PRESUPUESTAL, ASÍ COMO EN LA GESTIÓN CONTRACTUAL DEL ICETEX.</t>
  </si>
  <si>
    <t>CDEF-225-2024</t>
  </si>
  <si>
    <t>Realizar actividades de control, seguimiento y revisión de aspectos financieros de la Secretaría 
General conforme a los planes institucionales, en el marco de la implementación del proyecto de 
inversión de fortalecimiento organizacional y la implementación de políticas de gestión y desempeño 
a cargo, atendiendo a la normatividad vigente y las disposiciones emitidas por el ICETEX, con el fin de 
contribuir al cumplimiento de las políticas del proyecto de inversión. 
2. Prestar colaboración a las áreas del ICETEX que lo requieran, en la elaboración de estudios previos 
necesarios para la contratación de bienes y servicios necesarios para la implementación de las 
políticas de gestión y desempeño que se encuentran a cargo de la Secretaría General, revisando 
factores selección que permitan identificar la oferta más favorable, desde el punto de vista económico 
y financiero, encaminado a cumplir las actividades planeadas en el Plan Anual de Adquisiciones que 
soporta las metas de la entidad de acuerdo con el objeto contractual. 
3. Efectuar el seguimiento a la ejecución de los recursos asignados a proyectos de inversión y 
funcionamiento del ICETEX, así como proponer aquellas acciones que deban desarrollarse al interior 
del Instituto, para la correcta ejecución de los mismos, en el marco del proyecto de inversión de 
fortalecimiento organizacional. 
4. Apoyar en la elaboración de Certificados de pagos, Certificados de disponibilidad Presupuestal, 
cumplimientos financieros y demás documentos de orden financiero, económico y/o presupuestal que 
sean requeridos para dar continuidad con los procesos de gestión financiera para los procesos de 
Contratación por parte de la Secretaria General.
Código: F451
ESTUDIO PREVIO SIMPLIFICADO
Versión: 3
Fecha: 04/12/2023
Página 7 de 13
5. Hacer seguimiento y control de los aspectos presupuestales del Plan Anual de Adquisiciones y demás 
planes y programas liderados por la Secretaría General, así́como en los aplicativos en que estos se 
soportan, o a otros asuntos relacionados que le sean indicados por la supervisión del contrato 
relacionados con el objeto contractual. 
6. Revisar y dar el visto bueno a los documentos con componentes económico –financiero que se 
generen para firma o visto bueno de la Secretaría General en materia contractual, en el marco del 
respectivo proyecto de inversión. 
7. Prestar apoyo a la Secretaría General en la revisión del componente financiero y económico de los 
procesos de selección de contratistas que se adelanten, y en general de todas las etapas del contrato, 
desde la planeación hasta la liquidación en atención a la política de compras y contratación relacionada 
con el objeto contractual. 
8. Apoyar la supervisión de los contratos y/o convenios que le sean indicados por la supervisión del 
contrato. 
9. Hacer parte de los comités estructuradores y evaluadores de los procesos de selección de contratistas, 
en los aspectos financieros y económicos que le sean indicados, en el marco del objeto contractual. 
10. Asistir a las reuniones a las que sea citado o designado por parte de la Secretaria General, Supervisor 
del Contrato o quien lidere el equipo económico del Despacho.
11. Cumplir con los entregables e indicadores de gestión establecidos 
12. Elaborar y presentar los informes que requieran los entes de control y demás autoridades, además de 
dar trámite a los requerimientos que le sean asignados por su competencia.
13. Las demás que se requieran de acuerdo con la naturaleza del objeto y las obligaciones del contrato</t>
  </si>
  <si>
    <t>11.139</t>
  </si>
  <si>
    <t>2024-0101</t>
  </si>
  <si>
    <t>CD-103-2024</t>
  </si>
  <si>
    <t>STEVEN ALEJANDRO GONZALEZ MORENO</t>
  </si>
  <si>
    <t xml:space="preserve"> PRESTACIÓN DE SERVICIOS PROFESIONALES ESPECIALIZADOS PARA LA GESTIÓN DEL CIERRE MENSUAL DE LA CARTERA Y CONCILIACIÓN DE CUENTAS DE LOS PRODUCTOS DEL PORTAFOLIO DEL ICETEX</t>
  </si>
  <si>
    <t>CDEF-104-2024</t>
  </si>
  <si>
    <t>HONORARIOS VOT</t>
  </si>
  <si>
    <t xml:space="preserve">1.	Ejecutar las actividades tendientes al cumplimiento del cierre de cartera de la Entidad, atendiendo los procedimientos adoptados por el área. 
2.	Proponer y ejecutar actividades de mejora para la gestión de operación de cartera e identificar las necesidades de estructuración e implementación de cambios en la operación. 
3.	Asegurar la correcta liquidación de los saldos de las obligaciones, generando información confiable del cierre de cartera de la Entidad. 
4.	Analizar y ajustar las interfaces, diferencias, reportes u otros, para la correcta ejecución del cierre de cartera. 
5.	Realizar conciliaciones en desarrollo de los procesos del Grupo de Operaciones; así mismo informar a las áreas interesadas. 
6.	Generar informe del cierre de cartera y de la conciliación, indicando como mínimo avances, estado y pendientes por ejecutar. 
7. 	Seguimiento de la ejecución de los planes de mejora del Grupo de Operaciones.
8.	Responder a los requerimientos internos y externos en el tiempo establecido de la gestión del área. 
9.	Acudir a las reuniones citadas para la supervisión del contrato o que estén relacionadas con el objeto de este.
</t>
  </si>
  <si>
    <t>20245080000050-I</t>
  </si>
  <si>
    <t>13.77</t>
  </si>
  <si>
    <t>2024-0102</t>
  </si>
  <si>
    <t>CD-104-2024</t>
  </si>
  <si>
    <t>DIANA ALEXANDRA HERNÁNDEZ NIÑO</t>
  </si>
  <si>
    <t>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t>
  </si>
  <si>
    <t>CDEF-188-2024</t>
  </si>
  <si>
    <t>Brindar orientación a las diferentes áreas en los procesos de liquidación de los Acuerdos Estratégicos que contribuyan al cumplimiento de los objetivos del proyecto de inversión.
2. |Gestionar y apoyar la actividad contractual de acuerdo a los lineamientos establecidos en la entidad.
3. Adelantar los trámites pertinentes de las liquidaciones radicadas por las diferentes áreas relacionadas con los Acuerdos Estratégicos.
4. Recopilar la información y documentación básica y necesaria para el estudio y revisión de las actas de liquidación y/o de cierre de los Acuerdos Estratégicos suscritos por la entidad y que le sean asignados.
5. Revisar el contenido del expediente único y verificar la existencia de los documentos de perfeccionamiento, ejecución, informes de interventoría o supervisión para la liquidación
de los Acuerdos Estratégicos.
6. Emitir las recomendaciones al supervisor respecto de las actas de liquidación y/o actas de cierre de los Acuerdos Estratégicos que le sean asignados.
7. Consolidar la información y emitir los reportes necesarios de las liquidaciones referente a los Acuerdos Estratégicos.
8. Proponer alternativas de control para validar que los plazos establecidos para las liquidaciones se cumplan.
9. Revisar actas, informes, expedientes y demás soportes requeridos para el trámite de las liquidaciones y/o actas de cierre, dando estricta aplicabilidad a los formatos establecidos por la entidad a través del sistema de gestión de calidad.
10. Realizar la revisión de actas, memorandos y demás documentos radicados que le sean
asignados.
11. Cumplir con los indicadores de gestión establecidos.
12. Realizar las revisiones de los trámites asignados en los tiempos establecidos, de acuerdo con los indicadores.
13. Asistir a las reuniones a las que sea citado, previa coordinación con el supervisor del contrato.
14. Las demás asignadas por el supervisor y que tengan relación con el objeto del presente
contrato.</t>
  </si>
  <si>
    <t>20243030000475-I Id: 4086313</t>
  </si>
  <si>
    <t>1.4</t>
  </si>
  <si>
    <t>2024-0103</t>
  </si>
  <si>
    <t>CD-105-2024</t>
  </si>
  <si>
    <t>CATALINA CORTES CARVAJAL</t>
  </si>
  <si>
    <t>PRESTAR LOS SERVICIOS PROFESIONALES PARA LA REALIZACIÓN DE PRODUCCIÓN AUDIOVISUAL PARA LA DIVULGACIÓN DE LA GESTIÓN E INFORMACIÓN DE LA ENTIDAD, DE ACUERDO A LOS LINEAMIENTOS DE LA OFICINA ASESORA DE COMUNICACIONES.</t>
  </si>
  <si>
    <t>CDEF-150-2024</t>
  </si>
  <si>
    <t>IG312001020230012 HONORARIOS - ODC</t>
  </si>
  <si>
    <t xml:space="preserve">1.	Cubrir las actividades asignadas para desarrollar productos audiovisuales interno y externo de del Instituto Colombiano de Crédito Educativo y Estudios Técnicos en el Exterior Mariano Ospina Pérez – ICETEX.
2.	Generar productos periodísticos para difundir a través de diferentes plataformas y canales de la entidad según lo requiera la Oficina Asesora de Comunicaciones.
3.	Desarrollar el registro audiovisual (video y fotografía), edición en alta definición y entrega de productos finales de eventos internos o externos del ICETEX que le sean asignados.
4.	Proponer y poner en marcha formatos audiovisuales para las diferentes necesidades específicas que requiera la Oficina Asesora de Comunicaciones del ICETEX.
5.	Contribuir en la gestión de contenidos informativos que se requiera difundir en medios de comunicación a nivel nacional.
6.	Recopilar y archivar el material audiovisual de las acciones adelantadas por la Oficina Asesora de Comunicaciones.
7.	Asistir a reuniones y/o comités de conformidad con las necesidades de la entidad y la designación del supervisor del contrato 
8.	El contratista deberá contar con los equipos necesarios para el desarrollo del presente contrato, en condiciones eficientes y oportunas. 
9.	Administrar con plena autonomía sus equipos audiovisuales y demás herramientas que se requiera para el desarrollo del objeto, de tal manera que en cualquier eventualidad el ICETEX no se hace responsable de daños o prejuicios.
10.	Ceder los derechos patrimoniales de autor y conexos sobre las obras y documentos sometidos a registro, en cumplimiento de lo establecido en ley 23 de 1982 modificada por la ley 1450 de 2011 y 1520 de 2012.
11.	Cumplir con los indicadores de gestión establecidos.
12.	Las demás obligaciones que se requieran para el cumplimiento a cabalidad del objeto contractual y que sean inherentes a la naturaleza del contrato.
</t>
  </si>
  <si>
    <t>20242430000489-I Id: 4086332</t>
  </si>
  <si>
    <t>4.129</t>
  </si>
  <si>
    <t>2024-0104</t>
  </si>
  <si>
    <t>CD-106-2024</t>
  </si>
  <si>
    <t>ANTHONY COLON HENAO</t>
  </si>
  <si>
    <t>APOYAR LA GESTIÓN ADMINISTRATIVA, COMERCIAL Y OPERATIVA DE LA TERRITORIAL SUROCCIDENTE EN ARTICULACIÓN CON LA OFICINA COMERCIAL Y DE MERCADEO Y, LAS DEMÁS DEPENDENCIAS DEL NIVEL CENTRAL..</t>
  </si>
  <si>
    <t>CDEF-176-2024</t>
  </si>
  <si>
    <t xml:space="preserve">1.	Apoyar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Apoyar en la gestión de arreglos locativos requeridos para la óptima operación de las oficinas de la territorial.
c. Apoyar el proceso de pago de servicios públicos, arrendamientos, administraciones y demás rubros correspondientes a la caja menor a cargo de la territorial. 
d. Apoyar la ejecución del proceso de control, manejo y actualización de inventarios de las oficinas a cargo de la territorial. 
e. Apoyar en la solución oportuna ante las diferentes entidades proveedoras de servicios de las oficinas (servicios públicos, operadores tecnológicos, entre otros) ante las fallas y /o situaciones que afecten la debida operación de la oficina y la continuidad en la atención a los usuarios. 
f. Apoyar en la preparación y presentar de los informes requeridos por las diferentes áreas de la entidad a nivel central. 
2.	Apoyar y ejecutar desde el punto de vista técnico, las actividades propias de los procedimientos precontractuales, contractuales y poscontractuales requeridos en el marco de las contrataciones de bienes y servicios y/o convenios con entidades aliadas que se desarrollen en la territorial Suroccidente,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7.	Brindar apoyo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t>
  </si>
  <si>
    <t>20243030000420-I Id: 4086192</t>
  </si>
  <si>
    <t>13.76</t>
  </si>
  <si>
    <t>2024-0105</t>
  </si>
  <si>
    <t>CD-107-2024</t>
  </si>
  <si>
    <t>CLAUDIA SONIA ZAMBRANO BOGOYA</t>
  </si>
  <si>
    <t>"PRESTAR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t>
  </si>
  <si>
    <t>CDEF-187-2024</t>
  </si>
  <si>
    <t xml:space="preserve">1.	Brindar orientación a las diferentes áreas en los procesos de liquidación de los Acuerdos Estratégicos que contribuyan al cumplimiento de los objetivos del proyecto de inversión.
2.	Gestionar y apoyar la actividad contractual de acuerdo a los lineamientos establecidos en la entidad.
3.	Adelantar los trámites pertinentes de las liquidaciones radicadas por las diferentes áreas relacionadas con los Acuerdos Estratégicos.
4.	Recopilar la información y documentación básica y necesaria para el estudio y revisión de las actas de liquidación y/o de cierre de los Acuerdos Estratégicos suscritos por la entidad y  que le sean asignados. 
5.	Revisar el contenido del expediente único y verificar la existencia de los documentos de perfeccionamiento, ejecución, informes de interventoría o supervisión para la liquidación de los Acuerdos Estratégicos. 
6.	Emitir las recomendaciones al supervisor respecto de las actas de liquidación y/o actas de cierre de los Acuerdos Estratégicos que le sean asignados.
7.	Consolidar la información y emitir los reportes necesarios de las liquidaciones referente a los Acuerdos Estratégicos. 
8.	Proponer alternativas de control para validar que los plazos establecidos para las liquidaciones se cumplan. 
9.	Revisar actas, informes, expedientes y demás soportes requeridos para el trámite de las liquidaciones y/o actas de cierre, dando estricta aplicabilidad a los formatos establecidos por la entidad a través del sistema de gestión de calidad.
10.	Realizar la revisión de actas, memorandos y demás documentos radicados que le sean asignados. 
11.	 Cumplir con los indicadores de gestión establecidos. 
12.	Realizar las revisiones de los trámites asignados en los tiempos establecidos, de acuerdo con los indicadores. 
13.	Asistir a las reuniones a las que sea citado, previa coordinación con el supervisor del contrato. 
14.	Las demás asignadas por el supervisor y que tengan relación con el objeto del presente contrato.
</t>
  </si>
  <si>
    <t>20243030000473-I Id: 4086311</t>
  </si>
  <si>
    <t>10.9</t>
  </si>
  <si>
    <t>2024-0106</t>
  </si>
  <si>
    <t>CD-108-2024</t>
  </si>
  <si>
    <t>YASMIN CADENA GARZÓN,</t>
  </si>
  <si>
    <t xml:space="preserve">PRESTAR SUS SERVICIOS PROFESIONALES EN LA ELABORACIÓN Y REVISIÓN DE DOCUMENTOS, INFORMES, ÓRDENES DE PAGO, COMISIONES Y LAS DEMÁS ACTIVIDADES DE LA GESTIÓN FINANCIERA Y PRESUPUESTAL A CARGO DE LA VICEPRESIDENCIA DE FONDOS EN ADMINISTRACIÓN. </t>
  </si>
  <si>
    <t>CDEF-206-2024</t>
  </si>
  <si>
    <t xml:space="preserve">1.	Apoyar la revisión de documentos financieros y presupuestales; así como la validación de las comisiones de los fondos a cargo de la Vicepresidencia de Fondos en Administración cuando se requiera.
2.	Apoyar la proyección del Informe de ejecución financiera de los fondos a cargo de la Vicepresidencia de Fondos en Administración 
3.	Revisar y registrar las cuentas de cobro generadas por la administración de los fondos a cargo de la Vicepresidencia de Fondos
4.	Proyectar las respuestas internas y externas que le sean requeridos y que guarden relación con los procesos a cargo de la Vicepresidencia de Fondos en Administración.
5.	Apoyar la revisión y trámite de órdenes de pago requeridas en los fondos administrados por la Vicepresidencia de Fondos en Administración.
6.	Garantizar la confidencialidad, reserva y privacidad de la información que por razón de sus actividades deba manejar en desarrollo del contrato. 
7.	Incorporar a los expedientes de los fondos y las carpetas compartidas de la Vicepresidencia de Fondos en Administración la información que surja en el desarrollo del objeto contractual y hacer correcto uso de las mismas.
8.	Asistir y/o participar en los comités, mesas de trabajo y demás reuniones relacionadas con el objeto contractual.
9.	Las demás asignadas por el supervisor y que tengan relación con el objeto del presente contrato.
</t>
  </si>
  <si>
    <t>20243030000499-I Id: 4086369</t>
  </si>
  <si>
    <t>4.39</t>
  </si>
  <si>
    <t>2024-0107</t>
  </si>
  <si>
    <t>CD-109-2024</t>
  </si>
  <si>
    <t>NELSON FERNANDO GARZÓN CORREA</t>
  </si>
  <si>
    <t>PRESTAR SERVICIOS PROFESIONALES ESPECIALIZADOS PARA LA IDENTIFICACIÓN DE OPORTUNIDADES DE MEJORA EN LOS PROCESOS Y PROCEDIMIENTOS DE LA ENTIDAD, ASÍ COMO IMPLEMENTAR ESTRATEGIAS QUE PERMITAN AUMENTAR LA EXPERIENCIA Y SATISFACCIÓN DE LOS BENEFICIARIOS, CIUDADANOS E IES EN LOS CANALES DE ATENCIÓN Y GESTIÓN</t>
  </si>
  <si>
    <t>CDEF-383-2024</t>
  </si>
  <si>
    <t xml:space="preserve">1. Elaborar y entregar plan de trabajo y cronograma de actividades para aprobación de la supervisión del contrato, de conformidad con las estipulaciones contractuales.
2. Realizar análisis y diagnósticos del estado de los procesos y procedimientos de la entidad que impacten la radicación de peticiones, quejas, reclamos e identificar las posibles alternativas de solución en los distintos canales de atención.
3. Brindar asesoría en el diseño de estrategias destinadas a garantizar la calidad y oportunidad en la prestación de los servicios de la entidad a través de los distintos canales de atención y gestión, con el objetivo de mejorar la experiencia y satisfacción de los grupos de interés.
4. Realizar seguimiento y control al cumplimiento de acuerdos de servicio definidos en el contrato de atención al usuario 2022-0770 de los distintos canales de atención y gestión implementados por la entidad.
5. Participar en el fortalecimiento de la estrategia de atención de acuerdo con el perfilamiento de beneficiarios y ciudadanos, en consonancia con las características de la población y la clasificación de ciudadanos definida por el Departamento Nacional de Planeación.
6. Prestar asesoría conceptual, operativa y técnica en el desarrollo de la operación el proveedor de atención al usuario del contrato 2022 - 0770 en relación con la implementación de estrategias para la mejora en la experiencia y la satisfacción de los grupos de interés. 
7. Contribuir por medio de conceptos técnicos a la documentación de los procesos y procedimientos de la entidad, asegurando el cumplimiento de indicadores, planes de acción, planes de mejora, informes, auditorías de calidad, auditorías externas e internas, eventos de riesgos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</si>
  <si>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20243030000500-I Id: 4086372</t>
  </si>
  <si>
    <t>4.35</t>
  </si>
  <si>
    <t>2024-0108</t>
  </si>
  <si>
    <t>CD-110-2024</t>
  </si>
  <si>
    <t>ELIZABETH TORRES CASTRO</t>
  </si>
  <si>
    <t>CDEF-382-2024</t>
  </si>
  <si>
    <t xml:space="preserve">1.	Elaborar y entregar plan de trabajo y cronograma de actividades para aprobación de la supervisión del contrato, de conformidad con las estipulaciones contractuales.
2.	Realizar análisis que conduzcan a identificar el estado de los procesos y procedimientos de la entidad que impacten la radicación de peticiones, quejas, reclamos e identificar las posibles alternativas de solución en los distintos canales de atención.
3.	Brindar asesoría en el diseño de estrategias destinadas a garantizar la calidad y oportunidad en la prestación de los servicios de la entidad a través de los distintos canales de atención y gestión, con el objetivo de mejorar la experiencia y satisfacción de los grupos de interés.
4.	Realizar seguimiento y control al cumplimiento de acuerdos de servicio definidos en el contrato de atención al usuario 2022-0770 de los distintos canales de atención y gestión implementados por la entidad.
5.	Participar en el fortalecimiento de la estrategia de atención de acuerdo con el perfilamiento de beneficiarios y ciudadanos, en consonancia con las características de la población y la clasificación de ciudadanos definida por el Departamento Nacional de Planeación.
6.	Prestar asesoría conceptual, operativa y técnica en el desarrollo de la operación el proveedor de atención al usuario del contrato 2022 - 0770 en relación con la implementación de estrategias para la mejora en la experiencia y la satisfacción de los grupos de interés. 
7.	Contribuir por medio de conceptos técnicos a la documentación de los procesos y procedimientos de la entidad, asegurando el cumplimiento de indicadores, planes de acción, planes de mejora, informes, auditorías de calidad, auditorías externas e internas, eventos de riesgos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</si>
  <si>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20243030000501-I Id: 4086373</t>
  </si>
  <si>
    <t>4.56</t>
  </si>
  <si>
    <t>2024-0109</t>
  </si>
  <si>
    <t>CD-111-2024</t>
  </si>
  <si>
    <t>JOSE GIOVANNI PAEZ FORERO</t>
  </si>
  <si>
    <t>PRESTAR SERVICIOS PROFESIONALES ESPECIALIZADOS CON EL FIN DE EJECUTAR ESTRATEGIAS PARA EL MEJORAMIENTO DE LA SATISFACCIÓN DE LOS GRUPOS DE INTERÉS ICETEX (BENEFICIARIOS, CIUDADANOS, IES) EN SUS INTERACCIONES CON LA ENTIDAD.</t>
  </si>
  <si>
    <t>CDEF-379-2024</t>
  </si>
  <si>
    <t>COORDINADOR(A) GRUPO GESTIÓN DEL SERVICIO</t>
  </si>
  <si>
    <t xml:space="preserve">1. Elaborar y entregar plan de trabajo y cronograma de actividades para aprobación de la supervisión del contrato, de conformidad con las estipulaciones contractuales.
2.Crear estrategias, que se encuentran relacionadas con Mejorar la percepción y emociones de los diferentes grupos de interés que interactúan con los productos y servicios del ICETEX. 
3.Identificar necesidades en los procesos de la Entidad que requieran intervención, por su impacto en la Experiencia del Servicio y que permitan obtener una mejora en la calidad de la información del portafolio de productos y servicios, así como una mayor oportunidad en las respuestas brindadas a los beneficiarios, y/o ciudadanos.
4. Proponer y realizar análisis respecto a la medición de satisfacción de los diversos grupos de interés de la Entidad, que incluya, entre otros aspectos, estudios cualitativos y cuantitativos como parte de la medición de la mejora de la experiencia del ciudadano o beneficiario o instituciones de educación superior.
5.Apalancar estrategias que permitan aumentar el porcentaje de recomendación de los grupos de interés frente al ICETEX. 
6.Definir una estrategia de experiencia que permita mejorar el porcentaje de satisfacción de los beneficiarios y/o ciudadanos que interactúan con el ICETEX.
7.Velar por el cumplimiento de los planes de trabajo de los equipos de Voz del cliente y satisfacción que permitan apalancar mejoras en los KPIs de Satisfacción y Recomendación del ICETEX.
8.Implementar y participar en comités de experiencia al usuario, para compartir y divulgar con las áreas misionales de la Entidad, los diferentes "puntos de insatisfacción “estableciendo responsabilidades, acciones de mejora y alineando procesos para el mejoramiento de la experiencia de los grupos de Interés (Beneficiarios, Instituciones de Educación Superior).
9.Participar en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11.Las demás que sean inherentes para el logro del objeto contratado, asignadas por el supervisor del contrato.
</t>
  </si>
  <si>
    <t>20243030000502-I Id: 4086374</t>
  </si>
  <si>
    <t>1.3</t>
  </si>
  <si>
    <t>2024-0110</t>
  </si>
  <si>
    <t>CD-112-2024</t>
  </si>
  <si>
    <t>ALBA BIBIANA AVILA CASTAÑEDA</t>
  </si>
  <si>
    <t>PRESTAR LOS SERVICIOS PROFESIONALES PARA GESTIONAR ACTIVIDADES ADMINISTRATIVAS Y OPERATIVAS QUE SE REQUIERAN LA OFICINA ASESORA DE COMUNICACIONES</t>
  </si>
  <si>
    <t>CDEF-849-2024</t>
  </si>
  <si>
    <t xml:space="preserve">IG312001020230012 </t>
  </si>
  <si>
    <t xml:space="preserve">1.	Brindar apoyo en la ejecución y seguimiento de las actividades que requiera la Oficina Asesora de Comunicaciones.
2.	Apoyar en la proyección de trámites requeridos para el adelantamiento de procesos de contratación de la Oficina Asesora de Comunicaciones en su etapa precontractual, contractual y poscontractual. 
3.	Apoyar en la elaboración y consolidación de informes, reportes, presentaciones y demás documentos administrativos que requiera la Oficina Asesora de Comunicaciones.
4.	Apoyar en la gestión y seguimiento a los aplicativos administrativos encaminados al funcionamiento documental de la dependencia.
5.	Asistir a reuniones y/o comités de conformidad con las necesidades de la entidad y la designación del supervisor del contrato.
6.	Cumplir con los indicadores de gestión establecidos.
7.	Apoyar la supervisión de los contratos que le sean asignados, desde el punto de vista técnico y/o administrativo y/o financiero y/o contable, de conformidad con lo establecido en el Manual de Contratación de la Entidad.
8.	Las demás obligaciones que se requieran para el cumplimiento a cabalidad del objeto contractual y que sean inherentes a la naturaleza del contrato.
</t>
  </si>
  <si>
    <t>20242430000515-I Id: 4086474</t>
  </si>
  <si>
    <t>4.12</t>
  </si>
  <si>
    <t>2024-0111</t>
  </si>
  <si>
    <t>CD-113-2024</t>
  </si>
  <si>
    <t>MAYRA YINETH ASCANIO PEÑALOZA</t>
  </si>
  <si>
    <t>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t>
  </si>
  <si>
    <t>CDEF-095-2024</t>
  </si>
  <si>
    <t xml:space="preserve">1.	Elaborar y suscribir conjuntamente con el supervisor del contrato el plan de trabajo y cronograma de actividades, que permitan identificar los entregables y fechas a realizar durante la ejecución de este. 
2.	Identificar las oportunidades de mejora de los proyectos implementados, contemplando las lecciones aprendidas en las fases anteriores bajo el contrato 2022-0770. 
3.	Plantear soluciones frente a las necesidades identificadas en los proyectos de mejora continua que le sean asignados por la Oficina Comercial y de Mercadeo. 
4.	Garantizar las actividades relacionadas al seguimiento y control de los proyectos de mejora continua que le sean asignados en el marco de los procesos de la Oficina Comercial y de Mercadeo y sus diferentes equipos de trabajo. 
5.	Asegurar la salida a producción y estabilización de los proyectos asignados por la Oficina Comercial y de Mercadeo.   
6.	Apoyar las actividades propuestas por el equipo i3 en el marco del programa estratégico de la Entidad. 
7.	Ejecutar y apoyar desde el punto de vista técnico, las actividades propias de los procedimientos contractuales y/o poscontractuales que se desarrollen en el ICETEX bajo el modelo de atención 2023-2026. 
8.	Realizar labores de acompañamiento en juntas, reuniones o comités, de conformidad con las necesidades de la Entidad y la designación del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</si>
  <si>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20243030000517-I Id: 4086479</t>
  </si>
  <si>
    <t>4.5</t>
  </si>
  <si>
    <t>2024-0112</t>
  </si>
  <si>
    <t>CD-114-2024</t>
  </si>
  <si>
    <t xml:space="preserve">OSCAR JAVIER PINZON VALDEZ  </t>
  </si>
  <si>
    <t>PRESTAR SERVICIOS PROFESIONALES PARA LA EXTRACCION, REVISION, DEPURACION, GENERACION Y MANTENIMIENTO DE INFORMES, PARA EFECTOS DEL SEGUIMIENTO OPERATIVO, GENERACION Y MEDICION DE KPI, EN EL AMRCO DE LAS ACTIVIDADES DE SERVICIO DE ATENCION AL USUARIO Y ACTIVIDADES DE GESTION COMERCIAL, EN EL MARCO DE DESARROLLO DE GESTION DEL GOBIERNO DE DATOS DE LA OFICINA COMERCIAL Y DE MERCADEO</t>
  </si>
  <si>
    <t>CDEF-088-2024</t>
  </si>
  <si>
    <t xml:space="preserve">1.	Elaborar y entregar plan de trabajo y aprobación por parte del supervisor del contrato, de conformidad con las estipulaciones contractuales. 
2.	Medicion y seguimiento de indicadores operativos y KPI de la operación de atencion al usuario. 
3.	Conciliación de datos de los indicadores obtenidos de la Operación de atención a los usuarios, de la atención por los diversos canales, entre lo entregado por el proveedor y lo calculado por Gobierno de datos de Icetex. 
4.	Definición de parámetros para determinar los mecanismos, fuentes metodologías de medición de KPI en concordancia con lo establecido en el contrato de atención al usuario y en conjunto con el equipo operativo de Icetex.  
5.	Brindar insumos a partir de la data obtenida de seguimiento operativo, para la toma de decisiones. 
6.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7.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8.	Presentar, en caso de que aplique, para revisión y aprobación de la supervisión del contrato, propuestas de mejora continua, automatización e innovación de los procesos asociados a la atención de los grupos de interés. 
9.	Brindar acompañamiento en relación con las actividades que le sean asignadas, en el marco de las funciones de la Oficina de Comercial y de Mercadeo.  
10.	Brindar apoyo y asesoría técnica en los comités o reuniones a las que sea convocado y que la Entidad requiera acompañamiento.  
11.	Participar, desde el alcance del objeto y sus obligaciones contractuales, todo el proceso de planeación, implementación y puesta en marcha, de proyectos donde participen una o más dependencias de la Entidad, de acuerdo a lo requerido por el supervisro del contrato. 
12.	Las demás que sean inherentes para el logro del objeto contratado, asignadas por el supervisor del contrato. 
</t>
  </si>
  <si>
    <t>20242430000521-I Id: 4086485</t>
  </si>
  <si>
    <t>4.70</t>
  </si>
  <si>
    <t>2024-0113</t>
  </si>
  <si>
    <t>CD-115-2024</t>
  </si>
  <si>
    <t>LEIDY JOHANNA RODRIGUEZ LOAIZA </t>
  </si>
  <si>
    <t>PRESTAR SERVICIOS PROFESIONALES ESPECIALIZADOS PARA ADMINISTRAR, ESTABLECER Y MONITOREAR LA EVOLUCIÓN DE INICIATIVAS BAJO ESTÁNDARES DE INNOVACIÓN SOCIAL Y EDUCATIVA, COORDINÁNDOSE CON LAS ÁREAS RELEVANTES Y SIGUIENDO EL PLAN ESTRATÉGICO DE LA ENTIDAD Y LA "POLÍTICA DE GUÍA, INFORMACIÓN Y ACOMPAÑAMIENTO</t>
  </si>
  <si>
    <t>CDEF-048-2024</t>
  </si>
  <si>
    <t xml:space="preserve">1. 	Generar el plan de trabajo de “COMUNIDAD ICETEX” de acuerdo con el plan estratégico de ICETEX 2021-2024 y la “Política de Guía, Información y Acompañamiento: Comunidad ICETEX” y realizarle el seguimiento correspondiente de acuerdo con los lineamientos de la entidad.
2.	Contribuir a la identificación y conceptualización de las iniciativas estratégicas, programas, proyectos y actividades enmarcadas en la implementación del programa “COMUNIDAD ICETEX”, sus etapas (antes, durante y después), sus componentes y sus tácticas de entendimiento y desarrollo de habilitadores.
3.	Coordinar la elaboración de las iniciativas estratégicas, programas, proyectos y actividades que le permitan garantizar a la entidad la ejecución de la planeación de acuerdo con el Plan de acción 2024 del programa “COMUNIDAD ICETEX”.
4.	Apoyar la ejecución y realizar seguimiento, monitoreo y control de las iniciativas estratégicas, programas, proyectos y actividades enmarcadas en la implementación del programa “COMUNIDAD ICETEX”, sus etapas (antes, durante y después), sus componentes y sus tácticas de entendimiento y desarrollo de habilitadores.
5.	Liderar el equipo de implementación de las iniciativas estratégicas, programas, proyectos y actividades que se desarrollen en el marco del programa “COMUNIDAD ICETEX”, sus etapas (antes, durante y después), sus componentes y sus tácticas de entendimiento y desarrollo de habilitadores.
6.	Generar alianzas estratégicas con actores clave del sistema de Educación Superior (IES, asociaciones), de empleo, formación, gremios, sector social, sector cultura, sector salud, etc., con el fin de ofrecer alternativas que contribuyan al logro de los objetivos del programa Comunidad ICETEX.
7.	Realizar acompañamiento a las diferentes áreas de la entidad en las iniciativas que tengan relación con el desarrollo de la “Política de Guía, Información y Acompañamiento: Comunidad ICETEX”.
8.	Realizar y presentar los informes que sean definidos por la supervisión del contrato, o a quien está delegue, para efectos de establecer el avance, cumplimiento y correcta ejecución del objeto contractual.
9.	Participar desde el alcance del objeto y sus obligaciones contractuales, en todo el proceso de planeación, implementación y puesta en marcha, de proyectos donde participen una o más dependencias de la entidad.
10.	Brindar acompañamiento en relación con las actividades que le sean asignadas por la supervisión del contrato, en el marco de las necesidades de la entidad y sus dependencias, así como asistir a reuniones de conformidad con las necesidades de la entidad y la designación del supervisor del contrato.
11.	Apoyar y ejecutar desde el punto de vista técnico, las actividades propias de los procedimientos precontractuales, contractuales y pos contractuales, requeridos en el marco de las contrataciones de bienes y servicios o convenios, alianzas y/o acuerdos estratégicos que se desarrollen, y que sean asignados por la supervisión del contrato.
12.	Apoyar la supervisión de los contratos que le sean asignados, desde el punto de vista técnico y/o administrativo y/o financiero y/o contable, de conformidad con lo establecido en el Manual de Contratación de la Entidad.
13.	Las demás obligaciones que se requieran para el cumplimiento a cabalidad del objeto contractual y que sean inherentes a la naturaleza del contrato, previa coordinación con el supervisor.
</t>
  </si>
  <si>
    <t>20243030000520-I Id: 4086484</t>
  </si>
  <si>
    <t>4.49</t>
  </si>
  <si>
    <t>2024-0114</t>
  </si>
  <si>
    <t>CD-116-2024</t>
  </si>
  <si>
    <t>KATHERINE LUCIA GONZÁLEZ HERNÁNDEZ</t>
  </si>
  <si>
    <t>PRESTAR SERVICIOS PROFESIONALES PARA LA GESTIÓN, MEDICIÓN DE RESULTADOS Y ACOMPAÑAMIENTO A LA ESTRATEGIA DE FORMACIÓN Y DE ENTRENAMIENTO DE LOS EQUIPOS DE SERVICIO Y COMERCIAL DE LA OFICINA COMERCIAL Y DE MERCADEO”,</t>
  </si>
  <si>
    <t>CDEF-478-2024</t>
  </si>
  <si>
    <t>20243030000518-I Id: 4086481</t>
  </si>
  <si>
    <t>12.7</t>
  </si>
  <si>
    <t>2024-0115</t>
  </si>
  <si>
    <t>CD-117-2024</t>
  </si>
  <si>
    <t>JUAN CARLOS ROJAS REYES</t>
  </si>
  <si>
    <t>PRESTAR SERVICIOS PROFESIONALES ESPECIALIZADOS EN ANALÍTICA DE DATOS A TRAVÉS DE LA RECOPILACIÓN, ANÁLISIS E LA INTERPRETACIÓN DE LOS MISMOS QUE PERMITAN LA ESTRUCTURACIÓN DE MODELOS Y ESCENARIOS CON EL FIN DE OPTIMIZAR LA ASIGNACIÓN DE RECURSOS PARA LA IMPLEMENTACIÓN DEL PROYECTO PARA LA OPTIMIZACIÓN DE LA ESTRUCTURA PASIVO Y DIVERSIFICACIÓN DE LAS FUENTES DE FONDEO</t>
  </si>
  <si>
    <t>CDEF-212-2024</t>
  </si>
  <si>
    <t xml:space="preserve">
1.	Acompañar la articulación de las diferentes instancias para el desarrollo de estudios, análisis y modelos para la optimización de la gestión de capital circulante, la programación de giros, la estructura del pasivo y las fuentes de fondeo, así como de los procesos que soportan la gestión financiera del instituto. 
2.	Estructurar, verificar y consolidar insumos técnicos, indicadores, e informes que permita la producción de la información que soporten la toma de decisiones, la gestión y administración de recursos, así como la modernización de las funciones financieras del Instituto. 
3.	Estructurar y apoyar la apropiación de procesos, informes e indicadores que permitan mejorar el seguimiento y control de KPI´s (key performance indicators) de la Vicepresidencia Financiera y del Instituto. 
4.	Apoyar en la articulación de las diferentes instancias para la implementación de iniciativas de la Vicepresidencia Financiera con el objetivo de consolidar a adopción de buenas prácticas, lineamientos y estándares en materia de analítica de datos, indicadores y reportes que permitan fortalecer las capacidades operativas y la cultura de control, mitigación de riesgos y eficiencia administrativa. 
5.	Prestar apoyo en la articulación con instancias internas y externas para la implementación lineamientos, estándares y modelos predictivos, en el marco del proyecto de inversión banca abierta y transparente e inhouse banking. 
6.	Colaborar en la gestión, soporte y monitoreo para evaluar la eficacia de los procesos de ejecución financiera como herramienta indispensable para garantizar el cumplimiento de los presupuestos dentro de la operación de Icetex 
7.	Realizar acciones que permitan la simplificación, estandarización y optimización de procesos que soportan la gestión presupuestal, y de desembolsos, en el marco del proyecto de inversión banca abierta y transparente e inhouse banking. 
8.	Apoyar la adopción, despliegue y apropiación de procesos optimizados, flujos de información y política de datos que permiten para la optimización de la gestión de capital circulante, la programación de giros, la estructura del pasivo y las fuentes de fondeo. 
9.	Cumplir con los indicadores de gestión establecidos. 
10.	Las demás obligaciones que se requieran para el cumplimiento a cabalidad del objeto contractual y que sean inherentes a la naturaleza del contrato. 
</t>
  </si>
  <si>
    <t>20243030000522-I Id: 4086486</t>
  </si>
  <si>
    <t>7.4</t>
  </si>
  <si>
    <t>2024-0116</t>
  </si>
  <si>
    <t>CD-118-2024</t>
  </si>
  <si>
    <t>GLORIA ANGELICA MARTIN BELTRAN</t>
  </si>
  <si>
    <t>CDEF-519-2024</t>
  </si>
  <si>
    <t xml:space="preserve">IG312001020250012 </t>
  </si>
  <si>
    <t>Generar conceptos de riesgo operacional y corrupción que requieran las áreas, de
acuerdo con las políticas de la Entidad, normas externas existentes y buenas
prácticas.
2. Analizar los riesgos en los proyectos de la entidad, conceptos o lo que se requiera, para
nuevos productos, procesos y servicios tecnológicos en materia del Riesgo Operativo y
de Corrupción.
3. Apoyar la revisión, monitoreo y análisis de riesgos operacionales y de corrupción para
los procesos de la Entidad, asistiendo a las diferentes áreas del Icetex en el análisis,
acorde con los lineamientos normativos
4. Hacer seguimiento a la generación de Planes de Tratamientos para aquellos riesgos
que resulten con evaluación grave o crítica.
5. Apoyar el análisis y gestionar los eventos de riesgo materializados operacionales y de
corrupción, de acuerdo con la normativa existente y seguimiento de los planes de
acción.
6. Promover una cultura de riesgo operacional, corrupción que incluya actividades de
difusión y capacitación para funcionarios, contratistas y proveedores.
7. Mantener y actualizar las políticas, procedimientos y demás documentos de Riesgo
Operacional y de corrupción, con base en las necesidades de la entidad y los cambios
normativos.
8. Proyectar el Comité de Riesgos y Junta Directiva en los temas de responsabilidad, para
aprobación del supervisor.
9. Analizar los requerimientos de acuerdos estratégicos y/o contratación en materia de
riesgo operacional y corrupción.
10. Atender los requerimientos normativos bajo la ley 1295 de 2022 y demás que se
generen y aquellos que soliciten los Entes de Control y demás entidades que requieran
a la entidad.
11. Asistir y/o participar en las reuniones programadas previo acuerdo con el Supervisor
del contrato.
12. Las demás obligaciones que sean acordes con el objeto contractual asignado por la
supervisión del contrato.
13. Elaborar informes relacionados con la ejecución de su objeto contractual y obligaciones,
cuando le sean solicitados.</t>
  </si>
  <si>
    <t xml:space="preserve">
MIGUEL ANGEL PEREZ GAONA 
</t>
  </si>
  <si>
    <t>20242520000542-I Id: 4086558</t>
  </si>
  <si>
    <t>11.140</t>
  </si>
  <si>
    <t>2024-0117</t>
  </si>
  <si>
    <t>CD-119-2024</t>
  </si>
  <si>
    <t>ALEXANDER ARBELAEZ GAVIRIA</t>
  </si>
  <si>
    <t>PRESTACIÓN DE SERVICIOS PROFESIONALES ESPECIALIZADOS PARA LA ARTICULACIÓN ESTRATÉGICA EN LA CONCILIACIÓN, DEPURACIÓN, INTEGRACIÓN DE INFORMACIÓN Y CIERRE DE LA CARTERA DE ALIADOS ESTRATÉGICOS, DE ACUERDO CON LAS NORMAS Y REGULACIONES CONTABLES EN EL ICETEX</t>
  </si>
  <si>
    <t>CDEF-493-2024</t>
  </si>
  <si>
    <t>HONORARIOS - VOT</t>
  </si>
  <si>
    <t xml:space="preserve">1. Ejecutar las actividades tendientes al cumplimiento de la conciliación de la cartera de la Entidad, atendiendo los procedimientos adoptados en el sistema de gestión de calidad del ICETEX. 
2.	Asegurar la conciliación de cartera asignada, con el fin de que el ajuste esté reflejado tanto en la cartera como en la contabilidad. 
3.	Generar informe ejecutivo mensual con el resultado de la conciliación del mes vencido, el cual debe ser presentado al supervisor indicando mejoras y avances del procedimiento de conciliación. 
4.	Proponer y ejecutar actividades de mejora para la Gestión del Grupo de Operaciones e identificar las necesidades de estructuración e implementación de cambios en la operación. 
5. 	Seguimiento de la ejecución de los planes de mejora del Grupo de Operaciones. 
6.	Responder a los requerimientos internos y externos en el tiempo establecido de la Gestión de Operación de Cartera. 
7.	Acudir a las reuniones citadas para la supervisión del contrato o que estén relacionadas con el objeto del mismo.
</t>
  </si>
  <si>
    <t>11.147</t>
  </si>
  <si>
    <t>2024-0118</t>
  </si>
  <si>
    <t>CD-120-2024</t>
  </si>
  <si>
    <t>JUAN PABLO FORERO FORERO</t>
  </si>
  <si>
    <t>PRESTACIÓN DE SERVICIOS PROFESIONALES EN LAS ACTIVIDADES RELACIONADAS CON GESTIÓN DE PETICIONES, QUEJAS, RECLAMOS; ASÍ COMO LA ENTREGA DE INSUMOS DE INFORMACIÒN PARA LA ATENCIÓN DE TUTELAS Y FALLOS JUDICIALES DEL ICETEX</t>
  </si>
  <si>
    <t>CDEF-494-2024</t>
  </si>
  <si>
    <t>IG31200102051001</t>
  </si>
  <si>
    <t xml:space="preserve">1. Analizar y gestionar las peticiones, quejas, reclamos y requerimientos radicados al Grupo de Operaciones relacionados con los reportes a las centrales de riesgos, Defensor del Consumidor Financiero, Requerimientos a entes de control u otros. 
2.	Responder a los requerimientos internos y externos en el tiempo establecido del Grupo de Operaciones. 
3.	Verificar y ajustar los créditos en los aplicativos de información de la cartera; así mismo aplicar novedades que se requieran. 
4.	Reportar situaciones evidenciadas en la cartera que estén generando inconsistencias y seguimiento a las obligaciones que presenten ajuste tecnológico hasta asegurar la estabilización de este. 
5.	Gestionar actividades de mejora para los procedimientos del Grupo de Operaciones y en los sistemas de información, cuando se requiera.    
6. 	Acudir a las reuniones citadas para la supervisión del contrato o que estén relacionadas con el objeto del mismo.
</t>
  </si>
  <si>
    <t>20243030000528-I Id: 4086503</t>
  </si>
  <si>
    <t>10.12</t>
  </si>
  <si>
    <t>2024-0119</t>
  </si>
  <si>
    <t>CD-121-2024</t>
  </si>
  <si>
    <t>SERGIO ANDRÉS AVILA CARDENAS,</t>
  </si>
  <si>
    <t>PRESTAR SUS SERVICIOS PROFESIONALES APOYANDO LAS ACTIVIDADES ADMINISTRATIVAS Y EL SEGUIMIENTO A LA EJECUCIÓN DE LAS METAS A CARGO LA VICEPRESIDENCIA DE FONDOS EN ADMINISTRACIÓN.</t>
  </si>
  <si>
    <t>CDEF-203-2024</t>
  </si>
  <si>
    <t>HONORARIOS - VFA</t>
  </si>
  <si>
    <t xml:space="preserve">1.	Coordinar las mesas de trabajo con el equipo del Despacho de la Vicepresidencia de Fondos en Administración para la ejecución de las metas a su cargo y levantar las respectivas actas. 
2.	Efectuar seguimiento de los compromisos por parte de los colaboradores del Despacho de la Vicepresidencia de Fondos en Administración relacionados con el cumplimiento de las metas a cargo de la Vicepresidencia.  
3.	Acompañar al Vicepresidente de Fondos en Administración en los comités y juntas que le sean asignados y efectuar seguimiento de los compromisos a su cargo.  
4.	Realizar seguimiento a los compromisos derivados de las mesas de trabajo en la que participe el Vicepresidente de Fondos en Administración a fin de garantizar el cumplimiento de los mismos.  
5.	Proyectar y revisar peticiones internas y externas, que le sean requeridos y que guarden relación con los procesos a cargo de la Vicepresidencia de Fondos en Administración. 
6.	Garantizar la confidencialidad, reserva y privacidad de la información que por razón de sus actividades deba manejar en desarrollo del contrato.  
7.	Asistir y/o participar en las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</si>
  <si>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20243030000554-I Id: 4086643</t>
  </si>
  <si>
    <t>6.3</t>
  </si>
  <si>
    <t>2024-0120</t>
  </si>
  <si>
    <t>CD-122-2024</t>
  </si>
  <si>
    <t>ALBERT DARIO ARIAS ARDILA</t>
  </si>
  <si>
    <t>PRESTAR LOS SERVICIOS PROFESIONALES ESPECIALIZADOS PARA LLEVAR A CABO LA GESTIÓN ESTRATÉGICA, TÉCNICA, FINANCIERA Y OPERATIVA DEL SUBCOMPONENTE PASAPORTE A LA CIENCIA DEL PROYECTO COLOMBIA CIENTÍFICA, EN EL MARCO DE LA POLÍTICA DE COOPERACIÓN ACADÉMICA INTERNACIONAL E INTERINSTITUCIONAL DEL ICETEX.</t>
  </si>
  <si>
    <t>CDEF-260-2024</t>
  </si>
  <si>
    <t>.HONORARIOS ORI</t>
  </si>
  <si>
    <t>JEFE OFICINA DE RELACIONES INTERNACIONALES</t>
  </si>
  <si>
    <t>Proponer y/o establecer ajustes a la estrategia del Programa “Pasaporte a la Ciencia” con el objeto de fomentar la internacionalización de la educación superior colombiana, mediante la articulación de diferentes actores del sector educativo. 2. Asesorar en el desarrollo de las actividades que se requieran para atender los requerimientos de la banca multilateral y aliados estratégicos encaminándolas al logro de los objetivos y metas institucionales. 3. Atender la organización y el acompañamiento de las actividades de planificación, operación y seguimiento al desarrollo tecnológico y financiero a las actividades que hacen parte de la operación del Programa Pasaporte a la Ciencia. 4. Hacer seguimiento a los procesos y actividades de los beneficiarios de los créditos vigentes para acompañar el proceso de condonación. 5. Mantener actualizada la información de los becarios para atender sus necesidades y requerimientos sobre el cumplimiento de las condiciones periódicas del crédito. 6. Acompañar y participar en los Comités internos, de Alianzas e institucionales del ICETEX, de acuerdo con el cronograma establecido o la necesidad del servicio. 7. Elaborar y tramitar los documentos necesarios conforme al proceso de comisiones establecido por el ICETEX, cuando se requiera su desplazamiento a nivel nacional o internacional en consonancia con las funciones de la ORI y del ICETEX. 8. Adelantar y ejecutar todas las propuestas y proyectos encaminados a fortalecer la cooperación internacional del ICETEX en el marco del proyecto de inversión “Fomento e Innovación de la Internacionalización” 9. Realizar el apoyo a la supervisión técnica de los contratos, convenios o acuerdos relacionados con la implementación del subcomponente Pasaporte a la Ciencia y otros asignados por la jefe de la Oficina de Relaciones internacionales. 10. Las demás que sean asignadas relacionadas con el objeto contractual.</t>
  </si>
  <si>
    <t>20243030000516-I Id: 4086475</t>
  </si>
  <si>
    <t>5.3</t>
  </si>
  <si>
    <t>2024-0121</t>
  </si>
  <si>
    <t>CD-123-2024</t>
  </si>
  <si>
    <t xml:space="preserve">MARLON RENE CASTRO  </t>
  </si>
  <si>
    <t>PRESTAR LOS SERVICIOS PROFESIONALES PARA APOYAR A LA OFICINA DE CONTROL INTERNO EN LAS ACTIVIDADES ASOCIADAS A LA GENERACIÓN DE REPORTES, ANÁLISIS DE BASES DE DATOS, Y TRABAJOS DE AUDITORÍA CON BASE EN EL SOFTWARE DE AUDITORÍA Y DEMÁS APLICATIVOS INSTITUCIONALES, ASÍ COMO EL SEGUIMIENTO DE PLANES DE MEJORAMIENTO DE CONFORMIDAD CON EL PLAN ANUAL DE AUDITORÍAS DE LA OFICINA DE CONTROL INTERNO PARA LA VIGENCIA 2024.</t>
  </si>
  <si>
    <t>CDEF-327-2024</t>
  </si>
  <si>
    <t>HONORARIOS - OCI</t>
  </si>
  <si>
    <t>IG312001020260012</t>
  </si>
  <si>
    <t>OFICINA_DE_CONTROL_INTERNO</t>
  </si>
  <si>
    <t>JEFE CONTROL INTERNO</t>
  </si>
  <si>
    <t xml:space="preserve">OBLIGACIONES ESPECÍFICAS DEL CONTRATISTA	
1.	Brindar respaldo Oficina de Control Interno mediante la recolección, interpretación y análisis de datos provenientes de fuentes internas y externas para sustentar las auditorías realizadas. Implica el diseño, administración y análisis de informes de gestión, especialmente aquellos vinculados con las auditorías. Además, colabora en la elaboración y presentación de informes dirigidos a distintos interlocutores, garantizando una interpretación y presentación efectiva de la información relevante. 
2.	Brindar asesoría funcional y fomentar el uso efectivo del software de auditoría y planes, proporcionando acompañamiento a los usuarios para su óptimo manejo. Este rol también implicará ofrecer soporte en la gestión de usuarios y en la configuración del software correspondiente a las auditorías y planes de mejora. Asimismo, se colaborará activamente en la propuesta, diseño y pruebas de las mejoras necesarias para el software de auditoría y planes, asegurando que las adaptaciones y actualizaciones se alineen con las necesidades y objetivos a futuro. 
3.	Desarrollar programas, estrategias y planes alineados con la política institucional para la sistematización y mejora de procesos de la Oficina de Control Interno, específicamente dirigidos hacia la analítica de datos para la vigencia 2023. Estos esfuerzos se encuadran dentro del proyecto de fortalecimiento institucional, orientados a potenciar la capacidad de análisis y utilización de datos para optimizar los procesos internos. 
4.	Colaborar, llevar a cabo y participar en las auditorías asignadas por el jefe de la Oficina de Control Interno. Esto incluye la preparación y análisis exhaustivo de los documentos de trabajo necesarios para respaldar los informes de auditoría realizados durante la ejecución se lleven a cabo durante el periodo del contrato 
5.	Hacer seguimiento a la formulación, ejecución y eficacia de los planes de mejoramiento producto de las auditorías efectuadas y/o seguimientos generados por la Oficina de Control Interno. 
6.	Diseño de programas, planes y estrategias alineados con la política institucional para la sistematización y mejora de procesos durante la vigencia 2023 de la Oficina de Control Interno, en el contexto del proyecto de fortalecimiento institucional. Además, implica analizar y orientar el uso de datos extraídos de sistemas de información por parte de la Oficina de Control Interno, facilitando la ejecución eficiente de los planes y programas de auditoría. 
7.	Realizar propuestas, recomendaciones, análisis e informes sobre los temas y/o documentos que sean sometidos a su consideración, relacionados con el objeto del contrato. 
8.	Apoyar a la Oficina Control interno en las asesorías que adelante a las dependencias del ICETEX en aspectos relacionados con el objeto contractual. 
9.	Participar en las actividades programadas por la Oficina de Control Interno para el fomento de la cultura del control en la entidad durante la vigencia del contrato, así como en las reuniones de trabajo relacionadas con el objeto del contrato. 
10.	Desplazarse en oficinas institucionales ubicadas en ciudades o municipios distintos a Bogotá D.C., por solicitud del supervisor contractual, previo el otorgamiento de la correspondiente autorización de desplazamiento. Así como Cumplir las demás actividades relacionadas con el objeto del contrato que sean acordadas con el supervisor. 
</t>
  </si>
  <si>
    <t>20243030000533-I Id: 4086512</t>
  </si>
  <si>
    <t>13.82</t>
  </si>
  <si>
    <t>2024-0122</t>
  </si>
  <si>
    <t>CD-124-2024</t>
  </si>
  <si>
    <t>DIEGO ENRIQUE SALGADO RODRIGUEZ</t>
  </si>
  <si>
    <t>PRESTAR SERVICIOS TÉCNICOS PARA APOYAR EN LA EJECUCIÓN DE LOS PROCEDIMIENTOS DE ADMINISTRACIÓN DE ARCHIVO DE GESTIÓN, TRANSFERENCIAS DOCUMENTALES, CONSULTAS Y DIGITALIZACIÓN DE EXPEDIENTES, ASÍ COMO CONTRIBUIR A MEJORAR LA OPORTUNIDAD DE LOS SERVICIOS QUE PRESTA LA ENTIDAD</t>
  </si>
  <si>
    <t>CDEF-483-2024</t>
  </si>
  <si>
    <t xml:space="preserve">1.	Apoyar el desarrollo de las actividades relacionadas con la clasificación, consulta y envío al archivo de los documentos requeridos dentro del proceso de gestión documental, de conformidad con la normatividad vigente y los estándares establecidos por la entidad. 
2.	Apoyar la creación y/o actualización de los expedientes físicos y electrónicos, acorde a las Tablas de Retención Documental (TRD), aprobadas en el ICETEX por el Archivo General de la Nación y los procedimientos establecidos por la entidad para el manejo documental. 
3.	Apoyar técnicamente en los procesos de organización, ordenación, restauración, inventario documental y descripción archivística de los expedientes pertenecientes al archivo histórico del ICETEX para su entrega al Archivo General de la Nación dentro del componente documental con el propósito de fortalecer la política de Gestión Documental de MIPG 
4.	Mantener actualizado el inventario documental (FUID) de la entidad, con el fin de garantizar la oportunidad en la consulta y transferencia de documentos, así como controlar el acervo documental. 
5.	Apoyar las transferencias documentales una vez cumplidos los tiempos de retención según lo dispuesto en las Tablas de Retención Documental. 
6.	Apoyar la atención de solicitudes de consultas realizadas por las áreas de la entidad, dando cumplimento a los procedimientos establecidos. 
7.	Apoyar técnicamente los procesos de digitalización de los expedientes y carpetas pertenecientes al archivo de gestión de la entidad dentro del componente tecnológico con el fin de fortalecer la política de gestión documental de MIPG 
8.	Las demás obligaciones que sean acordes con el objeto contractual y que sean asignadas por quien ejerza la función de la supervisión del contrato.  
</t>
  </si>
  <si>
    <t>20243030000563-I Id: 4086691</t>
  </si>
  <si>
    <t>4.54</t>
  </si>
  <si>
    <t>2024-0123</t>
  </si>
  <si>
    <t>CD-125-2024</t>
  </si>
  <si>
    <t xml:space="preserve">LEIDY JOHANNA FAJARDO CALDERON </t>
  </si>
  <si>
    <t>"PRESTAR SERVICIOS PROFESIONALES PARA EL SEGUIMIENTO, CONTROL Y MITIGACIÓN DE LA RADICACIÓN DE PQRSD Y REQUERIMIENTOS DE ENTES DE CONTROL Y CANAL SIC FACILITA: ANÁLISIS CAUSA RAÍZ. APOYO GESTIÓN DOCUMENTAL DEL CONTRATO 2023 - 0704; UT INTERVENTORÍA BOP 2023.""
"</t>
  </si>
  <si>
    <t>CDEF-391-2024</t>
  </si>
  <si>
    <t xml:space="preserve">1. Poner a disposición de ICETEX su capacidad profesional, experiencia y conocimientos, para cumplir con el desarrollo del objeto contractual. 
2. Registrar y mantener actualizada la información de la supervisión del contrato de interventoría de atención al usuario, de acuerdo con los procedimientos establecidos y las orientaciones del superior inmediato. 
3. Brindar apoyo administrativo, de acuerdo con instrucciones recibidas, en el desarrollo de la supervisión del contrato de interventoría de atención al usuario. 
4. Preparar, analizar y consolidar la información necesaria para la elaboración de informes relacionados con la ejecución de la supervisión del contrato de interventoría de atención al usuario. 
5. Gestionar y operar los sistemas de información, aplicativos y demás herramientas tecnológicas dispuestas para apoyar la supervisión del contrato de interventoría de atención al usuario; de conformidad con las responsabilidades y autorizaciones que se le asignen. 
6. Recepcionar, clasificar y asignar a las áreas misionales las quejas trasladadas a la Entidad por la Superintendencia de Industria y Comercio (SIC), mediante el aplicativo SIC FACILITA, propendiendo porque se dé respuesta dentro de los términos indicados, de forma clara, precisa, de fondo y oportuna a Las comunicaciones radicadas. 
7. Recibir y tramitar las peticiones, quejas, reclamos y solicitudes que presenten en el desarrollo de la supervisión del contrato de interventoría de atención al usuario y que sean relativas a su desarrollo; siguiendo los tiempos y procedimientos establecidos. 
8. Generar y apoyar la elaboración de reportes, informes y demás documentos requeridos en la supervisión del contrato de interventoría de atención al usuario, aplicando los procedimientos de la Entidad.
9. Apoyar la gestión y administración de la supervisión del contrato de interventoría de atención al usuario. 
10. Apoyar el control financiero y contable, pago de facturas o documentos equivalentes y presupuesto de la supervisión del contrato de interventoría de atención al usuario. 
11. Responder por la organización, archivo y manejo de documentos y la información relacionada con la supervisión del contrato de interventoría de atención al usuario, de conformidad con los procedimientos de Gestión Documental. 
12. Prestar el apoyo necesario para la preparación y elaboración de los informes internos y externos que le sean requeridos al área. 
13. Apoyar la preparación de información técnica de la supervisión del contrato de interventoría de atención al usuario, así como realizar control y seguimiento de estos, de acuerdo con el manual de contratación de la Entidad. 
14. Apoyar la supervisión del contrato de interventoría de atención al usuario en el seguimiento, control y planeación de las diferentes reuniones y comités que se ejecuten con el contratista. 
15. Proyectar comunicaciones relacionadas con la supervisión del contrato de interventoría de atención al usuario. 
16. Desplazarse fuera de la ciudad de Bogotá D.C., en caso de requerirse con el fin de dar cumplimiento al objeto contractual. 
17. Las demás obligaciones que sean acordes con el objeto contractual asignado por quien ejerza la función de la Supervisión del Contrato.
18.  Apoyar la operatividad, generación de informes, acompañamiento a las áreas y seguimiento de los casos radicados por medio del defensor del consumidor financiero
</t>
  </si>
  <si>
    <t>LUIS HERNANDO CORTES RAMIREZ</t>
  </si>
  <si>
    <t>20243030000556-I Id: 4086662</t>
  </si>
  <si>
    <t>4.44</t>
  </si>
  <si>
    <t>2024-0124</t>
  </si>
  <si>
    <t>CD-126-2024</t>
  </si>
  <si>
    <t>DIANA CAROLINA HURTADO LEAL</t>
  </si>
  <si>
    <t>PRESTAR SERVICIOS PROFESIONALES PARA EL SEGUIMIENTO Y CONTROL DEL PROCESO CALIDAD OPERATIVA Y MEJORA CONTINUA EN LOS DISTINTOS CANALES DE ATENCIÓN Y GESTIÓN DE LA ENTIDAD CON EL FIN DE MEJORAR LA EXPERIENCIA Y SATISFACCIÓN DE LOS GRUPOS DE INTERÉS (BENEFICIARIOS, CIUDADANOS E IES)</t>
  </si>
  <si>
    <t>CDEF-384-2024</t>
  </si>
  <si>
    <t xml:space="preserve">1.	Elaborar y entregar plan de trabajo para aprobación del supervisor del contrato, de conformidad con las estipulaciones contractuales.
2.	Realizar monitoreos y auditorías de calidad a los canales de servicio y comerciales de la entidad, con el fin de identificar oportunidades de mejora y generar las alertas correspondientes de manera oportuna.
3.	Acompañar el diseño y los ajustes necesarios a los protocolos de atención, matrices de calidad, plantillas y guiones de los canales de servicio y comerciales, que contribuyan a mejorar la experiencia y satisfacción de los grupos de interés de la entidad.
4.	Analizar el resultado de los indicadores generados por el proveedor de atención al usuario relacionados con el proceso de Calidad y verificar que sean íntegros y consistentes con lo observado en los canales de servicio y comerciales.
5.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6.	Acompañar la gestión y documentación de procesos y procedimientos, cumplimiento de los indicadores, planes de acción, planes de mejoramiento, reportes, auditorías de calidad, externas e internas, eventos de riesgos de los canales de servicio y comerciales y demás resultantes del ejercicio de control y autocontrol de los macroprocesos de la Oficina de Comercial y de Mercadeo.
7.	Participar activamente en los comités de seguimiento a los canales de servicio y comerciales de la entidad, con el fin de socializar las diferentes oportunidades de mejora; estableciendo en conjunto con la operación y el proveedor de atención planes de acción.
8.	Participar activamente en espacios de acompañamiento y control a los resultados de calidad obtenidos por el proveedor de servicio en los canales de servicio y comerciales, que sean generados por Icetex o el proveedor de atención al usuario.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11.	Las demás que sean inherentes para el logro del objeto contratado, asignadas por el supervisor del contrato.
</t>
  </si>
  <si>
    <t>20243030000566-I Id: 4086698</t>
  </si>
  <si>
    <t>10.10</t>
  </si>
  <si>
    <t>2024-0125</t>
  </si>
  <si>
    <t>CD-127-2024</t>
  </si>
  <si>
    <t>IVON ESTHER GOMEZ TORRECILLA</t>
  </si>
  <si>
    <t xml:space="preserve">PRESTAR SUS SERVICIOS DE APOYO EN LA ASISTENCIA INTEGRAL DE LAS ACTIVIDADES ADMINISTRATIVAS QUE DEBAN ADELANTARSE EN LA VICEPRESIDENCIA DE FONDOS EN ADMINISTRACIÓN. 
</t>
  </si>
  <si>
    <t>CDEF-484-2024</t>
  </si>
  <si>
    <t>REMUNERACIÓN SERVICIOS TÉCNICOS - VFA</t>
  </si>
  <si>
    <t>IG312001020700014</t>
  </si>
  <si>
    <t xml:space="preserve">1.	Llevar el control de la agenda de reuniones virtuales y presenciales del Vicepresidente de Fondos en Administración.
2.	Recibir, radicar, organizar, distribuir y efectuar el seguimiento a la correspondencia a cargo del Vicepresidente de Fondos en Administración, conforme los procedimiento vigentes.
3.	Preparar los oficios, comisiones y demás trámites requeridos por el Vicepresidente de Fondos en Administración.
4.	Gestionar y operar los sistemas de información, aplicativos y demás herramientas tecnológicas que apoyen la operación de la Vicepresidencia de Fondos en Administración, de conformidad con las responsabilidades y autorizaciones que se le asignen.
5.	Garantizar la confidencialidad, reserva y privacidad de la información que por razón de sus actividades deba manejar en desarrollo del contrato.
6.	Asistir y/o participar en las capacitaciones, talleres y demás reuniones que relacionadas con el objeto contractual
7.	Las demás asignadas por el supervisor y que tengan relación con el objeto del presente contrato.
</t>
  </si>
  <si>
    <t>20243030000561-I Id: 4086683</t>
  </si>
  <si>
    <t>2.2</t>
  </si>
  <si>
    <t>2024-0126</t>
  </si>
  <si>
    <t>CD-128-2024</t>
  </si>
  <si>
    <t>NILSON RUBEN ASCENCIO SEPULVEDA</t>
  </si>
  <si>
    <t>PRESTAR LOS SERVICIOS PROFESIONALES ESPECIALIZADOS EN LA PLANEACIÓN FINANCIERA Y PRESUPUESTAL DEL ICETEX, VELANDO POR EL USO EFICIENTE DE LOS RECURSOS QUE GARANTICEN LA SOSTENIBILIDAD DE LA OPERACIÓN DE LA ENTIDAD EN EL MEDIANO Y LARGO PLAZO, DE ACUERDO CON LA PLANEACIÓN ESTRATÉGICA DEL INSTITUTO</t>
  </si>
  <si>
    <t>CDEF-081-2024</t>
  </si>
  <si>
    <t>HONORARIOS – OAP</t>
  </si>
  <si>
    <t>IG312001020210012</t>
  </si>
  <si>
    <t xml:space="preserve">1.	Apoyar en la elaboración del anteproyecto de presupuesto y en la realización de los trámites necesarios para su modificación o aprobación de acuerdo con el estatuto de presupuesto del ICETEX y los lineamientos del Ministerio de Educación Nacional. 
2.	Orientar a las áreas del ICETEX en la recopilación, procesamiento y análisis de la información necesaria para la realización de los proyectos de inversión. 
3.	Revisar que los proyectos de inversión estén acordes con la planeación estratégica, las políticas institucionales y gubernamentales. 
4.	Orientar a las diferentes instancias del Instituto, en la evaluación financiera, administrativa y económica de proyectos. 
5.	Apoyar en la elaboración y presentación de los acuerdos de junta directiva sobre los asuntos presupuestales y financieros que sean competencia de la Oficina Asesora de Planeación. 
6.	Realizar el seguimiento y evaluación trimestral de las metas presupuestales y presentar los informes respectivos. 
7.	Brindar asesoría en la elaboración de estudios de factibilidad sobre los planes, programas y proyectos corporativos, de acuerdo con los objetivos y metas institucionales y el Plan Nacional de Desarrollo. 
8.	Elaborar y actualizar periódicamente el Plan Financiero de la entidad. 
9.	Validar el Plan Anual de Adquisiciones, así como la revisión de las modificaciones que se realicen al mismo y las aprobaciones de solicitudes de CDP. 
10.	Las demás que sean indicadas por la supervisión del contrato y tengan relación con el objeto contractual.
</t>
  </si>
  <si>
    <t>20243030000567-I Id: 4086705</t>
  </si>
  <si>
    <t>9.5</t>
  </si>
  <si>
    <t>2024-0127</t>
  </si>
  <si>
    <t>CD-129-2024</t>
  </si>
  <si>
    <t>MILADY JAINATH CARRASCO SUAREZ</t>
  </si>
  <si>
    <t xml:space="preserve">PRESTAR LOS SERVICIOS TÉCNICOS EN LA ATENCIÓN DE PQRS Y REQUERIMIENTOS INTERNOS Y EXTERNOS CORRESPONDIENTES AL GRUPO DE CRÉDITO A CARGO DE LA
VICEPRESIDENCIA DE CRÉDITO Y COBRANZA </t>
  </si>
  <si>
    <t>CDEF-140-2024</t>
  </si>
  <si>
    <t>REMUNERACIÓN SERVICIOS TÉCNICOS VCC</t>
  </si>
  <si>
    <t>IG312001020600014</t>
  </si>
  <si>
    <t xml:space="preserve">1.	Gestionar las Solicitudes, Peticiones, Quejas, Reclamos y Denuncias en el aplicativo de CRM de ICETEX.
2.	Atender requerimientos externos, internos, entes de control para los procesos y procedimientos del área por los medios que se determinen de acuerdo con los tiempos establecidos. 
3.	Apoyar las actualizaciones de los contenidos de la página web, creación de comunicados, campañas y demás instrumentos que se requieran para los procesos y procedimientos del área.
4.	Realizar apoyar al proceso para la firma de las garantías desmaterializadas a través de los medios que se determinen. 
5.	Proyectar capacitaciones con el fin de informar y fortalecer los procedimientos del área.
6.	Realizar pruebas de los procesos y procedimientos del área con el fin de garantizar que se encuentren correctos.
7.	Asistir y participar a las reuniones programadas.
8.	Elaborar y presentar los informes de gestión que se requieran y se relacionen con el cumplimiento del objeto contractual.
9.	Cumplir con los indicadores de gestión establecidos.
10.	Las demás obligaciones que se requieran para el cumplimiento a cabalidad del objeto contractual y que sean inherentes a la naturaleza del contrato.
</t>
  </si>
  <si>
    <t>20243030000573-I Id: 4086723</t>
  </si>
  <si>
    <t>4.64</t>
  </si>
  <si>
    <t>2024-0128</t>
  </si>
  <si>
    <t>CD-130-2024</t>
  </si>
  <si>
    <t>JOSE ALEJANDRO ANGEL SUAREZ</t>
  </si>
  <si>
    <t>PRESTAR SERVICIOS PROFESIONALES CON EL FIN DE ANALIZAR, EVALUAR Y MEDIR ESTRATEGIAS, ENFOCADAS AL MEJORAMIENTO DE LA EXPERIENCIA DE LOS GRUPOS DE INTERÉS ICETEX (BENEFICIARIOS CIUDADANOS, IES) EN SUS INTERACCIONES CON LA ENTIDAD</t>
  </si>
  <si>
    <t>CDEF-253-2024</t>
  </si>
  <si>
    <t xml:space="preserve">1.	Elaborar y entregar plan de trabajo y cronograma de actividades para aprobación de la supervisión del contrato, de conformidad con las estipulaciones contractuales
2.	Realizar un mapeo detallado de la experiencia del usuario actual a lo largo de los diferentes puntos de contacto con el ICETEX. Identificando los momentos clave de interacción y oportunidades de mejora.
3.	Acompañar la segmentación de los grupos de interés según sus necesidades y características, diseñando estrategias específicas para cada segmento, orientado en la mejora de la experiencia.
4.	Proponer métricas estratégicas que permitan medir la experiencia y satisfacción del usuario enfocado en la mejora de los procesos y productos de la entidad.
5.	Elaborar y presentar propuestas específicas para mejorar la experiencia del usuario, involucrando a las áreas internas de la entidad y garantizando la alineación con los objetivos de la Oficina Comercial y de Mercadeo.
6.	Desarrollar e implementar iniciativas y estrategias, con un enfoque de innovación desde el diseño de los modelos de experiencia.
7.	Implementar un sistema de alertas tempranas para detectar desviaciones en los procesos de atención al usuario, actuando proactivamente para corregir problemas antes de que afecten la experiencia del usuario. 
8.	Desarrollar modelos de gestión de servicio al usuario adaptados a las interacciones específicas de cada grupo de interés, midiendo constantemente el impacto en la satisfacción del usuario. 
9.	Participar activamente en comités de experiencia del usuario para compartir información valiosa y colaborar en la implementación de soluciones.
10.	Establecer un sistema continuo de monitoreo y evaluación para acompañar procesos y se mantengan efectivos a lo largo del tiempo.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Las demás que sean inherentes para el logro del objeto contratado, asignadas por el supervisor del contrato.
</t>
  </si>
  <si>
    <t>20243030000572-I Id: 4086717</t>
  </si>
  <si>
    <t>11.126</t>
  </si>
  <si>
    <t>2024-0129</t>
  </si>
  <si>
    <t>CD-131-2024</t>
  </si>
  <si>
    <t>LICETH TATIANA ROMERO BELTRAN</t>
  </si>
  <si>
    <t>PRESTACIÓN DE SERVICIOS PROFESIONALES ESPECIALIZADOS PARA LA ARTICULACIÓN ESTRATÉGICA DE DEPURACIÓN, AJUSTE DE LOS CRÉDITOS Y ASEGURANDO LA APLICACIÓN CORRECTA DE LAS NOVEDADES EN LA CARTERA, SEGÚN EL REGLAMENTO VIGENTE DEL ICETEX.</t>
  </si>
  <si>
    <t>CDEF-503-2024</t>
  </si>
  <si>
    <t>IG 312001020510012</t>
  </si>
  <si>
    <t xml:space="preserve">	Analizar, ajustar y estabilizar obligaciones migradas de todos los productos del ICETEX, en los sistemas de información de la cartera de la Entidad. 
2.	Analizar y ajustar las interfaces de la cartera, de acuerdo con los movimientos del mes para insumo del cierre de cartera. 
3.	Proponer y ejecutar actividades de mejora para la gestión del grupo de operaciones e identificar las necesidades de estructuración e implementación de cambios en la operación. 
4.	Realizar seguimiento a la aplicación de las novedades del grupo de operaciones e implementar controles para su correcta liquidación.  
5.	Seguimiento de la ejecución de los planes de mejora del Grupo de Operaciones.
6.	Responder a los requerimientos internos y externos del grupo de Operaciones en el tiempo establecido. 
7.	Acudir a las reuniones citadas para la supervisión del contrato o que estén relacionadas con el objeto del mismo.
</t>
  </si>
  <si>
    <t>DIEGO ARMANDO CANO GARCIA</t>
  </si>
  <si>
    <t>20243030000577-I Id: 4086744</t>
  </si>
  <si>
    <t>2.16</t>
  </si>
  <si>
    <t>2024-0130</t>
  </si>
  <si>
    <t>CD-132-2024</t>
  </si>
  <si>
    <t>FRANCISCO ALEJANDRO RUBIANO PACHÓN</t>
  </si>
  <si>
    <t>PRESTAR SERVICIOS PROFESIONALES ESPECIALIZADOS EN LA GESTIÓN Y CONTROL DE PROYECTOS DE INNOVACIÓN DE LA ENTIDAD, GARANTIZANDO LA ALINEACIÓN CON EL PLAN ESTRATÉGICO, LA GESTIÓN EFICIENTE Y LA ENTREGA DE RESULTADOS.</t>
  </si>
  <si>
    <t>CDEF-083-2024</t>
  </si>
  <si>
    <t>HONORARIOS - OAP</t>
  </si>
  <si>
    <t xml:space="preserve">1.	Proponer desde el componente legal, oportunidades para el desarrollo de innovaciones en el portafolio, procesos y estrategia que se encuentren alineados con el Plan Estratégico de la Entidad. 
2.	Brindar el acompañamiento y orientación en los asuntos legales que requiera el equipo de innovación de la entidad para la suscripción de alianzas con personas naturales o jurídicas, públicas o privadas, nacionales o extranjeras para fomentar la innovación abierta y la co-creación.
3.	Poner a disposición del equipo de innovación de la entidad, su capacidad profesional, experiencia y conocimiento en asuntos legales para apoyar la proyección de los estudios técnicos que soporten el diseño de nuevos servicios de apoyo educativo, crédito y financiamiento. 
4.	Brindar el apoyo jurídico que requiera el equipo de innovación de la entidad para la reglamentación de servicios de apoyo educativo, crédito y financiamiento, de acuerdo con las políticas de la entidad, las políticas públicas y del Gobierno Nacional.
5.	Proyectar respuestas a requerimientos o solicitudes de información relacionadas con asuntos legales que se encuentren a cargo o en los que se encuentre brindando apoyo el equipo de innovación de la entidad.
6.	Brindar asesoría legal, proyectar conceptos jurídicos y elaborar otros documentos de tipo legal que sean requeridos por el equipo de innovación de la entidad. 
7.	Plantear y/o participar en acciones de ideación, creación y promoción de la innovación en ICETEX según como sea requerido por el equipo de innovación de la entidad y en articulación con las demás áreas de la entidad. 
8.	Cumplir con los indicadores de gestión establecidos. 
9.	Las demás que sean inherentes a la naturaleza del contrato, así como observar las recomendaciones dadas por el Supervisor de este para asegurar el cumplimiento de la finalidad del contrato, sin afectar la independencia del contratista.
</t>
  </si>
  <si>
    <t>20243030000575-I Id: 4086739</t>
  </si>
  <si>
    <t>3.11</t>
  </si>
  <si>
    <t>2024-0131</t>
  </si>
  <si>
    <t>CD-133-2024</t>
  </si>
  <si>
    <t>LUZ MARY APONTE CASTELBLANCO</t>
  </si>
  <si>
    <t>PRESTAR LOS SERVICIOS PROFESIONALES JURÍDICOS ESPECIALIZADOS EN EL DESARROLLO Y REPRESENTACIÓN DEL ICETEX, DIRIGIDO A LA IMPLEMENTACIÓN DE LA DEFENSA JURÍDICA DE LA ENTIDAD EN MATERIA CIVIL, LIQUIDACIONES PATRIMONIALES Y ASUNTOS RELACIONADOS CON EL COBRO COACTIVO DE LA ENTIDAD</t>
  </si>
  <si>
    <t>CDEF-486-2024</t>
  </si>
  <si>
    <t>20243030000555-I Id: 4086659</t>
  </si>
  <si>
    <t>2.17</t>
  </si>
  <si>
    <t>2024-0132</t>
  </si>
  <si>
    <t>CD-134-2024</t>
  </si>
  <si>
    <t>YUDY PAOLA PINZÓN FERNÁNDEZ</t>
  </si>
  <si>
    <t>PRESTAR SERVICIOS PROFESIONALES ESPECIALIZADOS COMO ABOGADO PARA EL APOYO, GESTIÓN Y ACOMPAÑAMIENTO DE ASUNTOS LEGALES QUE SE ENCUENTREN A CARGO O EN LOS QUE SE ENCUENTRE BRINDANDO APOYO EL EQUIPO DE INNOVACIÓN DE LA ENTIDAD.</t>
  </si>
  <si>
    <t>CDEF-082-2024</t>
  </si>
  <si>
    <t>ANDRÉS SEBASTIAN NEIRA DÍAZ</t>
  </si>
  <si>
    <t>10.22</t>
  </si>
  <si>
    <t>2024-0133</t>
  </si>
  <si>
    <t>CD-135-2024</t>
  </si>
  <si>
    <t>LILIANA MARGARITA DE LA HOZ MERCADO</t>
  </si>
  <si>
    <t>PRESTAR SUS SERVICIOS PROFESIONALES ORIENTANDO LAS ACTIVIDADES RELACIONADAS CON LA ATENCIÓN OPORTUNA Y EFICIENTE DE LAS PETICIONES QUE DEBAN SER ATENDIDAS EN LA VICEPRESIDENCIA DE FONDOS EN ADMINISTRACIÓN; ASÍ COMO EN LA GESTIÓN DE CONDONACIONES DERIVADAS DE LOS FONDOS ADMINISTRADOS POR LA VICEPRESIDENCIA.</t>
  </si>
  <si>
    <t xml:space="preserve">OBLIGACIONES ESPECÍFICAS DEL CONTRATISTA	1.	Elaborar y hacer seguimiento a la estrategia que permita la atención oportuna y eficiente de las de PQRSD, certificaciones derivadas de acciones judiciales, OPAS y demás trámites relacionados a cargo de la Vicepresidencia de Fondos en Administración. 
2.	Hacer seguimiento periódico a las gestiones realizadas para la atención oportuna de PQRSD, acciones judiciales, OPAS y demás trámites relacionados a cargo de la Vicepresidencia de Fondos en Administración  
3.	Elaborar y remitir los informes relacionados con la atención de PQRSD, acciones judiciales, OPAS y demás trámites solicitados y que guarden relación con el objeto contractual 
4.	Actuar como articulador entre la Vicepresidencia de Fondos en Administración, la Oficina Asesora Jurídica y la Oficina Comercial y Mercadeo del ICETEX con la finalidad de buscar eficiencia en los trámites de atención de PQRSD, certificaciones derivadas de acciones judiciales, OPAS y demás trámites relacionados a cargo de la Vicepresidencia de Fondos en Administración. 
5.	Analizar la respuesta a las PQRSD, certificaciones derivadas de acciones judiciales, OPAS y demás trámites relacionados a cargo de la Vicepresidencia de Fondos en Administración, identificando oportunidades de mejora e implementando controles en el proceso.   
6.	Efectuar seguimiento periódico para que los compromisos derivados de la atención de PQRSD, acciones judiciales, OPAS y demás trámites relacionados a cargo de la Vicepresidencia de Fondos en Administración, se tramiten dentro de los términos legales.  
7.	Revisar los actos administrativos que sean de competencia de la Vicepresidencia de Fondos en Administración 
8.	Elaborar y/o actualizar los procedimientos e instrumentos internos asociados a la atención de PQRSD, acciones judiciales, y demás trámites relacionados a cargo de la Vicepresidencia de Fondos en Administración. 
9.	Apoyar la supervisión de los contratos y/o convenios que le sean asignados, relacionados con el objeto contractual.  
10.	Garantizar la confidencialidad, reserva y privacidad de la información que por razón de sus actividades deba manejar en desarrollo del contrato. 
11.	Asistir y/o participar en los comités, mesas de trabajo y demás reuniones relacionadas con el objeto contractual. 
12.	Desplazarse en oficinas institucionales ubicadas en ciudades o municipios distintos a Bogotá D.C, por solicitud del supervisor, previo el otorgamiento de la correspondiente autorización de desplazamiento. 
13.	Las demás asignadas por el supervisor y que tengan relación con el objeto del presente contrato 
</t>
  </si>
  <si>
    <t>INGRID PINEDO</t>
  </si>
  <si>
    <t>4.55</t>
  </si>
  <si>
    <t>2024-0134</t>
  </si>
  <si>
    <t>CD-136-2024</t>
  </si>
  <si>
    <t>MARTHA JANNETH ORTIZ MOLINA </t>
  </si>
  <si>
    <t>PRESTAR SERVICIOS PROFESIONALES PARA EL SEGUIMIENTO, CONTROL Y MITIGACIÓN DE LA RADICACIÓN DE PQRSD Y REQUERIMIENTOS DE TUTELAS Y/O ENTES DE CONTROL: ANÁLISIS CAUSA RAÍZ.</t>
  </si>
  <si>
    <t>CDEF-392-2024</t>
  </si>
  <si>
    <t xml:space="preserve">	1. 	Poner a disposición de ICETEX su capacidad profesional, experiencia y conocimientos, para cumplir con el desarrollo del objeto contractual. 
	2.	Realizar análisis causa raíz y propuestas de intervención de procesos operativos y administrativos ejecutados en el marco de la operación inherente a las PQRSD que ingresan al ICETEX.
	3. Apoya la supervisión al contrato de prestación de servicios de defensoría del consumidor financiero del ICETEX, realizando seguimiento y control de los procesos operativos y administrativos ejecutados en el marco de la operación inherente a las PQRSD que ingresan por el canal del defensor del consumidor financiero del ICETEX.
	4.	Documentar las situaciones críticas de la operación resultante de los procesos de atención al usuario, en los diferentes canales de contacto; que se constituyan en oportunidades de mejora en la atención de PQR´S tramitadas por los ciudadanos y/ o consumidores financieros. 
	5.	Realizar el acompañamiento, apoyo y asesoría profesional a los procesos inherentes a las investigaciones y requerimientos de entes de control, tales como la Superintendencia de Industria y Comercio, Congreso de la República, Procuraduría General de la Nación, Contraloría General de la República y demás que le sean designados por la supervisión del contrato, que estén contemplados dentro de los procesos de la Oficina Comercial y de Mercadeo. Ejercer análisis, control y seguimiento, mediante mediciones y reportes mensuales. 
	6.	Realizar el acompañamiento, apoyo y asesoría profesional a los procesos inherentes a las investigaciones y requerimientos de la secretaria general de la Entidad, suministrando las pruebas e insumos requeridos concernientes a los procesos de atención al usuario en los plazos estipulados. Ejercer control, medición y reportes mensuales.
	7.	Brindar apoyo y asesoría profesional en los comités o reuniones a las que sea convocada y que la Entidad requiera acompañamiento en temas de atención de PQRSD, tutelas, y atención de requerimientos de entes de control.
	8.	Participar, desde el alcance del objeto y sus obligaciones contractuales, durante todo el proceso de planeación, implementación y puesta en marcha, de proyectos donde participen una o más dependencias de la Entidad resultantes de las alertas que se generen desde las peticiones trasladadas a la Entidad por los Entes de Control.
	9.	Recopilar, informar y reportar según hallazgos encontrados en los procesos de auditoría de entes de control y tutelas, acciones de mejora que permitan impactar de manera positiva en el modelo de atención de la Entidad. 
	10.	Brindar apoyo administrativo, de acuerdo con instrucciones recibidas, en el desarrollo de la supervisión del contrato de interventoría de atención al usuario. 
	11.	Ejecutar el acompañamiento a la ejecución de las acciones de mejora y demás actividades que se desprenden del contrato 2023-0704, en el marco del apoyo a la supervisión. 
	12.	Preparar, analizar y consolidar la información necesaria para la elaboración de informes relacionados con la ejecución de la supervisión del contrato de interventoría 2023-0704 de atención al usuario en lo referente a lecciones aprendidas.
	13.	Gestionar y operar los sistemas de información, aplicativos y demás herramientas tecnológicas dispuestas para apoyar la supervisión del contrato de interventoría de atención al usuario; de conformidad con las responsabilidades y autorizaciones que se le asignen. 
	14.	 Generar y apoyar la elaboración de reportes, informes y demás documentos requeridos en el apoyo de la supervisión del contrato de interventoría de atención al usuario, aplicando los procedimientos de la Entidad. 
	15.	Apoyar a la Coordinación Grupo de Gestión Estratégica de PQRSD en trámites administrativos.
	16.	 Prestar el apoyo necesario para la preparación y elaboración de los informes internos y externos que le sean requeridos al área. 
	17.	Apoyar la supervisión del contrato de interventoría de atención al usuario en el seguimiento, control y planeación de las diferentes reuniones y comités que se ejecuten con el contratista, así como los Comité Estratégico de PQR´S realizados con los representantes de las áreas misionales.
	18.	Proyectar comunicaciones relacionadas con la supervisión del contrato de interventoría de atención al usuario, en lo referente a temas específicos de Entes de Control, Tutelas y procesos especiales.
	19.	Desplazarse fuera de la ciudad de Bogotá D.C., en caso de requerirse con el fin de dar cumplimiento al objeto contractual. 
	20.	Las demás obligaciones que sean acordes con el objeto contractual asignado por quien ejerza la función de la Supervisión del Contrato
</t>
  </si>
  <si>
    <t>20243030000574-I Id: 4086728</t>
  </si>
  <si>
    <t>4.68</t>
  </si>
  <si>
    <t>2024-0135</t>
  </si>
  <si>
    <t>CD-137-2024</t>
  </si>
  <si>
    <t>ANA MILENA NIÑO DUEÑAS</t>
  </si>
  <si>
    <t>PRESTAR SERVICIOS TÉCNICOS PARA EL APOYO EN LA GESTIÓN DE MEJORA EN LOS PROCESOS Y PROCEDIMIENTO DE LOS CANALES DE ATENCIÓN IMPLEMENTADO POR LA ENTIDAD</t>
  </si>
  <si>
    <t>CDEF-385-2024</t>
  </si>
  <si>
    <t xml:space="preserve">Elaborar y presentar un plan de trabajo para la aprobación por parte del supervisor del contrato, en cumplimiento con las cláusulas contractuales establecidas.
2.	Acompañar el seguimiento y control al cumplimiento de acuerdos de servicio definidos en el contrato de atención al usuario 2022-0770 de los distintos canales de atención y gestión implementados por la entidad.
3.	Apoyar en la resolución de casos y situaciones que se presenten en los distintos canales de atención, con el objetivo de mejorar la satisfacción y experiencia de los grupos de interés de la entidad.
4.	Generar alertas ante situaciones críticas que afecten la operación de atención al usuario, que impacten los acuerdos de niveles de servicio y la satisfacción y experiencia de los grupos de interés de la entidad.
5.	Prestar apoyo operativo y técnico a la Entidad, en los trámites que se requieran durante la implementación de estrategias de mejoramiento de experiencia y satisfacción de los grupos de interés del ICETEX.
6.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7.	Apoyar la gestión, documentación y cumplimiento de procesos y procedimientos, indicadores, planes de acción, planes de mejora, reportes, auditorías de calidad, auditorías internas y externas, eventos de riesgo, y demás derivados del ejercicio de control y autocontrol de los macroprocesos de la Oficina de Comercial y de Mercadeo.
8.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asignadas por el supervisor del contrato y que sean inherentes al objeto contractual del contrato.
</t>
  </si>
  <si>
    <t>20243030000582-I Id: 4086755</t>
  </si>
  <si>
    <t>11.124</t>
  </si>
  <si>
    <t>2024-0136</t>
  </si>
  <si>
    <t>CD-138-2024</t>
  </si>
  <si>
    <t>JOHN ALBERSON RIPPE</t>
  </si>
  <si>
    <t>PRESTACIÓN DE SERVICIOS PROFESIONALES ESPECIALIZADOS PARA LA ARTICULACIÓN ESTRATÉGICA EN LA OPTIMIZACIÓN Y SISTEMATIZACIÓN DE PROCEDIMIENTOS, PROCESAMIENTO DE INFORMACIÓN PARA INNOVACIÓN Y ANALÍTICA DE DATOS PARA LA GESTIÓN DEL ICETEX</t>
  </si>
  <si>
    <t>CDEF-502-2024</t>
  </si>
  <si>
    <t xml:space="preserve">1. 	Generar estrategias que permitan diagnosticar el estado actual de la cartera, que posee la Entidad, con el fin de identificar los ajustes oportunos y necesarios de los créditos en la gestión del Grupo de Operaciones. 
2.	Reportar las situaciones especiales a los responsables de realizar el ajuste del crédito en los sistemas de información. 
3.	Seguimiento a las obligaciones que presenten ajuste tecnológico hasta asegurar la estabilización del mismo. 
4.	Aplicar los ajustes o movimientos necesarios en el sistema de información, asegurando su correcta liquidación, de acuerdo con la gestión Grupo de Operaciones. 
5.	Proponer y ejecutar actividades de mejora para la gestión del Grupo de Operaciones e identificar las necesidades de estructuración e implementación de cambios en la operación. 
6.	Identificación y análisis de información del Grupo de Operaciones como insumo para la atención de los requerimientos internos y externos, para toma de decisiones.  
7.	Estructuración de los insumos técnicos para la implementación de iniciativas y lineamientos para el cumplimiento de las metas del Grupo de Operaciones. 
8.	Gestionar y articular herramientas in house, que permitan la optimización, sistematización y simplificación de procedimientos manuales, disminuyendo la materialización de riesgos.   
9.	Responder a los requerimientos internos y externos del Grupo de Operaciones el tiempo establecido. 
10.	Acudir a las reuniones citadas para la supervisión del contrato o que estén relacionadas con el objeto del mismo.
</t>
  </si>
  <si>
    <t>20243030000578-I Id: 4086746</t>
  </si>
  <si>
    <t>3.4</t>
  </si>
  <si>
    <t>2024-0137</t>
  </si>
  <si>
    <t>CD-139-2024</t>
  </si>
  <si>
    <t>ISABEL CRISTINA RICO SILVA,</t>
  </si>
  <si>
    <t>CDEF-035-2024</t>
  </si>
  <si>
    <t>20243030000505-I Id: 4086377</t>
  </si>
  <si>
    <t>4.11</t>
  </si>
  <si>
    <t>2024-0138</t>
  </si>
  <si>
    <t>CD-140-2024</t>
  </si>
  <si>
    <t xml:space="preserve">
JENIFER LAITON CIFUENTES 
</t>
  </si>
  <si>
    <t>PRESTAR SERVICIOS PROFESIONALES ESPECIALIZADOS PARA EJECUTAR ACTIVIDADES ASOCIADAS AL DESARROLLO,SEGUIMIENTO, CONTROL Y ASEGURAMIENTO DE LOS PROYECTOS DE MEJORA CONTINUA QUE LE SEAN ASIGNADOSEN EL MARCO DE LOS PROCESOS DE LA OFICINA COMERCIAL Y DE MERCADEO Y SUS DIFERENTES EQUIPOS DE TRABAJO</t>
  </si>
  <si>
    <t>CDEF-094-2024</t>
  </si>
  <si>
    <t>Elaborar y suscribir conjuntamente con el supervisor del contrato el plan de trabajo y
cronograma de actividades, que permitan identificar los entregables y fechas a realizar
durante la ejecución de este.
2. Identificar las oportunidades de mejora de los proyectos implementados, contemplando las
lecciones aprendidas en las fases anteriores bajo el contrato 2022-0770.
3. Plantear soluciones frente a las necesidades identificadas en los proyectos de mejora
continua que le sean asignados por la Oficina Comercial y de Mercadeo.
4. Garantizar las actividades relacionadas al seguimiento y control de los proyectos de mejora
continua que le sean asignados en el marco de los procesos de la Oficina Comercial y de
Mercadeo y sus diferentes equipos de trabajo.
5. Asegurar la salida a producción y estabilización de los proyectos asignados por la Oficina
Comercial y de Mercadeo.
6. Apoyar las actividades propuestas por el equipo i3 en el marco del programa estratégico de
la Entidad.
7. Ejecutar y apoyar desde el punto de vista técnico, las actividades propias de los
procedimientos contractuales y/o poscontractuales que se desarrollen en el ICETEX bajo el
modelo de atención 2023-2026.
8. Realizar labores de acompañamiento en juntas, reuniones o comités, de conformidad con
las necesidades de la Entidad y la designación del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t>
  </si>
  <si>
    <t>20243030000590-I Id: 4086774</t>
  </si>
  <si>
    <t>13.125</t>
  </si>
  <si>
    <t>2024-0139</t>
  </si>
  <si>
    <t>CD-141-2024</t>
  </si>
  <si>
    <t>SOORANGY PAOLA MARTINEZ SARMIENTO</t>
  </si>
  <si>
    <t>PRESTAR LOS SERVICIOS PROFESIONALES PARA GESTIONAR Y APOYAR TÉCNICAMENTE LA GESTIÓN DEL GRUPO DE ADMINISTRACIÓN DE RECURSOS FÍSICOS EN EL MARCO DEL PROYECTO DE INVERSIÓN DENOMINADO "MEJORAMIENTO DE SEDES", ASÍ COMO CONTRIBUIR Y MEJORAR LA OPORTUNIDAD DE LOS SERVICIOS QUE PRESTA LA ENTIDAD</t>
  </si>
  <si>
    <t>CDEF-223-2024</t>
  </si>
  <si>
    <t>ADECUACION INTERVENTORIA
PUNTOS DE ATE</t>
  </si>
  <si>
    <t>IG332113022001</t>
  </si>
  <si>
    <t>Asistir a las reuniones o actividades que se realicen con los líderes o funcionarios
que participan en los procesos de planeación y de calidad relacionados con los
temas de competencia del grupo de Administración de Recursos Físicos, delegadas
por el supervisor.
2. Preparar, analizar y consolidar la información necesaria para la elaboración de
informes relacionados con la ejecución de planes, programas, proyectos y
actividades propias de los procesos del grupo de Administración de Recursos
Físicos.
3. Presentar ante el Comité de bienes las bajas de elementos de Inventario, siguiendo
los procesos y procedimientos determinados para tal fin.
4. Realizar actividades tendientes a adelantar los procesos de ingresos, bajas y
traslados de elementos conforme a las políticas, procesos y procedimientos
establecidos por el ICETEX.
5. Realizar el ingreso, almacenamiento adecuado, control y salida de elementos de la
bodega de la sede central del ICETEX
6. Apoyar la realización de los inventarios de la Entidad (toma física y elaboración de
inventarios generales e individuales).
7. Adelantar los procesos de baja de bienes y destinación final de los mismos,
conforme a los procesos, procedimientos y normatividad vigente sobre la materia.
8. Adelantar procesos de conciliación contable y presupuestal, de conformidad con la
información suministrada por el sistema de información manejado por le ICETEX
para el control de sus activos.
9. Apoyar el control y pago de facturas o documentos equivalentes, impuestos y
servicios públicos a cargo del área.
10. Preparar de los informes internos y externos relacionados con el objeto contractual.
11. Apoyar el desarrollo de la supervisión de los contratos que le sean asignados.
12. Apoyar en la elaboración de actas de inicio, actas de terminación y actas de
liquidación de contratos que le sean asignados.
13. Adelantar el cargue en la herramienta documental de la entidad, todos los
documentos e insumos que se generen en su contrato y en todos aquellos en los
que apoye a la supervisión.
14. Las demás obligaciones que sean acordes con el objeto contractual asignado por
quien ejerza la función de la Supervisión del Contrato.</t>
  </si>
  <si>
    <t>20243030000586-I Id: 4086761</t>
  </si>
  <si>
    <t>5.2</t>
  </si>
  <si>
    <t>2024-0140</t>
  </si>
  <si>
    <t>CD-142-2024</t>
  </si>
  <si>
    <t>SILVIA JULIANA BOTERO URQUIJO</t>
  </si>
  <si>
    <t xml:space="preserve">SILVIA JULIANA BOTERO </t>
  </si>
  <si>
    <t>PRESTACIÓN DE SERVICIOS PROFESIONALES ESPECIALIZADOS PARA LA REALIZACIÓN DE AUDITORÍAS INTERNAS A PROCESOS DEL ICETEX EN MATERIA JURÍDICA Y JUDICIAL, ASESORÍA EN LA VERIFICACIÓN Y APLICACIÓN NORMATIVA EN LOS PROCESOS, FUNCIONES Y GESTIÓN DE LA OFICINA DE CONTROL INTERNO, ASÍ COMO EN LA OBSERVANCIA Y APLICACIÓN DE LAS NORMAS JURÍDICAS RELACIONADAS CON LAS FUNCIONES LEGALES Y ADMINISTRATIVAS DE LA ENTIDAD, LA REVISIÓN Y PROYECCIÓN DE DOCUMENTOS, ACTOS ADMINISTRATIVOS E INFORMES RELACIONADOS EN EL PLAN DE AUDITORÍAS PARA LA VIGENCIA 2024.</t>
  </si>
  <si>
    <t>CDEF-326-2024</t>
  </si>
  <si>
    <t xml:space="preserve">Planear y realizar las actividades dentro de las auditorias y asistir a la realización de las mismas que le indique el supervisor del contrato de acuerdo con el Plan Anual de Auditorias aprobado para la vigencia 2024, teniendo en cuenta el periodo de duración del contrato y las necesidades presentadas en la entidad.
2. Realizar la revisión mensual de la información de los procesos judiciales y extrajudiciales del Icetex registrada en el sistema e-Kogui, en las páginas de la Rama Judicial y de la Procuraduría General de la Nación y reportar los resultados correspondientes al Jefe de la OCI, así como el adecuado y oportuno registro y auditoría al proceso de representación judicial de los procesos judiciales y las conciliaciones en trámite por parte de los apoderados
de la Entidad, y en las asesorías que se adelanten a las demás dependencias del ICETEX en aspectos relacionados con el objeto contractual.
3. Suministrar y apoyar la gestión de la Oficina de Control Interno respecto de la información necesaria para generar los reportes y certificaciones a la ANDJE en las fechas establecidas reglamentariamente, incluyendo la certificación semestral de seguimiento, de acuerdo con los instructivos que en la materia provea esa entidad.
4. Revisar y analizar las fichas técnicas de cada caso del Comité de Conciliación allegado a la Oficina de Control Interno, proyectar las observaciones de carácter jurídico y judicial que correspondan desde las competencias de la Oficina de Control Interno y exponerlas en las sesiones del Comité, a instrucciones del supervisor contractual.
5. Llevar a cabo la revisión mensual de los procesos de contratación estatal de mayor y menor cuantía y en los asuntos de contratación institucional del Icetex por cualquier modalidad de selección, a instrucciones del supervisor o por solicitud de la alta dirección, para detectar y tramitar las posibles alertas tempranas en ejercicio del control preventivo de competencia de la Oficina de Control Interno.
6. Preparar y proyectar según corresponda los documentos de trabajo, actos administrativos, oficios, memorandos, manuales, peticiones, actas, circulares, consultas y solicitudes de conceptos de las diversas entidades del Estado u órganos de control, requeridos como soporte de los informes de auditorías que se adelanten durante la vigencia del contrato, así como los que sean necesarios para el adecuado desarrollo de las funciones de la Dependencia, y brindar asesoría y rendir los conceptos jurídicos a la alta dirección del Icetex
que en materia de contratación sean sometidos a su análisis y que estén relacionados con las funciones de la oficina de control interno.
7. Asistir a comités, reuniones de trabajo, audiencias y demás actividades que le sean indicados por el Jefe de Control Interno del ICETEX, para el fomento de la cultura del control de la entidad y las demás que estén relacionadas con el objeto del contrato. 
8. Desplazarse en oficinas institucionales ubicadas en ciudades o municipios distintos a Bogotá D.C., por solicitud del supervisor contractual, previo el otorgamiento de la correspondiente autorización de desplazamiento. 9.Cumplir las demás actividades relacionadas con el objeto del contrato que sean acordadas 
con el supervisor.
</t>
  </si>
  <si>
    <t>20243030000539-I Id: 4086545</t>
  </si>
  <si>
    <t>12.26</t>
  </si>
  <si>
    <t>2024-0141</t>
  </si>
  <si>
    <t>CD-143-2024</t>
  </si>
  <si>
    <t>JHON ALEJANDRO TIBAVISCO RODRIGUEZ</t>
  </si>
  <si>
    <t>PRESTAR LOS SERVICIOS PROFESIONALES ESPECIALIZADOS PARA LA ESTRUCTURACIÓN DE MECANISMOS PARA EL SEGUIMIENTO Y CONTROL DE LA GESTIÓN FINANCIERA DE INICIATIVAS DE NUEVAS FUENTES DE FONDEO, FORTALECIENDO PROCESOS DE INNOVACIÓN EN EL MARCO DEL PROYECTO DE INVERSIÓN DE BANCA ABIERTA Y TRANSPARENTE E INHOUSE BANKING</t>
  </si>
  <si>
    <t>CDEF-332-2024</t>
  </si>
  <si>
    <t>IG 332902005</t>
  </si>
  <si>
    <t xml:space="preserve">1. Apoyar en la estructuración de mecanismos, informes y reportes asociados a la gestión de cuentas inactivas que permitan la articulación del flujo de producción de información de la entidad en el marco de modernizar las funciones financieras de la entidad.
2. Apoyar en el soporte y gestión de las interfaces con entidades externas e internas para la simplificación, optimización y sistematización de los arqueos mensuales requeridos por la Dirección de Tesorería, en el marco de modernizar las funciones financieras de la entidad. 
3. Apoyar en la coordinación para el despliegue y apropiación de indicadores, reportes y tableros de control para monitorear la optimización de la asignación de recursos de liquidez, en el marco del Proyecto de inversión banca abierta y transparente e Inhouse Banking. 
4. Apoyar la estructuración de los insumos necesarios para el desarrollo de los procesos de selección en el marco de la implementación de los proyectos de inversión a cargo de la Vicepresidencia Financiera, y la Dirección de Tesorería. 
5. Apoyar la implementación de iniciativas con el objetivo de consolidar la generación de capacidades operativas bajo esquemas de eficiencia administrativa, que permitan optimizar el monitoreo, seguimiento y evaluación financiera del proyecto Cuentas Inactivas. 
6. Apoyar en el soporte y gestión de los requerimientos de las Entidades Financieras asociados al proyecto Cuentas Inactivas, y la normatividad vigente aplicable. 
7. Apoyar en el soporte y gestión en el cumplimiento monetario a cargo de la Dirección de Tesorería en el marco del proyecto Cuentas Inactivas, y la modernización de las funciones financieras del Instituto. 
8. Apoyar en la gestión de consolidación y revisión de los informes de los recursos de cuentas inactivas, con base a la información transmitida por parte de las entidades financieras, y la estabilización de los sistemas que soportan la operativa. 
9. Apoyar la estructuración de los insumos necesarios para el desarrollo de los procesos en el marco de la implementación de los proyectos de inversión a cargo de la Vicepresidencia Financiera. 
10. Dar cumplimiento a los indicadores de gestión establecidos en el contrato.
</t>
  </si>
  <si>
    <t>20243030000536-I Id: 4086519</t>
  </si>
  <si>
    <t>4.139</t>
  </si>
  <si>
    <t>2024-0142</t>
  </si>
  <si>
    <t>CD-144-2024</t>
  </si>
  <si>
    <t>FELIPE ALZATE SANCHEZ</t>
  </si>
  <si>
    <t>MANIZALES</t>
  </si>
  <si>
    <t>CDEF-171-2024</t>
  </si>
  <si>
    <t>HONORARIOS OCM</t>
  </si>
  <si>
    <t xml:space="preserve">13.2	
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t>
  </si>
  <si>
    <t>20243030000599-I Id: 4134875</t>
  </si>
  <si>
    <t>4.141</t>
  </si>
  <si>
    <t>2024-0143</t>
  </si>
  <si>
    <t>CD-145-2024</t>
  </si>
  <si>
    <t>JHON UBER OBANDO GIRALDO</t>
  </si>
  <si>
    <t>PEREIRA</t>
  </si>
  <si>
    <t>CDEF-173-2024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</si>
  <si>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t>
  </si>
  <si>
    <t>20243030000601-I Id: 4134879</t>
  </si>
  <si>
    <t>4.137</t>
  </si>
  <si>
    <t>2024-0144</t>
  </si>
  <si>
    <t>CD-146-2024</t>
  </si>
  <si>
    <t>RAMON ELÍAS RODRIGUEZ CELEITA</t>
  </si>
  <si>
    <t>CDEF-169-2024</t>
  </si>
  <si>
    <t>20243030000598-I Id: 4134874</t>
  </si>
  <si>
    <t>4.140</t>
  </si>
  <si>
    <t>2024-0145</t>
  </si>
  <si>
    <t>CD-147-2024</t>
  </si>
  <si>
    <t>LEIDY CRISTINA SANCHEZ LOPEZ</t>
  </si>
  <si>
    <t>CDEF-172-2024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</si>
  <si>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t>
  </si>
  <si>
    <t>20243030000600-I Id: 4134877</t>
  </si>
  <si>
    <t>4.136</t>
  </si>
  <si>
    <t>2024-0146</t>
  </si>
  <si>
    <t>CD-148-2024</t>
  </si>
  <si>
    <t>MARIA VICTORIA DÁVILA ÁLVAREZ</t>
  </si>
  <si>
    <t>CDEF-168-2024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</si>
  <si>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1.	Un (1) informe mensual, en cual se refleje el avance de las actividades asignadas por el Supervisor del Contrato.
2.	Un (1) informe definitivo al culminar el plazo de ejecución contractual, en el cual se consoliden las actividades realizadas durante la ejecución del contrato.
Dar cumplimiento del siguiente indicador: 
Fórmula: (Número de actividades realizadas en el periodo / Total de actividades asignadas en el periodo) * 100% Meta: &gt;= 90% 
Lineamientos estratégicos a los que le apunta: Diseñar e implementar estrategias comerciales para la promoción y divulgación del portafolio de servicios de ICETEX en la Zona Territorial Noroccidente.
Objetivos estratégicos: Asegurar el acceso, permanencia y graduación de nuestros beneficiarios, la ampliación de la cobertura, mejorando los productos y servicios con oportunidad, eficacia y un enfoque diferencial.
Intención del indicador: Evaluar el cumplimiento de las actividades asignadas. 
Frecuencia de actualización: Mensual.
</t>
  </si>
  <si>
    <t>20243030000597-I Id: 4134873</t>
  </si>
  <si>
    <t>4.142</t>
  </si>
  <si>
    <t>2024-0147</t>
  </si>
  <si>
    <t>CD-149-2024</t>
  </si>
  <si>
    <t>MARIZA DEL CARMEN OLARTE PATIÑO</t>
  </si>
  <si>
    <t>CDEF-174-2024</t>
  </si>
  <si>
    <t xml:space="preserve">1.	Apoyar y gestionar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Interactuar con el personal del operador de servicio al cliente en las diferentes oficinas con el fin de atender y gestionar oportunamente las diferentes novedades de servicio en el proceso de atención presencial presentadas con los usuarios de la entidad, así como las mejoras locativas requeridas para la debida operación de las oficinas.
c.	Gestionar los arreglos locativos requeridos para la óptima operación de las oficinas de la territorial.
d.	Gestionar con las diferentes áreas a nivel central, la oportuna y eficiente ejecución de los procesos relativos a la gestión del Talento Humano, Seguridad en el trabajo, Riesgos, operación de la plataforma tecnológica, entre otros.    
e.	Apoyar el proceso de pago de servicios públicos, arrendamientos, administraciones y demás rubros correspondientes a la caja menor a cargo de la territorial.
f.	Apoyar la ejecución del proceso de control, manejo y actualización de inventarios de las oficinas a cargo de la territorial.
g.	Gestionar la solución oportuna ante las diferentes entidades proveedoras de servicios de las oficinas (servicios públicos, operadores tecnológicos, entre otros) ante las fallas y /o situaciones que afecten la debida operación de la oficina y la continuidad en la atención a los usuarios.    
h.	Atender las visitas de auditorías de control interno y presentación de informes requeridos a la territorial por las diferentes áreas de la entidad.
i.	Apoyar en la preparación y presentar de los informes requeridos por las diferentes áreas de la entidad a nivel central. 
2.	Apoyar y ejecutar desde el punto de vista técnico los procedimientos precontractuales, contractuales y poscontractuales requeridos para adelantar las contrataciones de bienes y servicios o aliados estratégicos que se desarrollen en la territorial,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7.	Asesorar y acompañar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12.	Cumplir con los indicadores de gestión establecidos.
</t>
  </si>
  <si>
    <t>20243030000602-I Id: 4134881</t>
  </si>
  <si>
    <t>10.23</t>
  </si>
  <si>
    <t>2024-0148</t>
  </si>
  <si>
    <t>CD-150-2024</t>
  </si>
  <si>
    <t>MONICA JOHANNA RODRIGUEZ TINJACA</t>
  </si>
  <si>
    <t>PRESTAR SUS SERVICIOS PROFESIONALES PARA LA ATENCIÓN DE PQRSD, ACCIONES JUDICIALES Y DEMÁS TRÁMITES A CARGO DE LA VICEPRESIDENCIA DE FONDOS EN ADMINISTRACIÓN</t>
  </si>
  <si>
    <t>CDEF-282-2024</t>
  </si>
  <si>
    <t>IG 312001020700012</t>
  </si>
  <si>
    <t>ANALISTA GRADO 04</t>
  </si>
  <si>
    <t xml:space="preserve">
1.	Proyectar y/o revisar los oficios de respuesta internas y externas que le sean asignadas y guarden relación con el objeto contractual. 
2.	Proyectar las certificaciones requeridas por la Oficina Jurídica del ICETEX relacionadas con los temas a cargo de la Vicepresidencia de Fondos en Administración.
3.	Suministrar el insumo para la elaboración de informes que le sean requeridos y guarden relación con el objeto contractual.
4.	Actualizar la información que reposa en las bases de datos que soporta la gestión de la atención de PQRSD, certificaciones derivadas de acciones judiciales, OPAS y demás trámites relacionados a cargo de la Vicepresidencia de Fondos en Administración.
5.	Efectuar seguimiento para el cumplimiento de las decisiones derivadas de las acciones judiciales que deban ser atendidas por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</si>
  <si>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20243030000581-I Id: 4086754</t>
  </si>
  <si>
    <t>12.29</t>
  </si>
  <si>
    <t>2024-0149</t>
  </si>
  <si>
    <t>CD-151-2024</t>
  </si>
  <si>
    <t>MARIA TERESA ACOSTA BARRERA</t>
  </si>
  <si>
    <t>PRESTAR LOS SERVICIOS PROFESIONALES PARA LA ADOPCIÓN DE LOS ESTÁNDARES, BUENAS PRÁCTICAS Y PROCEDIMIENTOS QUE SOPORTAN LA APROPIACIÓN DE LOS PROCESOS CONTABLES EN TÉRMINOS DE TIEMPO, RECURSOS Y PROCEDIMIENTOS, PARA LA REGULARIZACIÓN DE LOS FONDOS Y ALIANZAS EN ADMINISTRACIÓN, A PARTIR DE LAS HERRAMIENTAS PROPORCIONADAS POR EL ICETEX, EN EL MARCO DEL PROYECTO DE BANCA ABIERTA Y TRANSPARENTE E INHOUSE BANKING</t>
  </si>
  <si>
    <t>CDEF-190-2024</t>
  </si>
  <si>
    <t>BANCA ABIERTA Y TRANSPARENTE E</t>
  </si>
  <si>
    <t xml:space="preserve">1.	Apoyar el seguimiento y control de los indicadores y de las herramientas que soportan el proceso en la regularización de la información contable de los recursos en administración para la mejora continua del proceso. 
2.	Apoyar la articulación entre las áreas que intervienen en los procesos de regularización y sostenibilidad de la información financiera de los recursos administrados por el ICETEX, en el marco del proyecto de inversión banca abierta e Inhouse banking. 
3.	Apoyar la articulación entre las áreas que intervienen en la producción de información, estados de cuenta y toma de decisiones para optimizar el proceso de regularización de partidas conciliatorias. 
4.	Apoyar en la gestión de consolidación, revisión y registro de las partidas en el procedimiento de conciliación y regularización de la información contable de los recursos en administración. 
5.	Apoyar la operación recurrente de la información contable de los recursos entregados en administración por los constituyentes de los fondos y alianzas, mensuales y anual. 
6.	Apoyar en la consolidación, revisión y registro de las partidas conciliatorias derivado del proceso de sostenibilidad y regularización de la información financiera, en los estados financieros que apliquen. 
7.	Apoyar en la gestión y soporte al proceso de reconocimiento contable de las obligaciones a cargo del ICETEX relativas a las cuentas por pagar generadas en la operación de la Entidad. 
8.	Apoyar en la estructuración y verificación de la exógena de los convenios administrados por la Entidad. 
9.	Apoyar en la elaboración de informes, para dar respuesta de forma oportuna, a los requerimientos de información solicitados a la Dirección de Contabilidad o la Vicepresidencia Financiera. 
10.	Atender los lineamientos de la Vicepresidencia Financiera respecto de la administración de la información financiera, contable y la gestión e integración de datos maestros de la Entidad. 
11.	Las demás obligaciones que se requieran para el cumplimiento a cabalidad del objeto contractual y que sean inherentes a la naturaleza del contrato. 
12.	Cumplir con los indicadores de gestión establecidos.
</t>
  </si>
  <si>
    <t>20243030000546-I Id: 4086576</t>
  </si>
  <si>
    <t>9.27</t>
  </si>
  <si>
    <t>2024-0150</t>
  </si>
  <si>
    <t>CD-152-2024</t>
  </si>
  <si>
    <t>JORGE ERNESTO DURAN MONTAÑA</t>
  </si>
  <si>
    <t>PRESTAR LOS SERVICIOS PROFESIONALES ESPECIALIZADOS PARA LA REPRESENTACIÓN JUDICIAL EN PROCESOS EJECUTIVOS PARA LA RECUPERACIÓN DE CARTERA CONFORME A LAS POLÍTICAS ESTABLECIDAS EN LOS REGLAMENTOS DE LA ENTIDAD DE CONFORMIDAD CON LA NORMATIVIDAD APLICABLE, ORIENTAR AL GRUPO DE ABOGADOS CONTRATADOS PARA EJECUTAR LOS PROCESOS DE GESTIÓN JUDICIAL Y BRINDAR SOPORTE JURÍDICO AL ÁREA FRENTE A TEMAS RELACIONADOS CON LA RECUPERACIÓN DE CARTERA</t>
  </si>
  <si>
    <t>CDEF-139-2024</t>
  </si>
  <si>
    <t>HONORARIOS-VCC</t>
  </si>
  <si>
    <t xml:space="preserve">1.	Efectuar la gestión de recuperación de cartera en cobro jurídico, bajo los principios establecidos por ICETEX de respeto, cordialidad, transparencia, ética, empatía e imparcialidad y brindar soporte jurídico al área frente a temas relacionados con la recuperación de cartera.
2.	Organizar la entrega de la documentación requerida para iniciar los procesos ejecutivos con los abogados que presentan las demandas con el debido cuidado y custodia de los documentos.  
3.	Presentar las demandas con el lleno de los requisitos legales y conforme a la técnica jurídica que corresponda a cada caso, dentro de los diez (10) días hábiles siguientes al recibo de los documentos, dependiendo del número de obligaciones asignadas. En casos especiales, el supervisor del contrato autorizará la interposición de la demanda en un término mayor, previa solicitud y sustentación del contratista; así como realizar la vigilancia y control de las demandas a efecto de procurar su admisión o mandamiento de pago en forma oportuna, continuando con el debido impulso procesal. 
4.	Proyectar los acuerdos de pago, conforme a lo establecido en las políticas vigentes, velando por el mayor recaudo posible para el ICETEX.
5.	Presentar informe mensualmente al ICETEX y alimentar y mantener actualizada la información de los procesos ejecutivos vigentes en el aplicativo eKogui (Sistema Único de Gestión e Información de la Actividad Litigiosa del Estado), que promueve el ICETEX en la actividad misional de cobranza, dentro del objeto contratado, dando cumplimiento a las funciones del apoderado establecidas el parágrafo del artículo 2.2.3.4.1.10 del Decreto 1069 de 2015 “Por medio del cual se expide el Decreto Único Reglamentario del Sector Justicia y del Derecho”.
6.	Presentar al comité de cartera una vez se identifiquen, los casos especiales de deudores morosos que requieran su análisis con la respectiva recomendación.
7.	Realizar relación de gastos correspondientes a costas procesales y mantener su control.
8.	Proceder a remitir al ICETEX, una vez cumplido el plazo establecido en el contrato, las renuncias a los poderes que le hayan sido asignados y los respectivos paz y salvos de honorarios, radicándolos en los despachos judiciales, de acuerdo a las indicaciones de la entidad, respecto de cada uno de los procesos vigentes.
9.	Efectuar la devolución de las obligaciones asignadas para el cobro, que han sido normalizadas desde el momento de la entrega y hasta la notificación del mandamiento ejecutivo o el registro de medidas cautelares. Para etapas posteriores se atenderá la instrucción que imparta el ICETEX para retirarse de la gestión de cobro judicial.
10.	Realizar, previa solicitud del ICETEX y por intermedio de la Dirección de Cobranza, la devolución de los procesos en el momento en que este lo disponga por alguna particularidad, por ejemplo, evidencia de un riesgo latente que afecte o pueda afectar los intereses del ICETEX, tener un acuerdo previo a la entrega de documentos al abogado, por la puesta en marcha de planes o brigadas de normalización de cartera, u otros que a consideración de ICETEX, manifestara al contratista realizar devolución sin importar la etapa procesal en que se encuentre.
11.	Realizar revisiones periódicas a los abogados del equipo de cobro jurídico, allegando el respectivo informe de la revisión realizada.                                                                       
12.	Realizar desplazamiento a la ciudad que el supervisor indique en caso de ser necesario para hacer seguimiento procesal.
13.	Las demás obligaciones que se requieran para el cumplimiento a cabalidad del objeto contractual y que sean inherentes a la naturaleza del contrato.
14.	Cumplir con los indicadores de gestión establecidos.
</t>
  </si>
  <si>
    <t>20243030000811-I Id: 4134965</t>
  </si>
  <si>
    <t>13.48</t>
  </si>
  <si>
    <t>2024-0151</t>
  </si>
  <si>
    <t>CD-153-2024</t>
  </si>
  <si>
    <t>WILLIAM ROBERTO CELIS SARMIENTO</t>
  </si>
  <si>
    <t>PRESTAR LOS SERVICIOS DE APOYO A LA GESTIÓN AL GRUPO DE DESARROLLO Y TRANSFORMACIÓN ORGANIZACIONAL DE LA SECRETARÍA GENERAL EN LAS ACTIVIDADES DOCUMENTALES, GESTIÓN ADMINISTRATIVA Y LAS RELACIONADAS CON LA PLANEACIÓN, IMPLEMENTACIÓN, EJECUCIÓN Y SEGUIMIENTO A LOS PROCESOS DE TRANSFORMACIÓN Y DESARROLLO DE LA CULTURA ORGANIZACIONAL DE LA ENTIDAD, EN EL MARCO DE LAS ESTRATEGIAS, PLANES, PROGRAMAS Y PROYECTOS QUE SE DESARROLLEN PARA TAL FIN, FACILITANDO EL CUMPLIMIENTO A LAS METAS Y OBJETIVOS DEL ÁREA.</t>
  </si>
  <si>
    <t>CDEF-181-2024</t>
  </si>
  <si>
    <t>TRANSFORMACION DE LA
ARQUITECTURA Y LA CULTURA ORGANIZACIONAL</t>
  </si>
  <si>
    <t>IG332901001</t>
  </si>
  <si>
    <t xml:space="preserve">Gestionar el proceso de clasificación de la documentación del grupo de transformación organizacional de la Secretaría General de la entidad, de acuerdo con los principios archivísticos de procedencia y orden original, el servicio de consulta y la conservación de documentos, con sujeción a las pautas y principios establecidos en la Ley, normas internas y pautas fijadas por el Archivo General de la Nación.
Recolectar, registrar, conservar, distribuir, relacionar, clasificar, entregar, publicar y archivar los documentos expedidos en desarrollo de los procesos de transformación organizacional del ICETEX.
3.
Apoyar la elaboración de informes, planillas y/o registros de constancia de entrega y salida de archivos, así mismo guardar estricta reserva sobre los documentos, la información a la cual se tiene acceso y los asuntos de su competencia.
4.
Realizar la sistematización de la entrada diaria de correspondencia del grupo de transformación organizacional, llevando control del trámite de la misma, alertando al supervisor-a o al-a secretario-a general sobre las urgencias para su trámite y respuesta.
5.
Participar activamente en el análisis, metodologías y procedimientos para la incorporación y uso de nuevas herramientas que permitan modernizar y agilizar los procesos documentales y administrativos derivados de las acciones del Grupo de Desarrollo y Transformación Organizacional.
6.
Gestionar la documentación derivada de las acciones de transformación organizacional de la entidad, aplicando la metodología prevista para la organización de la documentación mediante el ordenamiento, depuración, retiro de material metálico, foliación, identificación y almacenamiento respectivo.
7.
Apoyar y desarrollar el proceso de levantamiento del inventario sintético esquemático base para la valoración documental, así como los descriptivos y/o analíticos que se requieran de acuerdo con la metodología y formatos definidos por el ICETEX.
8.
Realizar el apoyo técnico para el manejo y trámite administrativo de las solicitudes y requerimientos a cargo del Grupo de Desarrollo y Transformación Organizacional a través de las diferentes herramientas y aplicativos de gestión dispuestos por la entidad para tal fin.
9.
Asistir a las reuniones que estén relacionadas con el objeto del presente contrato, cuando así lo determine el supervisor y/o el-la secretario-a general de la entidad.
10.
Apoyar en la logística de los eventos presenciales realizados por el Grupo de Desarrollo y Transformación Organizacional.
11.
Revisión y tramite de los documentos soporte para tramite de pagos de los contratistas y proveedores del Grupo de Desarrollo y Transformación Organizacional.
12.
Elaboración de documentos soporte de evidencias de reuniones del Grupo de Desarrollo y Transformación Organizacional.
13.
Las demás asignadas por el Supervisor, relacionadas con el objeto y la naturaleza del contrato.
</t>
  </si>
  <si>
    <t>20243030000596-I Id: 4086790</t>
  </si>
  <si>
    <t>13.94</t>
  </si>
  <si>
    <t>2024-0152</t>
  </si>
  <si>
    <t>OC</t>
  </si>
  <si>
    <t>N/A</t>
  </si>
  <si>
    <t>12 SUMINISTRO</t>
  </si>
  <si>
    <t>2 PERSONA JURÍDICA</t>
  </si>
  <si>
    <t>1 NIT</t>
  </si>
  <si>
    <t>900459737-5</t>
  </si>
  <si>
    <t>GRUPO EDS AUTOGAS SAS</t>
  </si>
  <si>
    <t>CONTRATAR EL SUMINISTRO DE COMBUSTIBLE CON CONTROL POR MICROCHIP PARA EL PARQUE AUTOMOTOR DE ICETEX Y LAS PLANTAS ELÉCTRICAS DE LA ENTIDAD.</t>
  </si>
  <si>
    <t>CDEF-381-2024</t>
  </si>
  <si>
    <t>COMBUSTIBLES Y LUBRICANTES</t>
  </si>
  <si>
    <t>IG311002004004001</t>
  </si>
  <si>
    <t>5 ACUERDO MARCO</t>
  </si>
  <si>
    <t>3 N/A</t>
  </si>
  <si>
    <t>11.150</t>
  </si>
  <si>
    <t>2024-0153</t>
  </si>
  <si>
    <t>CD-154-2024</t>
  </si>
  <si>
    <t>YHENNY SOLANYILL CASTILLO TOBO</t>
  </si>
  <si>
    <t>PRESTACIÓN DE SERVICIOS PROFESIONALES ESPECIALIZADOS PARA EL ANÁLISIS Y APLICACIÓN DE NOVEDADES EN LA CARTERA, DE ACUERDO CON LA NORMATIVIDAD VIGENTE EN EL ICETEX.</t>
  </si>
  <si>
    <t>CDEF-504-2024</t>
  </si>
  <si>
    <t xml:space="preserve">1.	Ejecutar las actividades tendientes al cumplimiento de los procesos de 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
</t>
  </si>
  <si>
    <t>20243030000627-I Id: 4135033</t>
  </si>
  <si>
    <t>11.54</t>
  </si>
  <si>
    <t>2024-0154</t>
  </si>
  <si>
    <t>CD-155-2024</t>
  </si>
  <si>
    <t xml:space="preserve">
CLAUDIA PATRICIA ROBLES GUERRERO 
</t>
  </si>
  <si>
    <t>PRESTACIÓN DE SERVICIOS PROFESIONALES ESPECIALIZADOS COMO ASESORA DE ESTRATEGIA Y ARTICULACIÓN DE INICIATIVAS Y PROYECTOS DE TRANSFORMACIÓN DIGITAL DE LA VICEPRESIDENCIA DE OPERACIONES Y TECNOLOGÍA DEL ICETEX</t>
  </si>
  <si>
    <t>CDEF-505-2024</t>
  </si>
  <si>
    <t>VICEPRESIDENTE DE OPERACIONES Y TECNOLOGÍA</t>
  </si>
  <si>
    <t xml:space="preserve">1.	Orientar jurídicamente al equipo Directivo de la entidad y a las demás áreas que lo requieran en asuntos relacionados con la articulación estratégica en proyectos de Tecnología del ICETEX y que estén enfocados hacia la Fábrica de Crédito Digital y el Core Bancario.
2.	Asesorar al equipo Directivo de la entidad en la implementación del marco de Interoperabilidad conforme a las políticas de Gobierno Digital para la transformación digital de ICETEX.
3.	Articular y orientar al equipo técnico de las áreas de la entidad para el logro de cometidos de proyectos de Tecnología de la Vicepresidencia de Operaciones y Tecnología del ICETEX.
4.	Analizar y revisar jurídicamente las comunicaciones, documentos y procesos que deba adelantarse en los proyectos TI enfocados hacia la Fábrica de Crédito Digital y el Core Bancario.
5.	Articular las áreas de la entidad y realizar el seguimiento al cumplimiento de las tareas a cargo de cada una de ellas y que sean necesarias para el avance de los proyectos Fábrica de Crédito Digital y el Core Bancario.
6.	Liderar y asesorar al equipo técnico de las áreas de la entidad en los trámites que se relacionen con aspectos legales y financieros de los proyectos Fábrica de Crédito Digital y el Core Bancario, incluyendo la gestión de solicitudes ante la Junta Directiva de ICETEX
7.	Colaborar en la formulación y aplicación de estrategias que permitan la óptima ejecución de los hitos y actividades de los proyectos de tecnología asignado.
8.	Gestionar junto con los supervisores las actuaciones que requieran ser fortalecidas desde la perspectiva técnica y administrativa, de acuerdo con las metas de los proyectos Fábrica de Crédito Digital y el Core Bancario.
9.	Revisar los estudios y documentos previos de los procesos contractuales, que se   adelanten en la Vicepresidencia de Operaciones y Tecnología de acuerdo con la normatividad en materia de contratación aplicables a EL ICETEX. 
10.	Garantizar la confidencialidad, reserva y privacidad de la información que por razón de sus actividades deba manejar en desarrollo del contrato. 
11.	Asistir y/o participar en los comités, mesas de trabajo y demás reuniones relacionadas con el objeto contractual.
12.	Las demás asignadas por el supervisor y que tengan relación con el objeto del presente contrato.
</t>
  </si>
  <si>
    <t>20243030000631-I Id: 4135071</t>
  </si>
  <si>
    <t>f</t>
  </si>
  <si>
    <t>6.2</t>
  </si>
  <si>
    <t>2024-0155</t>
  </si>
  <si>
    <t>CD-156-2024</t>
  </si>
  <si>
    <t>CLAUDIA PATRICIA HERRERA LOGREIRA</t>
  </si>
  <si>
    <t>PRESTAR LOS SERVICIOS PROFESIONALES ESPECIALIZADOS PARA ASESORAR LA GESTIÓN JURÍDICA Y CONTRACTUAL DE LA OFICINA DE RELACIONES INTERNACIONALES DEL ICETEX.</t>
  </si>
  <si>
    <t>CDEF-259-2024</t>
  </si>
  <si>
    <t>HONORARIOS ORI</t>
  </si>
  <si>
    <t xml:space="preserve"> 
CAMILA ANDREA LÓPEZ  ESTEBAN
</t>
  </si>
  <si>
    <t>CESIÓN DEL CONTRATO DE PRESTACIÓN DE SERVICIOS No. 2024-0155 SUSCRITO ENTRE EL
INSTITUTO COLOMBIANO DE CRÉDITO EDUCATIVO Y ESTUDIOS TÉCNICOS EN EL EXTERIOR
“MARIANO OSPINA PÉREZ” –ICETEX Y CLAUDIA PATRICIA HERRERA LOGREIRA A CAMILA ANDREA LÓPEZ ESTEBAN_x000D_</t>
  </si>
  <si>
    <t>20243030001798-I Id: 4158604</t>
  </si>
  <si>
    <t>2.8</t>
  </si>
  <si>
    <t>2024-0156</t>
  </si>
  <si>
    <t>CD-157-2024</t>
  </si>
  <si>
    <t>JAIR FAROUK LADINO MONTENEGRO</t>
  </si>
  <si>
    <t>PRESTAR LOS SERVICIOS PROFESIONALES ESPECIALIZADOS PARA REALIZAR LAS ACTIVIDADES DERIVADAS DE LOS LINEAMIENTOS DEL PROCESO ESTADÍSTICO DEL SISTEMA ESTADÍSTICO NACIONAL, ASÍ COMO EN EL PROCESAMIENTO DE LAS BASES DE DATOS Y EN LA CONSTRUCCIÓN Y MANTENIMIENTO DE TABLEROS DE LA OPERACIÓN ESTADÍSTICA DE FONDOS EN ADMINISTRACIÓN.</t>
  </si>
  <si>
    <t>CDEF-230-2024</t>
  </si>
  <si>
    <t>HONORARIOS OAP</t>
  </si>
  <si>
    <t xml:space="preserve">1.	Ejecutar periódicamente las actividades relacionadas con acopio, limpieza y el procesamiento de las bases de datos fuente de las estadísticas de la entidad.
2.	Apoyar la ejecución de las actividades establecidas en la Norma Técnica de Calidad del Proceso Estadístico - NTC PE 1000:2020 y los demás lineamientos del proceso estadístico que se establezcan en el marco del Sistema Estadístico Nacional - SEN.
3.	Participar en mesas de trabajo internas y externas relacionadas con el proceso estadístico de la entidad y con el gobierno de datos institucional.
4.	Proponer, apoyar y gestionar actividades para la mejora de la calidad de datos de los sistemas de información de la entidad.
5.	Proponer, apoyar y gestionar iniciativas de integración, interoperabilidad, almacenamiento de datos, inteligencia de negocios, analítica de datos y computación en la nube.
6.	Atender y responder los requerimientos de información estadística y de archivos de datos que sean realizadas a la Oficina Asesora de Planeación por usuarios internos y externos.
7.	Conciliar periódicamente las cifras obtenidas del acopio, limpieza y el procesamiento de las bases de datos con los custodios correspondientes.
8.	Elaborar informes, reportes y tableros de control con la información estadística de la entidad.
9.	Gestionar el repositorio de información, Sharepoint, de la Oficina Asesora de Planeación.
10.	Las demás que sean inherentes por la naturaleza del contrato, así como las recomendaciones dadas por el Supervisor de este. Para asegurar el cumplimiento de la finalidad del contrato.
</t>
  </si>
  <si>
    <t>20243030000604-I Id: 4134897</t>
  </si>
  <si>
    <t>2.18</t>
  </si>
  <si>
    <t>2024-0157</t>
  </si>
  <si>
    <t>CD-158-2024</t>
  </si>
  <si>
    <t>YENNI ALEXANDRA CIFUENTES BARÓN</t>
  </si>
  <si>
    <t>PRESTAR SERVICIOS PROFESIONALES ESPECIALIZADOS PARA LA CREACIÓN DE ESTRATEGIAS Y METODOLOGÍAS QUE GENEREN CAPACIDADES EN EL EQUIPO DE INNOVACIÓN Y CONTRIBUYAN CON LA POLÍTICA DE GESTIÓN DEL CONOCIMIENTO E INNOVACIÓN DE LA ENTIDAD</t>
  </si>
  <si>
    <t xml:space="preserve">1.	Proponer y desarrollar la estrategia de gestión del conocimiento para el equipo de innovación alineándose con la estrategia de la entidad y la política de gestión del conocimiento y la innovación bajo el Modelo Integrado de Planeación y Gestión (MIPG).
2.	Apoyar la identificación de oportunidades de innovación en el portafolio, procesos y/o estrategia de la entidad mediante la investigación y el desarrollo de acciones que posibiliten gestionar el conocimiento.
3.	Gestionar acciones para fomentar una cultura que estimule la creatividad, la colaboración, el aprendizaje continuo y la transferencia e intercambio de conocimientos relevantes para la generación de ideas y propuestas que impulsen la innovación en la entidad.
4.	Gestionar acciones para identificar y preservar el conocimiento clave del equipo de innovación, incluyendo la creación o actualización de mapas de conocimiento y la documentación y difusión de lecciones aprendidas y buenas prácticas originadas en los proyectos y acciones lideradas o apoyadas por el equipo de innovación de la entidad.  
5.	Apoyar la implementación de la política de Gestión del Conocimiento y la innovación de la entidad, realizando un plan de trabajo y los reportes requeridos frente a las acciones ejecutadas por el equipo de innovación, en línea con el Modelo Integrado de Planeación y Gestión (MIPG).
6.	Asistir y promover la participación y/o asistencia del equipo de innovación a eventos organizados por el sector público o privado, centrados en buenas prácticas, tecnologías emergentes y metodologías relacionadas con la gestión del conocimiento y su aplicabilidad en proyectos de innovación para facilitar la incorporación de nuevos conocimientos que puedan impulsar la innovación en la entidad.
7.	Orientar acciones para promover el uso y la apropiación del procedimiento y herramientas para el diseño y desarrollo de productos y servicios en la entidad. 
8.	Plantear y/o participar en acciones de ideación, co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</si>
  <si>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20243030000605-I Id: 4134898</t>
  </si>
  <si>
    <t>4.92</t>
  </si>
  <si>
    <t>2024-0158</t>
  </si>
  <si>
    <t>CD-159-2024</t>
  </si>
  <si>
    <t>GABRIELA DAU GÓMEZ</t>
  </si>
  <si>
    <t xml:space="preserve">PRESTAR LOS SERVICIOS PROFESIONALES ESPECIALIZADOS PARA EL DISEÑO, IMPLEMENTACIÓN, EJECUCIÓN, SUPERVISIÓN, CONTROL Y MEJORA CONTINUA DE ESTRATEGIAS COMERCIALES ORIENTADAS A LA PROMOCIÓN Y OTORGAMIENTO DE LOS CRÉDITOS EDUCATIVOS DELICETEX A TRAVÉS DE FONDOS EN ADMINISTRACIÓN, CON EL FIN DE FOMENTAR EL ACCESO A LA EDUCACIÓN MEDIANTE EL FINANCIAMIENTO ADECUADO PARA LOS ESTUDIANTES.
</t>
  </si>
  <si>
    <t>CDEF-044-2024</t>
  </si>
  <si>
    <t xml:space="preserve"> HONORARIOS OCM</t>
  </si>
  <si>
    <t xml:space="preserve">
1. Elaborar, en conjunto con la supervisión del contrato, plan y cronograma de trabajo para la ejecución del contrato. 
2. Estructurar, para aprobación de la supervisión del contrato, y ejecutar estrategias comerciales del producto fondos en administración, en el marco del plan comercial y de mercadeo de ICETEX. 
3. Estructurar y ejecutar acciones de mejoramiento continuo del proceso de comercialización de fondos en administración de ICETEX. 
4. Hacer seguimiento, control y proponer acciones de mejora a las estrategias comerciales del producto fondos en administración. 
5. Realizar, cuando así se defina, seguimiento y control de las metas comerciales de fondos en administración, y de los planes de mejoramiento que sean necesarios para el cumplimiento de la meta conforme a las proyecciones de cada convocatoria. 
6. Realizar seguimiento y control a la incorporación, por parte de los asesores comerciales de las divisiones territoriales, de la información y acciones comerciales relacionadas con fondos en administración en el Costumer Relationship Management (CRM), de conformidad con los lineamientos de la supervisión del contrato. 
7. Realizar monitoreo a la efectividad de las estrategias comerciales definidas en el marco del proceso de comercialización fondos en administración. 
8. Realizar las labores de acompañamiento en reuniones o comités, de conformidad con las necesidades de la entidad y la designación de supervisor del contrato. 
9.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Las demás que sean inherentes para el logro del objeto contratado, asignadas por el supervisor del contrato. 
</t>
  </si>
  <si>
    <t>20243030000630-I Id: 4135062</t>
  </si>
  <si>
    <t>13.54</t>
  </si>
  <si>
    <t>2024-0159</t>
  </si>
  <si>
    <t>CD-160-2024</t>
  </si>
  <si>
    <t>LUISA FERNANDA SANTIAGO DELVASTO</t>
  </si>
  <si>
    <t>PRESTAR SERVICIOS PROFESIONALES AL GRUPO DE DESARROLLO Y TRANSFORMACIÓN ORGANIZACIONAL DE LA SECRETARÍA GENERAL EN LA FACILITACIÓN DE HERRAMIENTAS, ESTRATEGIAS Y ACTIVIDADES QUE CONTRIBUYAN AL MODELO DE TRANSFORMACIÓN Y EL MODELO DE CULTURA ORGANIZACIONAL DE LA ENTIDAD, APORTANDO AL CUMPLIMIENTO DE SU PROPÓSITO SUPERIOR</t>
  </si>
  <si>
    <t>CDEF-360-2024</t>
  </si>
  <si>
    <t>ARQUITECTURA TRANSFORMACION
ORGANIZACION</t>
  </si>
  <si>
    <t xml:space="preserve">1. Realizar actividades tendientes a la conceptualización, estructuración y facilitación de estrategias de creación de valor que fortaleza la cultura organizacional del Icetex, a partir de los diagnósticos de bienestar, clima y cultura organizacional en el marco del plan de bienestar e incentivos y el plan institucional de gestión del conocimiento y la innovación. 
2. Apoyar en la construcción del diseño y participación de los procesos de gestión del cambio que desde la Secretaría General en el marco del modelo de cultura organizacional. 
3. Conceptualizar e implementar estrategias que fortalezcan la gestión del conocimiento de acuerdo con los lineamientos de la política de gestión del conocimiento y la innovación del Icetex en el marco del MIPG. 
4. Formular, implementar y realizar actividades de seguimiento y reporte del plan sectorial del Icetex asociados a la implementación de la gestión del conocimiento y la innovación. 
5. Apoyar en la formulación y actualización de los procedimientos, metodologías y demás documentos que se requieran para la ejecución de las diferentes actividades del proceso de permanencia que lidera la Coordinación del Grupo de Desarrollo y Transformación Organizacional, de acuerdo con los lineamientos que para ello defina la Oficina Asesora de
Planeación.  
6. Realizar seguimiento a las actividades, metas y controles definidos en los planes institucionales, indicadores y riesgos, de acuerdo con los lineamientos definidos por la Oficina Asesora de Planeación. 
7. Adelantar actividades requeridas para la formulación, reporte y seguimiento de los planes institucionales, riesgos, indicadores y demás documentos del proceso de permanencia, conforme a los lineamientos definidos por la Oficina Asesora de Planeación. 
8. Asistir y participar en reuniones técnicas y de comités que se requieran a lo largo de la ejecución del contrato. 
9. Las demás asignadas por el Supervisor, relacionadas con el objeto y la naturaleza del contrato.
</t>
  </si>
  <si>
    <t>20243030000608-I Id: 4134928</t>
  </si>
  <si>
    <t>12.9</t>
  </si>
  <si>
    <t>2024-0160</t>
  </si>
  <si>
    <t>CD-161-2024</t>
  </si>
  <si>
    <t>EDSON ANDRÉS GÓMEZ CÁRDENAS</t>
  </si>
  <si>
    <t>PRESTAR LOS SERVICIOS PROFESIONALES ESPECIALIZADOS PARA LA APROPIACIÓN DE INICIATIVAS BASADAS EN TECNOLOGÍAS DE INFORMACIÓN DE LA VICEPRESIDENCIA FINANCIERA A PARTIR DE LA DEFINICIÓN Y ESTRUCTURACIÓN DE LOS REQUERIMIENTOS, ESTÁNDARES Y PROCESOS QUE SOPORTEN LA IMPLEMENTACIÓN DEL PROYECTO DE INVERSIÓN DE BANCA ABIERTA Y TRANSPARENTE E INHOUSE BANKING</t>
  </si>
  <si>
    <t>CDEF-214-2024</t>
  </si>
  <si>
    <t xml:space="preserve">1.	Colaborar en la estructuración de lineamientos, metodologías y estándares que permitan la modernización de procesos, flujo de datos y la infraestructura tecnológica, a través de la mejora en la eficiencia, eficacia y transparencia operacional de la Vicepresidencia Financiera de ICETEX. 
2.	Apoyar la articulación con instancias internas y externas para la implementación y seguimiento de proyectos e iniciativas en el marco de la transformación digital, y la modernización de las funciones financieras del Instituto. 
3.	Prestar apoyo a la integración y optimización de sistemas de información, incluyendo la interoperabilidad entre sistemas misionales como SISGESTIÓN y APOTEOSYS, con otros sistemas o servicios relevantes para la operación de la Vicepresidencia Financiera. 
4.	Apoyar en la coordinación para el despliegue y apropiación de iniciativas de analítica y gobierno de datos, asegurando la calidad, accesibilidad y seguridad de las fuentes de datos primarias y secundarias. 
5.	Prestar apoyo en la apropiación de los procesos de análisis de datos avanzados para apoyar la toma de decisiones estratégicas y operativas, mejorando la focalización, eficencia y efectividad de los procesos financieros y de asignación de recursos. 
6.	Apoyar la articulación con instancias internas y externas para la implementación lineamientos, estándares y herramientas digitales, en el marco del proyecto de inversión banca abierta y transparente e InHouse banking. 
7.	Colaborar en la gestión, soporte y monitoreo para evaluar la eficiencia operativa de los procesos financieros y tecnológicos, en el marco de la modernización de las funciones financieras. 
8.	Prestar apoyo en el desarrollo de iniciativas de innovación basadas en Tecnologías de la Información que fortalezcan la capacidad operativa del Instituto, bajo metodologías de innovación, open banking e insurtech. 
9.	Cumplir con los indicadores de gestión establecidos 
10.	Las demás obligaciones que se requieran para el cumplimiento a cabalidad del objeto contractual y que sean inherentes a la naturaleza del contrato.
</t>
  </si>
  <si>
    <t>CDEF -958-2024</t>
  </si>
  <si>
    <t>OTROSÍ NO. 01 DE ADICIÓN Y PRÓRROGA AL CONTRATO DE PRESTACIÓN DE SERVICIOS
NO. 2024-0160, SUSCRITO ENTRE EL INSTITUTO COLOMBIANO DE CRÉDITO EDUCATIVO Y
ESTUDIOS TÉCNICOS EN EL EXTERIOR “MARIANO OSPINA PÉREZ” – ICETEX Y EDSON
ANDRES GOMEZ CARDENAS.</t>
  </si>
  <si>
    <t>20243030000606-I Id: 4134919</t>
  </si>
  <si>
    <t>4.143</t>
  </si>
  <si>
    <t>2024-0161</t>
  </si>
  <si>
    <t>CD-162-2024</t>
  </si>
  <si>
    <t>JHON JAIRO VANEGAS MEJIA</t>
  </si>
  <si>
    <t>CDEF-175-2024</t>
  </si>
  <si>
    <t>20243030000648-I Id: 4135132</t>
  </si>
  <si>
    <t>4.163</t>
  </si>
  <si>
    <t>2024-0162</t>
  </si>
  <si>
    <t>CD-163-2024</t>
  </si>
  <si>
    <t>JULIAN ANDRES ROA AYALA</t>
  </si>
  <si>
    <t>APOYAR LA GESTIÓN ADMINISTRATIVA, COMERCIAL Y OPERATIVA DE LA TERRITORIAL ORIENTE EN ARTICULACIÓN CON LA OFICINA COMERCIAL Y DE MERCADEO Y, LAS DEMÁS DEPENDENCIAS DEL NIVEL CENTRAL.</t>
  </si>
  <si>
    <t>BUCARAMANGA</t>
  </si>
  <si>
    <t>CDEF-112-2024</t>
  </si>
  <si>
    <t>REMUNERACIÓN SERVICIOS
TÉCNICOS - OCM</t>
  </si>
  <si>
    <t xml:space="preserve">IG 312001020240014 </t>
  </si>
  <si>
    <t>TERRITORIAL_ORIENTE</t>
  </si>
  <si>
    <t>ASESOR TERRITORIAL ZONA ORIENTE</t>
  </si>
  <si>
    <t xml:space="preserve">1.	Apoyar y gestionar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Interactuar con el personal del operador de servicio al cliente en las diferentes oficinas con el fin de atender y gestionar oportunamente las diferentes novedades de servicio en el proceso de atención presencial presentadas con los usuarios de la entidad, así como las mejoras locativas requeridas para la debida operación de las oficinas.
c.	Gestionar los arreglos locativos requeridos para la óptima operación de las oficinas de la territorial.
d.	Gestionar con las diferentes áreas a nivel central, la oportuna y eficiente ejecución de los procesos relativos a la gestión del Talento Humano, Seguridad en el trabajo, Riesgos, operación de la plataforma tecnológica, entre otros.    
e.	Apoyar el proceso de pago de servicios públicos, arrendamientos, administraciones y demás rubros correspondientes a la caja menor a cargo de la territorial.
f.	Apoyar la ejecución del proceso de control, manejo y actualización de inventarios de las oficinas a cargo de la territorial.
g.	Gestionar la solución oportuna ante las diferentes entidades proveedoras de servicios de las oficinas (servicios públicos, operadores tecnológicos, entre otros) ante las fallas y /o situaciones que afecten la debida operación de la oficina y la continuidad en la atención a los usuarios.    
h.	Atender las visitas de auditorías de control interno y presentación de informes requeridos a la territorial por las diferentes áreas de la entidad.
i.	Apoyar en la preparación y presentar de los informes requeridos por las diferentes áreas de la entidad a nivel central. 
2.	Apoyar y ejecutar desde el punto de vista técnico los procedimientos precontractuales, contractuales y poscontractuales requeridos para adelantar las contrataciones de bienes y servicios o aliados estratégicos que se desarrollen en la territorial,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7.	Asesorar y acompañar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t>
  </si>
  <si>
    <t>20243030000646-I Id: 4135127</t>
  </si>
  <si>
    <t>4.156</t>
  </si>
  <si>
    <t>2024-0163</t>
  </si>
  <si>
    <t>CD-164-2024</t>
  </si>
  <si>
    <t>JULIETH VIVIANA RODRIGUEZ FAJARDO</t>
  </si>
  <si>
    <t>APOYAR LA GESTIÓN ADMINISTRATIVA, COMERCIAL Y OPERATIVA DE LA TERRITORIAL CENTRO EN ARTICULACIÓN CON LA OFICINA COMERCIAL Y DE MERCADEO Y, LAS DEMÁS DEPENDENCIAS DEL NIVEL CENTRAL</t>
  </si>
  <si>
    <t>CDEF-262-2024</t>
  </si>
  <si>
    <t>TERRITORIAL_CENTRO</t>
  </si>
  <si>
    <t>ASESOR TERRITORIAL ZONA CENTRO</t>
  </si>
  <si>
    <t xml:space="preserve">OBLIGACIONES ESPECÍFICAS DEL CONTRATISTA	1.	Apoyar y gestionar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Interactuar con el personal del operador de servicio al cliente en las diferentes oficinas con el fin de atender y gestionar oportunamente las diferentes novedades de servicio en el proceso de atención presencial presentadas con los usuarios de la entidad, así como las mejoras locativas requeridas para la debida operación de las oficinas.
c.	Gestionar los arreglos locativos requeridos para la óptima operación de las oficinas de la territorial.
d.	Gestionar con las diferentes áreas a nivel central, la oportuna y eficiente ejecución de los procesos relativos a la gestión del Talento Humano, Seguridad en el trabajo, Riesgos, operación de la plataforma tecnológica, entre otros.    
e.	Apoyar el proceso de pago de servicios públicos, arrendamientos, administraciones y demás rubros correspondientes a la caja menor a cargo de la territorial.
f.	Apoyar la ejecución del proceso de control, manejo y actualización de inventarios de las oficinas a cargo de la territorial.
g.	Gestionar la solución oportuna ante las diferentes entidades proveedoras de servicios de las oficinas (servicios públicos, operadores tecnológicos, entre otros) ante las fallas y /o situaciones que afecten la debida operación de la oficina y la continuidad en la atención a los usuarios.    
h.	Atender las visitas de auditorías de control interno y presentación de informes requeridos a la territorial por las diferentes áreas de la entidad.
i.	Apoyar en la preparación y presentar de los informes requeridos por las diferentes áreas de la entidad a nivel central. 
2.	Apoyar y ejecutar desde el punto de vista técnico los procedimientos precontractuales, contractuales y poscontractuales requeridos para adelantar las contrataciones de bienes y servicios o aliados estratégicos que se desarrollen en la territorial,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SISGESTION
6.	Ejecutar los procedimientos operativos de las tareas asignadas a su cargo y adecuada gestión de los diferentes aplicativos de la entidad, tales como: a) correo electrónico, b) gestión documental, c) aplicativo cosmos, d) archivo único, e), f) demás aplicativos de gestión definidos por la entidad y asignados por su supervisor.
7.	Asesorar y acompañar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t>
  </si>
  <si>
    <t>20243030000653-I Id: 4135153</t>
  </si>
  <si>
    <t>4.69</t>
  </si>
  <si>
    <t>2024-0164</t>
  </si>
  <si>
    <t>CD-165-2024</t>
  </si>
  <si>
    <t>ROCK ALEXANDER CASTRO MONCADO</t>
  </si>
  <si>
    <t>CDEF-477-2024</t>
  </si>
  <si>
    <t xml:space="preserve">1. Elaborar y entregar plan de trabajo y aprobación por parte del supervisor del contrato, de conformidad con las estipulaciones contractuales.
 2. Realizar monitoreo a la estrategia de cultura de experiencia con el fin de presentar acciones y actividades que permitan aumentar el nivel de satisfacción de los beneficiarios y/o ciudadano 
3.Apoyar programas de desarrollo y formación con el fin de promover, difundir y sensibilizar la cultura de experiencia en los proveedores de servicio y áreas de la entidad. 
4 Apoyar operativamente el seguimiento al proceso de recuperación de experiencia midiendo el impacto en la satisfacción de los beneficiarios de los canales de servicio. 
5. Participar como apoyo en los modelos de gestión de servicio al usuario actual que impacten los grupos de interés del ICETEX y que contribuyan a la mejora de la experiencia del usuario.
6 Apoyar técnicamente,   los analisis de los diferentes puntos de dolor de los beneficiarios frente a la orientación y asesoría de los agentes de servicio al usuario que afectan la calidad y satisfacción en los canales de atención.
7.Acompañar y promover el programa de academia ICETEX en la divulgación de estrategias de servicio en las áreas internas de la entidad para mejorar la experiencia del usuario.
8 Apoyar técnicamente,  los comités de experiencia proponiendo mejoras a las casuísticas desde la perspectiva de experiencia al colaborador.
9. Apoyar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asignadas por el supervisor del contrato y que sean inherentes al objeto contractual del contrato.
</t>
  </si>
  <si>
    <t>20243030000656-I Id: 4135162</t>
  </si>
  <si>
    <t>9.15</t>
  </si>
  <si>
    <t>2024-0165</t>
  </si>
  <si>
    <t>CD-166-2024</t>
  </si>
  <si>
    <t>LINA MARCELA RINCON MONCADA</t>
  </si>
  <si>
    <t>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t>
  </si>
  <si>
    <t>CDEF-141-2024</t>
  </si>
  <si>
    <t>HONORARIOS VCC</t>
  </si>
  <si>
    <t xml:space="preserve">
1.	Apoyar la elaboración estudios técnicos, cuentas de cobro, matriz de riesgo para alianzas nuevas, reglamentos operativos, modificaciones y/o prorroga y adiciones, así como realizar la parametrización de estas.  
2.	Proyectar y revisar desde el punto de vista técnico las minutas de los convenios, otros sí, actas de liquidación de las alianzas de acuerdo con la asignación definida por el área y conforme lo establecido con el aliado, así mismo elaborar y/o actualizar la ficha técnica correspondiente a cada convenio.  
3.	Revisar las solicitudes de alianzas para el comité de crédito, validación del cumplimiento de requisitos para acceder a los convenios, seguimiento de convocatoria, de las solicitudes de crédito, de presupuesto y remitir Informe de adjudicados después de los comités a los aliados estratégicos.  
4.	Realizar y validar la entrega de paz y salvo, paso al cobro, acuerdos de pago, condonaciones requeridas en el Grupo de Cartera y Cobranzas, así como realizar seguimiento a los saldos de las alianzas.  
5.	Generar Informes y estrategias para la estandarización y mejora del proceso de administración de alianzas estratégicas de acuerdo con la asignación definida por el área.  
6.	Cumplir con la gestión administrativa de acuerdo con el cronograma establecido para cada convenio, elaborando y presentando los informes de gestión que se requieran y se relacionen con el cumplimiento del objeto contractual. 
7.	Validar y apoyar las peticiones, quejas, reclamos, solicitudes, denuncias, tutelas, etc; en relación con los procesos de otorgamiento, legalización y renovación de las Alianzas Estratégicas a través del aplicativo de CRM de ICETEX o los medios que se determinen de acuerdo con los tiempos establecidos.  
8.	Realizar pruebas de los procedimientos que le sean asignados con el fin de evitar errores que afecten las solicitudes y la operatividad.  
9.	Crear Arandas, Infoservicios, actualizaciones de la página Web, campañas, documentos con el fin de mantener la información actualizada, mitigar el riesgo y reducir la cantidad de requerimientos de los procesos.  
10.	Asistir y participar a las reuniones de seguimiento programadas internas y externas.  
11.	Cumplir con los indicadores de gestión establecidos. 
12.	Las demás obligaciones que se requieran para el cumplimiento a cabalidad del objeto contractual y que sean inherentes a la naturaleza del contrato.
</t>
  </si>
  <si>
    <t>20243030000663-I Id: 4135197</t>
  </si>
  <si>
    <t>9.17</t>
  </si>
  <si>
    <t>2024-0166</t>
  </si>
  <si>
    <t>CD-167-2024</t>
  </si>
  <si>
    <t>SANDRA CATALINA SANTOS PILONIETA</t>
  </si>
  <si>
    <t>PRESTAR LOS SERVICIOS PROFESIONALES PARA LA EJECUCIÓN DE LAS ACTIVIDADES ASOCIADAS A LAS ALIANZAS ESTRATÉGICAS, ASÍ COMO TAMBIÉN BRINDAR APOYO TÉCNICO EN TEMAS RELACIONADOS CON LAS PLATAFORMAS DIGITALES O HERRAMIENTAS DEL PROCESO DE ALIANZAS ESTRATÉGICAS.</t>
  </si>
  <si>
    <t>20243030000664-I Id: 4135203</t>
  </si>
  <si>
    <t>3.5</t>
  </si>
  <si>
    <t>2024-0167</t>
  </si>
  <si>
    <t>CD-168-2024</t>
  </si>
  <si>
    <t>SONIA VERONICA MUÑOZ CARDENAS</t>
  </si>
  <si>
    <t>PRESTAR LOS SERVICIOS PROFESIONALES JURÍDICOS ESPECIALIZADOS PARA ATENDER LA ACTIVIDAD JURÍDICA DEL ICETEX, DIRIGIDO A LA IMPLEMENTACIÓN DE LA DEFENSA JURÍDICA DE LA ENTIDAD EN ACCIONES DE TUTELA</t>
  </si>
  <si>
    <t>CDEF-489-2024</t>
  </si>
  <si>
    <t>20243030000585-I Id: 4086760</t>
  </si>
  <si>
    <t>10.17</t>
  </si>
  <si>
    <t>2024-0168</t>
  </si>
  <si>
    <t>CD-169-2024</t>
  </si>
  <si>
    <t>YEXICA LIZETH MARTÍNEZ FUENTES</t>
  </si>
  <si>
    <t>PRESTAR SUS SERVICIOS PROFESIONALES ASESORANDO A LA VICEPRESIDENCIA DE FONDOS EN ADMINISTRACIÓN, EN EL ANÁLISIS Y ESTRUCTURACIÓN DE POLÍTICAS, PROGRAMAS Y PROYECTOS ENCAMINADOS A LOGRAR LA GESTIÓN Y ADMINISTRACIÓN DE RECURSOS DE TERCEROS, PARA EL FOMENTO EDUCATIVO.</t>
  </si>
  <si>
    <t>CDEF-192-2024</t>
  </si>
  <si>
    <t xml:space="preserve">1.	Orientar a la Vicepresidencia de Fondos en Administración en la elaboración de documentos técnicos para la estandarización de parámetros en la constitución de nuevos convenios o contratos de la Vicepresidencia de Fondos en Administración.
2.	Identificar oportunidades de financiación de educación superior y formular estrategias para su materialización a través de la gestión de la Vicepresidencia de Fondos en Administración.
3.	Asesorar en el relacionamiento con los constituyentes de los Fondos en administración y potenciales financiadores externos, para identificar oportunidades para la constitución de nuevos convenios o contratos de fomento a la educación superior.
4.	Asesorar en la definición de metas y estrategias de la Vicepresidencia de Fondos en Administración a partir de los resultados de la medición de indicadores del área.
5.	Presentar observaciones a Proyectos de Ley relacionados con los procesos a cargo de la Vicepresidencia de Fondos en Administración, cuando le sean requeridos.
6.	Revisar los proyectos de respuestas de peticiones internas y externas, que le sean requeridos y que guarden relación con los procesos a cargo de la Vicepresidencia de Fondos en Administración.
7.	Acompañar la actualización e implementación de las metodologías, procesos, procedimientos, mecanismos e instrumentos relacionados con los procesos a cargo de la Vicepresidencia de Fondo en Administración, cuando le sea requerido.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</si>
  <si>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20243030000665-I Id: 4135211</t>
  </si>
  <si>
    <t>10.13</t>
  </si>
  <si>
    <t>2024-0169</t>
  </si>
  <si>
    <t>CD-170-2024</t>
  </si>
  <si>
    <t>INGRID NAYIBE ROJAS MORENO,</t>
  </si>
  <si>
    <t>"PRESTAR SUS SERVICIOS PROFESIONALES EN LA FORMULACIÓN, SEGUIMIENTO Y ACTUALIZACIÓN DE LAS ESTRATEGIAS QUE PERMITAN EL ÓPTIMO DESARROLLO DE LA OPERACIÓN, ASEGURANDO EL CUMPLIMIENTO DE LOS RESULTADOS ESPERADOS EN LOS PROCESOS A CARGO DE LA VICEPRESIDENCIA DE FONDOS EN ADMINISTRACIÓN, ALINEADOS CON EL SISTEMA INTEGRADO DE GESTIÓN Y CALIDAD DE LA ENTIDAD.</t>
  </si>
  <si>
    <t>CDEF-102-2024</t>
  </si>
  <si>
    <t xml:space="preserve">1.	Orientar, asesorar y acompañar a la Vicepresidencia de Fondos en Administración en la atención de auditorías internas y externas asociadas a los procesos de la Vicepresidencia y/o del ICETEX en relación con la administración de recursos de terceros. 
2.	Implementar acciones correctivas y preventivas que permitan mitigar los hallazgos derivados de procesos de auditorías asociadas a los procesos a cargo Vicepresidencia de Fondos en Administración. 
3.	Asesorar a la Vicepresidencia de Fondos en Administración en la identificación y atención de riesgos asociados a sus procesos. 
4.	Implementar y actualizar metodologías, procesos, procedimientos, y demás instrumentos que permitan la estandarización y eficiencia operativa de las actividades a cargo de la Vicepresidencia de Fondos en Administración.  
5.	Formular y efectuar seguimiento a los indicadores de gestión asociados a las metas a cargo de la Vicepresidencia de Fondos en Administración. 
6.	Revisar, actualizar y efectuar seguimiento de los indicadores de la Vicepresidencia de Fondos en Administración que apunten al cumplimiento de los objetivos estratégicos del ICETEX 
7.	Revisar las respuestas de peticiones internas y externas, que le sean requeridos y que guarden relación con los procesos a cargo de la Vicepresidencia de Fondos en Administración 
8.	Garantizar la confidencialidad, reserva y privacidad de la información que por razón de sus actividades deba manejar en desarrollo del contrato. 
9.	Asistir y/o participar en los comités, mesas de trabajo y demás reuniones relacionadas con el objeto contractual. 
10.	Las demás asignadas por el supervisor y que tengan relación con el objeto del presente contrato 
</t>
  </si>
  <si>
    <t>20243030000668-I Id: 4135223</t>
  </si>
  <si>
    <t>2024-0170</t>
  </si>
  <si>
    <t>ANULADO</t>
  </si>
  <si>
    <t>4.83</t>
  </si>
  <si>
    <t>2024-0171</t>
  </si>
  <si>
    <t>CD-172-2024</t>
  </si>
  <si>
    <t>ANGELA JOHANA HIGUERA REYES</t>
  </si>
  <si>
    <t>PRESTAR SERVICIOS PROFESIONALES PARA OFRECER SOPORTE TÉCNICO, RESPALDAR EN METODOLOGÍAS Y BRINDAR APOYO LOGÍSTICO PARA LA GESTIÓN DE ALIANZAS DENTRO DEL DESARROLLO DEL PLAN ESTRATÉGICO DE LA ENTIDAD Y LA "POLÍTICA DE GUÍA, INFORMACIÓN Y ACOMPAÑAMIENTO</t>
  </si>
  <si>
    <t>CDEF-069-2024</t>
  </si>
  <si>
    <t xml:space="preserve">IG332911001 </t>
  </si>
  <si>
    <t xml:space="preserve">1.	Participar en la prospección y gestión de nuevas alianzas de la “Política de Guía, Información y Acompañamiento: Comunidad ICETEX”.
2.	  Formular la documentación necesaria para el establecimiento de nuevas alianzas de la “Política de Guía, Información y Acompañamiento: Comunidad ICETEX”.
3.	  Facilitar el relacionamiento con los grupos de interés internos y externos de la entidad con el fin de propiciar la generación nuevas alianzas para Comunidad ICETEX.  
4.	Liderar la gestión interna de los documentos que formalicen la creación de nuevas alianzas para Comunidad ICETEX.  
5.	Facilitar la articulación del equipo de la Unidad de Operaciones con el nuevo aliado de Comunidad ICETEX, incluyendo la entrega de los documentos que se consideren necesarios para la implementación de la alianza.
6.	Apoyar la estandarización de los procesos de la formulación, formalización y gestión de nuevas alianzas de Comunidad ICETEX.
7.	 Acompañar los procesos de reporte de los logros y avances del proyecto Comunidad ICETEX ante las áreas internas del ICETEX, entidades de control y ciudadanía.
8.	Acompañar los procesos precontractuales que le sean asignados para la ejecución de las actividades Comunidad ICETEX.
9.	Apoyar la supervisión de los contratos que le sean asignados, desde el punto de vista técnico y/o administrativo y/o financiero y/o contable, de conformidad con lo establecido en el Manual de Contratación de la Entidad.
10.	Las demás obligaciones que se requieran para el cumplimiento a cabalidad del objeto contractual y que sean inherentes a la naturaleza del contrato.  
</t>
  </si>
  <si>
    <t>20243030000679-I Id: 4135264</t>
  </si>
  <si>
    <t>2.9</t>
  </si>
  <si>
    <t>2024-0172</t>
  </si>
  <si>
    <t>CD-173-2024</t>
  </si>
  <si>
    <t>PABLO ENRIQUE PULIDO CASTIBLANCO</t>
  </si>
  <si>
    <t>PRESTAR LOS SERVICIOS PROFESIONALES ESPECIALIZADOS PARA EL SEGUIMIENTO A LA GESTIÓN A TRAVÉS DE LOS DIFERENTES INSTRUMENTOS O HERRAMIENTAS DE LA ENTIDAD EN EL MARCO DEL SISTEMA INTEGRADO DE GESTIÓN</t>
  </si>
  <si>
    <t>CDEF-434-2024</t>
  </si>
  <si>
    <t>COORDINADOR(A) GRUPO DE ADMINISTRACIÓN Y SEGUIMIENTO ESTRATÉGICO</t>
  </si>
  <si>
    <t xml:space="preserve">1.	Apoyar a las dependencias de la entidad en el alineamiento estratégico de acuerdo con las directrices dadas por la Alta Dirección de la entidad con el Plan Estratégico definido.
2.	Realizar el seguimiento y elaborar los informes de los programas, proyectos estratégicos, planes de acción, indicadores de gestión definidos en la planeación estratégica así como para los instrumentos del sistema de gestión de calidad de la entidad.
3.	Apoyar la administración de las plataformas tecnológicas definidas por la entidad para el registro de la información relacionada con la Planeación estratégica, así como en la generación de herramientas que permitan a la Oficina Asesora de Planeación tener información oportuna para su análisis.
4.	Orientar a las dependencias de la entidad en el cargue de información en la plataforma tecnológica de los programas estratégicos, proyectos, indicadores de gestión y planes de acción definidos en la planeación estratégica de la entidad.
5.	Realizar el acompañamiento a las dependencias de la entidad en la formulación de indicadores de gestión e instrumentos de seguimiento y medición.
6.	Realizar el seguimiento a los planes de mejoramiento, acciones de mejora, compromisos de revisión por la dirección y gestión de oportunidades del Sistema de Gestión de Calidad de la entidad, así como la generación de alertas a las dependencias para la elaboración de Planes de mejoramiento y acciones de mejora, que le sean asignados.
7.	Realizar la construcción, seguimientos y mesas de trabajo relacionadas con racionalización de trámites y datos de operación. Así como la administración de la plataforma SUIT.
8.	Acompañar a las dependencias asignadas en las respuestas y evidencias de FURAG, contestarlas en el aplicativo y posteriormente generar el plan de cierre de brechas producto de los resultados del FURAG y hacer seguimiento.
9.	Las demás que sean indicadas por la supervisión del contrato y tengan relación con el objeto contractual.
</t>
  </si>
  <si>
    <t>20243030000658-I Id: 4135167</t>
  </si>
  <si>
    <t>4.31</t>
  </si>
  <si>
    <t>2024-0173</t>
  </si>
  <si>
    <t>CD-174-2024</t>
  </si>
  <si>
    <t xml:space="preserve">MANUEL ALEJANDRO CAÑON TRUJILLO </t>
  </si>
  <si>
    <t>CDEF-250-2024</t>
  </si>
  <si>
    <t xml:space="preserve">1.	Cumplir con el plan de trabajo entregado por la supervisión en el cual se relacionen los objetivos y metas a desarrollar durante la vigencia del contrato.  
2.	Responder oportunamente lo solicitado para la gestión de requerimientos gerenciales asociados a la planeación estratégica, comités, juntas y demás políticas y demás requerimientos organizacionales y normativos del ICETEX 
3.	Apoyar a la supervisión del contrato en requerimientos asociados a la gestión de auditorías en el marco de los procesos y procedimientos de la Oficina comercial y de Mercadeo o en las que ella participe. 
4.	Brindar propuestas de valor e insumos para el desarrollo de los procesos y su optimización a través de la ingeniería en los procesos y proyectos (análisis de rapidez, solución de problemas, control de ejecución presupuestal operativo, prevención del riesgo, disminución de PQRS, optimización de KPI´S operativos y las demás aplicables) para la correcta atención de los grupos de interés del ICETEX. 
5.	Colaborar en la debida gestión de actividades estratégicas asociadas a los planes y proyectos públicos normativos emitidos por los diferentes entes de control para la correcta atención y gestión de los grupos de interés del ICETEX. 
6.	Validar, documentar y hacer seguimiento a los riesgos identificados en el marco modelo de servicio, así cómo realizar propuestas teniendo como principal objetivo la identificación de las causas y fortalecimiento de controles. 
7.	Proponer iniciativas de mejora que apunten a la optimización y desarrollo de las actividades operativas y/o administrativas desarrolladas asociadas al Sistema de Atención al Consumidor Financiero en el marco de los procesos y procedimientos de la Oficina comercial y de Mercadeo o en las que ella participe. 
8.	Dirigir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</si>
  <si>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20243030000662-I Id: 4135178</t>
  </si>
  <si>
    <t>4.8</t>
  </si>
  <si>
    <t>2024-0174</t>
  </si>
  <si>
    <t>CD-175-2024</t>
  </si>
  <si>
    <t xml:space="preserve">JUAN DAVID OVIEDO GALEANO </t>
  </si>
  <si>
    <t>PRESTAR SERVICIOS DE APOYO TÉCNICO, PARA LA EXTRACCIÓN, REVISIÓN, DEPURACIÓN, GENERACIÓN Y MANTENIMIENTO DE INFORMES, PARA EFECTOS DEL SEGUIMIENTO OPERATIVO, GENERACIÓN Y MEDICIÓN DE KPI, EN EL MARCO DE LAS ACTIVIDADES DEL SERVICIO DE ATENCIÓN AL USUARIO Y ACTIVIDADES DE GESTIÓN COMERCIAL, EN EL MARCO DE LAS ACTIVIDADES DEL EQUIPO DE GOBIERNO DE DATOS DE LA OFICINA COMERCIAL Y DE MERCADEO.</t>
  </si>
  <si>
    <t>CDEF-091-2024</t>
  </si>
  <si>
    <t>REMUNERACION SERVICIOS TECNICOS IOCM</t>
  </si>
  <si>
    <t xml:space="preserve">1.	Elaborar y entregar plan de trabajo y aprobación por parte del supervisor del contrato, de conformidad con las estipulaciones contractuales. 
2.	Medición y seguimiento de indicadores operativos y KPI en cuanto a lo referente a aspectos de calidad, satisfacción y voz del cliente  
3.	Conciliación de datos de los indicadores obtenidos de la Operación de atención al usuario, de la atención por los diversos canales, entre lo entregado por el proveedor y lo calculado por Gobierno de datos de Icetex, en cuanto a lo referente a aspectos de calidad, Satisfacción y voz del cliente  
4.	Definición de parámetros para determinar los mecanismos, fuentes metodologías de medición de KPI en concordancia con lo establecido en el contrato de atención al usuario y en conjunto con el equipo operativo de Icetex, en cuanto a lo referente a aspectos de calidad, satisfacción y voz del cliente.  
5.	Brindar insumos a partir de la data obtenida de seguimiento operativo, para la toma de decisiones, al equipo operativo y de experiencia 
6.	Gestionar y administrar los trámites correspondientes a los usuarios de los sistemas de información, otorgados al proveedor de atención al usuario. 
7.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Presentar, en caso de que aplique, para revisión y aprobación de la supervisión del contrato, propuestas de mejora continua, automatización e innovación de los procesos asociados a la atención de los grupos de interés. 
10.	Brindar acompañamiento en relación con las actividades que le sean asignadas, en el marco de las funciones de la Oficina de Comercial y de Mercadeo.  
11.	Brindar apoyo y asesoría técnica en los comités o reuniones a las que sea convocado y que la Entidad requiera acompañamiento.  
12.	Participar, desde el alcance del objeto y sus obligaciones contractuales, todo el proceso de planeación, implementación y puesta en marcha, de proyectos donde participen una o más dependencias de la Entidad, de acuerdo a lo requerido por el supervisor del contrato. 
13.	Las demás que sean inherentes para el logro del objeto contratado, asignadas por el supervisor del contrato. 
</t>
  </si>
  <si>
    <t>20243030000678-I Id: 4135259</t>
  </si>
  <si>
    <t>13.78</t>
  </si>
  <si>
    <t>2024-0175</t>
  </si>
  <si>
    <t>CD-176-2024</t>
  </si>
  <si>
    <t>ITALO EMILIANO GALLO ORTIZ</t>
  </si>
  <si>
    <t>PRESTAR LOS SERVICIOS PROFESIONALES ESPECIALIZADOS EN EL DESARROLLO Y SEGUIMIENTO DE LOS ACUERDOS ESTRATÉGICOS EN EL MARCO DEL PROYECTO DE FORTALECIMIENTO ORGANIZACIONAL, CON MIRAS AL CUMPLIMIENTO DEL PLAN ESTRATÉGICO 2020-2024.</t>
  </si>
  <si>
    <t>CDEF-189-2025</t>
  </si>
  <si>
    <t xml:space="preserve">1.	Revisar y proponer los ajustes jurídicos a los documentos que se generen con ocasión a los trámites relacionados con los Acuerdos Estratégicos, que cumplan con la normatividad y jurisprudencia vigente y el anexo 5 del ICETEX, en el marco del proyecto de fortalecimiento organizacional.
2.	Revisar y dar el visto bueno a los documentos que se generen con ocasión a los trámites de los acuerdos estratégicos que se adelanten en la Entidad. 
3.	Brindar apoyo al Grupo garantizando el suministro de información técnica y jurídica en los trámites de los acuerdos estratégicos que se requieran. 
4.	Llevar el control y estado de los trámites correspondientes a los abogados que adelantan los trámites en cuanto a los acuerdos estratégicos que se ejecuten y guarden relación con el objeto contractual. 
5.	Proyectar y consolidar la información necesaria para dar respuesta a los requerimientos efectuados por particulares, incluidos los entes de control, referentes a los acuerdos estratégicos del ICETEX, en el marco del proyecto de inversión. 
6.	Entregar al Supervisor, cuando este lo solicite, los asuntos asignados en el Sistema de Gestión Documental o de otros sistemas sobre los cuales tenga acceso. 
7.	Apoyar en la orientación de los procesos de liquidación de los Contratos, Convenios o Acuerdos Estratégicos, que contribuyan al cumplimiento de los objetivos de la Entidad y objetivos del respectivo proyecto de inversión. 
8.	Consolidar la información de los Acuerdos Estratégicos sobre los cuales se adelante la revisión, así como realizar los reportes necesarios respecto de los mismos. 
9.	Realizar la revisión y aprobación de actas, memorandos y demás documentos radicados al Grupo que le sean asignados, y que se relacionen con el objeto contractual. 
10.	Apoyar los trámites que sean necesarios en cuanto a la celebración de los acuerdos estratégicos, en las diferentes etapas. 
11.	Cumplir con los indicadores de gestión establecidos. 
12.	Asistir a las reuniones a las que sea citado, previa coordinación con el supervisor del contrato.
13.	Las demás asignadas por el supervisor y que tengan relación con el objeto del presente contrato.
</t>
  </si>
  <si>
    <t>20243030000685-I Id: 4135314</t>
  </si>
  <si>
    <t>2.19</t>
  </si>
  <si>
    <t>2024-0176</t>
  </si>
  <si>
    <t>CD-177-2024</t>
  </si>
  <si>
    <t>JUAN CARLOS TORRES CASTRO</t>
  </si>
  <si>
    <t>PRESTAR SERVICIOS PROFESIONALES ESPECIALIZADOS PARA GESTIONAR ALIANZAS ESTRATÉGICAS QUE PERMITAN EL DESARROLLO U OPTIMIZACIÓN DE LAS CAPACIDADES E INICIATIVAS QUE DESDE EL EQUIPO DE INNOVACIÓN SE LIDEREN O CUANDO SE APOYE TRANSVERSALMENTE PROYECTOS CON COMPONENTES DE INNOVACIÓN</t>
  </si>
  <si>
    <t>CDEF-233-2025</t>
  </si>
  <si>
    <t xml:space="preserve">1.	Identificar potenciales aliados para el desarrollo de actividades de innovación que aporten a las iniciativas que lidere o apoye el equipo de innovación de la entidad.
2.	Gestionar el relacionamiento con entidades y organizaciones para el desarrollo e implementación de acciones y proyectos gestionados por el equipo de innovación de la entidad.
3.	Gestionar el relacionamiento con las áreas de la entidad y los articuladores designados por éstas hacia el equipo de innovación para el correcto desarrollo de iniciativas y proyectos que se estén realizando desde el área con el equipo de innovación.
4.	Identificar en articulación con las áreas de la entidad y el equipo de innovación, las necesidades de información que puedan brindar entidades públicas o privadas para contribuir con el desarrollo de las iniciativas o proyectos que lidere o apoye el equipo de innovación de la entidad.
5.	Utilizar datos e información recopilada con entidades públicas o privadas para tomar decisiones informadas que impacten el desarrollo de las iniciativas o proyectos que lidere o apoye el equipo de innovación de la entidad.
6.	Desarrollar las acciones requeridas para facilitar el intercambio de información, soporte y demás acciones realizadas en las iniciativas o proyectos que lidere o apoye el equipo de innovación de la entidad.
7.	Participar con autorización del líder del equipo de innovación del ICETEX en los eventos que se identifique y sirvan para propiciar la articulación con entidades públicas o privadas que contribuyan con la ejecución de los proyectos que lidere o apoye el equipo de innovación de la entidad. 
8.	Plantear y/o participar en acciones de ideación,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</si>
  <si>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20243030000681-I Id: 4135288</t>
  </si>
  <si>
    <t>11.92</t>
  </si>
  <si>
    <t>2024-0177</t>
  </si>
  <si>
    <t>CD-178-2024</t>
  </si>
  <si>
    <t>DANIELA AVILA TORRES</t>
  </si>
  <si>
    <t>PRESTACIÓN DE SERVICIOS PROFESIONALES JURÍDICOS ESPECIALIZADOS EN LA ATENCIÓN A ASUNTOS PROPIOS DEL RELACIONAMIENTO JURÍDICO, ADMINISTRATIVO Y CONTRACTUAL EN ASUNTOS TI DEL ICETEX</t>
  </si>
  <si>
    <t>CDEF-308-2025</t>
  </si>
  <si>
    <t xml:space="preserve">1.	Apoyar jurídicamente la gestión integral de la adquisición de bienes y servicios de la Vicepresidencia de Operaciones y Tecnología en todas sus etapas, incluidas las modificaciones, adiciones, prórrogas y otrosíes que sean necesarios en el proceso.
2.	Apoyar la estructuración de certámenes de contratación, incluyendo el acompañamiento a la Vicepresidencia de Operaciones y Tecnología en lo relacionado a los comités de estructuración, evaluación y adquisición involucrados en el proceso contractual. 
3.	Analizar y revisar jurídicamente las comunicaciones, requerimientos, documentos y procesos que le sean asignados para su trámite.
4.	Apoyar a la Vicepresidencia de Operaciones y Tecnología en trámites relacionados con requerimientos internos y externos.
5.	Revisar y orientar en la evaluación técnica de certámenes de contratación en conjunto con las dependencias técnicas de la Vicepresidencia. 
6.	Consolidar y aprobar jurídicamente los documentos generados por la Vicepresidencia de Operaciones y Tecnología para el cumplimiento del plan estratégico de TI.
7.	Atender y gestionar con las áreas técnicas de la Vicepresidencia de Operaciones y Tecnología, las respuestas de consultas, informes y auditorías que sean solicitadas por entes de control internos y externos.  
</t>
  </si>
  <si>
    <t>DIANA GUEVARA</t>
  </si>
  <si>
    <t>20243030000659-I Id: 4135169</t>
  </si>
  <si>
    <t>7.7</t>
  </si>
  <si>
    <t>2024-0178</t>
  </si>
  <si>
    <t>CD-179-2024</t>
  </si>
  <si>
    <t>JUAN DE JESUS APONTE BUITRAGO</t>
  </si>
  <si>
    <t>PRESTAR SERVICIOS PROFESIONALES PARA APOYAR EL SISTEMA DE GESTIÓN DE SEGURIDAD DIGITAL TODAS LAS ETAPAS DE LOS SISTEMAS Y LINEAMIENTOS DE ADMINISTRACIÓN DE RIESGOS DE SEGURIDAD DE LA INFORMACIÓN BASADOS EN ISO 27001 E IMPLEMENTACIÓN Y MANTENIMIENTO DE LA LEY DE PROTECCIÓN DE DATOS Y TODO EL MARCO NORMATIVO APLICABLE</t>
  </si>
  <si>
    <t>CDEF-324-2025</t>
  </si>
  <si>
    <t xml:space="preserve">1.	Desarrollar el Programa de Protección de Datos Personales, con el fin de fortalecer el cumplimiento de la Ley 1581 de 2012- Protección de Datos Personales. 
2.	Mantener actualizar las políticas de protección de datos personales, con base en las necesidades de la entidad y los cambios normativos. 
3.	Presentación de informes de gestión a Junta Directiva y áreas de la Entidad con la gestión realizada sobre el cumplimiento de las políticas y lineamientos de Seguridad Digital, de acuerdo con las especificaciones de la solicitud. 
4.	Realizar revisión, monitoreo y análisis de riesgos de seguridad digital, ciberseguridad y protección de datos personales a la totalidad de procesos de la Entidad asistiendo a las diferentes áreas del Icetex en el análisis, acorde con los lineamientos normativos. 
5.	Hacer seguimiento a la generación de Planes de Tratamientos para aquellos riesgos que resulten con evaluación grave o crítica. 
6.	Apoyar la planeación y revisar el diseño y eficacia de los controles de la ISO 27001 y hacer seguimiento a los planes de acción generados por oportunidades de mejora. 
7.	Acompañar y hacer seguimiento en la definición, ejecución y revisión de las pruebas de Ethical Hacking y re-test sobre los diferentes servicios tecnológicos y hacer seguimiento a los cierres de vulnerabilidades detectadas, a fin de proteger la plataforma tecnológica. 
8.	Promover una cultura de seguridad de la información que incluya actividades de difusión y capacitación para funcionarios, contratistas y proveedores. 
9.	Apoyar en el desarrollo de actividades de divulgación y promoción de la importancia del SGSI, mediante campañas de sensibilización y comunicación. 
10.	Realizar pruebas de ingeniería social enfocada a funcionarios y contratistas de la entidad. 
11.	Generar los conceptos de seguridad relacionados con seguridad digital y de protección de datos personales requeridos por las áreas de la Entidad, de acuerdo con las políticas de la Entidad, normas externas existentes y buenas prácticas. 
12.	Analizar los requerimientos de acuerdos estratégicos y/o contratación en materia de seguridad digital. 
13.	Proyectar el Comité de Seguridad de la Información en los temas de responsabilidad, con el fin de dar avance sobre la atención a la Política de Seguridad Digital a la alta dirección de la Entidad.
14.	Revisar el cumplimiento del Sistema de Gestión de Seguridad de la Información con respecto de las normas colombianas en materia de seguridad y privacidad digital, así como las buenas prácticas, realizando seguimiento a las acciones de mejora.  
15.	Atender los requerimientos normativos bajo las normas Ley 1712, Ley 1581, de MinTic, buena práctica ISO 27001, normas de Superfinanciera y demás que se generen y aquellos que soliciten los Entes de Control como son MEN, CSIRT, COLCERT y demás entidades que requieran la participación del Icetex. 
16.	16. Ser el enlace de la Oficina de riesgos para todos los proyectos de innovación en el acompañamiento de la gestión de riesgos y apoyo al aseguramiento de los mismo. 
17.	Revisar y hacer seguimiento en temas de seguridad digital a los proveedores definidos. 
18.	Asistir y/o participar en las reuniones programadas previo acuerdo con el Supervisor del contrato. 
19.	Elaborar informes relacionados con la ejecución de su objeto contractual y obligaciones, cuando le sean solicitados. 
20.	Las demás obligaciones que sean acordes con el objeto contractual asignado por la supervisión del contrato
</t>
  </si>
  <si>
    <t>20242520000686-I Id: 4135320</t>
  </si>
  <si>
    <t>4.122</t>
  </si>
  <si>
    <t>2024-0179</t>
  </si>
  <si>
    <t>CD-180-2024</t>
  </si>
  <si>
    <t>FERNANDO MUTIS ROJAS</t>
  </si>
  <si>
    <t>IMPLEMENTAR ESTRATEGIAS PARA LA EJECUCIÓN DEL PLAN COMERCIAL DE LA TERRITORIAL SUROCCIDENTE ASOCIADAS AL PORTAFOLIO DE SERVICIOS DE LCETEX EN LA REGIÓN, EN ARTICULACIÓN CON LA OFICINA COMERCIAL Y DE MERCADEO DEL NIVEL CENTRAL.</t>
  </si>
  <si>
    <t>CDEF-105-2025</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</si>
  <si>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</si>
  <si>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20243030000695-I Id: 4135364</t>
  </si>
  <si>
    <t>3.6</t>
  </si>
  <si>
    <t>2024-0180</t>
  </si>
  <si>
    <t>CD-181-2024</t>
  </si>
  <si>
    <t>JUAN CARLOS ROCHA CAMPOS</t>
  </si>
  <si>
    <t>"
1. Implementar las políticas y ejercer la defensa jurídica de la entidad frente a las acciones constitucionales y demás trámites asignados, de conformidad con el poder otorgado.
2. Atender dentro de los términos legales los requerimientos y/o trámites administrativos que le sean asignados en el marco de la política de defensa jurídica de la entidad.
3. Hacer seguimiento y gestionar en oportunidad con las áreas competentes el cumplimiento de los fallos judiciales de primera, segunda instancia y /o decisión de revisión de las acciones de tutela que le sean asignadas. 
4. Realizar la revisión de las acciones de tutela y trámites que le sean asignados y/o cuando sea requeridos por la Oficina Asesora Jurídica, y adelantar la gestión necesaria para la defensa jurídica de la entidad. 
5. Hacer seguimiento y gestionar en oportunidad con las áreas competentes todo lo necesario con el fin de garantizar el cierre definitivo de los incidentes de desacato que se notifiquen en contra de la entidad.  
6. Presentar un (1) informe semanal, en los formatos autorizados por la entidad, del estado en que se encuentran los incidentes de desacato asignados, junto con su indicador, y demás casos que encuentre relevantes y/o que le sean solicitados, indicando el riesgo en que puede encontrarse la entidad frente a los mismos. 
7. Gestionar a través de los aplicativos de la entidad, en forma oportuna los asuntos que le sean asignados, observando el trámite de actualización de la gestión.  
8. Generar los informes requeridos de conformidad con el objeto contractual y las obligaciones establecidas, así como los que sean requeridos por la supervisión del contrato. 
9. Proponer acciones para la disminución de acciones de tutela de acuerdo con la identificación que efectúe en el desarrollo de sus obligaciones. 
10. Desarrollar las acciones asignadas tendientes al mejoramiento continuo de conformidad con as políticas de calidad implementadas en la entidad. 
11.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el cual deberá contener un apéndice especial con el detalle del estado de cada trámite asignado. 
12. Elaborar y presentar, los poderes otorgados en cada una de las acciones de tutela y demás trámites que le sean asignados conforme al objeto del contrato y a la asignación que efectúe la Oficina Asesora Jurídica y al finalizar el contrato presentar a esta oficina la renuncia de los poderes con el último informe.  
13. Asistir y participar de las reuniones presenciales y/o virtuales a las que sea convocado por parte de la Oficina Asesora Jurídica o de las demás dependencias de la entidad.  
14. Elaborar y radicar los documentos correspondientes en la oportunidad y de acuerdo con las directrices establecidas por la entidad, para el cobro mensual de los honorarios. 
15. Elaborar una presentación mensual con las acciones de tutela que tuvieron mayor relevancia durante la vigencia, con el objeto de evidenciar la problemática que dio origen a la citada acción y exponer los casos escogidos en las sesiones presenciales convocadas trimestralmente en el marco de la Política de Prevención del Daño Antijurídico. 
16. Atender los demás asuntos que, de conformidad con el objeto contractual, le sean asignados por la Oficina Asesora Jurídica.
"</t>
  </si>
  <si>
    <t>20243030000645-I Id: 4135120</t>
  </si>
  <si>
    <t>11.56</t>
  </si>
  <si>
    <t>2024-0181</t>
  </si>
  <si>
    <t>CD-182-2024</t>
  </si>
  <si>
    <t>JUAN SEBASTIÁN RAMÍREZ GIRALDO</t>
  </si>
  <si>
    <t xml:space="preserve">PRESTACIÓN DE SERVICIOS PROFESIONALES ESPECIALIZADOS PARA LA PLANEACIÓN ADMINISTRATIVA Y FINANCIERA DE LAS INICIATIVAS TECNOLÓGICAS DE LA VICEPRESIDENCIA DE OPERACIONES Y TECNOLOGÍA DEL ICETEX </t>
  </si>
  <si>
    <t>CDEF-495-2024</t>
  </si>
  <si>
    <t xml:space="preserve">1.	Articular y gestionar los tramites requeridos para la formulación del Plan Anual de Adquisiciones de la Vicepresidencia de Operaciones y Tecnología del ICETEX.
2.	Realizar el seguimiento y control de la ejecución presupuestal de la Vicepresidencia de Operaciones y Tecnología del ICETEX, conforme las necesidades contractuales vigentes de la entidad.
3.	Realizar el seguimiento, análisis y proyección a la programación de pagos mensuales requeridos contractualmente por la Vicepresidencia de Operaciones y Tecnología del ICETEX.
4.	Formular y hacer seguimiento a las iniciativas estratégicas y mejoras de proceso de la Vicepresidencia de Operaciones y Tecnología del ICETEX.
5.	Formular y dar seguimiento a los indicadores e informes requeridos para la medición de impacto de mejora de procesos de la Vicepresidencia de Operaciones y Tecnología del ICETEX.    
6.	Presentar y estructurar los informes que se requieran, así como organizar y asistir a las mesas de trabajo que deriven del normal desarrollo del objeto del contrato.
7.	Garantizar la confidencialidad, reserva y privacidad de la información que por razón de sus actividades deba manejar en desarrollo del contrato. 
8.	Las demás asignadas por el supervisor y que tengan relación con el objeto del presente contrato
</t>
  </si>
  <si>
    <t>20243030000691-I Id: 4135341</t>
  </si>
  <si>
    <t>4.93</t>
  </si>
  <si>
    <t>2024-0182</t>
  </si>
  <si>
    <t>CD-183-2024</t>
  </si>
  <si>
    <t>MONICA MARIA RESTREPO PEREZ</t>
  </si>
  <si>
    <t>PRESTAR LOS SERVICIOS PROFESIONALES ESPECIALIZADOS PARA EL DISEÑO, IMPLEMENTACIÓN, EJECUCIÓN, SUPERVISIÓN, CONTROL Y MEJORA CONTINUA DE ESTRATEGIAS ORIENTADAS A OPTIMIZAR EL EMBUDO DE CONVERSIÓN, EN EL MARCO DEL PROCESO DE OTORGAMIENTO DE PRODUCTOS DEL PORTAFOLIO ICETEX</t>
  </si>
  <si>
    <t>CDEF-045-2024</t>
  </si>
  <si>
    <t xml:space="preserve">1.	Elaborar y entregar plan de trabajo y cronograma de actividades para aprobación de la supervisión del contrato, de conformidad con las estipulaciones contractuales. 
2.	Proponer procedimientos, estrategias y mecanismos para la optimización y mejora de la etapa asignada en el funnel de ventas o marketing del ICETEX. 
3.	Realizar el análisis, medición y seguimiento a los resultados obtenidos en la etapa asignada en el funnel de ventas o marketing de la Entidad, identificando novedades y oportunidades de mejora. 
4.	Gestionar la implementación de acciones correctivas o de mejora a la etapa asignada en el funnel de ventas o marketing de la Entidad. 
5.	Apoyar la ejecución de las estrategias comerciales planteadas para el cumplimiento del plan comercial y de mercadeo del ICETEX. 
6.	Apoyar la supervisión de los contratos, en caso de ser requerido por la supervisión del contrato, desde el punto de vista técnico, administrativo, financiero y contable, de conformidad con lo establecido en el Manual de Contratación de la Entidad. 
7.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 la Oficina de Comercial y de Mercadeo. 
8.	Realizar las labores de acompañamiento en reuniones o comités, de conformidad con las necesidades de la Entidad y la designación de supervisor del contrato. 
9.	Las demás que sean inherentes para el logro del objeto contratado, asignadas por el supervisor del contrato. 
</t>
  </si>
  <si>
    <t>20243030000682-I Id: 4135292</t>
  </si>
  <si>
    <t>10.14</t>
  </si>
  <si>
    <t>2024-0183</t>
  </si>
  <si>
    <t>CD-184-2024</t>
  </si>
  <si>
    <t>ELKIN MAURICIO VERGARA GUTIERREZ</t>
  </si>
  <si>
    <t xml:space="preserve">PRESTAR SUS SERVICIOS PROFESIONALES APOYANDO EL SEGUIMIENTO DE LOS PROCESOS Y PROCEDIMIENTOS A CARGO DE LA VICEPRESIDENCIA DE FONDOS EN ADMINISTRACIÓN. </t>
  </si>
  <si>
    <t>CDEF-411-2024</t>
  </si>
  <si>
    <t xml:space="preserve">1.	Revisar los procedimientos, formatos y demás instrumentos derivados de la administración de recursos de terceros a los procesos a cargo de la Vicepresidencia de Fondos en Administración y proponer recomendaciones de mejora de la eficiencia operativa de las actividades alineados con el sistema integrado de gestión y calidad de la entidad.
2.	Reportar los resultados de la gestión de la vicepresidencia a las áreas que corresponda conforme los formatos y herramientas dispuestas por la entidad. 
3.	Revisar, actualizar y reportar las acciones contempladas en las matrices de riesgo asociadas a los procesos a cargo de la vicepresidencia de fondos en administración. 
4.	Revisar los proyectos de respuestas de peticiones internas y externas, que le sean requeridos y que guarden relación con los procesos a cargo de la Vicepresidencia de Fondos en Administración.
5.	Asistir y/o participar en los comités, mesas de trabajo y demás reuniones relacionadas con el objeto contractual.
6.	Garantizar la confidencialidad, reserva y privacidad de la información que por razón de sus actividades deba manejar en desarrollo del contrato.
7.	Las demás asignadas por el supervisor y que tengan relación con el objeto del presente contrato.
</t>
  </si>
  <si>
    <t>20243030000699-I Id: 4135373</t>
  </si>
  <si>
    <t>8.4</t>
  </si>
  <si>
    <t>2024-0184</t>
  </si>
  <si>
    <t>CD-185-2024</t>
  </si>
  <si>
    <t>LINA MARCELA LOSADA YEPES</t>
  </si>
  <si>
    <t>PRESTAR SERVICIOS PROFESIONALES PARA EL DESARROLLO DE LAS ACTIVIDADES QUE PERMITAN FORTALECER EL RELACIONAMIENTO INSTITUCIONAL DEL DESPACHO DE PRESIDENCIA CON PÚBLICOS INTERNOS Y EXTERNOS DE LA ENTIDAD</t>
  </si>
  <si>
    <t>CDEF-219-2024</t>
  </si>
  <si>
    <t>HONORARIOS PRESIDENCIA</t>
  </si>
  <si>
    <t xml:space="preserve">1.	Estructurar con las distintas áreas de la entidad la implementación de planes, programas, estrategias y herramientas que faciliten el cumplimiento del objeto misional del ICETEX.
2.	Elaborar de manera detallada y precisa las actas correspondientes a cada reunión del comité directivo.
3.	Hacer el seguimiento a las actividades asignadas por el presidente de la entidad a cada una de las dependencias.
4.	Brindar apoyo a la Presidencia para el cabal cumplimiento de los compromisos adquiridos en la Junta Directiva y demás instancias donde tenga presencia el presidente.
5.	Fortalecer el relacionamiento interinstitucional a través de la atención oportuna y efectiva de las peticiones y requerimientos elevados por entidades públicas y privadas, instituciones de educación superior y distintos públicos de incidencia del ICETEX por parte de la Presidencia.
6.	Asistir a los comités que le sean designados por el presidente, preparar documentación requerida y hacer seguimiento a los compromisos establecidos en estos.
7.	Realizar los viajes nacionales e internacionales autorizados por el supervisor en cumplimiento del contrato, cuando las necesidades del servicio lo requieran. 
8.	Las demás obligaciones que sean acordes con el objeto contractual asignado por quien ejerza la función de la Supervisión del Contrato y/o el presidente de la Entidad.
</t>
  </si>
  <si>
    <t>20243030000657-I Id: 4135163</t>
  </si>
  <si>
    <t>2.1</t>
  </si>
  <si>
    <t>2024-0185</t>
  </si>
  <si>
    <t>CD-186-2024</t>
  </si>
  <si>
    <t>DIANA MILENA GARCIA TORRES</t>
  </si>
  <si>
    <t>PRESTAR LOS SERVICIOS PROFESIONALES ESPECIALIZADOS PARA REALIZAR EL SEGUIMIENTO DE LA EJECUCIÓN DE LOS EMPRÉSTITOS BIRF 8701-CO Y BIRF 8836, ASÍ COMO LA GENERACIÓN DE INFORMES.</t>
  </si>
  <si>
    <t>CDEF-277-2024</t>
  </si>
  <si>
    <t xml:space="preserve">1.	Recopilar y actualizar los informes semestrales requeridos por el Banco Mundial y demás entidades.
2.	Actualizar los Planes Operativos Anuales de Inversiones y hacer el seguimiento según la ejecución de cada unidad del Proyecto PACES.
3.	Consolidar las actualizaciones del Manual Operativo PACES y apoyar en las acciones a emprender para el logro de sus objetivos de acuerdo con lo aprobado por el Banco Mundial.
4.	Apoyar a la gerencia de PACES en las misiones y visitas de seguimiento, documentos, reportes e insumos del Programa de Acceso y Calidad de la Educación Superior, que requiera la Alta Dirección del ICETEX, el Banco Mundial y/o instancias u organismos de control.
5.	Recolectar la información requerida por parte de las auditorías externas al Programa de Acceso y Calidad de la Educación Superior.
6.	Realizar seguimiento a los compromisos derivados de los comités de seguimiento del convenio tripartito. (Ecosistema Científico)
7.	Apoyar en la preparación de insumos requeridos por la gerencia de PACES y participar en los Comités técnicos operativos de Colombia Científica.
8.	Colaborar con la oficina asesora de planeación en los proyectos que surjan en ejercicio de sus labores.
9.	Cumplir con los indicadores de gestión establecidos.
</t>
  </si>
  <si>
    <t>20243030000687-I Id: 4135321</t>
  </si>
  <si>
    <t>9.35</t>
  </si>
  <si>
    <t>2024-0186</t>
  </si>
  <si>
    <t>CD-187-2024</t>
  </si>
  <si>
    <t>CLAUDIA PATRICIA MORENO ACOSTA</t>
  </si>
  <si>
    <t>PRESTAR LOS SERVICIOS PROFESIONALES ESPECIALIZADOS PARA EJECUTAR Y DESARROLLAR LOS PROCESOS RELACIONADOS CON EL OTORGAMIENTO DE LOS DIFERENTES PRODUCTOS DE CRÉDITO Y ALIANZAS DE LA ENTIDAD Y LA GESTIÓN OPERATIVA DE LOS CONVENIOS DE ALIANZAS ESTRATÉGICAS</t>
  </si>
  <si>
    <t>CDEF-133-2024</t>
  </si>
  <si>
    <t>IG2001020600012</t>
  </si>
  <si>
    <t xml:space="preserve">1.	Orientar y hacer seguimiento a las alianzas de la Vicepresidencia de Crédito y Cobranza, en la parte operativa, hasta su liquidación.
2.	Desarrollar la definición o estructuración normativa que permita la puesta en marcha de programas de crédito y cobranza y la ampliación del portafolio de servicios.
3.	 Orientar la estructuración y desarrollo de estrategias de mitigación de riesgo para el cambio en las políticas de crédito y cobranza en relación con los procesos y procedimientos del área. 
4.	Desarrollar estudios técnicos y financieros sobre los proyectos, políticas y procesos a cargo de la Vicepresidencia en los temas de creación, estructuración y seguimiento sobre los proyectos, políticas y procesos, especialmente aquellos relacionados con los diferentes ejes estratégicos.
5.	Orientar a la Vicepresidencia de Crédito y Cobranza, liderando la gestión operativa de alianzas estratégicas con los distintos terceros (entidades públicas y/o privadas). 
6.	Participar en espacios institucionales de creación de nuevos servicios, así como de generación de capacidades de servicios y productos para el portafolio. 
7.	Presentar los informes técnicos requeridos por el supervisor para sustentar la toma de decisiones que deba adoptar el ICETEX. 
8.	Las demás que sean inherentes a la naturaleza del contrato, así como observar las recomendaciones dadas por el Supervisor del mismo para asegurar el cumplimiento de la finalidad del contrato.
</t>
  </si>
  <si>
    <t>20243030000693-I Id: 4135350</t>
  </si>
  <si>
    <t>10.11</t>
  </si>
  <si>
    <t>2024-0187</t>
  </si>
  <si>
    <t>CD-188-2024</t>
  </si>
  <si>
    <t>ZOILA ROSA DEL CARMEN GUZMAN ROA</t>
  </si>
  <si>
    <t>PRESTAR SUS SERVICIOS DE APOYO EN LA GESTIÓN ADMINISTRATIVA Y DOCUMENTAL A CARGO DE LA VICEPRESIDENCIA DE FONDOS EN ADMINISTRACIÓN</t>
  </si>
  <si>
    <t>CDEF-201-2024</t>
  </si>
  <si>
    <t>IG 312001020700014</t>
  </si>
  <si>
    <t xml:space="preserve">1	Brindar apoyo integral en las actividades administrativas y operativas a cargo de la Vicepresidencia de Fondos en Administración.
2	Apoyar la digitalización o sistematización de los documentos, cartas, oficios, memorandos, circulares, resoluciones, informes, comunicaciones, actos administrativos y demás documentos que se produzcan en la Vicepresidencia de Fondos en Administración en el marco de los procesos y proyectos a su cargo.
3	Apoyar la revisión y organización documental relacionada con los procesos a cargo de la Vicepresidencia de Fondos en Administración, conforme los procesos y procedimientos establecidos en la entidad.
4	Garantizar la confidencialidad, reserva y privacidad de la información que por razón de sus actividades deba manejar en desarrollo del contrato.
5	Asistir y/o participar en las capacitaciones, talleres y demás reuniones que relacionadas con el objeto contractual
6	Las demás asignadas por el supervisor y que tengan relación con el objeto del presente contrato.
</t>
  </si>
  <si>
    <t>20243030000706-I Id: 4135388</t>
  </si>
  <si>
    <t>4.4</t>
  </si>
  <si>
    <t>2024-0188</t>
  </si>
  <si>
    <t>CD-189-2024</t>
  </si>
  <si>
    <t>79’856.443</t>
  </si>
  <si>
    <t>WILLIAM JAVIER PULIDO SANCHEZ</t>
  </si>
  <si>
    <t>PRESTAR SERVICIOS PROFESIONALES ESPECIALIZADOS, PARA DESARROLLAR ACTIVIDADES DE EXTRACCIÓN, TRANSFORMACIÓN Y DEPURACIÓN DE DATA, A PARTIR DE AUTOMATIZACIONES, EN EL MARCO DEL DESARROLLO DE LA GESTIÓN DEL GOBIERNO DE DATOS DE LA OFICINA COMERCIAL Y DE MERCADEO</t>
  </si>
  <si>
    <t>CDEF-087-2024</t>
  </si>
  <si>
    <t xml:space="preserve">1.	Elaborar y entregar plan de trabajo y aprobación por parte del supervisor del contrato, de conformidad con las estipulaciones contractuales.
2.	Desarrollo de reportes automatizados para la generación de informes de Indicadores operativos en el marco del seguimiento del servicio de atención al usuario
3.	Desarrollo de reportes automatizados para seguimiento de gestión operativa y de experiencia al usuario
4.	Apoyo en la construcción de tableros de control de seguimiento de gestión comercial y de convocatoria para recursos propios y fondos en administración
5.	Plantear en el marco de las obligaciones del contrato, alternativas de mejora y optimización de procesos de seguimiento y gestión de Gobierno de datos
6.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7.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8.	Presentar, en caso de que aplique, para revisión y aprobación de la supervisión del contrato, propuestas de mejora continua, automatización e innovación de los procesos asociados a la atención de los grupos de interés.
9.	Brindar acompañamiento en relación con las actividades que le sean asignadas, en el marco de las funciones de la Oficina de Comercial y de Mercadeo. 
10.	Brindar apoyo y asesoría técnica en los comités o reuniones a las que sea convocado y que la Entidad requiera acompañamiento. 
11.	Participar, desde el alcance del objeto y sus obligaciones contractuales, todo el proceso de planeación, implementación y puesta en marcha, de proyectos donde participen una o más dependencias de la Entidad, de acuerdo a lo requerido por el supervisor del contrato.
12.	Las demás que sean inherentes para el logro del objeto contratado, asignadas por el supervisor del contrato.
</t>
  </si>
  <si>
    <t>20243030000700-I Id: 4135377</t>
  </si>
  <si>
    <t>4.24</t>
  </si>
  <si>
    <t>2024-0189</t>
  </si>
  <si>
    <t>CD-190-2024</t>
  </si>
  <si>
    <t xml:space="preserve">PAOLA MARCELA SANTANA HERNANDEZ </t>
  </si>
  <si>
    <t>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t>
  </si>
  <si>
    <t>CDEF-251-2024</t>
  </si>
  <si>
    <t xml:space="preserve">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que, de acuerdo con sus funciones, tengan injerencia sobre los procesos desarrollados de manera integral a través de la ingeniería en los procesos y proyectos (rapidez, solución de problemas, control de ejecución presupuestal operativo, prevención del riesgo, disminución de PQRS, optimización de KPI´S operativos y las demás aplicables) a través de la planificación, diseño y toma de decisiones para la mejora continua y la correcta atención de los grupos de interés del ICETEX.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</si>
  <si>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20243030000697-I Id: 4135370</t>
  </si>
  <si>
    <t>4.33</t>
  </si>
  <si>
    <t>2024-0190</t>
  </si>
  <si>
    <t>CD-191-2024</t>
  </si>
  <si>
    <t xml:space="preserve">OSCAR JAVIER JUAN DE DIOS GONZALEZ </t>
  </si>
  <si>
    <t>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t>
  </si>
  <si>
    <t xml:space="preserve"> 
1.	Cumplir con el plan de trabajo entregado por la supervisión en el cual se relacionen los objetivos y metas a desarrollar durante la vigencia del contrato.  
2.	Responder oportunamente lo solicitado para la gestión de requerimientos gerenciales asociados a la planeación estratégica, comités, juntas y demás políticas y demás requerimientos organizacionales y normativos del ICETEX.  
3.	Apoyar a la supervisión del contrato en requerimientos asociados a la gestión de auditorías en el marco de los procesos y procedimientos de la Oficina comercial y de Mercadeo o en las que el participe.  
4.	Brindar propuestas de valor e insumos para el desarrollo de los procesos y su optimización a través de la ingeniería en los procesos y proyectos (análisis de rapidez, solución de problemas, control de ejecución presupuestal operativo, prevención del riesgo, disminución de PQRS, optimización de KPI´S operativos y las demás aplicables) para la correcta atención de los grupos de interés del ICETEX.  
5.	Colaborar en la debida gestión de actividades estratégicas asociadas a los planes y proyectos públicos normativos emitidos por los diferentes entes de control para la correcta atención y gestión de los grupos de interés del ICETEX.  
6.	Validar, documentar y hacer seguimiento a los riesgos identificados en el marco modelo de servicio, así como realizar propuestas teniendo como principal objetivo la identificación de las causas y fortalecimiento de controles.  
7.	Proponer iniciativas de mejora que apunten a la optimización y desarrollo de las actividades operativas y/o administrativas desarrolladas asociadas al Sistema de Atención al Consumidor  
o en las que el participe.  
8.	Dirigir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</si>
  <si>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20243030000710-I Id: 4135397</t>
  </si>
  <si>
    <t>4.58</t>
  </si>
  <si>
    <t>2024-0191</t>
  </si>
  <si>
    <t>CD-192-2024</t>
  </si>
  <si>
    <t>GABRIELA HIGUERA TORRES</t>
  </si>
  <si>
    <t>PRESTAR SERVICIOS PROFESIONALES ESPECIALIZADOS CON EL FIN DE ANALIZAR, EVALUAR Y EJECUTAR ESTRATEGIAS, ENFOCADAS AL MEJORAMIENTO DE LA EXPERIENCIA Y SATISFACCIÓN DE LOS GRUPOS DE INTERÉS ICETEX (BENEFICIARIOS, CIUDADANOS, IES) EN SUS INTERACCIONES CON LA ENTIDAD.</t>
  </si>
  <si>
    <t>CDEF-377-2024</t>
  </si>
  <si>
    <t xml:space="preserve">EL ICETEX pagará al CONTRATISTA el valor del contrato mediante PAGOS MENSUALES por valor de SIETE MILLONES TRESCIENTOS TREINTA Y CINCO MIL CERO CUARENTA PESOS MONEDA CORRIENTE ($7.335.040) 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Manual de Contratación del ICETEX y acorde a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personales naturales, deberán presentar junto con el informe final como requisito para el último pago, el respectivo paz y salvo de conformidad con el formato dispuesto por la entidad. F509 Formato Paz y Salvo Contratistas prestación de servicios profesionales o apoyo a la gestión, cuyo diligenciamiento se realizará conforme al Instructivo I509.
1.	Diseñar y entregar un plan de trabajo, de acuerdo con cada proyecto a cargo, que implique el control y seguimiento al cumplimiento del mejoramiento de la   satisfacción de los grupos de interés de la entidad, para aprobación de la supervisión, de conformidad con las estipulaciones contractuales. 
2.	Apoyar y proponer iniciativas sobre los resultados e investigaciones  de los proyectos propuestos para la mejora de la experiencia y satisfacción de los grupos de interés.
3.	Generar cohesión y articulación con las áreas internas de la Entidad, transversal a todos los procesos, procedimientos, actividades, eventos, que tengan un impacto directo con la experiencia y la satisfacción.
4.	Proponer iniciativas, estrategias, que conduzcan al mejoramiento de la experiencia de los grupos de interés y que involucren a las áreas misionales llevando al cumplimiento de los objetivos trazados al interior de la Oficina Comercial y de Mercadeo. 
5.	Formular estrategias, guías  que impacten la experiencia y la satisfacción de los grupos de interés sobre los productos y servicios de la Entidad. 
6.	Plantear planes o modelos de contingencia que afecten la experiencia y la satisfacción del usuario en momentos de crisis, situaciones adversas o incidentes internos o externos a la Entidad.
7.	Acompañar los comités de experiencia, identificando y proponiendo mejoras a las casuísticas desde el conocimiento individual prestando asesoría conceptual y operativa técnica.
8.	Realizar seguimiento, monitoreo, auditorías a los proveedores de servicio con el fin de identificar mejoras y/o oportunidades para los grupos de interés sobre los productos y servicios de la Entidad. 
9.	Asegurar el acompañamiento, gestión y documentación de procesos y procedimientos, cumplimiento de los indicadores, planes de acción, planes de mejoramiento, reportes, auditorias de calidad, auditorías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11.	Las demás que sean inherentes para el logro del objeto contratado, asignadas por el supervisor del contrato. 
</t>
  </si>
  <si>
    <t>20243030000722-I Id: 4135460</t>
  </si>
  <si>
    <t>10.20</t>
  </si>
  <si>
    <t>2024-0192</t>
  </si>
  <si>
    <t>CD-193-2024</t>
  </si>
  <si>
    <t>OSCAR ANDRES CALDERON MELO</t>
  </si>
  <si>
    <t xml:space="preserve">APOYAR A LA VICEPRESIDENCIA DE FONDOS EN ADMINISTRACIÓN EN LA ESTRUCTURACIÓN Y DESARROLLO DE ESTRATEGIAS PARA OPTIMIZAR LA EJECUCIÓN DE RECURSOS DE TERCEROS, ORIENTADOS AL FOMENTO EDUCATIVO. </t>
  </si>
  <si>
    <t>CDEF-281-2024</t>
  </si>
  <si>
    <t xml:space="preserve">1.	Apoyar en el análisis e implementación de herramientas tecnológicas que optimicen los procesos operativos a cargo de la Vicepresidencia de Fondos en Administración.
2.	Apoyar la identificación de necesidades de software y/o soluciones tecnológicas para optimizar los procesos y procedimientos de la Vicepresidencia de Fondos en Administración.
3.	Gestionar y efectuar seguimiento de las soluciones tecnológicas requeridas por la Vicepresidencia de Fondos en Administración, ante las demás áreas relacionadas con el mejoramiento tecnológico del ICETEX.
4.	Acompañar la actualización e implementación de las metodologías, procesos, procedimientos, mecanismos e instrumentos relacionados con los procesos a cargo de la Vicepresidencia de Fondo en Administración, cuando le sea requerido.
5.	Garantizar la confidencialidad, reserva y privacidad de la información que por razón de sus actividades deba manejar en desarrollo del contrato.
6.	Asistir y/o participar en los comités, mesas de trabajo y demás reuniones relacionadas con el objeto contractual.
7.	Desplazarse en oficinas institucionales ubicadas en ciudades o municipios distintos a Bogotá D.C, por solicitud del supervisor, previo el otorgamiento de la correspondiente autorización de desplazamiento.
8.	Las demás asignadas por el supervisor y que tengan relación con el objeto del presente contrato.
</t>
  </si>
  <si>
    <t>20243030000732-I Id: 4135513</t>
  </si>
  <si>
    <t>4.13</t>
  </si>
  <si>
    <t>2024-0193</t>
  </si>
  <si>
    <t>CD-194-2024</t>
  </si>
  <si>
    <t xml:space="preserve">NELSON ENRIQUE ESCOBAR </t>
  </si>
  <si>
    <t>PRESTAR SERVICIOS PROFESIONALES ESPECIALIZADOS PARA EJECUTAR  CTIVIDADES ASOCIADAS AL DESARROLLO, SEGUIMIENTO, CONTROL Y ASEGURAMIENTO DE LOS PROYECTOS DE MEJORA CONTINUA QUE LE SEAN ASIGNADOS EN EL MARCO DE LOS PROCESOS DE LA OFICINA COMERCIAL Y DE MERCADEO Y SUS DIFERENTES EQUIPOS DE TRABAJO.</t>
  </si>
  <si>
    <t>CDEF-096-2024</t>
  </si>
  <si>
    <t xml:space="preserve"> 
1.	Elaborar y suscribir conjuntamente con el supervisor del contrato el plan de trabajo y cronograma de actividades, que permitan identificar los entregables y fechas a realizar durante la ejecución de este. 
2.	Identificar las oportunidades de mejora de los proyectos implementados, contemplando las lecciones aprendidas en las fases anteriores bajo el contrato 2022-0770. 
3.	Plantear soluciones frente a las necesidades identificadas en los proyectos de mejora continua que le sean asignados por la Oficina Comercial y de Mercadeo. 
4.	Garantizar las actividades relacionadas al seguimiento y control de los proyectos de mejora continua que le sean asignados en el marco de los procesos de la Oficina Comercial y de Mercadeo y sus diferentes equipos de trabajo. 
5.	Asegurar la salida a producción y estabilización de los proyectos asignados por la Oficina Comercial y de Mercadeo.   
6.	Apoyar las actividades propuestas por el equipo i3 en el marco del programa estratégico de la Entidad. 
7.	Ejecutar y apoyar desde el punto de vista técnico, las actividades propias de los procedimientos contractuales y/o poscontractuales que se desarrollen en el ICETEX bajo el modelo de atención 2023-2026. 
8.	Realizar labores de acompañamiento en juntas, reuniones o comités, de conformidad con las necesidades de la Entidad y la designación del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</si>
  <si>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20243030000728-I Id: 4135479</t>
  </si>
  <si>
    <t>10.19</t>
  </si>
  <si>
    <t>2024-0194</t>
  </si>
  <si>
    <t>CD-195-2024</t>
  </si>
  <si>
    <t>JUAN PABLO LOPEZ PENAGOS</t>
  </si>
  <si>
    <t>PRESTAR SUS SERVICIOS PROFESIONALES ESPECIALIZADOS A LA VICEPRESIDENCIA DE FONDOS EN ADMINISTRACIÓN, PARA LA VALIDACIÓN, ELABORACIÓN E IMPLEMENTACIÓN DE INSTRUMENTOS QUE OPTIMICEN LOS PROCESOS Y PROCEDIMIENTOS A CARGO DE LA VICEPRESIDENCIA.</t>
  </si>
  <si>
    <t>CDEF-287-2024</t>
  </si>
  <si>
    <t xml:space="preserve">OBLIGACIONES ESPECÍFICAS DEL CONTRATISTA	1.	Apoyar en el análisis e implementación de herramientas tecnológicas que optimicen los procesos operativos a cargo de la Vicepresidencia de Fondos en Administración.
2.	Apoyar la identificación de necesidades de software y/o soluciones tecnológicas para optimizar los procesos y procedimientos de la Vicepresidencia de Fondos en Administración.
3.	Gestionar y efectuar seguimiento de las soluciones tecnológicas requeridas por la Vicepresidencia de Fondos en Administración, ante las demás áreas relacionadas con el mejoramiento tecnológico del ICETEX.
4.	Acompañar la actualización e implementación de las metodologías, procesos, procedimientos, mecanismos e instrumentos relacionados con los procesos a cargo de la Vicepresidencia de Fondo en Administración, cuando le sea requerido.
5.	Garantizar la confidencialidad, reserva y privacidad de la información que por razón de sus actividades deba manejar en desarrollo del contrato.
6.	Asistir y/o participar en los comités, mesas de trabajo y demás reuniones relacionadas con el objeto contractual.
7.	Desplazarse en oficinas institucionales ubicadas en ciudades o municipios distintos a Bogotá D.C, por solicitud del supervisor, previo el otorgamiento de la correspondiente autorización de desplazamiento.
8.	Las demás asignadas por el supervisor y que tengan relación con el objeto del presente contrato.
</t>
  </si>
  <si>
    <t>20243030000734-I Id: 4135541</t>
  </si>
  <si>
    <t>10.18</t>
  </si>
  <si>
    <t>2024-0195</t>
  </si>
  <si>
    <t>CD-196-2024</t>
  </si>
  <si>
    <t>LELIO ALEJANDRO ARIAS VIZCAINO</t>
  </si>
  <si>
    <t xml:space="preserve">PRESTAR SUS SERVICIOS PROFESIONALES ESPECIALIZADOS A LA VICEPRESIDENCIA DE FONDOS EN ADMINISTRACIÓN, APOYANDO ACTIVIDADES RELACIONADAS CON LA DEPURACIÓN, CONSOLIDACIÓN Y ANÁLISIS DE INFORMACIÓN ESTADÍSTICA DERIVADA DE LOS PROCESOS A CARGO DE LA VICEPRESIDENCIA. </t>
  </si>
  <si>
    <t>CDEF-205-2024</t>
  </si>
  <si>
    <t xml:space="preserve">1	Brindar acompañamiento técnico para la evaluación, producción, análisis de consistencia y ajustes, en la consolidación y procesamiento de la información derivada de los fondos administrados por la Vicepresidencia de Fondos en Administración.
2	Desarrollar algoritmos y documentación de sintaxis requeridos para el apoyo del procesamiento de las bases datos de la Vicepresidencia de Fondos en Administración.
3	Apoyar la ejecución de técnicas estadísticas y de analítica de datos requeridas para la planeación y toma de decisiones relacionadas los servicios de la Vicepresidencia de Fondos en Administración.
4	Elaborar y actualizar los visores de información de la Vicepresidencia de Fondos en Administración.
5	Suministrar los insumos para dar respuesta a peticiones internas y externas, que le sean requeridos y que guarden relación con los procesos a cargo de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</si>
  <si>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20243030000733-I Id: 4135532</t>
  </si>
  <si>
    <t>9.23</t>
  </si>
  <si>
    <t>2024-0196</t>
  </si>
  <si>
    <t>CD-197-2024</t>
  </si>
  <si>
    <t>CLAUDIA CAROLINA OSPINA HORTA</t>
  </si>
  <si>
    <t>PRESTAR LOS SERVICIOS PROFESIONALES PARA EL SEGUIMIENTO, CONTROL DE LA INFORMACIÓN Y CAMPAÑAS DE LOS PROCESOS DE OTORGAMIENTO, LEGALIZACIÓN Y RENOVACIÓN PUBLICADOS EN PÁGINA WEB.</t>
  </si>
  <si>
    <t>CDEF-134-2024</t>
  </si>
  <si>
    <t xml:space="preserve">1.	Apoyar en la elaboración y actualizar los documentos, guías, formatos, instructivos, manuales del sistema de gestión de calidad, así mismo informar los cambios generados al Grupo Crédito. 
2.	Proyectar requerimientos a través del registro de infoservicios, Arandas, que le sean requeridos por la Coordinación de Crédito, con el fin informar y mantener la información actualizada en página web.
3.	Crear mensajes para campañas que se requieran con el fin de mitigar los riesgos y promover al cumplimiento de indicadores del área.  
4.	Realizar seguimiento a los procesos y procedimientos del Grupo Crédito.  
5.	Apoyar en el desarrollo actualizaciones de documentos en el sistema de calidad.
6.	Realizar pruebas de los procedimientos que le sean asignados con el fin de evitar errores que afecten las solicitudes y la operatividad.
7.	Realizar seguimiento a las novedades presentadas durante el proceso de solicitud de crédito, legalizaciones y renovaciones reportadas por las áreas de ICETEX. 
8.	Elaborar y presentar los informes mensuales de gestión que se requieran y se relacionen con el cumplimiento del objeto contractual.   
9.	Asistir y participar a las reuniones programadas. 
10.	Cumplir con los indicadores de gestión establecidos.
11.	Las demás obligaciones que se requieran para el cumplimiento a cabalidad del objeto contractual y que sean inherentes a la naturaleza del contrato.
</t>
  </si>
  <si>
    <t>20243030000739I Id: 4135573</t>
  </si>
  <si>
    <t>10.76</t>
  </si>
  <si>
    <t>2024-0197</t>
  </si>
  <si>
    <t>CD-198-2024</t>
  </si>
  <si>
    <t>ADRIANA VILLABONA MOGOLLON</t>
  </si>
  <si>
    <t>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t>
  </si>
  <si>
    <t>CDEF-204-2024</t>
  </si>
  <si>
    <t>ANALISTA GRADO 03</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</si>
  <si>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en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</si>
  <si>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PAULA ANDREA VALBUENA VARGAS</t>
  </si>
  <si>
    <t>20243030000701 Id: 4135379</t>
  </si>
  <si>
    <t>8.6</t>
  </si>
  <si>
    <t>2024-0198</t>
  </si>
  <si>
    <t>CD-199-2024</t>
  </si>
  <si>
    <t>JUAN SEBASTIAN PEREZ CAJAMARCA</t>
  </si>
  <si>
    <t>PRESTAR LOS SERVICIOS PROFESIONALES EN EL DESARROLLO DE LOS DIFERENTES PROCESOS DE LA PRESIDENCIA Y APOYO CON EL RELACIONAMIENTO PÚBLICO DE DIFERENTES ACTORES</t>
  </si>
  <si>
    <t>CDEF-529-2024</t>
  </si>
  <si>
    <t xml:space="preserve">
1.	Realizar el seguimiento de los derechos de petición radicados en el ICETEX los cuales deben ser que gestionados por la Presidencia.
2.	Realizar seguimiento de los compromisos adquiridos en diversas reuniones donde participa el Presidente del Icetex.
3.	Elaborar informes requeridos sobre la agenda legislativa del Congreso de la República para la Vigencia 2024.
4.	Gestionar los diversos procedimientos administrativos bajo la dirección de la Presidencia del Icetex.
5.	Solicitar la  información necesaria a las distintas áreas de la entidad para la elaboración de informes requeridos.
6.	Prepara los insumos esenciales para las actividades realizadas por parte de la Presidencia del Icetex.
7.	Sistematizar las solicitudes de atención al usuario dirigidas a la Presidencia y resolución oportuna de las mismas.
8.	Acompañar  en las mesas de trabajo con grupos de interés en las que el Presidente del Icetex este involucrado. 
9.	Desempeñar otras responsabilidades acordes con el objeto contractual asignado por la Supervisión del Contrato y/o el Presidente de la Entidad.
</t>
  </si>
  <si>
    <t>20243030000750-I Id: 4135642</t>
  </si>
  <si>
    <t>4.91</t>
  </si>
  <si>
    <t>2024-0199</t>
  </si>
  <si>
    <t>CD-200-2024</t>
  </si>
  <si>
    <t>LADY JHOANNA ARIAS HENAO</t>
  </si>
  <si>
    <t>PRESTAR LOS SERVICIOS PROFESIONALES ESPECIALIZADOS PARA EL DISEÑO, IMPLEMENTACIÓN, EJECUCIÓN, SUPERVISIÓN, CONTROL Y MEJORA CONTINUA DE ESTRATEGIAS COMERCIALES ORIENTADAS A LA PROMOCIÓN Y OTORGAMIENTO DEL PORTAFOLIO DE PRODUCTOS DEL ICETEX Y LIDERANDO EL EQUIPO COMERCIAL DE LA ENTIDAD</t>
  </si>
  <si>
    <t xml:space="preserve">1.	Elaborar y entregar plan de trabajo y cronograma de actividades para aprobación de la supervisión del contrato, de conformidad con las estipulaciones contractuales.
2. Estructurar y desarrollar estrategias comerciales para el cumplimiento de los objetivos establecidos en la Entidad con respecto al portafolio de productos y servicios que ofrece el ICETEX.
3. Realizar análisis y seguimiento de los resultados obtenidos a través del proceso comercial establecido, identificando oportunidades de mejora y ejecutando acciones correctivas.
4. Realizar seguimiento del equipo comercial y su desempeño de la Entidad, brindando retroalimentación y apoyo para su desarrollo y mejora en el desempeño.
5. Estructurar e implementar estrategias para el aumento del otorgamiento de productos y servicios del ICETEX en las regiones, en el marco del plan comercial y de mercadeo de la entidad.
6. Apoyar la supervisión de los contratos, en caso de ser requerido por la supervisión del contrato, desde el punto de vista técnico, administrativo, financiero y contable, de conformidad con lo establecido en el Manual de Contratación de la Entidad.
7. Apoyar el acompañamiento, gestión y documentación de proceso (s) y procedimiento (s), cumplimiento de los indicadores, planes de acción, planes de mejoramiento, reportes, auditorias de calidad, autocontrol de los macroprocesos de la Oficina de Comercial y de Mercadeo.
8. Realizar las labores de acompañamiento en reuniones o comités, de conformidad con las necesidades de la Entidad y la designación de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</si>
  <si>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20243030000731-I Id: 4135508</t>
  </si>
  <si>
    <t>9.2</t>
  </si>
  <si>
    <t>2024-0200</t>
  </si>
  <si>
    <t>CD-201-2024</t>
  </si>
  <si>
    <t>CARLOS ALBERTO ESCORCIA ROSALES</t>
  </si>
  <si>
    <t>PRESTAR LOS SERVICIOS TÉCNICOS EN LA ATENCIÓN DE PQRS Y REQUERIMIENTOS INTERNOS Y EXTERNOS CORRESPONDIENTES AL GRUPO DE CREDITO A CARGO DE LA
VICEPRESIDENCIA DE CRÉDITO Y COBRANZA</t>
  </si>
  <si>
    <t>CDEF-138-2024</t>
  </si>
  <si>
    <t>REMUNERACION SERCICIOS TECNICOS-VCC</t>
  </si>
  <si>
    <t xml:space="preserve">
1.	Gestionar las Solicitudes, Peticiones, Quejas, Reclamos y Denuncias en el aplicativo de CRM de ICETEX.
2.	Atender requerimientos externos, internos, entes de control para los procesos y procedimientos del área por los medios que se determinen de acuerdo con los tiempos establecidos.
3.	Realizar apoyar al proceso para la firma de las garantías desmaterializadas a través de los medios que se determinen. 
4.	Proyectar capacitaciones con el fin de informar y fortalecer los procedimientos del área.
5.	Realizar pruebas de los procesos y procedimientos del área con el fin de garantizar que se encuentren correctos.
6.	Asistir y participar en las reuniones programadas.
7.	Elaborar y presentar los informes de gestión que se requieran y se relacionen con el cumplimiento del objeto contractual.
8.	Cumplir con los indicadores de gestión establecidos.
9.	Las demás obligaciones que se requieran para el cumplimiento a cabalidad del objeto contractual y que sean inherentes a la naturaleza del contrato.
</t>
  </si>
  <si>
    <t>20243030000747-I Id: 4135612</t>
  </si>
  <si>
    <t>1.11</t>
  </si>
  <si>
    <t>2024-0201</t>
  </si>
  <si>
    <t>CD-202-2024</t>
  </si>
  <si>
    <t>ANGIE JOHANNA GRANADA CASTRO</t>
  </si>
  <si>
    <t>PRESTAR LOS SERVICIOS PROFESIONALES PARA GESTIONAR LA ADMINISTRACIÓN, IMPLEMENTACIÓN Y SEGUIMIENTO DE ESTRATEGIAS DE COMUNICACIÓN DIGITAL, ASÍ COMO LA ATENCIÓN DE SERVICIO A TRAVÉS DE LAS PLATAFORMAS DIGITALES CON LOS QUE CUENTA LA ENTIDAD Y MANEJA LA OFICINA ASESORA DE COMUNICACIONES.</t>
  </si>
  <si>
    <t>CDEF-155-2024</t>
  </si>
  <si>
    <t xml:space="preserve">1.	Formular, implementar y medir estrategias de comunicación digital para la entidad, con el fin de humanizar la comunicación en redes sociales.
2.	Administrar y actualizar continuamente las redes sociales oficiales del ICETEX (Twitter, Facebook, Instagram, Linkedin, Youtube, Tiktok), así como las nuevas que se generen para alcanzar a otros públicos.
3.	Generar contenidos digitales creativos e innovadores, de acuerdo a los objetivos de comunicación de la entidad.
4.	Promover sinergias con líderes del sector, influenciadores o representantes estudiantiles que permitan ampliar el mensaje en impactar en públicos específicos.
5.	Crear y difundir sinergias digitales con el Gobierno Nacional, instituciones o plataformas, con el fin de ampliar el alcance y de llevar el mensaje a públicos específicos.
6.	Cubrir de eventos de la entidad, del presidente de la entidad y sus directivos, en tiempo real a través de las redes sociales oficiales.
7.	Monitorear de manera permanente la conversación en redes sociales donde se mencione la entidad, sus programas o sus directivos.
8.	Generar análisis y reportes de analytics en coyunturas marcadas o tendencias en redes sociales sobre la entidad. Gestión de crisis.
9.	Apoyar la planeación y contenido para pauta digital en las distintas plataformas y medios, de acuerdo a los objetivos establecidos.
10.	Redactar las parrillas de contenidos para aplicar en cada una de las redes sociales sobre campañas, convocatorias y programas que requiera la entidad.
11.	Asistir a reuniones y/o comités que designe el supervisor del contrato .  
12.	Cumplir con los indicares de gestión establecidos.
13.	Apoyar la supervisión de los contratos que le sean asignados, desde el punto de vista técnico y/o administrativo y/o financiero y/o contable, de conformidad con lo establecido en el Manual de Contratación de la Entidad.  
14.	Las demás que le sean asignadas por el supervisor del contrato.
</t>
  </si>
  <si>
    <t>20243030000755-I Id: 4135668</t>
  </si>
  <si>
    <t>2.21</t>
  </si>
  <si>
    <t>2024-0202</t>
  </si>
  <si>
    <t>CD-203-2024</t>
  </si>
  <si>
    <t>GUSTAVO SALAZAR MORENO</t>
  </si>
  <si>
    <t>"PRESTAR SERVICIOS PROFESIONALES ESPECIALIZADOS COMO ANALISTA TECNOLÓGICO PARA LA CONSTRUCCIÓN DE REQUERIMIENTOS, PROTOTIPOS, REALIZACIÓN DE PRUEBAS, SOPORTE FUNCIONAL Y TÉCNICO DE ACUERDO CON LO REQUERIDO EN LAS ACTIVIDADES Y PROYECTOS QUE DESARROLLE O APOYE EL EQUIPO DE INNOVACIÓN DE LA ENTIDAD."</t>
  </si>
  <si>
    <t>CDEF-235-2024</t>
  </si>
  <si>
    <t xml:space="preserve">1.	Efectuar seguimiento al progreso de los proyectos que requieran desarrollos tecnológicos encabezados o respaldados por el equipo de innovación de la entidad y definidos en articulación con la Vicepresidencia de Operaciones y Tecnología.
2.	Servir como soporte tecnológico en los eventos o sesiones de ideación, co-creación, organizados por el equipo de innovación de la entidad.
3.	Analizar y diseñar diagramas y procesos de flujo para las iniciativas o proyectos que lidere o apoye el equipo de innovación de la entidad.
4.	Identificar mejoras tanto funcionales como no funcionales de los prototipos solicitados en los proyectos asignados, con el propósito de someterlos a evaluación y obtener la aprobación correspondiente de los órganos de gobierno de TI indicados por el equipo de innovación de la entidad.
5.	Apoyar en el desarrollo de prototipos que permitan mostrar las posibles soluciones en los diferentes sistemas de información, aplicaciones y proyectos liderados o acompañados por el equipo de innovación de la entidad.
6.	Colaborar en el proceso de vigilancia tecnológica con el fin de facilitar el análisis, comprensión y sus posibles soluciones de los proyectos liderados o apoyados por el equipo de innovación de la entidad.
7.	Colaborar activamente en el equipo de innovación de la entidad en el proceso de levantamiento, análisis y especificación de requerimientos tecnológicos. 
8.	Plantear y/o participar en acciones de ideación,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</si>
  <si>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20243030000737-I Id: 4135565</t>
  </si>
  <si>
    <t>2.6</t>
  </si>
  <si>
    <t>2024-0203</t>
  </si>
  <si>
    <t>CD-204-2024</t>
  </si>
  <si>
    <t>JULIANA SOFÍA ARAGÓN ACEVEDO</t>
  </si>
  <si>
    <t>PRESTAR LOS SERVICIOS PROFESIONALES ESPECIALIZADOS PARA LLEVAR A CABO ESTUDIOS E INVESTIGACIONES CON RELACIÓN A LA FINANCIACIÓN DE LA EDUCACIÓN SUPERIOR, ASÍ COMO PROVEER ASISTENCIA TÉCNICA PARA LA REGLAMENTACIÓN Y OPERATIVIZACIÓN DEL MODELO DE SEGUIMIENTO Y RECAUDO DEL MECANISMO DE PAGO CONTINGENTE AL INGRESO</t>
  </si>
  <si>
    <t>CDEF-229-2024</t>
  </si>
  <si>
    <t xml:space="preserve">1.	Actualizar y ampliar la agenda de investigación del Centro de Estudios del ICETEX conforme a las necesidades de la entidad y las discusiones de política pública del sector.
2.	Elaborar estudios económicos que brinden información adecuada y pertinente para la toma de decisiones al interior de la entidad, así como los relacionados en la agenda de investigaciones del Centro de Estudios del ICETEX.
3.	Elaborar análisis y documentos técnicos asociados al diseño y evaluación de políticas de financiación de la educación superior; así como los demás documentos   técnicos y/o estudios económicos requeridos por el área.
4.	Brindar acompañamiento técnico en las discusiones internas y/o externas para la implementación del mecanismo de pago contingente al ingreso.
5.	Articular y coordinar con los actores claves para la regulación e implementación del mecanismo de pago contingente al ingreso para Colombia.
6.	Gestionar la articulación con otras entidades públicas y/o privadas que permitan el intercambio de información para el desarrollo de estudios económicos relacionados con la política de financiación de la educación superior.
7.	Brindar concepto técnico con relación al diseño y/o implementación de políticas y/o programas relacionados con la misionalidad de la entidad.
8.	Apoyar a la oficina de planeación en el seguimiento y evaluación de planes, programas y proyectos asignados a la entidad.
9.	Brindar apoyo técnico a las diferentes áreas de la entidad en sus procedimientos de análisis, procesamiento, sistematización y visualización de información. 
10.	Las demás que sean inherentes por la naturaleza del contrato, así como las recomendaciones dadas por el Supervisor de este para asegurar el cumplimiento de la finalidad del contrato.
</t>
  </si>
  <si>
    <t>20243030000736-I Id: 4135563</t>
  </si>
  <si>
    <t>11.146</t>
  </si>
  <si>
    <t>2024-0204</t>
  </si>
  <si>
    <t>CD-205-2024</t>
  </si>
  <si>
    <t>JIMMY HERNAN CARDENAS LOPEZ</t>
  </si>
  <si>
    <t>PRESTACIÓN DE SERVICIOS PROFESIONALES EN LAS ACTIVIDADES RELACIONADAS CON EL PROCESO DE TERMINACIÓN Y CUMPLIMIENTO DE LAS OBLIGACIONES CREDITICIAS EN LA DEPURACIÓN, AJUSTE, APLICACIÓN Y ATENCIÓN DE LOS REQUERIMIENTOS DEL ICETEX</t>
  </si>
  <si>
    <t>CDEF-514-2024</t>
  </si>
  <si>
    <t xml:space="preserve">1.	Analizar y gestionar los requerimientos relacionados con el proceso de terminación y cumplimiento de las obligaciones crediticias.
2.	Generar las órdenes de pago para los diferentes tramites del Grupo de Operaciones.
3.	Gestionar las actividades para la depuración de los saldos a favor de la cartera de la entidad.
4.	Analizar y ajustar las inconsistencias identificadas en la cartera de saldos a favor  
5.	Tramitar la devolución del porcentaje del fondo de garantías
6.	Responder a los requerimientos internos y externos en el tiempo establecido del Grupo de Operaciones. 
7.	Acudir a las reuniones citadas para la supervisión del contrato o que estén relacionadas con el objeto del mismo.
</t>
  </si>
  <si>
    <t>20243030000770-I Id: 4135717</t>
  </si>
  <si>
    <t>10.55</t>
  </si>
  <si>
    <t>2024-0205</t>
  </si>
  <si>
    <t>CD-206-2024</t>
  </si>
  <si>
    <t>YENNY ROCIO CASTELLANOS CALVO</t>
  </si>
  <si>
    <t>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</si>
  <si>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</si>
  <si>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MAYRA ALEJANDRA CIFUENTES CHAVES</t>
  </si>
  <si>
    <t>20243030000610-I Id: 4134963</t>
  </si>
  <si>
    <t>2024-0206</t>
  </si>
  <si>
    <t>2024-0207</t>
  </si>
  <si>
    <t>11.132</t>
  </si>
  <si>
    <t>2024-0208</t>
  </si>
  <si>
    <t>CD-209-2024</t>
  </si>
  <si>
    <t>JEIMY ALEXANDRA PIRAGAUTA DIAZ</t>
  </si>
  <si>
    <t>CDEF-540-2024</t>
  </si>
  <si>
    <t>G312001020510012</t>
  </si>
  <si>
    <t>1. Ejecutar las actividades tendientes al cumplimiento de los procesos de 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t>
  </si>
  <si>
    <t>20243030000771-I Id: 4135725</t>
  </si>
  <si>
    <t>11.127</t>
  </si>
  <si>
    <t>2024-0209</t>
  </si>
  <si>
    <t>CD-210-2024</t>
  </si>
  <si>
    <t>ELLEN JOHANA NIÑO TAVERA</t>
  </si>
  <si>
    <t>PRESTACIÓN DE SERVICIOS PROFESIONALES ESPECIALIZADOS PARA EL ANÁLISIS Y APLICACIÓN DE NOVEDADES EN LA CARTERA, DE ACUERDO CON LA NORMATIVIDAD VIGENTE EN EL ICETEX</t>
  </si>
  <si>
    <t>CDEF-535-2024</t>
  </si>
  <si>
    <t xml:space="preserve">.	Ejecutar las actividades tendientes al cumplimiento de los procesos de 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
</t>
  </si>
  <si>
    <t>20243030000772-I Id: 4135726</t>
  </si>
  <si>
    <t>12.4</t>
  </si>
  <si>
    <t>2024-0210</t>
  </si>
  <si>
    <t>CD-211-2024</t>
  </si>
  <si>
    <t>VANNESSA PELAEZ GIRALDO</t>
  </si>
  <si>
    <t>PRESTAR LOS SERVICIOS PROFESIONALES ESPECIALIZADOS PARA ESTRUCTURACIÓN Y APROPIACIÓN DE INSTRUMENTOS Y/O MECANISMOS FINANCIEROS QUE PERMITAN LA GENERACIÓN DE EFICIENCIAS FINANCIERAS EN EL MARCO DE OPTIMIZACIÓN DE LA ESTRUCTURA PASIVO Y DIVERSIFICACIÓN DE LAS FUENTES DE FONDEO</t>
  </si>
  <si>
    <t>CDEF-037-2024</t>
  </si>
  <si>
    <t xml:space="preserve">IG332902004  </t>
  </si>
  <si>
    <t xml:space="preserve">
1.	Apoyar a la Vicepresidencia Financiera en la consolidación de instrumentos financieros y estructuración de mecanismos financieros, que propendan por la mitigación del riesgo, y la modernización de las funciones financieras del ICETEX a partir de la optimización de recursos y diversificación de fuentes de fondeo. 
2.	Apoyar la articulación de las diferentes instancias para el análisis, seguimiento y control a las iniciativas de la Vicepresidencia Financiera, frente a la Junta Directiva, Iniciativas Legislativas, y demás actores internos y externos. 
3.	Apoyar a la Vicepresidencia Financiera en el análisis de datos y variables para la generación de eficiencias operacionales y financieras que contribuyan a la modernización de las funciones financieras del ICETEX a través de la optimización en la asignación de recursos y diversificación de fuentes de fondeo. 
4.	Apoyar la estructuración de documentos e insumos técnicos requeridos para la implementación de iniciativas para la generación de eficiencias operacionales y financieras a través de la optimización de recursos y diversificación de fuentes de fondeo. 
5.	Apoyar a la Vicepresidencia Financiera en la implementación de iniciativas, proyectos y modelos de negocio para la consolidación de instrumentos financieros y de mitigación del riesgo en el marco de la modernización de las funciones financieras del ICETEX. 
6.	Apoyar a la Vicepresidencia Financiera en la consolidación, análisis y estructuración de actos administrativos y proyectos de mejora normativa que deban generarse en el marco de implementación de los proyectos de inversión a cargo de la Vicepresidencia Financiera del ICETEX. 
7.	Apoyar la estructuración de estudios previos, análisis del sector económico, matriz de riesgos y demás documentos requeridos por la normatividad vigente, que permita adelantar los procesos necesarios para el cumplimiento de metas en el marco del proyecto estratégico de optimización del pasivo y diversificación de fuentes de fondeo y el fortalecimiento de los procesos que soportan la modernización de las Funciones Financieras del ICETEX. 
8.	Apoyar a la Vicepresidencia Financiera en el análisis financiero y técnico de los fondos de garantías de Icetex, elaboración de estudios y documentos técnicos y el seguimiento mensual de los Subfondos y demás mecanismos de cobertura. 
9.	Apoyar en la proyección de respuestas a requerimientos de información solicitados por entes internos y/o externos. 
10.	Las demás obligaciones que se requieran para el cumplimiento a cabalidad del objeto contractual y que sean inherentes a la naturaleza del contrato. 
11.	Cumplir con los indicadores de gestión establecidos. 
</t>
  </si>
  <si>
    <t>20243030000782-I Id: 4135783</t>
  </si>
  <si>
    <t>4.59</t>
  </si>
  <si>
    <t>2024-0211</t>
  </si>
  <si>
    <t>CD-212-2024</t>
  </si>
  <si>
    <t>MARIA ISABEL TORRES ESPEJO</t>
  </si>
  <si>
    <t>PRESTAR SERVICIOS PROFESIONALES ESPECIALIZADOS CON EL FIN DE ANALIZAR, EVALUAR Y EJECUTAR ESTRATEGIAS, ENFOCADAS AL ASEGURAMIENTO DE LA EXPERIENCIA Y SATISFACCIÓN DE LOS GRUPOS DE INTERÉS DE COMUNIDAD ICETEX.</t>
  </si>
  <si>
    <t>CDEF-038-2024</t>
  </si>
  <si>
    <t xml:space="preserve">IG332911001  </t>
  </si>
  <si>
    <t xml:space="preserve">Apoyar los procesos de recolección, captura, procesamiento, análisis, divulgación y gestión de datos e información útil para asegurar la experiencia del usuario de Comunidad ICETEX, que les sean asignados en el marco del plan de acción de la Unidad de Entendimiento y de Diseño de Experiencias.
2.	Generar documentos que contengan la data, análisis y recomendaciones derivadas de los procesos de entendimiento que aporten a asegurar la experiencia del usuario de Comunidad ICETEX, para que puedan ser utilizados en las unidades de Comunidad ICETEX, otras áreas de la entidad y grupos de interés.  
3.	Fortalecer la estrategia de atención de Comunidad ICETEX, según la caracterización de los beneficiarios y ciudadanos, con el fin de optimizar sus experiencias en los diferentes servicios tomados.
4.	Generar y adaptar herramientas para la identificación y gestión de riesgos y conflictos en la experiencia del usuario de Comunidad ICETEX.  
5.	Apoyar la estandarización de los procesos de la Unidad de Entendimiento y Diseño de Experiencias de Comunidad ICETEX. 
6.	Asistir a reuniones y/o comités de conformidad con las necesidades de la entidad y la designación del supervisor del contrato. 
7.	Informe mensual de actividades que permita al supervisor verificar el avance y cumplimiento de las obligaciones contractuales y de los indicadores de gestión. 
8.	Las demás obligaciones que se requieran para el cumplimiento a cabalidad del objeto contractual y que sean inherentes a la naturaleza del contrato. 
</t>
  </si>
  <si>
    <t>20243030000777-I Id: 4135752</t>
  </si>
  <si>
    <t>4.36</t>
  </si>
  <si>
    <t>2024-0212</t>
  </si>
  <si>
    <t>CD-213-2024</t>
  </si>
  <si>
    <t>JHON JAIRO CARDENAS GALINDO</t>
  </si>
  <si>
    <t>PRESTAR SERVICIOS TÉCNICOS DE APOYO A LA MEJORA EN LOS PROCESOS Y PROCEDIMIENTOS EN LOS CANALES DE ATENCIÓN Y GESTIÓN DE LA ENTIDAD.</t>
  </si>
  <si>
    <t>CDEF-481-2024</t>
  </si>
  <si>
    <t xml:space="preserve">
1.	Elaborar y presentar un plan de trabajo para la aprobación por parte del supervisor del contrato, en cumplimiento con las cláusulas contractuales establecidas.
2.	Acompañar el seguimiento y control al cumplimiento de acuerdos de servicio definidos en el contrato de atención al usuario 2022-0770 de los distintos canales de atención y gestión implementados por la entidad.
3.	Apoyar en la resolución de casos y situaciones que se presenten en los distintos canales de atención, con el objetivo de mejorar la satisfacción y experiencia de los grupos de interés de la entidad.
4.	Generar alertas ante situaciones críticas que afecten la operación de atención al usuario, que impacten los acuerdos de niveles de servicio y la satisfacción y experiencia de los grupos de interés de la entidad.
5.        Apoyar operativa y técnicamente al proveedor de atención al usuario del contrato 2022-0770 y a la entidad, en la implementación de estrategias para mejorar la experiencia y satisfacción de los grupos de interés de la entidad.
6.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7.	Apoyar la gestión, documentación y cumplimiento de procesos y procedimientos, indicadores, planes de acción, planes de mejora, reportes, auditorías de calidad, auditorías internas y externas, eventos de riesgo, y demás derivados del ejercicio de control y autocontrol de los macroprocesos de la Oficina de Comercial y de Mercadeo.
8.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asignadas por el supervisor del contrato y que sean inherentes al objeto contractual del contrato.
</t>
  </si>
  <si>
    <t>20243030000778-I Id: 4135754</t>
  </si>
  <si>
    <t>4.77</t>
  </si>
  <si>
    <t>2024-0213</t>
  </si>
  <si>
    <t>CD-214-2024</t>
  </si>
  <si>
    <t>JULIAN FELIPE GALVIS RAMOS</t>
  </si>
  <si>
    <t>PRESTAR SERVICIOS PROFESIONALES ESPECIALIZADOS PARA OFRECER ACOMPAÑAMIENTO TÉCNICO, RESPALDAR EN MATERIA DE METODOLOGÍAS DE INVESTIGACIÓN Y BRINDAR SOPORTE LOGÍSTICO A LA "UNIDAD DE ENTENDIMIENTO Y DISEÑO DE EXPERIENCIAS" EN EL CONTEXTO DEL DESARROLLO DEL PLAN ESTRATÉGICO DE LA ENTIDAD Y LA "POLÍTICA DE GUÍA, INFORMACIÓN Y ACOMPAÑAMIENTO</t>
  </si>
  <si>
    <t>CDEF-058-2024</t>
  </si>
  <si>
    <t xml:space="preserve">1.	Participar en la planeación, ejecución y seguimiento de las actividades que requiera la Unidad de Entendimiento y Diseño de Experiencias del proyecto Comunidad ICETEX. 
2.	Desarrollar, prototipar, validar y evolucionar las experiencias para los beneficiarios de Comunidad ICETEX.  
3.	Formular los documentos técnicos operativos e instructivos que se consideren necesarios para la operación de las experiencias de Comunidad ICETEX. 
4.	Hacer curaduría para asegurar que las experiencias generadas con los aliados sean consistentes con los criterios de la Unidad de Entendimiento y Diseño de Experiencias de Comunidad ICETEX. 
5.	Liderar las capacitaciones para asegurar la buena puesta en marcha, de las experiencias de Comunidad ICETEX, por parte de la Unidad de Operaciones, equipos de la entidad tanto nacionales como territoriales, y otros grupos de interés.  
6.	Gestionar espacios de interacción con jóvenes estudiantes y usuarios en diversos territorios para asegurar su participación en el desarrollo, prototipado, validación y evolución de las experiencias de Comunidad ICETEX. 
7.	Apoyar la estandarización de los procesos de la Unidad de Entendimiento y Diseño de Experiencias de Comunidad ICETEX. 
8.	Apoyar la creación y operación de los mecanismos de participación de los beneficiarios del ICETEX en los procesos de Comunidad ICETEX.      
9.	Asistir a reuniones y/o comités de conformidad con las necesidades de la entidad y la designación del supervisor del contrato. 
10.	Apoyar la supervisión de los contratos que le sean asignados, desde el punto de vista técnico y/o administrativo y/o financiero y/o contable, de conformidad con lo establecido en el Manual de Contratación de la Entidad. 
11.	Informe mensual de actividades que permita al supervisor verificar el avance y cumplimiento de las obligaciones contractuales y de los indicadores de gestión.
12.	Las demás obligaciones que se requieran para el cumplimiento a cabalidad del objeto contractual y que sean inherentes a la naturaleza del contrato.
</t>
  </si>
  <si>
    <t>20243030000790-I Id: 4135803</t>
  </si>
  <si>
    <t>5.1</t>
  </si>
  <si>
    <t>2024-0214</t>
  </si>
  <si>
    <t>CD-215-2024</t>
  </si>
  <si>
    <t>JESSICA ELIANA GUACALES MARTINEZ</t>
  </si>
  <si>
    <t>PRESTAR LOS SERVICIOS PROFESIONALES PARA LA REALIZACIÓN DE AUDITORÍAS INTERNAS A LOS SISTEMAS DE GESTIÓN DE LA ENTIDAD Y AL SISTEMA DE CONTROL INTERNO, ASÍ COMO SEGUIMIENTO A LOS PLANES Y ACCIONES DE MEJORA, ACTIVIDADES DE FOMENTO DE AUTOCONTROL, ACOMPAÑAMIENTO FUNCIONAL EN LA MASIFICACIÓN, PARAMETRIZACIÓN Y MEJORAS DEL SOFTWARE DE AUDITORÍA Y LAS ASESORÍAS REQUERIDAS POR LOS DIFERENTES PROCESOS DE CONFORMIDAD CON EL PLAN ANUAL DE AUDITORÍAS DE LA OFICINA DE CONTROL INTERNO PARA LA VIGENCIA 2024</t>
  </si>
  <si>
    <t>CDEF-325-2024</t>
  </si>
  <si>
    <t>HONORARIOS- OCI</t>
  </si>
  <si>
    <t xml:space="preserve">1.	Apoyar en la en la planeación y realización de auditorías que le sean asignadas por el supervisor del contrato de acuerdo con el Plan Anual de Auditorias aprobado para la vigencia 2024, teniendo en cuenta el periodo de duración del contrato y las necesidades presentadas en la entidad.
2.	Efectuar el desarrollo de las Auditorías de gestión e integrales sobre los procesos y/o procedimientos de la entidad, con base en los requisitos de las normas técnicas de calidad (ISO 9001:2015), seguridad de la información (ISO 27001:2013), Seguridad y salud en el trabajo y Sistema de Control Interno de la Entidad.
3.	Acompañar y retroalimentar al jefe de la Oficina de Control Interno sobre los resultados finales de los análisis a los sistemas de riesgos definidos en el Plan Anual de Auditoría.
4.	Efectuar seguimiento a la formulación, ejecución y eficacia de los planes de mejoramiento acciones de mejora de los procesos de la entidad y demás seguimientos generados por la Oficina de Control Interno.
5.	Efectuar la preparación, revisión y análisis de documentos y procesos requeridos como soporte de los informes de auditorías y de las presentaciones a comités, revisiones por la dirección u otras instancias que se adelanten durante la vigencia del contrato.
6.	Acompañar a la Oficina de Control Interno en las asesorías que adelante a las dependencias del ICETEX en aspectos relacionados con el objeto contractual.
7.	Apoyar las actividades programadas por la Oficina de Control Interno para el fomento de la cultura del control en la entidad durante la vigencia del contrato.
8.	Participar en las reuniones, comités y mesas de trabajo relacionadas con el objeto del contrato que el supervisor le indique.
9.	Elaborar y cargar en la herramienta de auditorías toda la documentación y la información relacionada con la ejecución y resultados de las auditorías programadas y efectuadas; así como el seguimiento de los planes y acciones de mejora. 
10.	Participar en las actividades de acompañamiento funcional, parametrización, gestión de usuarios y planes de mejoramiento, así como del diseño, pruebas y fomento del uso de la herramienta de software de auditoría.
11.	Apoyar a la OCI en la realización de las auditorías, acompañamientos, indagaciones u otros que dentro del marco de sus obligaciones le sean indicadas por el supervisor contractual en oficinas institucionales ubicadas en ciudades o municipios distintos a Bogotá D.C., previo otorgamiento de la correspondiente autorización de desplazamiento. Así como Cumplir las demás actividades relacionadas con el objeto del contrato que sean acordadas con el supervisor.
</t>
  </si>
  <si>
    <t>20243030000753-I Id: 4135656</t>
  </si>
  <si>
    <t>13.7</t>
  </si>
  <si>
    <t>2024-0215</t>
  </si>
  <si>
    <t>CD-216-2024</t>
  </si>
  <si>
    <t>DIANA MARSELLA LOZANO ORTIZ</t>
  </si>
  <si>
    <t>PRESTAR LOS SERVICIOS PROFESIONALES JURÍDICOS ESPECIALIZADOS PARA ORIENTAR Y ACOMPAÑAR EN LA ARTICULACIÓN Y OPTIMIZACIÓN DE LOS SERVICIOS Y ASUNTOS A CARGO DE LA SECRETARIA GENERAL</t>
  </si>
  <si>
    <t>CDEF-569-2024</t>
  </si>
  <si>
    <t>FORTALECIMIENTO
ORGANIZACIONAL</t>
  </si>
  <si>
    <t xml:space="preserve">IG 332901003 </t>
  </si>
  <si>
    <t xml:space="preserve">
1.Brindar acompañamiento, asesoría jurídica y contractual a la Secretaría General conforme a la normatividad vigente y las disposiciones internas.
2. Revisar los estudios previos y verificar la documentación allegada para viabilidad de la contratación, con base en las normas en materia de contratación aplicables a EL ICETEX.
3. Proponer los ajustes jurídicos y/o contractuales a los diferentes documentos que se generen con ocasión a los tramites a cargo de la Secretaria General.
4. Apoyar y realizar acompañamiento jurídico a la Secretaría General en los comités, reuniones, mesas de trabajo y demás escenarios que se estimen pertinentes relacionados con el objeto del contrato
5. Efectuar las recomendaciones y emitir los conceptos jurídicos que correspondan respecto de las situaciones particulares sujetas a su análisis, en estricta atención a las normas sobre la contratación pública.
6. Realizar la revisión, estudio y análisis integral de los documentos que sean sometidos a su consideración y proyectar las respectivas comunicaciones si a ello hubiere lugar
7. Elaborar y /o revisar proyectos de actos administrativos de carácter general y particular que le sean solicitados.
8.  Desplazarse en caso de requerirse con el fin de dar cumplimiento al objeto contractual.
9. Las demás obligaciones que sean acordes con el objeto contractual asignado por quien ejerza la función de la Supervisión del Contrato.
</t>
  </si>
  <si>
    <t>20243030000801-I Id: 4135854</t>
  </si>
  <si>
    <t>8.5</t>
  </si>
  <si>
    <t>2024-0216</t>
  </si>
  <si>
    <t>CD-217-2024</t>
  </si>
  <si>
    <t>CAMILA GÓMEZ PATIÑO</t>
  </si>
  <si>
    <t>PRESTAR LOS SERVICIOS PROFESIONALES ESPECIALIZADOS EN LA ARTICULACIÓN DESDE LA PRESIDENCIA CON LA OFICINA ASESORA DE COMUNICACIONES PARA LA EJECUCIÓN DE DIFERENTES ESTRATEGIAS Y ACTIVIDADES</t>
  </si>
  <si>
    <t>CDEF-568-2024</t>
  </si>
  <si>
    <t xml:space="preserve"> HONORARIOS PRE</t>
  </si>
  <si>
    <t xml:space="preserve">1.	Apoyar a las distintas áreas de la entidad en la elaboración de estrategias de comunicación y creación de contenido digital que fortalezcan la institución y posicionen la humanización del ICETEX siguiendo las directrices de Presidencia. 
2.	Atender los requerimientos y solicitudes realizadas por la Presidencia de ICETEX de las comunicaciones internas y externas en articulación con la Oficina Asesora de Comunicaciones. 
3.	Presentar propuestas de generación de campañas de comunicación digital en sinergia con las directivas del Gobierno Nacional. 
4.	Acompañamiento y cubrimiento de espacios de participación de la Presidencia del ICETEX. 
5.	Realizar las gestiones requeridas para responder inquietudes y dar solución a casos de beneficiarios y sectores involucrados de ICETEX que se generen a través de los diferentes canales de Presidencia. 
6.	Asistir a las reuniones o comités relacionados con el objeto del contrato. 
7.	Realizar los viajes nacionales previa coordinación con el supervisor en cumplimiento del contrato cuando las necesidades del servicio lo requieran. 
8.	Las demás obligaciones que sean acordes con el objeto contractual asignado por quien ejerza la función de la Supervisión del Contrato y/o el Presidente de la Entidad.
</t>
  </si>
  <si>
    <t>20243030000792-I Id: 4135812</t>
  </si>
  <si>
    <t>13.8</t>
  </si>
  <si>
    <t>2024-0217</t>
  </si>
  <si>
    <t>CD-218-2024</t>
  </si>
  <si>
    <t>CATALINA CASTAÑO GRANDA</t>
  </si>
  <si>
    <t>PRESTAR SUS SERVICIOS PROFESIONALES A LA SECRETARIA GENERAL EN LA ORIENTACIÓN, ARTICULACIÓN Y OPTIMIZACIÓN DE LOS ASUNTOS RELACIONADOS CON LAS FUNCIONES ASIGNADAS A LA SECRETARIA GENERAL.</t>
  </si>
  <si>
    <t>CDEF-570-2024</t>
  </si>
  <si>
    <t xml:space="preserve">1. Brindar acompañamiento y orientación jurídico y contractual en los planes, programas y proyectos institucionales conforme a la normatividad vigente y las disposiciones internas.
2. Orientar desde el componente jurídico a la secretaría general en los procesos internos de la dependencia.
3. Recomendar desde la perspectiva jurídica a la Secretaría General en la adopción de políticas objetivos y estrategias relacionadas con la planeación de la entidad.
4. Analizar, conceptuar, revisar y proyectar actos administrativos, circulares, respuestas internas, externas y a entes de control, que correspondan a la Secretaría General conforme a los procedimientos y normas vigentes sobre la materia.
5.  Acompañar jurídicamente a la Secretaría General en comités, mesas de trabajo y reuniones designadas por el supervisor y relacionados con el objeto contractual conforme a la normatividad vigente y a las disposiciones internas del ICETEX.
6. Desplazarse en caso de requerirse con el fin de dar cumplimiento al objeto contractual.
 7. Las demás obligaciones que sean acordes con el objeto contractual asignado por quien ejerza la función de la Supervisión del Contrato
</t>
  </si>
  <si>
    <t>20243030000798-I Id: 4135837</t>
  </si>
  <si>
    <t>11.57</t>
  </si>
  <si>
    <t>2024-0218</t>
  </si>
  <si>
    <t>CD-219-2024</t>
  </si>
  <si>
    <t>RUTH JEANNETTE CASTRO GALINDO</t>
  </si>
  <si>
    <t xml:space="preserve">PRESTACIÓN DE SERVICIOS DE APOYO A LA GESTIÓN ADMINISTRATIVA DE LA VICEPRESIDENCIA DE OPERACIONES Y TECNOLOGÍA DEL ICETEX </t>
  </si>
  <si>
    <t>CDEF-309-2024</t>
  </si>
  <si>
    <t>REMUNERACION SERVICIOS TECNICOS VOT</t>
  </si>
  <si>
    <t xml:space="preserve">EL ICETEX pagará al CONTRATISTA el valor del contrato mediante PAGOS MENSUALES por valor de hasta CUATRO MILLONES CUATROCIENTOS MIL PESOS M/CTE ($4.400.000), incluido los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Manual de Contratación del ICETEX y acorde a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personales naturales, deberán presentar junto con el informe final como requisito para el último pago, el respectivo paz y salvo de conformidad con el formato dispuesto por la entidad.
1.	Brindar apoyo operativo en la recepción, clasificación y reasignación de actividades que deban desarrollarse por las áreas de la Vicepresidencia de Operaciones y Tecnología.
2.	Coadyuvar con el seguimiento a los trámites administrativos solicitados a la Vicepresidencia de Operaciones y Tecnología, incluyendo la respuesta a requerimientos internos y externos que le sean asignados y su trámite en el aplicativo de correspondencia de la Entidad.
3.	Citar a las reuniones que correspondan al vicepresidente de Operaciones y Tecnología, mantener actualizada la agenda y gestionar la asistencia y los espacios físicos que se requieran en desarrollo de planes vigentes.
4.	Elaborar las actas de las reuniones que cite la Vicepresidencia de Operaciones y Tecnología.
5.	Apoyar la gestión de consolidación y archivo de los documentos físicos o digitales que requiera la Vicepresidencia de Operaciones y Tecnología en las herramientas tanto físicas como digitales que se le definan.
6.	Apoyar a la Vicepresidencia de Operaciones y Tecnología en el manejo y gestión de las órdenes de pago de los contratistas y proveedores a través del sistema que para el efecto determine la entidad.
7.	Mantener actualizado el inventario de los insumos de oficina que requiera la Vicepresidencia de Operaciones y Tecnología.
8.	Todas las demás que resulten necesarias e indispensables para el abal cumplimiento de los fines del contrato.
</t>
  </si>
  <si>
    <t>20243030000796-I Id: 4135827</t>
  </si>
  <si>
    <t>10.15</t>
  </si>
  <si>
    <t>2024-0219</t>
  </si>
  <si>
    <t>CD-220-2024</t>
  </si>
  <si>
    <t>SARA GIMENA CORONADO SARMIENTO</t>
  </si>
  <si>
    <t>PRESTAR SUS SERVICIOS PROFESIONALES APOYANDO LAS ACTIVIDADES DE SEGUIMIENTO Y CONTROL QUE PERMITAN EL ÓPTIMO DESARROLLO DE LA OPERACIÓN, IDENTIFICANDO OPORTUNIDADES QUE LLEVEN A LA IMPLEMENTACIÓN DE EFICIENCIAS EN LOS PROCESOS A CARGO DE LA VICEPRESIDENCIA DE FONDOS EN ADMINISTRACIÓN; ASÍ COMO EN LA MITIGACIÓN DE RIESGOS</t>
  </si>
  <si>
    <t>CDEF-404-2024</t>
  </si>
  <si>
    <t xml:space="preserve">1.	Acompañar la auditoría internas y externas asociadas a los procesos de la vicepresidencia y/o a la entidad en relación con la administración de recursos de terceros, así como proponer acciones de mejora que permitan la mitigación de los hallazgos identificados. 
2.	Realizar seguimiento a los planes de mejoramiento suscritos por la vicepresidencia derivado de auditorías internas y/o externas a los procesos de la vicepresidencia, de tal manera que se garantice el cumplimiento de los mimos con oportunidad. 
3.	Revisar los procedimientos, formatos y demás instrumentos derivados de la administración de recursos de terceros a los procesos a cargo de la Vicepresidencia de Fondos en Administración y proponer recomendaciones de mejora de la eficiencia operativa de las actividades alineados con el sistema integrado de gestión y calidad de la entidad.
4.	Revisar, actualizar y reportar las gestiones a cargo de la vicepresidencia de fondos en administración enmarcadas en el Modelo Integrado de Planeación y Gestión (MIPG) y el Plan Anticorrupción y de Atención al Ciudadano (PAAC). 
5.	Reportar los resultados de la gestión de la vicepresidencia a las áreas que corresponda conforme los formatos y herramientas dispuestas por la entidad. 
6.	Revisar los proyectos de respuestas de peticiones internas y externas, que le sean requeridos y que guarden relación con los procesos a cargo de la Vicepresidencia de Fondos en Administración.
7.	Asistir y/o participar en los comités, mesas de trabajo y demás reuniones relacionadas con el objeto contractual.
8.	Garantizar la confidencialidad, reserva y privacidad de la información que por razón de sus actividades deba manejar en desarrollo del contrato.
9.	Desplazarse a las diferentes ciudades del país, en caso de ser necesario para la debida ejecución del contrato, previa coordinación con el supervisor.
10.	Las demás asignadas por el supervisor y que tengan relación con el objeto del presente contrato.
</t>
  </si>
  <si>
    <t>20243030000817-I Id: 4135918</t>
  </si>
  <si>
    <t>11.58</t>
  </si>
  <si>
    <t>2024-0220</t>
  </si>
  <si>
    <t>CD-221-2024</t>
  </si>
  <si>
    <t xml:space="preserve">STHEVEN ARLEY BRICEÑO MOLINA </t>
  </si>
  <si>
    <t xml:space="preserve">PRESTACIÓN DE SERVICIOS PROFESIONALES DE ASESORÍA ESPECIALIZADA EN INGENIERÍA ESTRATÉGICA PARA LA DEFINICIÓN, DISEÑO Y APOYO EN LA GESTIÓN DE IMPLEMENTACIÓN Y CONTROL DE PROYECTOS E INICIATIVAS DE LA VICEPRESIDENCIA DE OPERACIONES Y TECNOLOGÍA DEL ICETEX. </t>
  </si>
  <si>
    <t>CDEF-496-2024</t>
  </si>
  <si>
    <t xml:space="preserve">1.	Realizar la definición, el seguimiento y control a los proyectos relacionados con la plataforma digital que soporta los servicios de negocio del ICETEX desde la Vicepresidencia de Operaciones y Tecnología del ICETEX.
2.	Asesorar en la definición de las metodologías y esquemas de trabajo para las iniciativas y proyectos que soportan los servicios de negocio del ICETEX desde la Vicepresidencia de Operaciones y Tecnología del ICETEX.
3.	Asesorar en la definición y aplicación de los procesos y desarrollos de soluciones tecnológicas enmarcados en la política de gobierno digital y datos abiertos para la plataforma digital que soporta los servicios de negocio del ICETEX desde la Vicepresidencia de Operaciones y Tecnología del ICETEX.
4.	Orientar la definición de la estrategia de interoperabilidad e intercambio de información para la plataforma digital que soporta los servicios de negocio del ICETEX desde la Vicepresidencia de Operaciones y Tecnología del ICETEX, enmarcados en la política de gobierno digital y datos abiertos.
5.	Articular a los equipos de arquitectura empresarial, información y datos, infraestructura, sistemas de información y mesa de servicio para la ejecución, implementación y operación de plataforma digital que soporta los servicios de negocio del ICETEX desde la Vicepresidencia de Operaciones y Tecnología del ICETEX.
6.	Orientar y asesorar los procedimientos de gestión de servicios tecnológicos para la plataforma digital que soporta los servicios de negocio del ICETEX desde la Vicepresidencia de Operaciones y Tecnología del ICETEX.
7.	Orientar la identificación de nuevos requerimientos y necesidades de las áreas funcionales enmarcadas en los lineamientos de la plataforma digital que soporta los servicios de negocio del ICETEX desde la Vicepresidencia de Operaciones y Tecnología del ICETEX.
</t>
  </si>
  <si>
    <t>20243030000824-I Id: 4135943</t>
  </si>
  <si>
    <t>11.128</t>
  </si>
  <si>
    <t>2024-0221</t>
  </si>
  <si>
    <t>CD-222-2024</t>
  </si>
  <si>
    <t>GUILLERMO ALEXANDER CUBILLOS JIMENEZ</t>
  </si>
  <si>
    <t>CDEF-509-2024</t>
  </si>
  <si>
    <t>20243030000818-I Id: 4135920</t>
  </si>
  <si>
    <t>11.130</t>
  </si>
  <si>
    <t>2024-0222</t>
  </si>
  <si>
    <t>CD-223-2024</t>
  </si>
  <si>
    <t>CARMEN JULIA VALLEJO SANABRIA</t>
  </si>
  <si>
    <t>CDEF-510-2024</t>
  </si>
  <si>
    <t>20243030000813-I Id: 4135911</t>
  </si>
  <si>
    <t>2024-0223</t>
  </si>
  <si>
    <t>6.4</t>
  </si>
  <si>
    <t>2024-0224</t>
  </si>
  <si>
    <t>CD-225-2024</t>
  </si>
  <si>
    <t>LINA MARIA NIÑO NAVAS</t>
  </si>
  <si>
    <t>PRESTAR LOS SERVICIOS PROFESIONALES ESPECIALIZADOS PARA ADELANTAR LAS ACTIVIDADES QUE PERMITAN EL CUMPLIMIENTO DE LOS PROCESOS Y REQUERIMIENTOS DEL DESARROLLO DEL SUBCOMPONENTE PASAPORTE A LA CIENCIA Y PROGRAMAS ESPECIALES EN EL MARCO DE LA POLÍTICA DE COOPERACIÓN ACADÉMICA INTERNACIONAL E INTERINSTITUCIONAL DEL ICETEX.</t>
  </si>
  <si>
    <t>CDEF-365-2024</t>
  </si>
  <si>
    <t xml:space="preserve">Apoyar el desarrollo de las actividades que el Programa “Pasaporte a la Ciencia” requiera para atender los requerimientos de aliados y encaminarlas al logro de los objetivos y metas institucionales.
2.	Convocar y atender, las reuniones con los beneficiarios del programa Pasaporte  a la Ciencia en el proceso de seguimiento y acompañamiento en la finalización de cada periodo y para el proceso de revisión y actualización de sus documentos de soporte solicitados dentro del proceso de condonación.
3.	Realizar el reporte al área correspondiente del inicio de amortización de los beneficiarios que finalizan su periodo de gracia o que solicitan anticipadamente el paso al cobro. Así como el seguimiento de las condiciones y parametrización de los sistemas de información provistos por el ICETEX, garantizando el apropiado inicio y desarrollo de proceso.
4.	Adelantar la revisión, validación y seguimiento de los documentos soporte de cumplimiento de requisito de condonación de los beneficiarios del programa Pasaporte a la Ciencia, dando cumplimiento a los tiempos establecidos para cada uno de ellos, con el fin de presentarlos ante Comité de Alianzas para solicitud de condonación. Así como informar el incumplimiento de los mismos para dar inicio al proceso de cobro.
5.	Acompañar y apoyar la organización de Comités internos y de Alianzas tendientes a realizar seguimiento y análisis de casos que requieran aprobación de acuerdo con el cronograma establecido
6.	Apoyar la participación de la  Jefe de la ORI como Punto Focal Nacional Erasmus+ (ENFP),  asistiendo a las capacitaciones y citaciones que realice la Unión Europea,  con el fin de contribuir eficazmente, en la promoción y difusión de las actividades relacionadas con la dimensión internacional de las acciones Erasmus+. 
7.	Ejecutar los procesos y procedimientos en todas las etapas del programa Erasmus+ en sus distintas modalidades, gestionando lo correspondiente, previo aval de la Jefe de la Oficina de la ORI, retroalimentando sobre los avances y resultados del programa.
8.	Elaborar y tramitar los documentos necesarios conforme al proceso de comisiones establecido por el ICETEX, cuando se requiera su desplazamiento a nivel nacional o internacional en consonancia con las funciones de la ORI y del ICETEX. 
9.	Adelantar y ejecutar todas las propuestas y proyectos encaminados a fortalecer la cooperación internacional del ICETEX en el marco del proyecto de inversión “Fomento e Innovación de la Internacionalización”
</t>
  </si>
  <si>
    <t>11.101</t>
  </si>
  <si>
    <t>2024-0225</t>
  </si>
  <si>
    <t>CD-226-2024</t>
  </si>
  <si>
    <t>ANDREA JULIETH TRILLERAS YARA</t>
  </si>
  <si>
    <t>PRESTACIÓN DE SERVICIOS PROFESIONALES ESPECIALIZADOS PARA ATENCIÓN A LA GESTIÓN PRESUPUESTAL Y ADMINISTRATIVA DE ASUNTOS DEL ICETEX.</t>
  </si>
  <si>
    <t>CDEF-561-2024</t>
  </si>
  <si>
    <t xml:space="preserve">1.	Procesar, consolidar y verificar la información de la ejecución contractual y presupuestal de la Vicepresidencia de Operaciones y Tecnología del ICETEX en los formatos que disponga la entidad para su control.	
2.	Apoyar y gestionar las actuaciones contractuales que requiera la Vicepresidencia de Operaciones y Tecnología del ICETEX para satisfacer el cubrimiento de las necesidades de prestación de servicios de la entidad.	
3.	Apoyar y gestionar los trámites necesarios para la correcta ejecución contractual de la prestación de servicios requeridos por la Vicepresidencia de Operaciones y Tecnología del ICETEX.	
4.	Consolidar y mantener actualizado el repositorio de expedientes contractuales de la Vicepresidencia de Operaciones y Tecnología del ICETEX.	
5.	Apoyar y gestionar los documentos, tramites y movimientos presupuestales que requiera la Vicepresidencia de Operaciones y Tecnología del ICETEX.	
6.	Gestionar el trámite necesario para la generación de Certificados de Disponibilidad Presupuestal y Registros Presupuestales de los procesos de contratación que requiera la Vicepresidencia de Operaciones y Tecnología del ICETEX.	
7.	Gestionar, procesar y verificar el trámite requerido en la generación de órdenes de pago a partir de cuentas de cobro y facturas para los procesos contractuales de la Vicepresidencia de Operaciones y Tecnología del ICETEX, verificando su correcto reporte en la programación de pagos mensual.	
8.	Presentar y estructurar los informes que se requieran, así como organizar y asistir a las mesas de trabajo que deriven del normal desarrollo del objeto del contrato.
</t>
  </si>
  <si>
    <t>20243030000828-I Id: 4136007</t>
  </si>
  <si>
    <t>6.5</t>
  </si>
  <si>
    <t>2024-0226</t>
  </si>
  <si>
    <t>CD-227-2024</t>
  </si>
  <si>
    <t>CATALINA QUINTERO BUENO</t>
  </si>
  <si>
    <t>PRESTAR LOS SERVICIOS PROFESIONALES ESPECIALIZADOS PARA ADELANTAR Y DESARROLLAR LAS GESTIONES QUE FORTALEZCAN LOS PROGRAMAS PARA COLOMBIANOS DE LA POLÍTICA DE COOPERACIÓN ACADÉMICA INTERNACIONAL E INTERINSTITUCIONAL DEL ICETEX</t>
  </si>
  <si>
    <t>CDEF-366-2024</t>
  </si>
  <si>
    <t xml:space="preserve">1.	Ejecutar la gestión como enlace técnico y estratégico del ICETEX, en las actividades de cierre y liquidación del Programa Colombia Científica, ejerciendo las secretarias técnicas en los comités existentes para el componente Ecosistema Científico.
2.	Elaborar y actualizar un plan de acción para la ejecución técnica, presupuestal y administrativa del programa Crédito Condonable Jóvenes Talentos que garantice la operatividad de este.
3.	Apoyar la ejecución de cada una de las etapas del programa crédito condonable Jóvenes Talentos, haciendo el seguimiento y las recomendaciones necesarias, para gestionar nuevas alianzas y garantizar el mantenimiento de existentes. 
4.	Gestionar y acompañar técnicamente a la Oficina de Relaciones Internacionales en el relacionamiento con las diferentes embajadas, consulados, instituciones que hagan parte de los países destino de los solicitantes de crédito condonable Jóvenes Talentos, previa coordinación con el/la Jefe de la Oficina de la ORI. 
5.	Hacer entrega de la información de los programas a cargo para alimentar las bases de datos de la Oficina de Relaciones Internacionales. 
6.	Realizar el apoyo a la supervisión técnica de los contratos o Acuerdos asignados por la Jefe de la Oficina de Relaciones internacionales. 
7.	Revisar y hacer control y seguimiento a la documentación soporte de los giros que deban realizarse a los beneficiarios del Programa crédito condonable Jóvenes Talentos. 
8.	Elaborar y tramitar los documentos necesarios conforme al proceso de comisiones establecido por el ICETEX, cuando se requiera su desplazamiento a nivel nacional o internacional en consonancia con las funciones de la ORI y del ICETEX.
9.	Adelantar y Ejecutar todas las propuestas y proyectos encaminados a fortalecer la cooperación internacional del ICETEX en el marco del proyecto de inversión “Fomento e Innovación de la Internacionalización. 
</t>
  </si>
  <si>
    <t>20243030000805-I Id: 4135881</t>
  </si>
  <si>
    <t>13.49</t>
  </si>
  <si>
    <t>2024-0227</t>
  </si>
  <si>
    <t>CD-228-2024</t>
  </si>
  <si>
    <t>OSCAR EDUARDO GNECCO VIEDA</t>
  </si>
  <si>
    <t>PRESTACIÓN DE SERVICIOS PROFESIONALES AL GRUPO DE DESARROLLO Y TRANSFORMACIÓN ORGANIZACIONAL DE LA SECRETARÍA GENERAL EN EL DESARROLLO DE ESTRATEGIAS DE COMUNICACIÓN E INNOVACIÓN ORGANIZACIONAL QUE FACILITEN Y PROMUEVAN LA APROPIACIÓN DE LA CULTURA
ORGANIZACIONAL DE LA ENTIDAD POR PARTE DE SUS COLABORADORES Y FACILITEN EL MEJORAMIENTO DE SU CLIMA ORGANIZACIONAL, EN PRO DEL CUMPLIMIENTO DE LOS OBJETIVOS ESTRATÉGICOS TRAZADOS POR ÉSTA EN EL MARCO DE SU PLAN DE ACCIÓN</t>
  </si>
  <si>
    <t>CDEF-356-2024</t>
  </si>
  <si>
    <t>TRANSFORMACION ARQUITECTURA
ORGANIZACION</t>
  </si>
  <si>
    <t xml:space="preserve">
1. Proponer a la Secretaría General, a través de su grupo de Desarrollo y Transformación Organizacional, estrategias de comunicación organizacional que promuevan y faciliten la apropiación de la nueva cultura organizacional de la entidad por parte de sus colaboradores, articulándose con las políticas y acciones previstas por la oficina de comunicaciones de la entidad para tal fin. 
2. Elaborar los planes de acción pertinentes para la implementación de las estrategias de comunicación organizacional aprobadas por la Secretaría General, ciñéndose a las políticas y lineamientos establecidos por la oficina de comunicaciones del Instituto para tal fin. 
3. Apoyar el desarrollo e implementación de estrategias de comunicación y metodologías de innovación para la apropiación del modelo de cultura y liderazgo del ICETEX, establecidos en el marco de los procesos de transformación organizacional y cultural de la entidad, a
través de sus planes de acción 
4. Apoyar la estructuración oportuna de informes requeridos por la Secretaría General respecto de los temas de fortalecimiento de la cultura organizacional de la entidad, garantizando la calidad y confiabilidad de los mismos 
5. Participar en reuniones técnicas y de comités que se requieran a lo largo de la ejecución del contrato 
6. Apoyar en la definición e implementación de metodologías para la apropiación de la cultura y liderazgo del ICETEX, por medio de metodologías ágiles 
7. Las demás asignadas por el Supervisor, relacionadas con el objeto y la naturaleza del contrato
</t>
  </si>
  <si>
    <t>20243030000794-I Id: 4135823</t>
  </si>
  <si>
    <t>12.41</t>
  </si>
  <si>
    <t>2024-0228</t>
  </si>
  <si>
    <t>CD-229-2024</t>
  </si>
  <si>
    <t>MARTHA LUCIA BURGOS GOMEZ</t>
  </si>
  <si>
    <t>PRESTAR LOS SERVICIOS PROFESIONALES ESPECIALIZADOS EN LAS ACTIVIDADES RELACIONADAS CON LA CONSOLIDACIÓN DE INFORMACIÓN Y LA OPTIMIZACIÓN DEL PROCEDIMIENTO PARA EL CUMPLIMIENTO DE LAS OBLIGACIONES TRIBUTARIAS Y LAS OPERACIONES RELACIONADAS CON EL REGISTRO CONTABLE A CARGO DE LA DIRECCIÓN DE CONTABILIDAD, EN EL MARCO DE LA MEJORA CONTINUA DE LOS PROCESOS CONTABLES Y FISCALES DEL ICETEX.</t>
  </si>
  <si>
    <t>CDEF-345-2024</t>
  </si>
  <si>
    <t>HONORARIOS -VFN</t>
  </si>
  <si>
    <t xml:space="preserve">1.	Apoyar la estructuración de mecanismos de registro, seguimiento y control para la consolidación de información y la optimización del procedimiento para el cumplimiento de las obligaciones tributarias y contables del Instituto, con especial énfasis en la información exógena del nivel nacional y territorial.
2.	Apoyar en la consolidación de iniciativas que propendan por la optimización del procedimiento para el cumplimiento de las obligaciones tributarias a cargo del ICETEX.
3.	Apoyar en la gestión de la normativa tributaria vigente del nivel nacional y territorial a través de la consulta y actualización permanente de los aplicativos financieros de la entidad, que garanticen el adecuado cumplimiento de las obligaciones tributarias a cargo.
4.	Apoyar en la gestión oportuna para la preparación, elaboración y presentación de las declaraciones tributarias nacionales, departamentales y municipales asignadas, atendiendo los cambios normativos y optimizando el uso de aplicativos dispuestos por los municipios.
5.	Apoyar la proyección de las respuestas a los requerimientos de información formulados por las áreas internas de la Entidad, las autoridades tributarias, órganos de control y la revisoría fiscal.
6.	Apoyar en el seguimiento y cumplimiento de los indicadores establecidos para el área y los procesos a cargo, con el fin de generar acciones de mejora en la gestión y operación financiera del ICETEX, y la construcción de repositorios y bases de datos que consoliden la información tributaria y documental del área.
7.	Apoyar en la actividad tributaria y contable del ICETEX para garantizar una revisión integral y adecuada en la gestión de pagos con el fin de obtener las cifras exactas, la gestión de liquidación de impuestos; igualmente en las demás transacciones asignadas y que hacen parte del proceso de causación para el cierre contable mensual que realiza la entidad, así como verificación de saldos y conciliación de cuentas.
8.	Apoyar en la gestión de conceptos tendientes a unificar criterios a través de los asesores tributarios, para garantizar la homogeneidad y exactitud de aplicación normativa aplicable a la entidad.
9.	Apoyar la organización y producción de los repositorios de información contable y tributaria dispuestos por la Entidad, de los conceptos tributarios emitidos por los asesores externos o las Entidades competentes, para facilitar el proceso de gestión hacia las áreas que lo requieran en pleno cumplimiento de los principios de banca abierta y transparente.
10.	Apoyar en el seguimiento y cumplimiento de los indicadores establecidos para el área y los procesos a cargo, con el fin de generar acciones de mejora en la gestión y operación financiera del ICETEX.
11.	Apoyar la redacción, seguimiento, actualización de avances y reporte de las acciones contenidas en los planes de mejoramiento, que permitan el cierre de los hallazgos dentro de los plazos establecidos y optimizar los procesos de mejora continua.
12.	Las demás obligaciones que sean asignadas por el supervisor, que estén relacionadas con el objeto del contrato, así como el cumplimiento de los indicadores de gestión establecidos.
</t>
  </si>
  <si>
    <t>20243030000825-I Id: 4135996</t>
  </si>
  <si>
    <t>11.53</t>
  </si>
  <si>
    <t>2024-0229</t>
  </si>
  <si>
    <t>CD-230-2024</t>
  </si>
  <si>
    <t xml:space="preserve">
TANIA MARCELA CHAVES ANGARITA 
</t>
  </si>
  <si>
    <t xml:space="preserve">PRESTACIÓN DE SERVICIOS PROFESIONALES ESPECIALIZADOS EN ASESORÍA LEGAL Y DE GESTIÓN PÚBLICA A LAS INICIATIVAS DE LA VICEPRESIDENCIA DE OPERACIONES Y TECNOLOGÍA DEL ICETEX </t>
  </si>
  <si>
    <t>CDEF-306-2024</t>
  </si>
  <si>
    <t xml:space="preserve">OBLIGACIONES ESPECÍFICAS DEL CONTRATISTA	1.	Orientar jurídicamente al Vicepresidente de Operaciones y Tecnología y a las áreas que este disponga, en los asuntos relacionados con proyectos e iniciativas de la dependencia y que se encuentren relacionados con la implementación de las políticas de tecnologías de la información y gestión de operaciones.
2.	Analizar y revisar jurídicamente las comunicaciones, documentos y procesos que deba firmar el vicepresidente de Operaciones y Tecnología relacionadas con los proyectos de la vicepresidencia.
3.	Realizar el seguimiento al cumplimiento de asuntos administrativos, contractuales en los proyectos de la Vicepresidencia de Operaciones y Tecnología, gestionando todo lo relacionado con los asuntos a su cargo para la adquisición de bienes y servicios que requiera la vicepresidencia, incluido el seguimiento jurídico a la ejecución de contratos hasta su liquidación.
4.	Gestionar integralmente las actividades legales que surjan con ocasión de las iniciativas TI o gestión de operaciones de los proyectos que deban ser elevados a Junta Directiva del ICETEX.
5.	Articular y gestionar el cumplimiento y ejecución de las necesidades del Plan Anual de Adquisiciones formulado por la Vicepresidencia de Operaciones y Tecnología, garantizando el cumplimiento oportuno de los compromisos y tiempos ahí establecidos.
6.	Apoyar jurídicamente los temas en reuniones que deba asistir la vicepresidencia en el marco de sus funciones y cumplir los compromisos que le sean asignados para su seguimiento y entrega.
7.	Orientar legalmente a la Vicepresidencia de Operaciones y Tecnología en trámites relacionados con requerimientos de organismos de control.
8.	Las demás asignadas por el supervisor y que tengan relación con el objeto del presente contrato.
</t>
  </si>
  <si>
    <t>20243030000839-I Id: 4136046</t>
  </si>
  <si>
    <t>9.28</t>
  </si>
  <si>
    <t>2024-0230</t>
  </si>
  <si>
    <t>CD-231-2024</t>
  </si>
  <si>
    <t>MONICA PATRICIA RODRIGUEZ SALCEDO</t>
  </si>
  <si>
    <t>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t>
  </si>
  <si>
    <t>CDEF-142-2024</t>
  </si>
  <si>
    <t>HONORARIOS - VCC</t>
  </si>
  <si>
    <t xml:space="preserve">
1.	Efectuar la gestión de recuperación de cartera en cobro jurídico, bajo los principios establecidos por ICETEX de respeto, cordialidad, transparencia, ética, empatía e imparcialidad y brindar soporte jurídico al área frente a temas relacionados con la recuperación de cartera.
2.	Presentar las demandas con el lleno de los requisitos legales y conforme a la técnica jurídica que corresponda a cada caso, dentro de los diez (10) días hábiles siguientes al recibo de los documentos, dependiendo del número de obligaciones asignadas. En casos especiales, el supervisor del contrato autorizará la interposición de la demanda en un término mayor, previa solicitud y sustentación del contratista; así como realizar la vigilancia y control de las demandas a efecto de procurar su admisión o mandamiento de pago en forma oportuna, continuando con el debido impulso procesal. 
3.	Proyectar los acuerdos de pago, conforme a lo establecido en las políticas vigentes, velando por el mayor recaudo posible para el ICETEX.
4.	Presentar informe mensualmente al ICETEX y alimentar y mantener actualizada la información de los procesos ejecutivos vigentes en el aplicativo eKogui (Sistema Único de Gestión e Información de la Actividad Litigiosa del Estado), que promueve el ICETEX en la actividad misional de cobranza, dentro del objeto contratado, dando cumplimiento a las funciones del apoderado establecidas el parágrafo del artículo 2.2.3.4.1.10 del Decreto 1069 de 2015 “Por medio del cual se expide el Decreto Único Reglamentario del Sector Justicia y del Derecho”.
5.	Presentar al comité de cartera una vez se identifiquen, los casos especiales de deudores morosos que requieran su análisis con la respectiva recomendación.
6.	Realizar relación de gastos correspondientes a costas procesales y mantener su control.
7.	Proceder a remitir al ICETEX, una vez cumplido el plazo establecido en el contrato, las renuncias a los poderes que le hayan sido asignados y los respectivos paz y salvos de honorarios, radicándolos en los despachos judiciales, de acuerdo a las indicaciones de la entidad, respecto de cada uno de los procesos vigentes.
8.	Efectuar la devolución de las obligaciones asignadas para el cobro, que han sido normalizadas desde el momento de la entrega y hasta la notificación del mandamiento ejecutivo o el registro de medidas cautelares. Para etapas posteriores se atenderá la instrucción que imparta el ICETEX para retirarse de la gestión de cobro judicial.
9.	Realizar, previa solicitud del ICETEX y por intermedio de la Dirección de Cobranza, la devolución de los procesos en el momento en que este lo disponga por alguna particularidad, por ejemplo, evidencia de un riesgo latente que afecte o pueda afectar los intereses del ICETEX, tener un acuerdo previo a la entrega de documentos al abogado, por la puesta en marcha de planes o brigadas de normalización de cartera, u otros que a consideración de ICETEX, manifestara al contratista realizar devolución sin importar la etapa procesal en que se encuentre.
10.	Realizar desplazamiento a la ciudad que el supervisor indique en caso de ser necesario para hacer seguimiento procesal.
11.	Las demás obligaciones que se requieran para el cumplimiento a cabalidad del objeto contractual y que sean inherentes a la naturaleza del contrato.
12.	Cumplir con los indicadores de gestión establecidos.
</t>
  </si>
  <si>
    <t>20243030000842-I Id: 4136055</t>
  </si>
  <si>
    <t>9.29</t>
  </si>
  <si>
    <t>2024-0231</t>
  </si>
  <si>
    <t>CD-232-2024</t>
  </si>
  <si>
    <t>NOHORA JANNETH FORERO GIL</t>
  </si>
  <si>
    <t>CDEF-143-2024</t>
  </si>
  <si>
    <t>20243030000840-I Id: 4136048</t>
  </si>
  <si>
    <t>13.110</t>
  </si>
  <si>
    <t>2024-0232</t>
  </si>
  <si>
    <t>CD-233-2024</t>
  </si>
  <si>
    <t>1 ARRENDAMIENTO</t>
  </si>
  <si>
    <t>900015479-4</t>
  </si>
  <si>
    <t>CONSORCIO ADMINISTRADOR H &amp; C</t>
  </si>
  <si>
    <t>JOSE HERNANDO GARCIA MÉNDEZ</t>
  </si>
  <si>
    <t>CONTRATAR EL ARRENDAMIENTO DE UN INMUEBLE PARA EL FUNCIONAMIENTO DE LAS OFICINAS DE LA ASOCIACIÓN PANAMERICANA DE INSTITUCIONES DE CRÉDITO EDUCATIVO APICE</t>
  </si>
  <si>
    <t>CDEF-221-2024</t>
  </si>
  <si>
    <t>ARRENDAMIENTO BIENES E INMUEBLES</t>
  </si>
  <si>
    <t>IG311002004010002</t>
  </si>
  <si>
    <t>4 N/A</t>
  </si>
  <si>
    <t>20243030000838-I Id: 4136029</t>
  </si>
  <si>
    <t>9.31</t>
  </si>
  <si>
    <t>2024-0233</t>
  </si>
  <si>
    <t>CD-234-2024</t>
  </si>
  <si>
    <t>JERMAN ALEXIS MESA VILLARRAGA</t>
  </si>
  <si>
    <t>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t>
  </si>
  <si>
    <t>CDEF-145-2024</t>
  </si>
  <si>
    <t xml:space="preserve">OBLIGACIONES ESPECÍFICAS DEL CONTRATISTA	
1.	Efectuar la gestión de recuperación de cartera en cobro jurídico, bajo los principios establecidos por ICETEX de respeto, cordialidad, transparencia, ética, empatía e imparcialidad y brindar soporte jurídico al área frente a temas relacionados con la recuperación de cartera.
2.	Presentar las demandas con el lleno de los requisitos legales y conforme a la técnica jurídica que corresponda a cada caso, dentro de los diez (10) días hábiles siguientes al recibo de los documentos, dependiendo del número de obligaciones asignadas. En casos especiales, el supervisor del contrato autorizará la interposición de la demanda en un término mayor, previa solicitud y sustentación del contratista; así como realizar la vigilancia y control de las demandas a efecto de procurar su admisión o mandamiento de pago en forma oportuna, continuando con el debido impulso procesal. 
3.	Proyectar los acuerdos de pago, conforme a lo establecido en las políticas vigentes, velando por el mayor recaudo posible para el ICETEX.
4.	Presentar informe mensualmente al ICETEX y alimentar y mantener actualizada la información de los procesos ejecutivos vigentes en el aplicativo eKogui (Sistema Único de Gestión e Información de la Actividad Litigiosa del Estado), que promueve el ICETEX en la actividad misional de cobranza, dentro del objeto contratado, dando cumplimiento a las funciones del apoderado establecidas el parágrafo del artículo 2.2.3.4.1.10 del Decreto 1069 de 2015 “Por medio del cual se expide el Decreto Único Reglamentario del Sector Justicia y del Derecho”.
5.	Presentar al comité de cartera una vez se identifiquen, los casos especiales de deudores morosos que requieran su análisis con la respectiva recomendación.
6.	Realizar relación de gastos correspondientes a costas procesales y mantener su control.
7.	Proceder a remitir al ICETEX, una vez cumplido el plazo establecido en el contrato, las renuncias a los poderes que le hayan sido asignados y los respectivos paz y salvos de honorarios, radicándolos en los despachos judiciales, de acuerdo a las indicaciones de la entidad, respecto de cada uno de los procesos vigentes.
8.	Efectuar la devolución de las obligaciones asignadas para el cobro, que han sido normalizadas desde el momento de la entrega y hasta la notificación del mandamiento ejecutivo o el registro de medidas cautelares. Para etapas posteriores se atenderá la instrucción que imparta el ICETEX para retirarse de la gestión de cobro judicial.
9.	Realizar, previa solicitud del ICETEX y por intermedio de la Dirección de Cobranza, la devolución de los procesos en el momento en que este lo disponga por alguna particularidad, por ejemplo, evidencia de un riesgo latente que afecte o pueda afectar los intereses del ICETEX, tener un acuerdo previo a la entrega de documentos al abogado, por la puesta en marcha de planes o brigadas de normalización de cartera, u otros que a consideración de ICETEX, manifestara al contratista realizar devolución sin importar la etapa procesal en que se encuentre.
10.	Realizar desplazamiento a la ciudad que el supervisor indique en caso de ser necesario para hacer seguimiento procesal.
11.	Las demás obligaciones que se requieran para el cumplimiento a cabalidad del objeto contractual y que sean inherentes a la naturaleza del contrato.
12.	Cumplir con los indicadores de gestión establecidos.
</t>
  </si>
  <si>
    <t>20243030000864-I Id: 4136135</t>
  </si>
  <si>
    <t>9.30</t>
  </si>
  <si>
    <t>2024-0234</t>
  </si>
  <si>
    <t>CD-235-2024</t>
  </si>
  <si>
    <t>JAVIER POVEDA POVEDA</t>
  </si>
  <si>
    <t>CDEF-144-2024</t>
  </si>
  <si>
    <t>20243030000882-I Id: 4136197</t>
  </si>
  <si>
    <t>12.25</t>
  </si>
  <si>
    <t>2024-0235</t>
  </si>
  <si>
    <t>CD-236-2024</t>
  </si>
  <si>
    <t>LAURA DANIELA ARAGON</t>
  </si>
  <si>
    <t>PRESTAR LOS SERVICIOS PROFESIONALES PARA LA OPTIMIZACIÓN Y SISTEMATIZACIÓN DE PROCEDIMIENTOS PARA ADMINISTRAR DE MANERA ÓPTIMA LOS RECURSOS DE CUENTAS INACTIVAS Y NUEVAS FUENTES DE FONDEO, EN EL MARCO DEL PROYECTO DE INVERSIÓN DE BANCA ABIERTA Y TRANSPARENTE E INHOUSE BANKING</t>
  </si>
  <si>
    <t>CDEF-331-2024</t>
  </si>
  <si>
    <t xml:space="preserve">1.	Apoyar la estructuración de mecanismos de registro, seguimiento y control para la consolidación de información y la optimización del procedimiento para el cumplimiento de las obligaciones tributarias y contables del Instituto, con especial énfasis en la información exógena del nivel nacional y territorial.
2.	Apoyar en la consolidación de iniciativas que propendan por la optimización del procedimiento para el cumplimiento de las obligaciones tributarias a cargo del ICETEX.
3.	Apoyar en la gestión de la normativa tributaria vigente del nivel nacional y territorial a través de la consulta y actualización permanente de los aplicativos financieros de la entidad, que garanticen el adecuado cumplimiento de las obligaciones tributarias a cargo.
4.	Apoyar en la gestión oportuna para la preparación, elaboración y presentación de las declaraciones tributarias nacionales, departamentales y municipales asignadas, atendiendo los cambios normativos y optimizando el uso de aplicativos dispuestos por los municipios.
5.	Apoyar la proyección de las respuestas a los requerimientos de información formulados por las áreas internas de la Entidad, las autoridades tributarias, órganos de control y la revisoría fiscal.
6.	Apoyar en el seguimiento y cumplimiento de los indicadores establecidos para el área y los procesos a cargo, con el fin de generar acciones de mejora en la gestión y operación financiera del ICETEX, y la construcción de repositorios y bases de datos que consoliden la información tributaria y documental del área.
7.	Apoyar en la actividad tributaria y contable del ICETEX para garantizar una revisión integral y adecuada en la gestión de pagos con el fin de obtener las cifras exactas, la gestión de liquidación de impuestos; igualmente en las demás transacciones asignadas y que hacen parte del proceso de causación para el cierre contable mensual que realiza la entidad, así como verificación de saldos y conciliación de cuentas.
8.	Apoyar en la gestión de conceptos tendientes a unificar criterios a través de los asesores tributarios, para garantizar la homogeneidad y exactitud de aplicación normativa aplicable a la entidad.
9.	Apoyar la organización y producción de los repositorios de información contable y tributaria dispuestos por la Entidad, de los conceptos tributarios emitidos por los asesores externos o las Entidades competentes, para facilitar el proceso de gestión hacia las áreas que lo requieran en pleno cumplimiento de los principios de banca abierta y transparente.
10.	Apoyar en el seguimiento y cumplimiento de los indicadores establecidos para el área y los procesos a cargo, con el fin de generar acciones de mejora en la gestión y operación financiera del ICETEX.
11.	Apoyar la redacción, seguimiento, actualización de avances y reporte de las acciones contenidas en los planes de mejoramiento, que permitan el cierre de los hallazgos dentro de los plazos establecidos y optimizar los procesos de mejora continua.
</t>
  </si>
  <si>
    <t>20243030000843-I Id: 4136059</t>
  </si>
  <si>
    <t>12.8</t>
  </si>
  <si>
    <t>2024-0236</t>
  </si>
  <si>
    <t>CD-237-2024</t>
  </si>
  <si>
    <t>SINDY SULAY SALINAS HERREÑO</t>
  </si>
  <si>
    <t>PRESTAR LOS SERVICIOS PROFESIONALES ESPECIALIZADOS PARA LA ADOPCIÓN DE ESTÁNDARES QUE PERMITAN FORTALECER LA IMPLEMENTACIÓN DE INICIATIVAS QUE PERMITAN LOGRAR LA SIMPLIFICACIÓN, ESTANDARIZACIÓN Y SISTEMATIZACIÓN DE LOS PROCESOS QUE SOPORTAN EL FLUJO DE INFORMACIÓN DE LA VICEPRESIDENCIA FINANCIERA Y EL PROYECTO DE INVERSIÓN BANCA ABIERTA Y TRANSPARENTE E INHOUSE BANKING</t>
  </si>
  <si>
    <t>ROSA MARIA GONZALEZ CARVAJAL</t>
  </si>
  <si>
    <t>OTROSÍ NO. 02 DE ADICIÓN Y PRÓRROGA AL CONTRATO DE PRESTACIÓN DE SERVICIOS
NO. 2024-0236, SUSCRITO ENTRE EL INSTITUTO COLOMBIANO DE CRÉDITO EDUCATIVO Y
ESTUDIOS TÉCNICOS EN EL EXTERIOR “MARIANO OSPINA PÉREZ” – ICETEX Y ROSA MARÍA
GONZALÉZ CARVAJAL</t>
  </si>
  <si>
    <t>CDEF-959-2024</t>
  </si>
  <si>
    <t>"OTROSÍ NO. 02 DE ADICIÓN Y PRÓRROGA AL CONTRATO DE PRESTACIÓN DE SERVICIOS
NO. 2024-0236, SUSCRITO ENTRE EL INSTITUTO COLOMBIANO DE CRÉDITO EDUCATIVO Y
ESTUDIOS TÉCNICOS EN EL EXTERIOR “MARIANO OSPINA PÉREZ” – ICETEX Y ROSA MARÍA
GONZALÉZ CARVAJAL"</t>
  </si>
  <si>
    <t>20243030000850-I Id: 4136088</t>
  </si>
  <si>
    <t>11.153</t>
  </si>
  <si>
    <t>2024-0237</t>
  </si>
  <si>
    <t>CD-238-2024</t>
  </si>
  <si>
    <t>LADY PATRICIA CABUYA AYALA</t>
  </si>
  <si>
    <t>CDEF-516-2024</t>
  </si>
  <si>
    <t xml:space="preserve">
IG312001020510012
</t>
  </si>
  <si>
    <t>20243030000881-I Id: 4136193</t>
  </si>
  <si>
    <t>11.149</t>
  </si>
  <si>
    <t>2024-0238</t>
  </si>
  <si>
    <t>CD-239-2024</t>
  </si>
  <si>
    <t>NATALIA BAQUERO BARON</t>
  </si>
  <si>
    <t>CDEF-579-2024</t>
  </si>
  <si>
    <t>20243030000889-I Id: 4136261</t>
  </si>
  <si>
    <t>12.48</t>
  </si>
  <si>
    <t>2024-0239</t>
  </si>
  <si>
    <t>CD-240-2024</t>
  </si>
  <si>
    <t>ANDRES GUILLERMO CELIS GUERRERO</t>
  </si>
  <si>
    <t>PRESTAR SERVICIOS PROFESIONALES PARA LA SIMPLIFICACIÓN Y SISTEMATIZACIÓN DE LOS PROCESOS QUE SOPORTAN LA GESTIÓN CONTABLE, A PARTIR DE LA CONSOLIDACIÓN, Y ANÁLISIS DE LA INFORMACIÓN QUE FORTALEZCA EL PROCESO DE CIERRE CONTABLE Y OPERATIVO DEL INSTITUTO EN EL MARCO DEL PROYECTO DE INVERSIÓN BANCA ABIERTA Y TRANSPARENTE E INHOUSE BANKING.”,</t>
  </si>
  <si>
    <t>CDEF-352-2024</t>
  </si>
  <si>
    <t xml:space="preserve">Apoyar en el análisis, procesamiento y registro de la información contable suministrada por las diferentes áreas fuente de la información, mediante procesos automáticos y documentales de la información financiera, con especial énfasis para cuentas abandonadas.
2. Apoyar en el análisis, procesamiento y registro de la información respecto a las inversiones y/o traslados de recursos, registro de novedades y conciliación de cuentas abandonadas, con el objetivo de garantizar el oportuno cumplimiento de las operaciones.
3. Apoyar en el análisis, procesamiento y registro registros contables de las operaciones diarias reportadas por el área de Inversiones, con el objetivo de optimizar el proceso, y fortalecer la cultura del control, y mitigación de riesgos.
4. Apoyar la gestión contable a través de la verificación, soporte y apropiación de buenas prácticas, estándares y lineamiento que permitan optimizar el proceso de causación y el oportuno cierre contable.
5. Apoyar la formulación y estructuración de informes que sean requeridos por la Superintendencia Financiera de Colombia y demás entes de control y vigilancia.
6. Apoyar la elaboración de las comunicaciones de la Dirección de Contabilidad, para solicitar y/o atender requerimientos de información.
7. Apoyar la elaboración de los informes financieros y el análisis contable al cierre de cada periodo de acuerdo con los lineamientos impartidos en el marco de la modernización de las funciones financieras.
8. Apoyar a la Dirección de Contabilidad en la validación de las conciliaciones bancarias para el cierre periódico de los estados financieros de las cuentas abandonadas administradas por el fondo especial de las cuentas abandonadas para su respectiva depuración de partidas conciliatorias.
9. Apoyar el análisis de la normatividad aplicable en materia contable que se generan aplicables al sector financiero hacia el ICETEX.
10. Apoyar en la identificación, adopción y estabilización de los cambios que se derivan de los aplicativos contables y financieros del Instituto.
11. Apoyar en el seguimiento y cumplimiento de los indicadores establecidos para el área y los procesos a cargo, con el fin de generar acciones de mejora en la gestión y operación financiera del ICETEX
12. Apoyar la preparación y reporte de la información exógena de las cuentas abandonadas a la DIAN.
13. Las demás obligaciones que se requieran para el cumplimiento a cabalidad del objeto contractual y que sean inherentes a la naturaleza del contrato.
14. Cumplir con los indicadores de gestión establecidos.
</t>
  </si>
  <si>
    <t>20243030000878-I Id: 4136188</t>
  </si>
  <si>
    <t>12.42</t>
  </si>
  <si>
    <t>2024-0240</t>
  </si>
  <si>
    <t>CD-241-2024</t>
  </si>
  <si>
    <t>IRLANDA MILENA CRUZ HERNÁNDEZ</t>
  </si>
  <si>
    <t>PRESTAR LOS SERVICIOS PROFESIONALES ESPECIALIZADOS PARA LA CONSOLIDACIÓN Y ANÁLISIS DE INFORMACIÓN FINANCIERA QUE PERMITA GARANTIZAR LA CALIDAD DE LA DATA Y OPTIMIZAR EL PROCESO DE CIERRE CONTABLE Y OPERATIVO DEL INSTITUTO EN EL MARCO DE LA MEJORA CONTINUA DE LOS PROCESOS CONTABLES Y FISCALES, Y LA ACTUALIZACIÓN DE LA NORMATIVA</t>
  </si>
  <si>
    <t>CDEF-346-2024</t>
  </si>
  <si>
    <t xml:space="preserve">1.	Apoyar la preparación, elaboración, presentación oportuna y seguimiento de las declaraciones tributarias de nivel nacional y territorial a cargo de la entidad, que sea lean asignadas, optimizando los procesos internos en concordancia con lo establecido por las entidades tributarias. 
2.	Mantener procesos de consulta y gestión de la normativa tributaria vigente del nivel nacional y territorial para la actualización permanente en los aplicativos financieros de la entidad, que garanticen el adecuado cumplimiento de las obligaciones tributarias a cargo. 
3.	Apoyar en la gestión tributaria, con el fin de aplicar los mejores estándares para la preparación, presentación, seguimiento y control de la información exógena, en medios magnéticos a nivel Municipal, Departamental y Nacional que le sea asignada, en concordancia con los estándares técnicos indicados por las entidades para el año fiscal aplicable. 
4.	Apoyar en la implementación y optimización de actividades que hacen parte del proceso de causación y cierre contable mensual que realiza la entidad, así como la verificación de saldos y conciliación de cuentas. 
5.	Apoyar en la atención a requerimientos de áreas internas y para entes externos en alcance del objeto contractual para la consecución de información contable y tributaria de la entidad para la implementación de procesos de mejora continua. 
6.	Apoyar en la verificación de data relacionada con las declaraciones tributarias, para asegurar la adecuada gestión de bases, tarifas y registro técnico en los formularios dispuestos por las entidades tributarias, implementando acciones para la correcta presentación y pago. 
7.	Apoyar en procesos de mitigación y eliminación de riesgos asociados a la calidad de la información tributaria a partir de la implementación de acciones correctivas en la consolidación de datos de aplicativos financieros para el cumplimiento de obligaciones a cargo. 
8.	Apoyar en la verificación de los comprobantes contables, del adecuado uso de cuentas contables, centros de utilidad, bases gravables y tarifas que garanticen la calidad de la información para el cumplimiento de las obligaciones tributarias a cargo del ICETEX. 
9.	Apoyar en la implementación de los planes de mejoramiento, que permitan el cierre de los hallazgos dentro de los plazos establecidos y la optimización de procesos a cargo del área. 
10.	Apoyar en el seguimiento y cumplimiento de los indicadores establecidos para el área y los procesos a cargo, con el fin de generar acciones de mejora en la gestión y operación financiera del ICETEX 
11.	Apoyar el proceso de reconocimiento contable de las obligaciones a cargo del ICETEX relativas a las cuentas por pagar generadas en la operación de la Entidad. 
12.	Cumplir con los indicadores de gestión establecidos y atender las demás obligaciones que le sean requeridas y que estén relacionadas con el objeto del contrato. 
</t>
  </si>
  <si>
    <t>20243030000879-I Id: 4136190</t>
  </si>
  <si>
    <t>2024-0241</t>
  </si>
  <si>
    <t>1.9</t>
  </si>
  <si>
    <t>2024-0242</t>
  </si>
  <si>
    <t>CD-243-2024</t>
  </si>
  <si>
    <t>LUIS HERNANDO MARROQUIN FRANCO</t>
  </si>
  <si>
    <t>PRESTAR SERVICIOS PROFESIONALES ESPECIALIZADOS PARA GESTIONAR EL RELACIONAMIENTO CON MEDIOS DE COMUNICACIÓN Y LA CIUDADANÍA Y GENERACIÓN DE PRODUCTOS PERIODÍSTICOS EN ARTICULACIÓN CON LAS ÁREAS INVOLUCRADAS, DE ACUERDO A LOS LINEAMIENTOS DE LA OFICINA ASESORA DE COMUNICACIONES</t>
  </si>
  <si>
    <t>CDEF-153-2024</t>
  </si>
  <si>
    <t xml:space="preserve">1.	Elaborar y desarrollar un plan de comunicaciones con medios de comunicación regionales y nacionales, en busca de ejecutar una efectiva divulgación de la gestión y humanización de la entidad, de acuerdo a la línea de la Oficina Asesora de Comunicaciones del ICETEX.
2.	Gestionar el relacionamiento con los medios de comunicación locales, regionales y nacionales con el fin de ejecutar estrategias de medios de comunicación, difundir la gestión del proyecto “FORTALECIMIENTO DE LA COMUNICACIÓN EN TERRITORIO”
3.	Generar un reporte con la gestión de relacionamiento con medios de comunicación que se deberá actualizar semanalmente y deberá contener la consolidación de la gestión realizada.
4.	Redactar y editar productos periodísticos y noticiosos para información de los beneficiarios de la entidad para difundir a través de diferentes plataformas y herramientas de la entidad, en el marco del proyecto “FORTALECIMIENTO DE LA COMUNICACIÓN EN TERRITORIO”
5.	Generar los espacios de participación ciudadana en el marco del proyecto “FORTALECIMIENTO DE LA COMUNICACIÓN EN TERRITORIO”
6.	Apoyar a la Oficina Asesora de Comunicaciones en la realización de cubrimientos periodísticos y acompañamiento de los eventos y actividades en los que participa el ICETEX, su presidente o sus delegados en representación, y que requieran de acompañamiento de un periodista de esta oficina, según lo disponga el jefe de esta dependencia.
7.	Gestionar la actualización de la base de datos de periodistas para el relacionamiento con medios de comunicación donde también se pueda realizar una clasificación de acuerdo con los lineamientos dados por el supervisor.
8.	Apoyar los mecanismos estratégicos que permitan cumplir con los indicadores de gestión, planes de acción y planes de mejora de la oficina asesora de comunicaciones.
9.	Asistir a reuniones y/o comités de conformidad con las necesidades de la entidad y la designación del supervisor del contrato.
10.	Cumplir con los indicadores de gestión establecidos. 
11.	Apoyar la supervisión de los contratos que le sean asignados, desde el punto de vista técnico y/o administrativo y/o financiero y/o contable, de conformidad con lo establecido en el Manual de Contratación de la Entidad.
12.	Las demás tareas o acciones que le sean asignadas por el Supervisor del Contrato inherentes al objeto contractual.
</t>
  </si>
  <si>
    <t>20243030000865-I Id: 4136136</t>
  </si>
  <si>
    <t>4.159</t>
  </si>
  <si>
    <t>2024-0243</t>
  </si>
  <si>
    <t>CD-244-2024</t>
  </si>
  <si>
    <t>SANDRA LORENA ORTIZ MESIAS</t>
  </si>
  <si>
    <t>PRESTAR SERVICIOS PROFESIONALES ESPECIALIZADOS PARA LA COORDINACIÓN, DESARROLLO Y EJECUCIÓN DEL PLAN COMERCIAL DE LA TERRITORIAL ORIENTE QUE FOMENTE LA REGIONALIZACIÓN DEL PORTAFOLIO DE SERVICIOS DE ICETEX, EN ARTICULACIÓN CON LA OFICINA COMERCIAL Y DE MERCADEO DEL NIVEL CENTRAL.</t>
  </si>
  <si>
    <t>CDEF-113-2024</t>
  </si>
  <si>
    <t xml:space="preserve">
IG 312001020240012  
</t>
  </si>
  <si>
    <t xml:space="preserve">1.	Proponer e implementar iniciativas que propendan la consecución de los metas comerciales de la Territorial a nivel de las Instituciones de Educación Superior, grupos de Interés y entes territoriales.
2.	Liderar, gestionar y garantizar la debida y oportuna ejecución de las actividades del plan comercial de la Territorial por parte del equipo de contratistas comerciales.
3.	Apoyar la supervisión a nivel territorial de la operación del contratista operador de servicio al cliente y plantear recomendaciones para la mejora del servicio que presta ICETEX en las diferentes comunidades participantes en sus programas e iniciativas.
4.	Apoyar la supervisión de los convenios y contratos a cargo de la territorial. 
5.	Proponer e implementar los procesos de capacitación y supervisión de las actividades comerciales y administrativas a ejecutar por parte de los contratistas comerciales a cargo de la territorial. 
6.	Implementar iniciativas de acompañamiento a los proyectos de vida de los estudiantes en la territorial Oriente, para promover el acceso, permanencia y graduación en la educación superior de calidad.
7.	Participar en los escenarios de discusión con grupos de interés de ICETEX para posteriormente analizar las recomendaciones y proponer iniciativas para su implementación en la Entidad, en el marco de los programas de la Planeación Estratégica.
8.	Liderar, participar y trabajar en conjunto con las dependencias de la entidad y actores externos en la implementación de las propuestas y estrategia comerciales y administrativas que sean acogidas por la dirección de ICETEX, tendientes al cumplimiento de las metas comerciales y mejora en la operación de servicio al cliente.
9.	Participar en los comités de evaluación, operativos y/o juntas administradoras de los convenios a cargo de la territorial asignados por el supervisor.   
10.	Participar en la ejecución de estrategias comerciales para la regionalización del portafolio de Icetex con el propósito de incrementar el alcance y la cobertura de la entidad en los municipios apartados categorizados como intermedio, rural y rural disperso; para el cumplimiento de las metas comerciales asignadas a la territorial.    
11.	Ejecutar actividades de promoción del portafolio de servicios de Icetex, en forma presencial y/o virtual, con los aliados asignados por su supervisor con el propósito de cumplir la meta establecida. 
12.	Gestionar la consecución, definición e implementación de alianzas territoriales que permitan complementar las iniciativas o acciones definidas por ICETEX para el territorio asignado.
13.	Realizar las gestiones administrativas de la actividad comercial mediante la consolidación, actualización y registro de la información y documentación soporte.
14.	Desplazarse a las diferentes ciudades del país, en caso de ser necesario para la debida ejecución del contrato, previa coordinación con el supervisor.
15.	Realizar el debido proceso de gestión documental y envío al archivo único de la entidad de las actividades delegadas a su cargo, al igual que la presentación de los informes requeridos derivados de la ejecución presente contrato.
16.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17.	Las demás que sean inherentes para el logro del objeto contratado, asignadas por el supervisor del contrato.
</t>
  </si>
  <si>
    <t>20243030000892-I Id: 4136275</t>
  </si>
  <si>
    <t>4.147</t>
  </si>
  <si>
    <t>2024-0244</t>
  </si>
  <si>
    <t>CD-245-2024</t>
  </si>
  <si>
    <t>JENNIFER ANDREA ACUÑA REYES</t>
  </si>
  <si>
    <t>IMPLEMENTAR ESTRATEGIAS PARA LA EJECUCIÓN DEL PLAN COMERCIAL DE LA TERRITORIAL CENTRO ASOCIADAS AL PORTAFOLIO DE SERVICIOS DE ICETEX EN LA REGIÓN, EN ARTICULACIÓN CON LA OFICINA COMERCIAL Y DE MERCADEO DEL NIVEL CENTRAL</t>
  </si>
  <si>
    <t>CDEF-268-2024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</si>
  <si>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</si>
  <si>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20243030000895-I Id: 4136297</t>
  </si>
  <si>
    <t>13.87</t>
  </si>
  <si>
    <t>2024-0245</t>
  </si>
  <si>
    <t>CD-246-2024</t>
  </si>
  <si>
    <t>GLORIA STELLA LOPEZ PEÑUELA</t>
  </si>
  <si>
    <t>CDEF-572-2024</t>
  </si>
  <si>
    <t xml:space="preserve">IG311002004006002 </t>
  </si>
  <si>
    <t xml:space="preserve">1.	Realizar actividades propias del proceso de Gestión Documental sobre los documentos allegados y generados en la entidad, tales como recibir, verificar, clasificar, ordenar, retirar material abrasivo, foliar, rotular, ingresar información pertinente en bases de datos, embalar, trasladar, según los procedimientos internos. 
2.	Efectuar actividades de oficina y de asistencia administrativa encaminadas a facilitar el desarrollo y ejecución de las actividades del Grupo. 
3.	Apoyar el registro en el Sistema de Gestión de Documentos Electrónicos de Archivos SGDEA, de los datos básicos de las comunicaciones recibidas en el Grupo, cargar las imágenes digitalizadas de los mismos y realizar el direccionamiento respectivo al área competente de su trámite. 
4.	Apoyar las actividades relacionadas con la clasificación y envío al archivo de los documentos físicos requeridos dentro del proceso de gestión de correspondencia, de conformidad con la normatividad vigente y los estándares establecidos por la entidad. 
5.	Brindar la atención de solicitudes de consultas realizadas por las áreas de la entidad, en lo referente al Sistema de Gestión de Documentos Electrónicos de Archivos -SGDEA.
6.	Apoyar las actividades de digitalización de los documentos y/o expedientes pertenecientes a archivo de gestión dentro del componente tecnológico con el fin de fortalecer la política de gestión documental de MIPG. 
7.	Elaborar informe periódico sobre las comunicaciones recibidas (física y digitalmente) y las planillas de control de calidad que realice, según lo establecido en los procedimientos del proceso. 
8.	Las demás obligaciones que sean acordes con el objeto contractual y que sean asignadas por quien ejerza la función de la supervisión del contrato.
</t>
  </si>
  <si>
    <t>20243030000887-I Id: 4136255</t>
  </si>
  <si>
    <t>13.83</t>
  </si>
  <si>
    <t>2024-0246</t>
  </si>
  <si>
    <t>CD-247-2024</t>
  </si>
  <si>
    <t>JACQUELINE SANCHEZ CARVAJAL</t>
  </si>
  <si>
    <t>PRESTAR SERVICIOS TÉCNICOS PARA APOYAR EN LA EJECUCIÓN DE LOS PROCEDIMIENTOS DE ADMINISTRACIÓN DE ARCHIVO DE GESTIÓN, TRANSFERENCIAS DOCUMENTALES, CONSULTAS Y DIGITALIZACIÓN DE EXPEDIENTES, ASÍ COMO CONTRIBUIR A MEJORAR LA OPORTUNIDAD DE LOS SERVICIOS QUE PRESTA LA ENTIDAD.</t>
  </si>
  <si>
    <t xml:space="preserve">1.	Apoyar el desarrollo de las actividades relacionadas con la clasificación, consulta y envío al archivo de los documentos requeridos dentro del proceso de gestión documental, de conformidad con la normatividad vigente y los estándares establecidos por la entidad. 
2.	Apoyar la creación y/o actualización de los expedientes físicos y electrónicos, acorde a las Tablas de Retención Documental (TRD), aprobadas en el ICETEX por el Archivo General de la Nación y los procedimientos establecidos por la entidad para el manejo documental. 
3.	Apoyar técnicamente en los procesos de organización, ordenación, restauración, inventario documental y descripción archivística de los expedientes pertenecientes al archivo histórico del ICETEX para su entrega al Archivo General de la Nación dentro del componente documental con el propósito de fortalecer la política de Gestión Documental de MIPG 
4.	Mantener actualizado el inventario documental (FUID) de la entidad, con el fin de garantizar la oportunidad en la consulta y transferencia de documentos, así como controlar el acervo documental. 
5.	Apoyar las transferencias documentales una vez cumplidos los tiempos de retención según lo dispuesto en las Tablas de Retención Documental. 
6.	Apoyar la atención de solicitudes de consultas realizadas por las áreas de la entidad, dando cumplimento a los procedimientos establecidos. 
7.	Apoyar técnicamente los procesos de digitalización de los expedientes y carpetas pertenecientes al archivo de gestión de la entidad dentro del componente tecnológico con el fin de fortalecer la política de gestión documental de MIPG
8.	Las demás obligaciones que sean acordes con el objeto contractual y que sean asignadas por quien ejerza la función de la supervisión del contrato
</t>
  </si>
  <si>
    <t>20243030000915-I Id: 4136457</t>
  </si>
  <si>
    <t>10.33</t>
  </si>
  <si>
    <t>2024-0247</t>
  </si>
  <si>
    <t>CD-248-2024</t>
  </si>
  <si>
    <t>NHAZLY MARCELA CORREA BUSTOS</t>
  </si>
  <si>
    <t>PRESTAR SUS SERVICIOS PROFESIONALES LIDERANDO Y HACIENDO SEGUIMIENTO Y CONTROL A LA GESTIÓN DE LA LIQUIDACIÓN Y/O CIERRE DE LOS CONTRATOS Y CONVENIOS A CARGO DE LA VICEPRESIDENCIA DE FONDOS EN ADMINISTRACIÓN DE ACUERDO CON LAS POLÍTICAS Y PROCEDIMIENTOS ESTABLECIDAS EN EL ICETEX.</t>
  </si>
  <si>
    <t>CDEF-208-2024</t>
  </si>
  <si>
    <t xml:space="preserve">1.	Asesorar a la Vicepresidencia de Fondos en Administración en los temas jurídicos relacionados con la gestión de liquidación y/o cierre de los fondos, contratos y convenios a cargo de la Vicepresidencia de Fondos en Administración.
2.	Formular y actualizar un plan de trabajo detallado especificando la estrategia, acciones, actividades, cronograma y responsables para liquidación de los fondos, convenios y contratos a cargo de la Vicepresidencia de Fondos en Administración. 
3.	Hacer seguimiento a la gestión de las actividades establecidas en el plan de trabajo de los fondos, convenios, contratos en liquidación con el fin de determinar el cumplimiento del mismo. 
4.	Mantener actualizada el repositorio de información dispuesto para la gestión de los fondos en liquidación.
5.	Revisar los actos administrativos, actas de liquidación o cierre relacionados con el proceso de liquidación de fondos, convenios, contratos administrados por la Vicepresidencia de Fondos en Administración. 
6.	Revisar las respuestas de peticiones internas y externas, que le sean requeridos en el término legal establecido y que guarden relación con los procesos de la Vicepresidencia de Fondos en Administración. 
7.	Acompañar la actualización e implementación de las metodologías, procesos, procedimientos, mecanismos e instrumentos relacionados con la liquidación de los fondos, contratos convenios a cargo de la Vicepresidencia de Fondos.
8.	Proyectar y revisar los conceptos jurídicos que le sean solicitados y guarden relación con los procesos a cargo de la Vicepresidencia de Fondos en Administración. 
9.	Apoyar la supervisión de los contratos y/o convenios que le sean asignados, relacionados con el objeto contractual. 
10.	Garantizar la confidencialidad, reserva y privacidad de la información que por razón de sus actividades deba manejar en desarrollo del contrato.  
11.	Asistir y/o participar en los comités, mesas de trabajo y demás reuniones relacionadas con el objeto contractual.
12.	Desplazarse en oficinas institucionales ubicadas en ciudades o municipios distintos a Bogotá D.C, por solicitud del supervisor, previo el otorgamiento de la correspondiente autorización de desplazamiento.  
13.	Las demás asignadas por el supervisor y que tengan relación con el objeto del presente contrato.
</t>
  </si>
  <si>
    <t>20243030000829-I Id: 4136010</t>
  </si>
  <si>
    <t>10.56</t>
  </si>
  <si>
    <t>2024-0248</t>
  </si>
  <si>
    <t>CD-249-2024</t>
  </si>
  <si>
    <t>YURY NATALIE CHAVISTA RODRIGUEZ</t>
  </si>
  <si>
    <t>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t>
  </si>
  <si>
    <t>CDEF-207-2024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</si>
  <si>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</si>
  <si>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MARIA ANDREA PAOLA BOLIVAR CARRANZA</t>
  </si>
  <si>
    <t>RAÚL ALFONSO LÓPEZ JARABA</t>
  </si>
  <si>
    <t>20243030000880-I Id: 4136192</t>
  </si>
  <si>
    <t>10.49</t>
  </si>
  <si>
    <t>2024-0249</t>
  </si>
  <si>
    <t>CD-250-2024</t>
  </si>
  <si>
    <t>EDWARD ALEXIS SANCHEZ SUAREZ</t>
  </si>
  <si>
    <t>CDEF-290-2024</t>
  </si>
  <si>
    <t>PROFESIONAL ESPECIALIZADO GRADO 03</t>
  </si>
  <si>
    <t xml:space="preserve">Elaborar y hacer seguimiento a la estrategia que permita la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</si>
  <si>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20243030000885-I Id: 4136228</t>
  </si>
  <si>
    <t>4.66</t>
  </si>
  <si>
    <t>2024-0250</t>
  </si>
  <si>
    <t>CD-251-2024</t>
  </si>
  <si>
    <t>JENNY CAROLINA ERASO MEDINA</t>
  </si>
  <si>
    <t>PRESTAR SERVICIOS PROFESIONALES DE APOYO AL SEGUIMIENTO Y MEDICIÓN DE LA EXPERIENCIA LABORAL DE LOS COLABORADORES RELACIONADOS CON LOS PROCESOS DE ATENCIÓN AL USUARIO EN LOS DIFERENTES CANALES DE ATENCIÓN Y GESTIÓN.</t>
  </si>
  <si>
    <t>CDEF-380-2024</t>
  </si>
  <si>
    <t xml:space="preserve">1.	Realizar y entregar plan de trabajo  para aprobación de la supervisión del contrato, de conformidad con las estipulaciones contractuales.
2.	Acompañar la elaboración del programa de cultura de experiencia enfocada en acciones en los colaboradores internos y externos que mejoren la satisfacción de los grupos de interés.
3.	Plantear iniciativas previas, durante y posterior a cada uno de los proyectos propuestos para la mejora de la cultura experiencia de los grupos de interés. 
4.	Proponer y participar en la construcción de un plan de sensibilización para la divulgación y/o socialización de proyectos, objetivos de la cultura de la experiencia dirigido a (proveedores de atención al usuario y áreas internas de la entidad).
5.	Coordinar y ejecutar eventos o actividades que fomenten la cultura de experiencia. Promoviendo una comunicación abierta y efectiva en la entidad. 
6.	Coordinar el proceso de inducción y permanencia de los contratistas por medio de actividades de reconocimiento, socialización de productos y servicios de la entidad, actualización de información sociodemográfica de la oficina comercial y de mercadeo, generando experiencias positivas al colaborador.
7.	Acompañar los comités de experiencia, identificando y proponiendo mejoras a las casuísticas desde la perspectiva de cultura de experiencia, prestando asesoría conceptual y operativa técnica.
8.	Realizar el acompañamiento, seguimiento y auditorias del anexo de recursos humanos a los proveedores de atención al usuario, con el fin de identificar oportunidades de mejora en experiencia al colaborador.
9.	Identificar y promover desde la academia Icetex oportunidades de formación  en los grupos de interés, orientadas en el mejoramiento del servicio al cliente y la satisfacción de los usuarios 
10.	Desplazarse a las diferentes ciudades del país, en caso de ser necesario para la debida ejecución del contrato, previa coordinación con el supervisor.
11.	Las demás que sean inherentes para el logro del objeto contratado, asignadas por el supervisor del contrato.
</t>
  </si>
  <si>
    <t>20243030000905-I Id: 4136359</t>
  </si>
  <si>
    <t>13.84</t>
  </si>
  <si>
    <t>2024-0251</t>
  </si>
  <si>
    <t>CD-252-2024</t>
  </si>
  <si>
    <t>MARIA ELENA ARENAS</t>
  </si>
  <si>
    <t>CDEF-573-2024</t>
  </si>
  <si>
    <t xml:space="preserve">1.	Apoyar el desarrollo de las actividades relacionadas con la clasificación, consulta y envío al archivo de los documentos requeridos dentro del proceso de gestión documental, de conformidad con la normatividad vigente y los estándares establecidos por la entidad. 
2.	Apoyar la creación y/o actualización de los expedientes físicos y electrónicos, acorde a las Tablas de Retención Documental (TRD), aprobadas en el ICETEX por el Archivo General de la Nación y los procedimientos establecidos por la entidad para el manejo documental. 
3.	Apoyar técnicamente en los procesos de organización, ordenación, restauración, inventario documental y descripción archivística de los expedientes pertenecientes al archivo histórico del ICETEX para su entrega al Archivo General de la Nación dentro del componente documental con el propósito de fortalecer la política de Gestión Documental de MIPG
4.	Mantener actualizado el inventario documental (FUID) de la entidad, con el fin de garantizar la oportunidad en la consulta y transferencia de documentos, así como controlar el acervo documental. 
5.	Apoyar las transferencias documentales una vez cumplidos los tiempos de retención según lo dispuesto en las Tablas de Retención Documental. 
6.	 Apoyar la atención de solicitudes de consultas realizadas por las áreas de la entidad, dando cumplimento a los procedimientos establecidos.
7.	Apoyar técnicamente los procesos de digitalización de los expedientes y carpetas pertenecientes al archivo de gestión de la entidad dentro del componente tecnológico con el fin de fortalecer la política de gestión documental de MIPG. 
8.	Las demás obligaciones que sean acordes con el objeto contractual y que sean asignadas por quien ejerza la función de la supervisión del contrato
</t>
  </si>
  <si>
    <t>20243030000923-I Id: 4136477</t>
  </si>
  <si>
    <t>1.7</t>
  </si>
  <si>
    <t>2024-0252</t>
  </si>
  <si>
    <t>CD-253-2024</t>
  </si>
  <si>
    <t>ZACK BELTRÁN REYES</t>
  </si>
  <si>
    <t>CDEF-364-2024</t>
  </si>
  <si>
    <t xml:space="preserve">1.	Elaborar contenidos estratégicos y desarrollar la cobertura de los eventos y actividades asignados desde la Oficina Asesora de Comunicaciones del ICETEX para producir notas periodísticas en video, según requiera la ejecución del contrato.
2.	Prestar asistencia y cubrimiento audiovisual, interno o externo, de acuerdo con las necesidades de las diferentes dependencias con las que cuenta actualmente la entidad.
3.	Desarrollar el registro audiovisual (video y audio), edición en alta definición y entrega de productos finales de eventos internos o externos del Instituto Colombiano de Crédito Educativo y Estudios Técnicos en el Exterior Mariano Ospina Pérez –ICETEX que le sean asignados.  
4.	Recopilar y archivar el material audiovisual de las acciones adelantadas por la Oficina Asesora de Comunicaciones.  
5.	Asistir a reuniones y/o comités de conformidad con las necesidades de la entidad y la designación del supervisor del contrato.
6.	El contratista deberá suministrar los equipos necesarios para el desarrollo del presente contrato, en condiciones eficientes y oportunas. 
7.	Administrar con plena autonomía sus equipos audiovisuales y demás herramientas que se requiera para el desarrollo del objeto, de tal manera que en cualquier eventualidad el ICETEX no se haga responsable de daños o perjuicios. 
8.	Ceder los derechos patrimoniales de autor y conexos sobre las obras y documentos sometidos a registro, en cumplimiento de lo establecido en ley 23 de 1982 modificada por la ley 1450 de 2011 y 1520 de 2012.
9.	Cumplir con los indicadores de gestión establecidos.
10.	Las demás obligaciones que se requieran para el cumplimiento a cabalidad del objeto contractual y que sean inherentes a la naturaleza del contrato.
</t>
  </si>
  <si>
    <t>20243030000904-I Id: 4136356</t>
  </si>
  <si>
    <t>2.23</t>
  </si>
  <si>
    <t>2024-0253</t>
  </si>
  <si>
    <t>CD-254-2024</t>
  </si>
  <si>
    <t>MANUEL FRANCISCO ALVAREZ FORERO</t>
  </si>
  <si>
    <t>PRESTAR SERVICIOS PROFESIONALES PARA SOPORTAR LA ESTRUCTURACIÓN Y ANÁLISIS, PROYECCIONES Y MODELOS FINANCIEROS REQUERIDOS PARA RESPALDAR LAS INICIATIVAS QUE DESDE EL EQUIPO DE INNOVACIÓN SE LIDEREN O CUANDO SE APOYE TRANSVERSALMENTE PROYECTOS CON COMPONENTES DE INNOVACIÓN.</t>
  </si>
  <si>
    <t>CDEF-537-2024</t>
  </si>
  <si>
    <t xml:space="preserve">1.	Apoyar al equipo de innovación de la entidad en la elaboración de estudios técnicos requeridos, desde la investigación y consulta de información para contar con un análisis cualitativo y cuantitativo.
2.	Apoyar en la estructuración y desarrollo de modelos y/o simuladores financieros que sustenten las propuestas de proyectos que lidere o apoye el equipo de innovación.
3.	Definir y poner en práctica enfoques metodológicos que empleen técnicas de investigación, con el propósito de brindar soporte en temas financieros en los proyectos que lidere o apoye el equipo de innovación.
4.	Analizar las tendencias del mercado, políticas nacionales e internacionales que sirvan como insumo para gestionar estrategias de competitividad y expectativas del mercado financiero en los proyectos que lidere o apoye el equipo de innovación de la entidad.
5.	Apoyar con la elaboración y sustentación de escenarios financieros que sirvan como elemento de análisis para estructurar y/o evaluar propuestas relacionadas con la creación o mejora de productos y servicios que se gestionen o apoyen desde el equipo de innovación de la entidad.
6.	Apoyar en la elaboración de informes, dashboards, estadísticas, indicadores o tablas, según sea necesario para sustentar la viabilidad financiera de proyectos o iniciativas que se lideren o apoyen desde el equipo de innovación de la entidad.
7.	Plantear y/o participar en acciones de ideación, creación y promoción de la innovación en ICETEX según como sea requerido por el equipo de innovación de la entidad y en articulación con las demás áreas de la entidad. 
8.	Cumplir con los indicadores de gestión establecidos.  
9.	Las demás que sean inherentes a la naturaleza del contrato, así como observar las recomendaciones dadas por el Supervisor de este para asegurar el cumplimiento de la finalidad del contrato, sin afectar la independencia del contratista.
</t>
  </si>
  <si>
    <t>20243030000851-I Id: 4136092</t>
  </si>
  <si>
    <t>1.5</t>
  </si>
  <si>
    <t>2024-0254</t>
  </si>
  <si>
    <t>CD-255-2024</t>
  </si>
  <si>
    <t>GUSTAVO ADOLFO MURILLO ROJAS</t>
  </si>
  <si>
    <t>PRESTAR LOS SERVICIOS PROFESIONALES PARA EL DESARROLLO DE LOS CONTENIDOS ESCRITOS Y PERIODÍSTICOS PARA LA DIVULGACIÓN DE LA GESTIÓN E INFORMACIÓN DE LA ENTIDAD, DE ACUERDO A LOS LINEAMIENTOS DE LA OFICINA ASESORA DE COMUNICACIONES.</t>
  </si>
  <si>
    <t>CDEF-151-2024</t>
  </si>
  <si>
    <t xml:space="preserve">1.	Generar conceptos de comunicación para el desarrollo de piezas y campañas para la difusión y divulgación de los ejes temáticos que requiera la entidad, de acuerdo con el lineamiento de la Oficina Asesora de Comunicaciones.
2.	Realizar un informe que dé cuenta sobre cuál debería ser el key visual, look &amp; feel, así como la línea narrativa de cada campaña que se busque desarrollar en redes sociales para lograr alcanzar visualmente a los grupos de interés.
3.	Desarrollar, proponer y/o revisar copys tanto para las piezas gráficas que requiera la entidad, como los copys que sean necesarios para incluir en la parrilla de mensajes de cada una de las redes sociales de la entidad.
4.	Elaborar y desarrollar presentaciones que sean requeridas por el supervisor del contrato.
5.	Generar el diseño de material gráfico en diferentes formatos, para público interno y externo que se solicite desde la Oficina Asesora de Comunicaciones y el ICETEX.
6.	Desarrollar presentaciones que den cuenta sobre los contenidos generados para fortalecer las comunicaciones de ICETEX con sus grupos de interés.
7.	Coordinar el tráfico de requerimientos de diseño de piezas internas y externas.
8.	Apoyar todos los requerimientos para poner en marcha acciones de cara a eventos internos o externos que adelante la entidad.
9.	Diseñar e implementar estrategias para poner en marcha en las redes sociales con las que cuenta la entidad.
10.	Apoyar la supervisión de los contratos que le sean asignados, desde el punto de vista técnico y/o administrativo de conformidad con lo establecido en el Manual de Contratación de la Entidad
11.	Asistir a reuniones y/o comités de conformidad con las necesidades de la entidad y la designación del supervisor del contrato.
12.	Las demás obligaciones que se requieran para el cumplimiento a cabalidad del objeto contractual y que sean inherentes a la naturaleza del contrato.
</t>
  </si>
  <si>
    <t>20243030000918-I Id: 4136461</t>
  </si>
  <si>
    <t>10.48</t>
  </si>
  <si>
    <t>2024-0255</t>
  </si>
  <si>
    <t>CD-256-2024</t>
  </si>
  <si>
    <t>INGRID VIVIANA BOHÓRQUEZ SANABRIA</t>
  </si>
  <si>
    <t>PRESTAR SUS SERVICIOS PROFESIONALES ESPECIALIZADOS APOYANDO LA GESTIÓN, ADMINISTRACIÓN, SEGUIMIENTO Y CONTROL DE LOS CONVENIOS, CONTRATOS, FONDOS, ALIANZAS Y/O PROYECTOS A CARGO DE LA VICEPRESIDENCIA DE FONDOS EN ADMINISTRACIÓN CONFORME LOS PROCEDIMIENTOS ESTABLECIDOS POR EL ICETEX.</t>
  </si>
  <si>
    <t>CDEF-283-2024</t>
  </si>
  <si>
    <t xml:space="preserve">1.	Apoyar la gestión, administración, seguimiento y control de los convenios y contratos a cargo de la Vicepresidencia de Fondos en Administración, que le sean asignados.  
2.	Efectuar seguimiento a los trámites administrativos para las modificaciones de los convenios, contratos y reglamentos de los fondos a cargo de la Vicepresidencia de Fondos en Administración.
3.	Revisar desde el punto de visto técnico de los Reglamentos Operativos de los fondos administrados por la Vicepresidencia de Fondo en Administración que le sean asignados. 
4.	Revisar los informes financieros y de gestión conforme las condiciones y periodicidad establecida en cada convenio, contrato y reglamentos operativos y efectuar seguimiento a la remisión de los mismos a los constituyentes.
5.	Revisar las cuentas de cobro que deben remitirse a los constituyentes y efectuar seguimiento de las mismas. 
6.	Revisar los cronogramas y términos de referencia de las convocatorias requeridas para la adjudicación de los recursos de los fondos asignados y asegurar que el fondo cuente con los recursos disponibles para garantizar los giros que se requieran.
7.	Revisar la calificación efectuada en la Vicepresidencia de Fondos en Administración, conforme con las condiciones establecidas en los reglamentos operativos y los procedimientos establecidos por el ICETEX.
8.	Validar las proyecciones financieras y flujo de caja previamente proyectados contra los datos históricos y los apoyos económicos en proceso de adjudicación y renovación.  
9.	Efectuar seguimiento mensual a la gestión de los procesos de otorgamiento, legalización, renovación, desembolsos, condonaciones y pasos al cobro de los fondos administrados por la Vicepresidencia de Fondos en Administración que le sean asignados.
10.	Efectuar seguimiento a los compromisos derivados de los Comités o Juntas Administradoras de los fondos que le sean asignados.
11.	Revisar respuestas a los requerimientos de los constituyentes, entes de control que le sean solicitados. 
12.	Acompañar y efectuar recomendaciones en los Comités o Juntas Administradoras donde sea solicitada su participación.  
13.	Apoyar la supervisión de los contratos y/o convenios que le sean asignados, relacionados con el objeto contractual.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en oficinas institucionales ubicadas en ciudades o municipios distintos a Bogotá D.C, por solicitud del supervisor, previo el otorgamiento de la correspondiente autorización de desplazamiento. 
17.	Las demás asignadas por el supervisor y que tengan relación con el objeto del presente contrato.
18.	Las demás asignadas por el supervisor y que tengan relación con el objeto del presente contrato 
</t>
  </si>
  <si>
    <t>20243030000890-I Id: 4136267</t>
  </si>
  <si>
    <t>10.24</t>
  </si>
  <si>
    <t>2024-0256</t>
  </si>
  <si>
    <t>CD-257-2024</t>
  </si>
  <si>
    <t>EMELINO TAPIA MATURANA</t>
  </si>
  <si>
    <t>CDEF-210-2024</t>
  </si>
  <si>
    <t xml:space="preserve">1.	Proyectar y/o revisar los oficios de respuesta internas y externas que le sean asignadas y guarden relación con el objeto contractual. 
2.	Proyectar las certificaciones requeridas por la Oficina Jurídica del ICETEX relacionadas con los temas a cargo de la Vicepresidencia de Fondos en Administración.
3.	Suministrar el insumo para la elaboración de informes que le sean requeridos y guarden relación con el objeto contractual.
4.	Actualizar la información que reposa en las bases de datos que soporta la gestión de la atención de PQRSD, certificaciones derivadas de acciones judiciales, OPAS y demás trámites relacionados a cargo de la Vicepresidencia de Fondos en Administración.
5.	Efectuar seguimiento para el cumplimiento de las decisiones derivadas de las acciones judiciales que deban ser atendidas por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</si>
  <si>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20243030000893-I Id: 4136284</t>
  </si>
  <si>
    <t>10.75</t>
  </si>
  <si>
    <t>2024-0257</t>
  </si>
  <si>
    <t>CD-258-2024</t>
  </si>
  <si>
    <t>YENIFER ALEXANDRA VARGAS LÓPEZ</t>
  </si>
  <si>
    <t>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t>
  </si>
  <si>
    <t>CDEF-291-2024</t>
  </si>
  <si>
    <t xml:space="preserve">a.	Apoyar la gestión en la identificación de nuevas propuestas para la constitución de nuevos fondos en administración con entidades públicas y privadas.
b.	Proponer los cronogramas de las convocatorias requeridas para la adjudicación de los recursos de los fondos asignados y proyectar los términos de referencia de los mismos y aprobación de los colaboradores designados por el Vicepresidente de Fondos en Administración.
c.	Apoyar los trámites relacionados con la modificación y actualización de los convenios, contratos, alianzas, proyectos y reglamentos a cargo de Vicepresidencia de Fondos en Administración, teniendo en cuenta los procedimientos establecidos por el ICETEX.
d.	Efectuar seguimiento mensual de los fondos asignados, informando al Despacho las novedades que impidan la correcta ejecución de los mismos.
e.	Adelantar y/o apoyar los procesos de convocatoria, calificación y adjudicación relacionados con Fondos asignados, conforme con las condiciones establecidas en los reglamentos operativos y los procedimientos establecidos por el ICETEX.
f.	Efectuar la legalización, renovación, giro, paso al cobro, de conformidad con el Reglamento Operativo de cada fondo a su cargo y los procedimientos establecidos por el ICETEX.
g.	Realizar la proyección financiera de los fondos asignados, manteniendo actualizada la información.
h.	Proponer flujo de caja de los fondos asignados y realizar seguimiento a la ejecución del mismo de manera mensual, conforme los lineamientos de la Vicepresidencia de Fondos en Administración.
i.	Efectuar el proceso oportuno de validación, solicitud y seguimiento de los desembolsos y pago de facturas a proveedores cuando aplique.
j.	Identificar los beneficiarios susceptibles de condonación, informar a la instancia correspondiente de acuerdo con el Reglamento Operativo y efectuar el seguimiento hasta culminar dicho proceso.
k.	Realizar seguimiento a la gestión de cartera de los fondos asignados, actualizar la información en los informes de gestión y monitorear de manera mensual el movimiento financiero del fondo.
l.	Efectuar el seguimiento a los rendimientos financieros y los trámites relacionados con reintegros a los entes que correspondan, de acuerdo con lo establecido en el Reglamento Operativo, la normatividad vigente y los procedimientos del ICETEX.
m.	Convocar las mesas de trabajo de manera presencial o virtual con los constituyentes de los fondos a su cargo, y elaborar las actas de los Comités y Juntas Administradoras en los que el ICETEX tenga a cargo la Secretaria Técnica.
n.	Incorporar a los expedientes de los fondos y las carpetas compartidas de la Vicepresidencia de Fondos en Administración la información que surja en el desarrollo del objeto contractual y hacer correcto uso de las mismas.
o.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p.	Garantizar la confidencialidad, reserva y privacidad de la información que por razón de sus actividades deba manejar en desarrollo del contrato.
q.	Asistir y/o participar en los comités, mesas de trabajo y demás reuniones relacionadas con el objeto contractual.
r.	Desplazarse a las diferentes ciudades del país, en caso de ser necesario para la debida ejecución del contrato, previa coordinación con el supervisor.
s.	Las demás asignadas por el supervisor y que tengan relación con el objeto del presente contrato.
</t>
  </si>
  <si>
    <t>20243030000903-I Id: 4136344</t>
  </si>
  <si>
    <t>3.8</t>
  </si>
  <si>
    <t>2024-0258</t>
  </si>
  <si>
    <t>CD-259-2024</t>
  </si>
  <si>
    <t>ENVER JORGE GRANADOS BERMEO</t>
  </si>
  <si>
    <t>PRESTAR LOS SERVICIOS PROFESIONALES JURÍDICOS ESPECIALIZADOS EN EL DESARROLLO Y REPRESENTACIÓN DEL ICETEX, DIRIGIDO A LA IMPLEMENTACIÓN DE LA DEFENSA JURÍDICA DE LA ENTIDAD ANTE LA SUPERINTENDENCIA DE INDUSTRIA Y COMERCIO Y SUPERINTENDENCIA FINANCIERA Y DESARROLLO DE ACTIVIDADES ADICIONALES RELACIONADAS CON LAS MISMAS ENTIDADES O CUALQUIER ENTE DE CONTROL DE SIMILAR NATURALEZA</t>
  </si>
  <si>
    <t>CDEF-487-2024</t>
  </si>
  <si>
    <t xml:space="preserve">
1. Implementar las políticas y ejercer la defensa jurídica de la entidad frente a las actuaciones administrativas y/o judiciales en derecho administrativo, contractual y financiero, de conformidad con el poder otorgado. 
2. Asesorar y conceptuar jurídicamente por escrito en todos los asuntos de carácter administrativo y/o judiciales en derecho administrativo, contractual y financiero que se le consulten por parte de la supervisión, así como colaborar en la formulación y aplicación de normas en los asuntos que tenga injerencia directa la Oficina Asesora Jurídica. 
3. Asesorar a las áreas de la entidad que soliciten el apoyo a la Oficina Asesora Jurídica, en trámites relacionados con organismos públicos o privados en materia de derecho administrativo y/o judiciales en derecho administrativo, contractual y financiero. 
4. Allegar a la Oficina Jurídica en forma mensual y/o cuando existan movimientos procesales, las correspondientes copias físicas y/o en medio magnético de las piezas procesales ydemás documentos que radique, solicite u obtenga, en los diferentes despachos judiciales en desarrollo de sus actividades judiciales, habida cuenta que hace parte del seguimiento a
proceso del cual se constituya como apoderado, así como apoyar la elaboración de los informes que sean requeridos a esta oficina por parte de los entes de control. 
5. Reportar con cinco (05) días de antelación a la celebración de las audiencias, la hora y fecha fijada elaborando y allegando según el caso, oportunamente al Comité de Defensa Judicial, 
las fichas técnicas para el trámite procedente. 
6. Gestionar y actualizar permanentemente la herramienta E-kogui en aplicación de las políticas de defensa prejurídica y jurídica de la entidad. 
7. Asistir al Comité de Conciliación o cualquier instancia de la entidad cuando ello sea requerido para asesorar y rendir concepto en la implementación de las políticas de defensa prejurídica y jurídica de la entidad. 
8. Asistir a la entidad y ejercer la representación en instancias prejudiciales, según le sean asignados por el supervisor del contrato. 
9. Calificar el riesgo de los procesos judiciales a su cargo conforme a las políticas de defensa jurídica de la entidad. 
10. Rendir los conceptos requeridos en el marco de las políticas de defensa jurídica y prevención del daño antijurídico a través de la herramienta E-kogui. 
11. Gestionar los documentos conforme a las políticas de gestión documental que para el efecto disponga la Entidad, para las comunicaciones que deba generar en cumplimiento del contrato. 
12. Asumir los diferentes costos por concepto de gastos, tales como: expedición de fotocopias,desarchive de procesos, autenticaciones y otros gastos de similar condición, toda vez que se encuentran contemplados dentro de los honorarios a pagar. 
13.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14. Presentar el correspondiente informe al cierre del periodo junto con las evidencias que lo soportes, presentando en documento individual y adjunto al informe el cumplimiento del 100% de los indicadores de gestión establecidos. 
15. Asistir y participar de las reuniones presenciales y/o virtuales a las que sea convocado por parte de la Oficina Asesora Jurídica o de las demás dependencias de la entidad. 
16. Elaborar y radicar los documentos correspondientes en la oportunidad y de acuerdo con las directrices establecidas por la entidad, para el cobro mensual de los honorarios. 
17. Desarrollar las acciones asignadas tendientes al mejoramiento continuo de conformidad con las políticas de calidad implementadas en la entidad y que impacten favorablemente el desarrollo de las metas del proyecto apoyado. 
18.  Atender los demás asuntos que, de conformidad con el objeto contractual, le sean asignados por la Oficina Asesora Jurídica.
</t>
  </si>
  <si>
    <t>20243030000899-I Id: 4136313</t>
  </si>
  <si>
    <t>11.138</t>
  </si>
  <si>
    <t>2024-0259</t>
  </si>
  <si>
    <t>CD-260-2024</t>
  </si>
  <si>
    <t>FRANCY ARLEY GUAQUEZ REYES</t>
  </si>
  <si>
    <t xml:space="preserve">Ejecutar las actividades tendientes al cumplimiento de los procesos de 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
</t>
  </si>
  <si>
    <t>20243030000897-I Id: 4136306</t>
  </si>
  <si>
    <t>4.74</t>
  </si>
  <si>
    <t>2024-0260</t>
  </si>
  <si>
    <t>CD-261-2024</t>
  </si>
  <si>
    <t>DILZO RAFAEL RADA CANTILLO</t>
  </si>
  <si>
    <t>PRESTAR SERVICIOS PROFESIONALES PARA RESPALDAR LA EJECUCIÓN DE LA ESTRATEGIA DE COMUNICACIÓN, MARCA Y CULTURA DENTRO DEL DESARROLLO DEL PLAN ESTRATÉGICO DE LA ENTIDAD Y LA "POLÍTICA DE GUÍA, INFORMACIÓN Y ACOMPAÑAMIENTO" DE LA OFICINA COMERCIAL Y DE MERCADEO</t>
  </si>
  <si>
    <t>SANTA MARTHA</t>
  </si>
  <si>
    <t>CDEF-052-2024</t>
  </si>
  <si>
    <t xml:space="preserve">1.	Apoyar la formulación y ejecución del plan de trabajo de la Unidad de Comunicación y Desarrollo de Comunidad ICETEX. 
2.	Participar activamente de sesiones creativas y de ideación en pro de la consecución de resultados de la estrategia de comunicaciones, marca y cultura de Comunidad ICETEX. 
3.	Realizar todos los elementos gráficos y visuales en el marco de productos editoriales que apunten al fortalecimiento de la estrategia de comunicaciones, marca y cultura de Comunidad ICETEX. 
4.	Desarrollar todos los elementos gráficos necesarios para la interfaz de plataformas tecnológicas de Comunidad ICETEX atendiendo a los lineamientos visuales del Gobierno Nacional. 
5.	Colaborar directamente con el equipo de comunicaciones de la entidad para asegurar que todos los elementos gráficos y visuales estén alineados al manual de marca de la entidad. 
6.	Colaborar con los equipos de comunicaciones de los aliados, y otros grupos de interés, cuando se requiera realizar cobranding de los elementos gráficos y visuales, con el fin de asegurar los elementos de marca de ambas partes.  
7.	Actualizar documentos de manual de marca y de política de comunicaciones de “Comunidad ICETEX” de acuerdo a la evolución de la marca, partiendo de los usos y los elementos generados en el desarrollo de la misma. 
8.	Apoyar la estandarización de los procesos de la Unidad de Comunicación y Desarrollo de Comunidad ICETEX.
9.	Apoyar desde lo táctico y lo conceptual la estrategia de comunicaciones, marca y cultura de Comunidad ICETEX en los diferentes contextos en los que se requiera. 
10.	Informe mensual de actividades y cumplimiento de los indicadores de gestión establecidos.
11.	Asistir a reuniones y/o comités de conformidad con las necesidades de la entidad y la designación del supervisor del contrato. 
12.	Las demás obligaciones que se requieran para el cumplimiento a cabalidad del objeto contractual y que sean inherentes a la naturaleza del contrato. 
</t>
  </si>
  <si>
    <t>20243030000925-I Id: 4136516</t>
  </si>
  <si>
    <t>13.14</t>
  </si>
  <si>
    <t>2024-0261</t>
  </si>
  <si>
    <t>CD-262-2024</t>
  </si>
  <si>
    <t>FABIÁN ANDRÉS LANDÍNEZ MONCAYO</t>
  </si>
  <si>
    <t>PRESTAR SERVICIOS PROFESIONALES EN LAS ACTIVIDADES PRESUPUESTALES, ECONÓMICAS Y FINANCIERAS DE LA GESTIÓN CONTRACTUAL DEL ICETEX, Y LAS RELACIONADAS CON EL PLAN DE COMPRAS DE CONFORMIDAD CON LOS LINEAMIENTOS INTERNOS, NORMAS DE AUSTERIDAD DEL GASTO Y DEMÁS CONCORDANTES</t>
  </si>
  <si>
    <t>CDEF-521-2024</t>
  </si>
  <si>
    <t xml:space="preserve">1.Elaborar y acompañar la estructuración de los estudios previos de los certámenes o trámites contractuales, que le sean asignados, estableciendo factores de selección que permitan identificar la oferta más favorable desde el punto de vista económico y financiero de las actividades planeadas en el Plan Anual de Adquisiciones. 
2.Elaborar los estudios de sector que le sean asignados, así como los distintos componentes necesarios para complementar los estudios previos de los procesos que le sean asignados.
3.Organizar la documentación que soporta cada uno de los certámenes precontractuales de carácter financiero para ser entregados en custodia. 
4.Adelantar los tramites a cargo, en el marco del proyecto de fortalecimiento organizacional y la implementación de la política de compras públicas y de contratación, promoviendo el cierre de brechas que se presenten. 
5.Apoyar en la elaboración de Certificados de pagos, Certificados de disponibilidad Presupuestal, cumplimientos financieros y demás documentos de orden financiero, económico y/o presupuestal que sean requeridos para dar continuidad con los procesos de gestión financiera para los procesos de Contratación por parte de la Secretaria General.
6.Acatar las indicaciones y recomendaciones de quien lidere el grupo económico de la Secretaría General, atendiendo la celeridad y oportunidad en los procesos que sean solicitados sus servicios. 
7.Realizar el seguimiento presupuestal mensual de las áreas que le hayan sido asignadas.
8.Realizar el seguimiento a la ejecución presupuestal de gastos de las áreas que le sean asignadas, así como preparar los informes de ejecución con destino a la Oficina de Planeación, Vicepresidencia Financiera y Oficina de Control Interno.
9.Participar en la revisión de la ejecución financiera de los contratos que le sean asignados.
10.Apoyar los procesos de liquidación de los contratos de inversión que le sean asignados de vigencias anteriores.
11.Asistir a las reuniones a las que sea citado o designado por parte de la Secretaria General, Supervisor del Contrato o quien lidere el equipo económico del Despacho.
12.Cumplir con los entregables e indicadores de gestión establecidos 
13.Elaborar y presentar los informes que requieran los entes de control y demás autoridades, además de dar trámite a los requerimientos que le sean asignados por su competencia.
14.Las demás que se requieran de acuerdo con la naturaleza del objeto y las obligaciones del contrato
</t>
  </si>
  <si>
    <t>20243030000926-I Id: 4136523</t>
  </si>
  <si>
    <t>13.1</t>
  </si>
  <si>
    <t>2024-0262</t>
  </si>
  <si>
    <t>CD-263-2024</t>
  </si>
  <si>
    <t>JEFFERSON PINZON HERNANDEZ</t>
  </si>
  <si>
    <t>PRESTAR LOS SERVICIOS PROFESIONALES PARA ORIENTAR Y ACOMPAÑAR EN MATERIA PRESUPUESTAL, ECONÓMICA Y FINANCIERA LAS ACTIVIDADES RELACIONADAS CON EL SEGUIMIENTO PRESUPUESTAL Y LA ACTIVIDAD CONTRACTUAL DE LA SECRETARÍA GENERAL</t>
  </si>
  <si>
    <t>CDEF-520-2024</t>
  </si>
  <si>
    <t xml:space="preserve">1.Revisar y acompañar la estructuración de los estudios previos de los certámenes o trámites contractuales, estableciendo factores de selección que permitan identificar la oferta más favorable desde el punto de vista económico y financiero de las actividades planeadas en el Plan Anual de Adquisiciones.
2.Participar y elaborar el análisis de la oferta, estudio de mercado y del análisis de sector correspondiente a la actividad contractual planeada en el Plan Anual de Adquisiciones para la vigencia.
3.Brindar apoyo y revisión en materia económica y financiera que se requieran en las etapas precontractual, contractual y postcontractual de los certámenes o trámites contractuales.
4.Realizar el respectivo acompañamiento en los eventos que se requiera al comité́ evaluador financiero en la respuesta a observaciones y revisión de la parte contable-financiera de las propuestas recibidas, teniendo en cuenta los requisitos solicitados en los Términos de Referencia para los certámenes o trámites respectivos. 
5.Elaborar los estudios de mercado de los procesos de contratación asignados, así como la verificación de las condiciones  de oferta y pluralidad enmarcados en las políticas generales de Colombia Compra eficiente.
6.Realizar las recomendaciones económicas, financieras y de mercado en los procesos de contratación que sea asignado como apoyo,
7.Brindar acompañamiento y apoyo al despacho en materia financiera y económica. 
8.Liderar las acciones encaminadas a coordinar las actividades del equipo económico de la secretaria general, en pro de mejorar la eficiencia y eficacia de la gestión del despacho  y sus unidades gestoras.
9.Asignar, coordinar y supervisar las actividades desarrolladas por los profesionales del equipo económico del despacho.
10.Presentar informes mensuales o cuando sean requeridos, al supervisor de avances de su gestión. 
11.Asistir a las reuniones a las que sea citado o designado por parte del supervisor del contrato. 
12.Las demás asignadas por el supervisor y que tengan relación con el objeto del presente contrato.
</t>
  </si>
  <si>
    <t>20243030000928-I Id: 4136525</t>
  </si>
  <si>
    <t>13.158</t>
  </si>
  <si>
    <t>2024-0263</t>
  </si>
  <si>
    <t>CD-264-2024</t>
  </si>
  <si>
    <t>DIDIER ARTURO HURTADO MOSQUERA</t>
  </si>
  <si>
    <t>PRESTAR SERVICIOS PROFESIONALES ESPECIALIZADOS PARA LA IMPLEMENTACIÓN, DESARROLLO Y SEGUIMIENTO DEL SISTEMA DE GESTIÓN DE SEGURIDAD Y SALUD DEL TRABAJO EN EL MARCO DE LA POLÍTICA DE “GESTIÓN DEL TALENTO HUMANO”, ASÍ COMO CONTRIBUIR A MEJORAR LA OPORTUNIDAD DE LOS SERVICIOS QUE PRESTA LA ENTIDAD.</t>
  </si>
  <si>
    <t>CDEF-576-2024</t>
  </si>
  <si>
    <t>HONORARIOS SGN</t>
  </si>
  <si>
    <t>IG312001020300012</t>
  </si>
  <si>
    <t>COORDINADOR(A) GRUPO DE TALENTO HUMANO</t>
  </si>
  <si>
    <t xml:space="preserve">1.	Desarrollar las actividades relacionadas con la implementación del Sistema de Gestión de Seguridad y Salud en el Trabajo de la Entidad, teniendo alcance a todas las sedes de la Entidad, de acuerdo con lo establecido en el Decreto 1072 de 2015, Resolución 312 de 2019 y demás normatividad vigente relacionada con seguridad y salud en el trabajo. 
2.	Estructurar el plan correspondiente al Sistema de Gestión de Seguridad y Salud en el Trabajo y gestionar la ejecución de cada una de sus actividades, alertando situaciones que impidan su cumplimiento acorde con las fechas establecidas. 
3.	Acompañar desde lo técnico la gestión del Comité Paritario de Seguridad y Salud en el Trabajo – COPASST, del Comité de Convivencia Laboral – CCL y del Comité de Emergencias – COE. 
4.	Participar de las mesas laborales que se ejecuten con la ARL, con la finalidad de realizar seguimiento a los casos de accidente de trabajo y enfermedad laboral de la Entidad. 
5.	Gestionar la revisión, formalización e implementación de los documentos que hacen parte del Sistema de Gestión de Seguridad y Salud en el Trabajo, tales como procedimientos, programas, guías, formatos, etc. 
6.	Emitir los conceptos técnicos que le sean solicitados en el marco de su competencia 
7.	Elaborar los informes con destino a la alta dirección que tengan que ver con la implementación del SG-SST, sus indicadores y demás temas estructurales del mismo. 
8.	Coordinar con la Administradora de Riesgos Laborales – ARL, las actividades a realizar en el marco de la ejecución de los diferentes planes y programas del SG-SST de la Entidad. 
9.	Presentar informes periódicos respecto a la medición de los indicadores básicos, de estructura, proceso y resultado del SG-SST. 
10.	Apoyar las actividades que le sean requeridas desde la Secretaría General y la Coordinación de Talento Humano, acorde con el objeto contractual y previa coordinación con el supervisor del contrato.
</t>
  </si>
  <si>
    <t>20243030000937-I Id: 4136645</t>
  </si>
  <si>
    <t>13.159</t>
  </si>
  <si>
    <t>2024-0264</t>
  </si>
  <si>
    <t>CD-265-2024</t>
  </si>
  <si>
    <t>LAURA VANESSA ESPINOSA DUARTE</t>
  </si>
  <si>
    <t>PRESTAR SERVICIOS PROFESIONALES PARA APOYAR TÉCNICAMENTE LOS PROCEDIMIENTOS INHERENTES A LA ADMINISTRACIÓN DE PERSONAL, EN ESPECIAL EJERCIENDO EL CONTROL DUAL EN LA LIQUIDACIÓN DE LA NÓMINA, CESANTÍAS, SEGURIDAD SOCIAL, PARAFISCALES Y REALIZAR EL SEGUIMIENTO AL PAGO DE INCAPACIDADES</t>
  </si>
  <si>
    <t>CDEF-577-2024</t>
  </si>
  <si>
    <t xml:space="preserve">1.	Realizar el proceso de control dual en la liquidación de nómina, prestaciones sociales, liquidación de retención en la fuente, seguridad social, parafiscales, provisiones, cierres contables y demás procesos inherentes a la nómina del personal de planta de la entidad. 
2.	Efectuar el proceso de cobro de incapacidades ante las entidades administradoras de Salud y las administradoras de riesgos laborales, así como realizar el seguimiento, conciliación contable y control del reintegro de los dineros con cada una de las Entidades y presentar los informes requeridos. 
3.	Realizar las pruebas requeridas de acuerdo con la parametrización y actualizaciones que se liberen para el mejoramiento del Software de nómina. 
4.	Apoyar en el análisis y verificación de requisitos para el reconocimiento de la prima técnica de los servidores que tienen derecho a esta prestación y realizar los respectivos seguimientos y generar las evaluaciones para la renovación. 
5.	Generar los informes en lo referente al proceso de nómina y en los demás procesos que sean requeridos, en las condiciones solicitadas y conforme a la normatividad legal. 
6.	Realizar la verificación de la información registrada en las certificaciones salariales con destino al reconocimiento de prestaciones pensionales en el aplicativo dispuesto para tal fin y teniendo en cuenta la normatividad que rige la materia. 
7.	Apoyar la liquidación de nómina, seguimiento al presupuesto, la generación de actos administrativos, novedades de la nómina y comisiones de servicios. 
8.	Realizar propuestas para la mejora de los procedimientos y guías relacionadas con la liquidación de la nómina que produzcan impacto positivo en el tiempo de respuesta a los funcionarios y como parte de la mejora continua. 
9.	Gestionar y apoyar técnicamente la depuración de las deudas presuntas y reales de las entidades del sistema de Seguridad Social. 
10.	Asistir y participar en los comités, reuniones, talleres, juntas y demás eventos que le indique el supervisor y se relacionen con el objeto del contrato. 
11.	Apoyar en la preparación y consolidación de informes de actividades relacionadas con su objeto contractual. 
12.	Apoyar en la supervisión de contratos y/o convenios del Grupo De Talento Humano. 
13.	Apoyar las actividades que le sean requeridas desde la Secretaría General y la Coordinación de Talento Humano, acorde con el objeto contractual y previa coordinación con el supervisor del contrato.
</t>
  </si>
  <si>
    <t>0243030000938-I Id: 4136658</t>
  </si>
  <si>
    <t>10.71</t>
  </si>
  <si>
    <t>2024-0265</t>
  </si>
  <si>
    <t>CD-266-2024</t>
  </si>
  <si>
    <t>MARIA LIZETH RONDÓN CASTELLANOS</t>
  </si>
  <si>
    <t>CDEF-288-2024</t>
  </si>
  <si>
    <t>ANDRÉS FELIPE CABARCAS SUAREZ</t>
  </si>
  <si>
    <t>CESIÓN DEL CONTRATO DE PRESTACIÓN DE SERVICIOS No. 2024-0265 SUSCRITO ENTRE EL INSTITUTO COLOMBIANO DE CRÉDITO EDUCATIVO Y ESTUDIOS TÉCNICOS EN EL EXTERIOR “MARIANO OSPINA PÉREZ” – ICETEX Y MARIA LIZETH RONDÓN CASTELLANOS</t>
  </si>
  <si>
    <t>20243030000931-I Id: 4136528</t>
  </si>
  <si>
    <t>10.31</t>
  </si>
  <si>
    <t>2024-0266</t>
  </si>
  <si>
    <t>CD-267-2024</t>
  </si>
  <si>
    <t>GAUDIS ESTHER MEDINA ARAGON</t>
  </si>
  <si>
    <t>PRESTAR SUS SERVICIOS DE APOYO TÉCNICO EN LOS TEMAS OPERATIVOS PARA LA ATENCIÓN DE PQRSD Y DEMÁS TRÁMITES RELACIONADOS A CARGO DE LA VICEPRESIDENCIA DE FONDOS EN ADMINISTRACIÓN</t>
  </si>
  <si>
    <t>CDEF-209-2024</t>
  </si>
  <si>
    <t xml:space="preserve">
1.	Apoyar la atención de los asuntos operativos a cargo de la Vicepresidencia de Fondos en Administración.
2.	Validar el cumplimiento de requisitos de condonación, conforme los documentos allegados por el beneficiario de Fondos en Administración.
3.	Actualizar la información que reposa en las bases de datos que soporta la gestión de la atención de PQRSD, certificaciones derivadas de acciones judiciales, OPAS y demás trámites relacionados a cargo de la Vicepresidencia de Fondos en Administración.
4.	Actualizar los expedientes de gestión documental de la entidad con los soportes de la atención de PQRSD, certificaciones derivadas de acciones judiciales, OPAS y demás trámites relacionados a cargo de la Vicepresidencia de Fondos en Administración.
5.	Suministrar el insumo para la elaboración de informes que le sean requeridos y guarden relación con el objeto contractual.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</si>
  <si>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20243030000929-I Id: 4136526</t>
  </si>
  <si>
    <t>10.63</t>
  </si>
  <si>
    <t>2024-0267</t>
  </si>
  <si>
    <t>CD-268-2024</t>
  </si>
  <si>
    <t>PAOLA ANDREA MAESTRE VENEGAS</t>
  </si>
  <si>
    <t>CDEF-276-2024</t>
  </si>
  <si>
    <t>PROFESIONAL UNIVERSITARIO ESPECIALIZADO GRADO 004</t>
  </si>
  <si>
    <t>20243030000930-I Id: 4136527</t>
  </si>
  <si>
    <t>4.60</t>
  </si>
  <si>
    <t>2024-0268</t>
  </si>
  <si>
    <t>CD-269-2024</t>
  </si>
  <si>
    <t xml:space="preserve">FERNANDO ALEXANDER CORTES ACERO </t>
  </si>
  <si>
    <t>PRESTAR SERVICIOS PROFESIONALES ESPECIALIZADOS CON EL FIN DE ANALIZAR, EVALUAR Y EJECUTAR ESTRATEGIAS, ENFOCADAS AL MEJORAMIENTO COMERCIAL DE LOS GRUPOS DE INTERÉS ICETEX (BENEFICIARIOS, CIUDADANOS IES) EN SUS INTERACCIONES CON LA ENTIDAD</t>
  </si>
  <si>
    <t>CDEF-059-2024</t>
  </si>
  <si>
    <t xml:space="preserve">1.	Elaborar y entregar plan de trabajo y cronograma de actividades para aprobación de la supervisión del contrato, de conformidad con las estipulaciones contractuales. 
2.	Utilizar las herramientas de observación como entrevistas y/o encuentas y/o focus group o las considere adecuadas para identificar las necesidades de las Instituciones de Educación Superior (IES) y sus grupos de interés con respecto a información y conocimiento del proceso de otorgamiento de crédito del ICETEX. 
3.	Realizar análisis con la información recolectada y presentar los hallazgos encontrados así como las oportunidades de mejora identificadas. 
4.	Proponer estrategias y acciones que mejoren el relacionamieto del ICETEX con las IES y sus grupos de interés a partir de los hallazgos que se identifican en los ejercicios de observación. 
5.	Implementar las acciones propuestas aprobadas y realizar el seguimiento a su efectividad y eficiencia en el proceso comercial del ICETEX 
6.	Velar porque las IES y sus grupos de interés reciban con oportunidad la información, capacitación, materiales necesarios y demás elementos que contribuyan a un buen ejercicio de otorgamiento de crédito educativo del ICETEX 
7.	Apoyar el acompañamiento, gestión y documentación de proceso (s) y procedimiento (s), cumplimiento de los indicadores, planes de acción, planes de mejoramiento, reportes, auditorias de calidad, autocontrol de los macroprocesos de la Oficina de Comercial y de Mercadeo.  
8.	Realizar las labores de acompañamiento en reuniones o comités, de conformidad con las necesidades de la Entidad y la designación de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</si>
  <si>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20243030000948-I Id: 4136732</t>
  </si>
  <si>
    <t>4.98</t>
  </si>
  <si>
    <t>2024-0269</t>
  </si>
  <si>
    <t>CD-270-2024</t>
  </si>
  <si>
    <t>ANDRÉS AUGUSTO JIMÉNEZ SUTA</t>
  </si>
  <si>
    <t>PRESTAR LOS SERVICIOS PROFESIONALES PARA APOYAR EL MONTAJE, DESARROLLO, SEGUIMIENTO, CONTROL Y MEJORA CONTINUA DE LOS CANALES COMERCIALES DESTINADOS A LA PROMOCIÓN Y OTORGAMIENTO DEL PORTAFOLIO DE PRODUCTOS DEL ICETEX</t>
  </si>
  <si>
    <t>CDEF-062-2024</t>
  </si>
  <si>
    <t xml:space="preserve">
1.	Elaborar y entregar plan de trabajo y cronograma de actividades para aprobación de la supervisión del contrato, de conformidad con las estipulaciones contractuales. 
2.	Realizar seguimiento y control al cumplimiento de acuerdos de servicio y metas comerciales, definidos en el contrato de atención al usuario 2022-0770, a través de los distintos canales de atención. 
3.	Brindar apoyo en el diseño de estrategias para los distintos canales comerciales que permitan asegurar la calidad y oportunidad en la presentación del portafolio de productos y servicios de la Entidad a los grupos de interés. 
4.	Plantear alternativas de solución a las situaciones que se presenten en los canales comerciales y que contribuyan a la promoción y otorgamiento del portafolio de productos del ICETEX. 
5.	Presentar resultados periódicos del comportamiento y seguimiento del proceso comercial en los distintos canales de atención, así como de las mejoras propuestas e implementadas y los resultados alcanzados con las mismas. 
6.	Prestar asesoría conceptual, operativa y técnica en el desarrollo de la operación comercial en el proveedor de atención al usuario del contrato 2022 – 0770, así como en la implementación y puesta en marcha de nuevos canales. 
7.	Aportar cuando sea requerido, a la documentación de los procesos y procedimientos de la Entidad, asegurando el cumplimiento de indicadores, planes de acción, planes de mejora, informes, auditorías de calidad, auditorías externas e internas, eventos de riesgo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</si>
  <si>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20243030000946-I Id: 4136721</t>
  </si>
  <si>
    <t>4.99</t>
  </si>
  <si>
    <t>2024-0270</t>
  </si>
  <si>
    <t>CD-271-2024</t>
  </si>
  <si>
    <t xml:space="preserve">YAMILE ANDREA SEPULVEDA BARACALDO </t>
  </si>
  <si>
    <t>CDEF-064-2024</t>
  </si>
  <si>
    <t xml:space="preserve">1.	Elaborar y entregar plan de trabajo y cronograma de actividades para aprobación de la supervisión del contrato, de conformidad con las estipulaciones contractuales. 
2.	Realizar seguimiento y control al cumplimiento de acuerdos de servicio y metas comerciales, definidos en el contrato de atención al usuario 2022-0770, a través de los distintos canales de atención. 
3.	Brindar apoyo en el diseño de estrategias para los distintos canales comerciales que permitan asegurar la calidad y oportunidad en la presentación del portafolio de productos y servicios de la Entidad a los grupos de interés. 
4.	Plantear alternativas de solución a las situaciones que se presenten en los canales comerciales y que contribuyan a la promoción y otorgamiento del portafolio de productos del ICETEX. 
5.	Presentar resultados periódicos del comportamiento y seguimiento del proceso comercial en los distintos canales de atención, así como de las mejoras propuestas e implementadas y los resultados alcanzados con las mismas. 
6.	Prestar asesoría conceptual, operativa y técnica en el desarrollo de la operación comercial en el proveedor de atención al usuario del contrato 2022 – 0770, así como en la implementación y puesta en marcha de nuevos canales. 
7.	Aportar cuando sea requerido, a la documentación de los procesos y procedimientos de la Entidad, asegurando el cumplimiento de indicadores, planes de acción, planes de mejora, informes, auditorías de calidad, auditorías externas e internas, eventos de riesgo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</si>
  <si>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20243030000944-I Id: 4136709</t>
  </si>
  <si>
    <t>3.9</t>
  </si>
  <si>
    <t>2024-0271</t>
  </si>
  <si>
    <t>CD-272-2024</t>
  </si>
  <si>
    <t>JENNIFFER ANDREA JEREZ SIERRA</t>
  </si>
  <si>
    <t>PRESTAR LOS SERVICIOS TÉCNICOS A LA OFICINA ASESORA JURÍDICA EN CUANTO AL DESARROLLO DE LAS ACTIVIDADES REQUERIDAS PARA LA GESTIÓN DE LAS COMUNICACIONES RECIBIDAS Y GENERADAS A TRAVÉS DEL SISTEMA DE GESTIÓN DOCUMENTAL Y DEL CANAL DIGITAL DE LA ENTIDAD.</t>
  </si>
  <si>
    <t>CDEF-485-2024</t>
  </si>
  <si>
    <t>REMUNERACIÓN SERVICIOS TÉCNICOS - OJU</t>
  </si>
  <si>
    <t xml:space="preserve">IG 312001020220014 </t>
  </si>
  <si>
    <t>Recibir, revisar, clasificar, radicar, distribuir, controlar y digitar documentos, datos y correspondencia, de acuerdo con los sistemas y procedimientos dispuestos para ello y relacionados con los asuntos de competencia de la Oficina.
2.
Monitorear el correo electrónico habilitado para recibir notificaciones relacionadas con acciones de tutela promovidas contra la Entidad y apoyar el reparto de los asuntos sometidos a consideración de la Oficina, de acuerdo con las instrucciones del supervisor, a través del diligenciamiento y actualización de los formatos establecidos para el efecto, incluida la remisión de las respuestas a los despachos judiciales.
3.
Orientar a los clientes internos y externos y suministrar la información que le sea solicitada, de conformidad con los procedimientos establecidos por la Entidad.
4.
Apoyar actividades de oficina y de asistencia administrativa encaminadas a facilitar el desarrollo y ejecución de las actividades del área.
5.
Entregar al Archivo de la Entidad conforme al procedimiento, la documentación de la oficina según las tablas de retención documental aprobadas por el Archivo General de la Nación, y demás normas de archivo vigentes.
Participar en la compilación y consolidación de la información que permita garantizar la calidad y oportunidad de la información de la Dependencia.
7.
Contribuir en la elaboración de los informes, bases de datos, presentaciones y demás documentos que la dependencia requiera.
8.
Operar y mantener actualizados los diferentes sistemas de información de la Dependencia y verificar que dispongan de efectivos controles de seguridad.
9.
Digitalizar la documentación de la Oficina que determine el Supervisor del contrato.
10.
Elaborar y recibir, en forma mensual y de acuerdo con las instrucciones del Supervisor del contrato y atendiendo los requerimientos del área, la solicitud de suministro de elementos de Oficina y propender por la racionalización de los mismos
11.
Desarrollar las acciones asignadas tendientes al mejoramiento continuo de conformidad con las políticas de calidad implementadas en la entidad e implementar estrategias de mejoramiento que se hayan acordado con el Supervisor del contrato.
12.
Participar en la actividad de identificación, monitoreo y control de riesgos asociados a la operación de la Oficina.
13.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14.
Asistir y participar de las reuniones presenciales y/o virtuales a las que sea convocado por parte de la Oficina Asesora Jurídica o de las demás dependencias de la entidad.
15.
Elaborar y radicar los documentos correspondientes en la oportunidad y de acuerdo con las directrices establecidas por la entidad, para el cobro mensual de los honorarios.
16.
Atender los demás asuntos que, de conformidad con el objeto contractual, le sean asignados por la Oficina Asesora Jurídica</t>
  </si>
  <si>
    <t>20243030000963-I Id: 4136946</t>
  </si>
  <si>
    <t>4.146</t>
  </si>
  <si>
    <t>2024-0272</t>
  </si>
  <si>
    <t>CD-273-2024</t>
  </si>
  <si>
    <t>JENNIFER BLANCO SALAMANCA</t>
  </si>
  <si>
    <t>PRESTAR SERVICIOS PROFESIONALES ESPECIALIZADOS PARA LA COORDINACIÓN, DESARROLLO Y EJECUCIÓN DEL PLAN COMERCIAL DE LA TERRITORIAL CENTRO QUE FOMENTE LA REGIONALIZACIÓN DEL PORTAFOLIO DE SERVICIOS DE LCETEX, EN ARTICULACIÓN CON LA OFICINA COMERCIAL Y DE MERCADEO DEL NIVEL CENTRAL</t>
  </si>
  <si>
    <t>CDEF-263-2024</t>
  </si>
  <si>
    <t xml:space="preserve">IG 312001020240012 </t>
  </si>
  <si>
    <t xml:space="preserve">1. Proponer e implementar iniciativas que propendan la consecución de los metas comerciales de la Territorial a nivel de las Instituciones de Educación Superior, grupos de Interés y entes territoriales. 
2. Liderar, apoyar, gestionar y garantizar la debida y oportuna ejecución de las actividades del plan comercial de la Territorial por parte del equipo de contratistas comerciales. 
3. Apoyar la supervisión a nivel territorial de la operación del contratista operador de servicio al cliente y plantear recomendaciones para la mejora del servicio que presta ICETEX en las diferentes comunidades participantes en sus programas e iniciativas. 
4. Apoyar la supervisión de los convenios y contratos a cargo de la territorial. 5. Apoyar los procesos de capacitación y supervisión de las actividades comerciales y administrativas a ejecutar por parte de los contratistas comerciales a cargo de la territorial. 
6. Implementar iniciativas de acompañamiento a los proyectos de vida de los estudiantes en la territorial Centro, para promover el acceso, permanencia y graduación en la educación superior de calidad. 
7. Participar en los escenarios de discusión con grupos de interés de ICETEX para posteriormente analizar las recomendaciones y proponer iniciativas para su implementación en la Entidad, en el marco de los programas de la Planeación Estratégica. 
8. Liderar, participar y trabajar en conjunto con las dependencias de la entidad y actores externos en la implementación de las propuestas y estrategia comerciales y administrativas que sean acogidas por la dirección de ICETEX, tendientes al cumplimiento de las metas comerciales y mejora en la operación de servicio al cliente. 
9. Apoyar y/o participar en los comités de evaluación, operativos y/o juntas administradoras de los convenios a cargo de la territorial. 
10. Participar en la ejecución de estrategias comerciales para la regionalización del portafolio de Icetex con el propósito de incrementar el alcance y la cobertura de la entidad en los municipios apartados categorizados como intermedio, rural y rural disperso; para el cumplimiento de las metas comerciales asignadas a la territorial. 
11. Ejecutar actividades de promoción del portafolio de servicios de Icetex, en forma presencial y/o virtual, con los aliados asignados por su supervisor con el propósito de cumplir la meta establecida.
</t>
  </si>
  <si>
    <t>20243030001002-I Id: 4137580</t>
  </si>
  <si>
    <t>11.49</t>
  </si>
  <si>
    <t>2024-0273</t>
  </si>
  <si>
    <t>CD-274-2024</t>
  </si>
  <si>
    <t>NIDIA JOHANNA PRODIGO SARMIENTO</t>
  </si>
  <si>
    <t>PRESTACIÓN DE SERVICIOS PROFESIONALES ESPECIALIZADOS EN INGENIERÍA PARA LA ALINEACIÓN METODOLÓGICA, DEFINICIÓN, DISEÑO Y EVOLUCIÓN DE LA ARQUITECTURA EMPRESARIAL PARA EL ICETEX</t>
  </si>
  <si>
    <t>CDEF-497-2024</t>
  </si>
  <si>
    <t xml:space="preserve">1.	Brindar asesoramiento estratégico a la Vicepresidencia de Operaciones y Tecnología del ICETEX, proporcionando recomendaciones basadas en las metodologías, regulación y las necesidades específicas de la institución enfocadas en la arquitectura empresarial de la entidad. 
2.	Realizar la definición de la visión estratégica de la arquitectura empresarial, alineándola con los objetivos estratégicos de la entidad, para su implementación por parte de la Vicepresidencia de Operaciones y Tecnología del ICETEX.
3.	Establecer y promover la adopción de estándares y buenas prácticas en la arquitectura empresarial del ICETEX, fomentando la coherencia, la interoperabilidad y la reutilización de componentes y soluciones.
4.	Coordinar la gestión y ejecución de tareas, proyectos, iniciativas, metas e indicadores establecidos para el equipo de arquitectura empresarial de la Vicepresidencia de Operaciones y Tecnología del ICETEX.	
5.	Liderar y promover en la formulación de estrategias destinadas a definir la arquitectura empresarial del ICETEX.	
6.	Brindar orientación en la evaluación y selección de tecnologías y herramientas adecuadas para la implementación de los lineamientos establecidos por la arquitectura empresarial en el ICETEX, considerando factores como la seguridad, escalabilidad, interoperabilidad y los estándares de industria.
7.	Facilitar la articulación con los actores necesarios para la elaboración de diagnósticos e implementación de mecanismos que mejoren la gestión, uso y apropiación de la transformación digital de la entidad, bajo la responsabilidad de la Vicepresidencia de Operaciones y Tecnología.
8.	Promover la alineación y la integración efectiva de la arquitectura empresarial en los procesos, procedimientos y la gestión de riesgos de la entidad, a través de la estrecha colaboración con las demás áreas del ICETEX.
9.	Las demás asignadas por el supervisor y que tengan relación con el objeto del presente contrato.
</t>
  </si>
  <si>
    <t>20243030000997-I Id: 4137554</t>
  </si>
  <si>
    <t>1.6</t>
  </si>
  <si>
    <t>2024-0274</t>
  </si>
  <si>
    <t>CD-275-2024</t>
  </si>
  <si>
    <t>JUAN CARLOS TREJOS PERILLA</t>
  </si>
  <si>
    <t>PRESTAR LOS SERVICIOS PROFESIONALES ESPECIALIZADOS PARA LA PLANIFICACIÓN, DESARROLLO Y REALIZACIÓN DE PRODUCCIÓN AUDIOVISUAL PARA LA DIVULGACIÓN DE LA GESTIÓN E INFORMACIÓN DE LA ENTIDAD, DE ACUERDO A LOS LINEAMIENTOS DE LA OFICINA ASESORA DE COMUNICACIONES</t>
  </si>
  <si>
    <t xml:space="preserve">1.	Cubrir las actividades asignadas para producir piezas de difusión interna y externa del Instituto Colombiano de Crédito Educativo y Estudios Técnicos en el Exterior Mariano Ospina Pérez –ICETEX.
2.	Desarrollar el registro de transmisión vía streaming de webinars tanto internos como externos.
3.	 Desarrollar el registro audiovisual (video y audio), edición en alta definición y entrega de productos finales de eventos internos o externos del Instituto Colombiano de Crédito Educativo y Estudios Técnicos en el Exterior Mariano Ospina Pérez –ICETEX que le sean asignados.
4.	Proponer y poner en marcha formatos audiovisuales para las diferentes necesidades específicas que requiera la Oficina Asesora de Comunicaciones del ICETEX
5.	Realizar historias y productos audiovisuales que muestren el avance y la gestión hecha por la entidad.
6.	Recopilar y archivar el material audiovisual de las acciones adelantadas por la Oficina Asesora de Comunicaciones del ICETEX.
7.	Asistir a reuniones y/o comités de conformidad con las necesidades de la entidad y la designación del supervisor del contrato.
8.	El contratista deberá suministrar los equipos necesarios para el desarrollo del presente contrato, en condiciones eficientes y oportunas.
9.	Administrar con plena autonomía sus equipos audiovisuales y demás herramientas que se requiera para el desarrollo del objeto, de tal manera que en cualquier eventualidad el ICETEX no se haga responsable de daños o perjuicios.
10.	Ceder los derechos patrimoniales de autor y conexos sobre las obras y documentos sometidos a registro, en cumplimiento de lo establecido en ley 23 de 1982 modificada por la ley 1450 de 2011 y 1520 de 2012.
11.	Cumplir con los indicadores de gestión establecidos.
12.	Las demás obligaciones que se requieran para el cumplimiento a cabalidad del objeto contractual y que sean inherentes a la naturaleza del contrato.
</t>
  </si>
  <si>
    <t>20243030000968-I Id: 4137012</t>
  </si>
  <si>
    <t>12.37</t>
  </si>
  <si>
    <t>2024-0275</t>
  </si>
  <si>
    <t>CD-276-2024</t>
  </si>
  <si>
    <t>PEDRO ANIVAR HERRERA ROMERO</t>
  </si>
  <si>
    <t>PRESTAR LOS SERVICIOS PROFESIONALES PARA LA ADOPCIÓN DE LOS PROCESOS QUE SOPORTAN LA IMPLEMENTACIÓN DE HERRAMIENTAS AGILIZADORAS (BOT) PARA IMPULSAR EL PROCESO DE REGULARIZACIÓN DE LOS FONDOS Y ALIANZAS EN ADMINISTRACIÓN EN EL MARCO DEL PROYECTO DE BANCA ABIERTA Y TRANSPARENTE E INHOUSE BANKING</t>
  </si>
  <si>
    <t>CDEF-341-2024</t>
  </si>
  <si>
    <t xml:space="preserve">
1.	Apoyar en la gestión de las herramientas y mecanismo para la verificación de la efectividad del asistente virtual del periodo objeto de actualización y mapeo de las novedades presentadas durante su ejecución.
2.	Apoyar la articulación de las áreas involucradas para la implementación, adopción y estabilización de los evolutivos del asistente virtual, que permitan la mejora continua de los resultados de las conciliaciones y la regularización de las partidas.
3.	Apoyar la sistematización, integración y validación de la información contable y financiera entre las herramientas tecnológicas dispuestas por la Entidad para la toma de decisiones referente al proyecto de inversión banca abierta y transparente e in house banking.
4.	Estructurar los insumos técnicos que permitan la optimización de los procesos, mecanismos y sistemas que soportan la regularización de partidas conciliatorias.
5.	Estructurar y realizar la conceptualización técnica de iniciativas que permitan verificar y registrar las partidas conciliatorias, garantizando la razonabilidad de los estados de cuenta, y la optimización del cierre contable y financiero.
6.	Apoyar en el proceso de reconocimiento contable de las obligaciones a cargo del Icetex relativas a las cuentas por pagar generadas en la operación de la Entidad.
7.	Realizar el proceso de actualización y regularización de la información contable y de cartera de los recursos en administración al cierre de cada periodo.
8.	Elaborar los informes que sean requeridos por los constituyentes, áreas internas y externa y demás entes, incluidos los de control.
9.	Realizar el seguimiento del cumplimiento de los indicadores establecidos para el área y los procesos a cargo, con el fin de generar acciones de mejora en la gestión y operación financiera del ICETEX
10.	Las demás obligaciones que se requieran para el cumplimiento a cabalidad del objeto contractual y que sean inherentes a la naturaleza del contrato.
11.	Cumplir con los indicadores de gestión establecidos.
</t>
  </si>
  <si>
    <t>20243030000972-I Id: 4137206</t>
  </si>
  <si>
    <t>2.20</t>
  </si>
  <si>
    <t>2024-0276</t>
  </si>
  <si>
    <t>CD-277-2024</t>
  </si>
  <si>
    <t>CONNIE PAZOS ALARCÓN</t>
  </si>
  <si>
    <t>PRESTAR SERVICIOS PROFESIONALES ESPECIALIZADOS PARA APOYAR AL EQUIPO DE INNOVACIÓN DE LA ENTIDAD EN LA PROMOCIÓN Y DIVULGACIÓN DE LOS AVANCES, RESULTADOS Y LOGROS ALCANZADOS EN LAS INICIATIVAS QUE DESDE EL EQUIPO DE INNOVACIÓN SE LIDEREN O CUANDO SE APOYE TRANSVERSALMENTE PROYECTOS CON COMPONENTES DE INNOVACIÓN</t>
  </si>
  <si>
    <t xml:space="preserve">1.	Apoyar al equipo de Innovación en el diseño e implementación de acciones para la divulgación interna y externa de las acciones y proyectos liderados por el equipo de innovación para impulsar la cultura y el desarrollo de capacidades de innovación en la entidad.
2.	Acompañar el diseño de acciones de innovación que contribuyan con la implementación, mantenimiento y mejora continua de la política de Gestión del conocimiento y la innovación que hace parte del Modelo Integrado de Planeación y Gestión.
3.	Apoyar en la promoción de una cultura que fomente la creatividad y la innovación en articulación con las demás dependencias de la entidad.
4.	Producir contenidos, boletines y otros insumos de comunicación de los retos de innovación durante las diferentes fases para socializar los avances y logros del equipo de innovación, así como gestionar tácticas de comunicación en articulación con la Oficina de Comunicaciones y la Oficina de Comercial y Mercadeo.
5.	Crear estrategias de socialización para gestionar el conocimiento que impulse el intercambio de ideas, la experimentación y el aprendizaje continuo para facilitar la innovación en la entidad en línea con la Política de Gestión del Conocimiento y la Innovación.
6.	Gestionar eventos, activaciones, conversatorios, y otras actividades que incentiven la ideación y co-creación de nuevos servicios de apoyo educativo, crédito y financiamiento ofrecidos por la entidad y liderados por el equipo de innovación.
7.	Apoyar el desarrollo de estrategias para la apropiación de la metodología de iniciativas y proyectos de innovación, así como acompañar el diseño de herramientas de testeo, ideación y medición de resultados de los proyectos que lidere o apoye el equipo de innovación de la entidad. 
8.	Plantear y/o participar en acciones de ideación,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</si>
  <si>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20243030000977-I Id: 4137252</t>
  </si>
  <si>
    <t>9.13</t>
  </si>
  <si>
    <t>2024-0277</t>
  </si>
  <si>
    <t>CD-278-2024</t>
  </si>
  <si>
    <t>GERALDINE CAMILA LOZANO GIL</t>
  </si>
  <si>
    <t>PRESTAR LOS SERVISIOS PROFESIONALES PARA LA EJECUCION DE LAS ACTIVIDADES ASOCIADAS CON LA ADMINISTRACION DE LAS ALIANZAS ESTRATEGICAS ACARGO DE LA VICEPRESIDENCIA DE CREDITO Y COBRANZA CONFORME LA ASIGNACION DEL AREA, ASI COMO EL MANEJO Y CONSOLIDACION  DE LA INFORMACION DE LAS ALIANZAS</t>
  </si>
  <si>
    <t>CDEF-446-2024</t>
  </si>
  <si>
    <t>2024303001011-I Id: 4137758</t>
  </si>
  <si>
    <t>9.11</t>
  </si>
  <si>
    <t>2024-0278</t>
  </si>
  <si>
    <t>CD-279-2024</t>
  </si>
  <si>
    <t xml:space="preserve">ELIZABETH ANZOLA PEREZ </t>
  </si>
  <si>
    <t>CDEF-445-2024</t>
  </si>
  <si>
    <t xml:space="preserve">oyar la elaboración estudios técnicos, cuentas de cobro, matriz de riesgo para alianzas nuevas, reglamentos operativos, modificaciones y/o prorroga y adiciones, así como realizar la parametrización de estas.  
2.	Proyectar y revisar desde el punto de vista técnico las minutas de los convenios, otros sí, actas de liquidación de las alianzas de acuerdo con la asignación definida por el área y conforme lo establecido con el aliado, así mismo elaborar y/o actualizar la ficha técnica correspondiente a cada convenio.  
3.	Revisar las solicitudes de alianzas para el comité de crédito, validación del cumplimiento de requisitos para acceder a los convenios, seguimiento de convocatoria, de las solicitudes de crédito, de presupuesto y remitir Informe de adjudicados después de los comités a los aliados estratégicos.  
4.	Realizar y validar la entrega de paz y salvo, paso al cobro, acuerdos de pago, condonaciones requeridas en el Grupo de Cartera y Cobranzas, así como realizar seguimiento a los saldos de las alianzas.  
5.	Generar Informes y estrategias para la estandarización y mejora del proceso de administración de alianzas estratégicas de acuerdo con la asignación definida por el área.  
6.	Cumplir con la gestión administrativa de acuerdo con el cronograma establecido para cada convenio, elaborando y presentando los informes de gestión que se requieran y se relacionen con el cumplimiento del objeto contractual. 
7.	Validar y apoyar las peticiones, quejas, reclamos, solicitudes, denuncias, tutelas, etc; en relación con los procesos de otorgamiento, legalización y renovación de las Alianzas Estratégicas a través del aplicativo de CRM de ICETEX o los medios que se determinen de acuerdo con los tiempos establecidos.  
8.	Realizar pruebas de los procedimientos que le sean asignados con el fin de evitar errores que afecten las solicitudes y la operatividad.  
9.	Crear Arandas, Infoservicios, actualizaciones de la página Web, campañas, documentos con el fin de mantener la información actualizada, mitigar el riesgo y reducir la cantidad de requerimientos de los procesos.  
10.	Asistir y participar a las reuniones de seguimiento programadas internas y externas.  
11.	Cumplir con los indicadores de gestión establecidos. 
12.	Las demás obligaciones que se requieran para el cumplimiento a cabalidad del objeto contractual y que sean inherentes a la naturaleza del contrato.
</t>
  </si>
  <si>
    <t>2024303003137-I Id: 4137776</t>
  </si>
  <si>
    <t>11.134</t>
  </si>
  <si>
    <t>2024-0279</t>
  </si>
  <si>
    <t>CD-280-2024</t>
  </si>
  <si>
    <t>LEIDY JOHANNA ACHURY MOSQUERA</t>
  </si>
  <si>
    <t>CDEF-511-2024</t>
  </si>
  <si>
    <t>20243030001010-I Id: 4137701</t>
  </si>
  <si>
    <t>11.117</t>
  </si>
  <si>
    <t>2024-0280</t>
  </si>
  <si>
    <t>CD-281-2024</t>
  </si>
  <si>
    <t>JENNY MARCELA RODRIGUEZ MENDEZ</t>
  </si>
  <si>
    <t>PRESTACIÓN DE SERVICIOS PROFESIONALES ESPECIALIZADOS PARA LA ESTRUCTURACIÓN E IMPLEMENTACIÓN DE MEJORAS Y ARTICULACIÓN ESTRATÉGICA DEL SEGUIMIENTO A LA GESTIÓN DE REQUERIMIENTOS INTERNOS Y EXTERNOS EN EL ICETEX</t>
  </si>
  <si>
    <t>CDEF-534-2024</t>
  </si>
  <si>
    <t xml:space="preserve">	Realizar seguimiento a la ejecución de actividades tendientes al cumplimiento de las metas planteadas del Grupo de Operaciones, según los procedimientos adoptados en el sistema de gestión de calidad.
2.	Entregar informes periódicos del Grupo de Operaciones sobre el estado y comportamiento de los requerimientos de la gestión. 
3.	Seguimiento de la ejecución de los planes de mejora del Grupo de Operaciones.  
4.	Medición y seguimiento del comportamiento de PQRS, tutelas, DCF u otros para la toma de decisiones e implementación de estrategias.
5.	Acompañamiento en la elaboración y actualización de los procedimientos del Sistema de Gestión de Calidad del Grupo de Operaciones utilizando las metodologías que el ICETEX ha establecido para tal fin.
6.	Proponer y ejecutar actividades de mejora para la gestión del Grupo de Operaciones e identificar las necesidades de estructuración e implementación de cambios en la operación.  
7.	Participar en la creación e implementación de estrategias de comunicación internas o externas relacionadas con la gestión del Grupo de Operaciones.   
8.	Responder a los requerimientos internos y externos en el tiempo establecido del Grupo de Operaciones.
9.  Acudir a las reuniones citados para la supervisión del contrato o que estén relacionadas con el objeto del mismo.
</t>
  </si>
  <si>
    <t>20243030001025-I Id: 4137915</t>
  </si>
  <si>
    <t>11.87</t>
  </si>
  <si>
    <t>2024-0281</t>
  </si>
  <si>
    <t>CD-282-2024</t>
  </si>
  <si>
    <t>LAURA VIVANA TELLEZ RODRIGUEZ</t>
  </si>
  <si>
    <t>PRESTACIÓN DE SERVICIOS DE APOYO A LA GESTIÓN EN LA ATENCIÓN DE LAS ACTIVIDADES ADMINISTRATIVAS TECNOLÓGICAS DEL ICETEX</t>
  </si>
  <si>
    <t>CDEF-310-2024</t>
  </si>
  <si>
    <t>IG 312001020510014</t>
  </si>
  <si>
    <t>DIRECTOR(A) DE TECNOLOGÍA</t>
  </si>
  <si>
    <t>1. Dar trámite a los documentos recibidos y enviados en el aplicativo de gestión documental,
correspondientes a la Dirección de Tecnología.
2. Elaborar actas, oficios, circulares y demás documentos que se requieran para el desarrollo
de las reuniones programadas.
3. Manejar el aplicativo de gestión de correspondencia y de archivo, implementado por la
entidad.
4. Respaldar la elaboración de los informes en los temas que le sean asignados, velando
porque la información dada en estos sea clara, veraz y adecuada.
5. Mantener actualizado el repositorio digital de la documentación interna de Dirección de
Tecnología.
6. Realizar el seguimiento correspondiente en aras de garantizar el cumplimiento de
requerimientos externos e internos realizados a la Dirección de Tecnología.
7. Apoyo a la Dirección de Tecnología en la atención de solicitudes y demás requerimientos
de auditorías tanto internas como externas
8. Apoyar al director de tecnología en las diferentes actividades de tipo administrativo y
asistencia que requieran</t>
  </si>
  <si>
    <t>YESICA LORENA ALFONSO SOLERA</t>
  </si>
  <si>
    <t>CESIÓN DEL CONTRATO DE PRESTACIÓN DE SERVICIOS No. 2024-0281 SUSCRITO ENTRE EL INSTITUTO COLOMBIANO DE CRÉDITO EDUCATIVO Y ESTUDIOS TÉCNICOS EN EL EXTERIOR “MARIANO OSPINA PÉREZ” – ICETEX Y LAURA VIVANA TELLEZ RODRIGUEZ A YESICA LORENA ALFONSO SOLERA.</t>
  </si>
  <si>
    <t>20243030001022-I Id: 4137905</t>
  </si>
  <si>
    <t>4.14</t>
  </si>
  <si>
    <t>2024-0282</t>
  </si>
  <si>
    <t>CD-283-2024</t>
  </si>
  <si>
    <t xml:space="preserve">CARLOS RAUL MUÑOZ CASTRO </t>
  </si>
  <si>
    <t>"
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t>
  </si>
  <si>
    <t>CDEF-097-2024</t>
  </si>
  <si>
    <t xml:space="preserve">1.	Elaborar y suscribir juntamente con el supervisor del contrato el plan de trabajo y cronograma de actividades, que permitan identificar los entregables y fechas a realizar durante la ejecución de este.
2.	Identificar las oportunidades de mejora de los proyectos implementados, contemplando las lecciones aprendidas en las fases anteriores bajo el contrato 2022-0770.
3.	Plantear soluciones frente a las necesidades identificadas en los proyectos de mejora continua que le sean asignados por la Oficina Comercial y de Mercadeo.
4.	Garantizar las actividades relacionadas al seguimiento y control de los proyectos de mejora continua que le sean asignados en el marco de los procesos de la Oficina Comercial y de Mercadeo y sus diferentes equipos de trabajo.
5.	Asegurar la salida a producción y estabilización de los proyectos asignados por la Oficina Comercial y de Mercadeo.
6.	Apoyar las actividades propuestas por el equipo i3 en el marco del programa estratégico de la Entidad.
7.	Ejecutar y apoyar desde el punto de vista técnico, las actividades propias de los procedimientos contractuales y/o poscontractuales que se desarrollen en el ICETEX bajo el modelo de atención 2023-2026.
8.	Realizar labores de acompañamiento en juntas, reuniones o comités, de conformidad con las necesidades de la Entidad y la designación del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</si>
  <si>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13.97</t>
  </si>
  <si>
    <t>2024-0283</t>
  </si>
  <si>
    <t>CD-284-2024</t>
  </si>
  <si>
    <t>830005448-1</t>
  </si>
  <si>
    <t>OTIS ELEVATOR COMPANY COLOMBIA S.A.S</t>
  </si>
  <si>
    <t xml:space="preserve">CONTRATAR EL MANTENIMIENTO PREVENTIVO Y CORRECTIVO PARA LOS ASCENSORES DE LA ENTIDAD. </t>
  </si>
  <si>
    <t>CDEF-222-2024</t>
  </si>
  <si>
    <t>MANTENIMIENTO DE BIENES E INMUEBLES</t>
  </si>
  <si>
    <t>IG311002004005001</t>
  </si>
  <si>
    <t>MERCY LILIANA MACEDO VELASQUEZ</t>
  </si>
  <si>
    <t xml:space="preserve">
53103209
</t>
  </si>
  <si>
    <t xml:space="preserve">" CESIÓN DEL CONTRATO DE PRESTACIÓN DE SERVICIOS No. 2023-0283 SUSCRITO ENTRE EL
INSTITUTO COLOMBIANO DE CRÉDITO EDUCATIVO Y ESTUDIOS TÉCNICOS EN EL EXTERIOR
“MARIANO OSPINA PÉREZ” – ICETEX Y MARYORI ANGELICA ROA PARDO A MERCY LILIANA MACEDO
VELASQUEZ. "
</t>
  </si>
  <si>
    <t>20243030000989-I Id: 4137483</t>
  </si>
  <si>
    <t>4.63</t>
  </si>
  <si>
    <t>2024-0284</t>
  </si>
  <si>
    <t>CD-285-2024</t>
  </si>
  <si>
    <t>OLGA DEL PILAR ISAZA PEDRAZA</t>
  </si>
  <si>
    <t>PRESTAR SERVICIOS PROFESIONALES CON EL FIN DE ANALIZAR, EVALUAR Y MEDIR ESTRATEGIAS, ENFOCADAS AL MEJORAMIENTO DE LA EXPERIENCIA DE LOS GRUPOS DE INTERÉS ICETEX (BENEFICIARIOS, CIUDADANOS, IES) EN SUS INTERACCIONES CON LA ENTIDAD</t>
  </si>
  <si>
    <t>CDEF-378-2024</t>
  </si>
  <si>
    <t xml:space="preserve">1.	Elaborar y entregar plan de trabajo para aprobación del supervisor del contrato, de conformidad con las estipulaciones contractuales. 
2.	 Proponer acciones y actividades encaminadas a la disminución de la radicación de PQRS que llegan por los diferentes canales de atención, entes de control e instituciones de educación Superior (IES), basándome en la percepción y comentarios expresados por los usuarios a través de la voz del cliente.
3.	Apoyar y realizar la aplicación de encuestas, focus group, clientes incógnitos y journey map, con el fin de evaluar la calidad percibida por la voz del cliente en los diversos grupos de interés.
4.	Identificar y generar alertas tempranas sobre los insight del usuario tanto en los diferentes canales de atención como en los diferentes medios de comunicación de la entidad.
5.	 Recopilar y analizar datos estadísticos y descriptivos de las opiniones de los usuarios, proporcionando información clave para la toma de decisiones y facilitando la formulación de estrategias de mejora en la atención de necesidades.
6.	Realizar análisis de indicadores de satisfacción, NPS, voz del cliente, momentos de verdad, redes sociales, evaluando los resultados que afectan a los clientes y entendiendo sus percepciones.
7.	Acompañar los comités de experiencia, identificando y proponiendo mejoras a las casuísticas desde el conocimiento individual prestando asesoría conceptual y operativa técnica.
8.	Apoya en el desarrollo de herramientas de innovación y diseño en los diferentes canales de atención a partir de la compresión de las necesidades y preferencias de los usuarios, con el fin de mejorar la experiencia al usuario.	
9.	Realizar seguimiento y análisis a los diferentes indicadores suministrados en informes o herramientas inherentes a la satisfacción y experiencia, identificando intereses, motivos de insatisfacción, predicción de necesidades que permitan generar propuestas de mejora en la fidelización del usuario Icetex.
10.	Apoyar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Las demás que sean inherentes para el logro del objeto contratado, asignadas por el supervisor del contrato
</t>
  </si>
  <si>
    <t>20243030001043-I Id: 4138066</t>
  </si>
  <si>
    <t>4.51</t>
  </si>
  <si>
    <t>2024-0285</t>
  </si>
  <si>
    <t>CD-286-2024</t>
  </si>
  <si>
    <t>NELSON MUÑOZ POLANÍA</t>
  </si>
  <si>
    <t>PRESTAR SERVICIOS PROFESIONALES ESPECIALIZADOS PARA EL SEGUIMIENTO Y CONTROL DE LOS PROCESOS, PROCEDIMIENTOS Y ESTRATEGIAS DE MEJORA EN LOS CANALES DE ATENCIÓN Y GESTIÓN IMPLEMENTADOS POR LA ENTIDAD CON EL FIN DE MEJORAR EL FIN DE MEJORAR LA EXPERIENCIA Y SATISFACCIÓN DE LOS GRUPOS DE INTERÉS (BENEFICIARIOS, CIUDADANOS E IES</t>
  </si>
  <si>
    <t>CDEF-386-2024</t>
  </si>
  <si>
    <t xml:space="preserve">1.	Elaborar y entregar plan de trabajo y cronograma de actividades para aprobación de la supervisión del contrato, de conformidad con las estipulaciones contractuales.
2.	Brindar apoyo al interior de la Oficina Comercial y de Mercadeo en temas relacionados con la mejora en la atención y el servicio a los Grupos de Interés de la entidad y demás temas que sean requeridos. 
3.	Realizar seguimiento y control al cumplimiento de los acuerdos de servicio e indicadores contractuales establecidos en el contrato de atención 2022 – 0770, de los distintos canales de atención y gestión del área de servicio, implementados por la entidad.
4.	Definir e implementar estrategias y planes de acción que permitan asegurar la calidad y oportunidad en la prestación del servicio de atención al usuario en los canales de atención y gestión implementados por la entidad.
5.	Orientar y acompañar operativa y administrativamente a los equipos de formación, calidad y canales de atención, en el cumplimiento de sus obligaciones contractuales.
6.	Realizar seguimiento y evaluar el desempeño del equipo de servicio, brindando retroalimentación y apoyo para su desarrollo profesional y personal.
7.	Prestar asesoría conceptual, operativa y técnica en el desarrollo de la operación el proveedor de atención al usuario del contrato 2022 - 0770 en relación con la implementación de estrategias para la mejora en la experiencia y la satisfacción de los grupos de interés.
8.	Fortalecer la estrategia de atención según el perfilamiento de los beneficiarios y ciudadanos, conforme a las características de la población y la caracterización de los ciudadanos establecida por el Departamento Nacional de Planeación. 
9.	Participar en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inherentes para el logro del objeto contratado, asignadas por el supervisor del contrato.
</t>
  </si>
  <si>
    <t>20243030001017-I Id: 4137801</t>
  </si>
  <si>
    <t>4.61</t>
  </si>
  <si>
    <t>2024-0286</t>
  </si>
  <si>
    <t>CD-287-2024</t>
  </si>
  <si>
    <t>SANDRA YANETH RUIZ TORRES</t>
  </si>
  <si>
    <t>PRESTAR SERVICIOS PROFESIONALES ESPECIALIZADOS CON EL FIN DE ANALIZAR, EVALUAR Y EJECUTAR ESTRATEGIAS, ENFOCADAS AL MEJORAMIENTO DE LA EXPERIENCIA Y SATISFACCIÓN DE LOS GRUPOS DE INTERÉS ICETEX (BENEFICIARIOS, CIUDADANOS, IES) EN SUS INTERACCIONES CON LA ENTIDAD</t>
  </si>
  <si>
    <t>CDEF-578-2024</t>
  </si>
  <si>
    <t xml:space="preserve">1.	Elaborar y entregar plan de trabajo y cronograma de actividades para aprobación de la supervisión del contrato, de conformidad con las estipulaciones contractuales.
2.	Realizar análisis de atributos del estado de los procesos y procedimientos de la entidad que impacten la radicación de peticiones, quejas, reclamos e identificar las posibles alternativas de solución en los distintos canales de atención..
3.	Apoyar estrategias destinadas a garantizar la calidad y oportunidad en la prestación de los servicios de la entidad a través de los distintos canales de atención y gestión, con el objetivo de mejorar la experiencia y satisfacción de los grupos de interés.
4.	Acompañar los comités de experiencia, identificando y proponiendo mejoras a las casuísticas desde el conocimiento individual prestando asesoría conceptual y operativa técnica.
5.	Realizar seguimiento, monitoreo, auditorías a los proveedores de servicio con el fin de identificar mejoras y/o oportunidades para los grupos de interés sobre los productos y servicios de la Entidad.  
6.	Acompañar y alertar sobre los procesos de implementación, modelos de experiencia (Journey Map, cliente incógnito), y desarrollos existentes o nuevos que impacten la experiencia de los usuarios en los canales de servicio.
7.	Contribuir por medio de conceptos técnicos a la documentación de los procesos y procedimientos de la entidad, asegurando el cumplimiento de indicadores, planes de acción, planes de mejora, informes, auditorías de calidad, auditorías externas e internas, eventos de riesgos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Apoyar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11.	Identificar necesidades en los procesos de la Entidad que requieran intervención, por su impacto en la Experiencia del Servicio y que permitan obtener una mejora en la calidad de la información del portafolio de productos y servicios, así como una mayor oportunidad en las respuestas brindadas a los beneficiarios, y/o ciudadanos.
12.	Las demás que sean inherentes para el logro del objeto contratado, asignadas por el supervisor del contrato.
</t>
  </si>
  <si>
    <t>20243030001023-I Id: 4137907</t>
  </si>
  <si>
    <t>4.52</t>
  </si>
  <si>
    <t>2024-0287</t>
  </si>
  <si>
    <t>CD-288-2024</t>
  </si>
  <si>
    <t>SANDRA VIVIANA GONZALEZ RAMIREZ</t>
  </si>
  <si>
    <t>PRESTAR SERVICIOS PROFESIONALES ESPECIALIZADOS PARA APOYAR LA SUPERVISIÓN DEL CONTRATO NO. 2022-0770 DE ATENCIÓN AL USUARIO, EN LA GESTIÓN INTEGRAL REQUERIDA PARA EL CUMPLIMENTO Y EL ADECUADO DESARROLLO DEL OBJETO CONTRACTUAL</t>
  </si>
  <si>
    <t>CDEF-387-2024</t>
  </si>
  <si>
    <t xml:space="preserve">1.	Realizar el acompañamiento y recomendaciones pertinentes asociadas con los diferentes componentes, a la Supervisión del Contrato 2022-0770 con el objetivo de hacer vigilancia, control, desarrollo adecuado del contrato de atención al usuario.
2.	Registrar y mantener actualizada la información de la supervisión del contrato de atención al usuario, de acuerdo con los procedimientos establecidos y las orientaciones del superior inmediato
3.	De acuerdo con las directrices recibidas, llevar a cabo las actividades requeridas, en el desarrollo de la supervisión del contrato de atención al usuario
4.	Basados en su capacidad profesional, experiencia y conocimientos, gestionar buenos oficios para apoyar el cumplimiento del objeto contractual de atención al usuario por parte del contratista seleccionado. 
5.	Apoyar la generación de comunicaciones, informes y demás documentos requeridos en la supervisión del contrato de atención al usuario, aplicando los procedimientos indicados por la Entidad.
6.	.Utilizar los sistemas de información, aplicativos y demás herramientas tecnológicas dispuestas para apoyar la supervisión del contrato de atención al usuario; de conformidad con las responsabilidades y autorizaciones que se le asignen.
7.	.Realizar la consecución de información para la elaboración de informes relacionados con la ejecución de la supervisión del contrato de atención al usuario, tanto a nivel interno y externo.
8.	.Dar trámite de las peticiones, quejas, reclamos y solicitudes que presenten en el desarrollo de la supervisión del contrato de atención al usuario y que le sean relativas a su desarrollo; siguiendo los tiempos y procedimientos establecidos.
9.	Apoyar la supervisión del contrato de atención al usuario en el seguimiento, control y planeación de las diferentes reuniones y comités que se ejecuten con el contratista.
10.	Apoyar el control financiero y contable, pago de facturas o documentos equivalentes y presupuesto de la supervisión del contrato de atención al usuario.
11.	Responder por la organización, archivo y manejo de documentos y la información relacionada con la supervisión del contrato de atención al usuario, de conformidad con los procedimientos de Gestión Documental.
12.	Apoyar la preparación de información técnica de la supervisión del contrato de interventoría de atención al usuario, así como realizar control y seguimiento de estos, de acuerdo con el manual de contratación de la Entidad.
13.	Desplazarse fuera de la ciudad de Bogotá D.C., en caso de requerirse con el fin de dar cumplimiento al objeto contractual.
14.	Las demás obligaciones que sean acordes con el objeto contractual asignado por quien ejerza la función de la Supervisión del Contrato.
</t>
  </si>
  <si>
    <t>20243030001040-I Id: 4138054</t>
  </si>
  <si>
    <t>7.8</t>
  </si>
  <si>
    <t>2024-0288</t>
  </si>
  <si>
    <t>CD-289-2024</t>
  </si>
  <si>
    <t>MARIO ALEJANDRO VILLARREAL ORTIZ</t>
  </si>
  <si>
    <t>PRESTAR LOS SERVICIOS PROFESIONALES PARA APOYAR LA GESTIÓN DEL RIESGO DE LAVADO DE ACTIVOS Y FINANCIACIÓN DEL TERRORISMO Y LA CONSOLIDACIÓN DE LA INFORMACIÓN EXTRAÍDA DE LAS BASES DE DATOS INTERNAS PARA LA ACTUALIZACIÓN, AJUSTES Y CALIBRACIÓN DEL MODELO DE SEGMENTACIÓN DE LOS FACTORES DE RIESGO LAFT, ASÍ COMO EL DESARROLLO Y SEGUIMIENTO DE INDICADORES Y ALERTAS TEMPRANAS, QUE MITIGUEN Y CONTROLEN LA MATERIALIZACIÓN DE ESTE RIESGO</t>
  </si>
  <si>
    <t>CDEF-437-2024</t>
  </si>
  <si>
    <t>OFICIAL DE CUMPLIMIENTO</t>
  </si>
  <si>
    <t>Revisar, ajustar y actualizar el modelo de segmentación por cada uno de los factores de riesgo
(cliente, canal, jurisdicción y producto) establecidos en la normatividad emitida por la
Superintendencia Financiera de Colombia.
2. Identificar señales de alerta para establecer operaciones sospechosas y/o inusuales que serán
reportadas a la UIAF.
3. Evidenciar potenciales fuentes de riesgo de LA/FT de acuerdo con la aplicación de los indicadores
descriptivos y prospectivos.
4. Apoyar las consultas individuales, masivas y análisis solicitados por las diferentes áreas de la
entidad en el aplicativo de listas de control.
5. Realizar el monitoreo con países de alto riesgo, de acuerdo con lo establecido en los listados del
GAFI, de países no cooperantes y jurisdicciones de mayor riesgo en los cuales Icetex tiene
beneficiarios.
6. Actualización de la documentación relacionada con el SARLAFT.
7. Ejecutar y monitorear el tablero de control de SARLAFT.
8. Realizar el monitoreo del mapa jurisdiccional de SARLAFT con los índices LA y FT.
9. Monitorear señales de alerta generadas en la ejecución de la segmentación.
10. Automatizar el nivel de poblamiento y calidad de la base de datos que generara el reporte para
realizar la segmentación de los factores de riesgo LA/FT.
11. Llevar a cabo un modelo de monitoreo transaccional.
12. Creación del procedimiento de monitoreo de Personas Expuestas Políticamente.
13. Asignar los Clústeres a individuos nuevos.
14. Analizar nuevas reglas para realizar el monitoreo transaccional.
15. Llevar y mantener actualizado el archivo interno del área de cumplimiento según las tablas de
retención documental de la entidad aprobadas por el Archivo General de la Nación.</t>
  </si>
  <si>
    <t>20242500001035-I Id: 4138023</t>
  </si>
  <si>
    <t>13.69</t>
  </si>
  <si>
    <t>2024-0289</t>
  </si>
  <si>
    <t>CD-290-2024</t>
  </si>
  <si>
    <t>ADRIANA MARIA GARCIA BLANDON</t>
  </si>
  <si>
    <t>PRESTAR SERVICIOS PROFESIONALES AL GRUPO DE DESARROLLO Y TRASFORMACIÓN ORGANIZACIONAL DE LA SECRETARÍA GENERAL DEL ICETEX, PARA LOS ASUNTOS RELACIONADOS CON LA GESTIÓN JURÍDICA Y ADMINISTRATIVA DE LA DEPENDENCIA.</t>
  </si>
  <si>
    <t>CDEF-355-2024</t>
  </si>
  <si>
    <t xml:space="preserve">IG332901001 </t>
  </si>
  <si>
    <t xml:space="preserve">
1. Estructurar los procesos de contratación en cualquiera de sus etapas y acompañar jurídicamente la supervisión y seguimiento de la contratación del Grupo de Desarrollo y Transformación Organizacional, a la luz del manual de contratación interno y la normatividad
vigente. 
2. Elaborar y/o revisar los actos administrativos que se generen al interior del Grupo de Desarrollo y Transformación Organizacional de la Secretaría General del ICETEX. 
3. Emitir los conceptos jurídicos que se requieran en relación con el objeto y las obligaciones del contrato. 
4. Orientar a la secretaria general y al Coordinador del Grupo de Desarrollo y Transformación Organizacional en los temas jurídicos que sean de su competencia. 
5. Proyectar y/o revisar los proyectos de respuestas de peticiones internas y externas, circulares, memorandos y demás documentos que guarden relación con su objeto contractual, que le sean requeridos que le sean requeridos por el supervisor. 
6. Participar en las mesas de trabajo, eventos, reuniones técnicas y/o comités en que el Grupo de Desarrollo y Transformación Organizacional requiera su apoyo a lo largo de la ejecución del contrato, brindando los aportes pertinentes desde su conocimiento y experiencia. 
7. Apoyar en el rediseño institucional las modificaciones que se requieren en la estructura organizacional o en las funciones de las dependencias, así como la revisión del análisis funcional y normativo alineado con la estrategia y el mapa de procesos institucional
procurando por el fortalecimiento de la estructura organizacional del ICETEX. 
8. Las demás asignadas por el Supervisor, relacionadas con el objeto y la naturaleza del contrato.
</t>
  </si>
  <si>
    <t>20243030000982-I Id: 4137374</t>
  </si>
  <si>
    <t>13.53</t>
  </si>
  <si>
    <t>2024-0290</t>
  </si>
  <si>
    <t>CD-291-2024</t>
  </si>
  <si>
    <t>MONICA MABEL VANEGAS GOMEZ</t>
  </si>
  <si>
    <t>PRESTAR SERVICIOS PROFESIONALES AL GRUPO DE DESARROLLO Y TRANSFORMACIÓN ORGANIZACIONAL DE LA SECRETARÍA GENERAL EN LA IMPLEMENTACIÓN DE LOS COMPONENTES DE CÓDIGO DE INTEGRIDAD Y GESTIÓN DEL CONOCIMIENTO DEL PLAN ESTRATÉGICO DE TALENTO HUMANO</t>
  </si>
  <si>
    <t>CDEF-359-2024</t>
  </si>
  <si>
    <t xml:space="preserve">Formular, implementar y realizar actividades de seguimiento de las estrategias contenidas en el Plan institucional de gestión del conocimiento y la innovación, y demás actividades que fortalezcan el cumplimiento de los criterios definidos en la dimensión de gestión del conocimiento y la innovación del MIPG. 
2. Elaborar y socializar la caja de herramientas de gestión del conocimiento y la innovación de la entidad.  
3. Realizar la formulación, implementación y seguimiento de las estrategias y actividades establecidas en el Plan Institucional de Integridad del Icetex. 
4. Elaborar y entregar oportunamente los conceptos, análisis, recomendaciones e informes sobre los aspectos contenidos en el Plan Institucional de Integridad que sean solicitados por el-la supervisor-a, la Secretaría General o por los distintos grupos de interés de la institución,
garantizando la calidad y confiabilidad de los mismos.  
5. Aportar su experticia en la definición de acciones y estrategias para implementar y promover el protocolo para la prevención, atención y adopción de medidas de protección de todas las formas de violencia contra las mujeres y basadas en género y/o discriminación. 
6. Realizar acompañamiento en el planteamiento, definición y ejecución de las políticas, planes, procesos y procedimientos a las que contribuye el Grupo de Desarrollo y Transformación Organizacional sobre los temas de diversidad e inclusión en el ámbito laboral.  
</t>
  </si>
  <si>
    <t>20243030001006-I Id: 4137602</t>
  </si>
  <si>
    <t>13.50</t>
  </si>
  <si>
    <t>2024-0291</t>
  </si>
  <si>
    <t>CD-292-2024</t>
  </si>
  <si>
    <t>ANGELICA MARIA BERNAL ROZO</t>
  </si>
  <si>
    <t>PRESTAR LOS SERVICIOS PROFESIONALES A LA SECRETARIA GENERAL PARA ORGANIZAR Y EJECUTAR EN TODAS SUS FASES LAS ACTIVIDADES Y EVENTOS INSTITUCIONALES CON GRUPOS DE INTERÉS EN EL MARCO DEL PROYECTO DE INVERSIÓN DENOMINADO “TRANSFORMACIÓN ARQUITECTURA ORGANIZACIÓN"</t>
  </si>
  <si>
    <t>CDEF-357-2024</t>
  </si>
  <si>
    <t xml:space="preserve">
1. Realizar y gestionar la organización de eventos institucionales, desde su etapa de planeación hasta la ejecución de los mismos. 
2. Participar operativamente las actividades y eventos programados por el Grupo de Desarrollo y Transformación Organizacional en el marco de los planes de bienestar, capacitación,
gestión del cambio, gestión del conocimiento y cultura organizacional. 
3. Proyectar y elaborar un cronograma de actividades, que permita identificar las fechas, productos y/o entregables a realizar durante la ejecución de este contrato de acuerdo con el objeto y la naturaleza del mismo, así como velar por su cumplimiento realizando seguimiento de avance mensual.  
4. Proyectar un modelo para el desarrollo de eventos, actividades de relacionamiento y manejo de protocolo para las oficinas territoriales, de acuerdo con el nuevo enfoque de comunicación de la entidad, el cual deberá ser avalado por el supervisor del contrato. 
5. Realizar evaluación de resultados, de acuerdo con la modalidad de la actividad, donde se conozca el nivel de satisfacción de los asistentes a los eventos que se realicen. 
6. Aportar en la generación de contenidos audiovisuales y piezas de comunicación que sean requeridos por el Supervisor.
7. Presentar los informes que sean definidos por la supervisión del contrato, o a quien ésta delegue, para efectos de establecer el avance, cumplimiento y correcta ejecución del objeto contractual. 
8. Apoyar la supervisión de los contratos que le sean asignados, desde el punto de vista técnico y/o administrativo y/o financiero y/o contable, de conformidad con lo establecido en el Manual de Contratación de la Entidad.  
9. Asistir y participar en las reuniones de conformidad con las necesidades de la entidad y la designación del supervisor del contrato.  
10. Las demás asignadas por el Supervisor, relacionadas con el objeto y la naturaleza del contrato
</t>
  </si>
  <si>
    <t>20243030001056-I Id: 4138224</t>
  </si>
  <si>
    <t>10.51</t>
  </si>
  <si>
    <t>2024-0292</t>
  </si>
  <si>
    <t>CD-293-2024</t>
  </si>
  <si>
    <t>EDDY ALEXANDER BARRERA CAIRASCO</t>
  </si>
  <si>
    <t>CDEF-293-2024</t>
  </si>
  <si>
    <t xml:space="preserve">IG 312001020700012 </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</si>
  <si>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</si>
  <si>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20243030001032-I Id: 4138000</t>
  </si>
  <si>
    <t>10.53</t>
  </si>
  <si>
    <t>2024-0293</t>
  </si>
  <si>
    <t>CD-294-2024</t>
  </si>
  <si>
    <t>ALEJANDRO PEREZ OSPINA</t>
  </si>
  <si>
    <t>CDEF-285-2024</t>
  </si>
  <si>
    <t>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t>
  </si>
  <si>
    <t>20243030001037-I Id: 4138037</t>
  </si>
  <si>
    <t>10.68</t>
  </si>
  <si>
    <t>2024-0294</t>
  </si>
  <si>
    <t>CD-295-2024</t>
  </si>
  <si>
    <t>JUAN CARLOS PARRA PACHECO</t>
  </si>
  <si>
    <t>CDEF-406-2024</t>
  </si>
  <si>
    <t>PROFESIONAL UNIVERSITARIO ESPECIALIZADO GRADO 04</t>
  </si>
  <si>
    <t>20243030001061-I Id: 4138240</t>
  </si>
  <si>
    <t>7.3</t>
  </si>
  <si>
    <t>2024-0295</t>
  </si>
  <si>
    <t>CD-296-2024</t>
  </si>
  <si>
    <t>RODRIGO BARRERO MUÑOZ</t>
  </si>
  <si>
    <t>PRESTAR LOS SERVICIOS PROFESIONALES PARA LIDERAR Y ADMINISTRAR TODAS LAS FASES DEL PLAN DE CONTINUIDAD DE NEGOCIO DE LA ENTIDAD (TENIENDO EN CUENTA LOS TERCEROS CRÍTICOS) BAJO EL MARCO NORMATIVO VIGENTE Y/O BUENAS PRÁCTICAS.</t>
  </si>
  <si>
    <t>CDEF-527-2024</t>
  </si>
  <si>
    <t xml:space="preserve">IG  312001020250012 </t>
  </si>
  <si>
    <t xml:space="preserve">1.	Mantener y actualizar las políticas, procedimientos y demás documentos de Plan de continuidad de negocio, con base en las necesidades de la entidad y los cambios normativos.
2.	Presentación de informes a Junta Directiva y áreas de la Entidad con la gestión realizada sobre el Plan de continuidad del negocio, de acuerdo con las especificaciones de la solicitud. 
3.	Realizar revisión, monitoreo y análisis de riesgos de plan de continuidad del negocio para los procesos críticos de la Entidad asistiendo a las diferentes áreas del Icetex en el análisis, acorde con los lineamientos normativos. 
4.	Realizar actualización de análisis de impacto de negocio sobre los procedimientos definidos en la entidad, de acuerdo con cronograma, 
5.	Apoyar la ejecución de las pruebas de contingencia operativas y técnicas, así como en el seguimiento a las pruebas de proveedores. 
6.	Dar respuesta a la ejecución de acciones o mejoras frente a requerimientos internos y/o externos. 
7.	Generar conceptos de continuidad de negocio y de riesgos no financieros, asignados por el supervisor, que requieran las áreas, de acuerdo con las políticas de la Entidad, normas externas existentes y buenas prácticas.
8.	Proyectar el Comité de Riesgos y Junta Directiva en los temas de responsabilidad, para aprobación del supervisor. 
9.	Revisar y apoyar las estrategias de contingencia 
10.	Analizar en los proyectos de la entidad los riesgos, conceptos o lo que se requiera, para nuevos productos, procesos relacionados con plan de continuidad de negocios y riesgo operacional. 
11.	Analizar los requerimientos de acuerdos estratégicos y/o contratación en materia de plan de continuidad y/o riesgo operacional. 
12.	Revisar el cumplimiento del Plan de Continuidad del Negocio con respecto de las normas colombianas en esta materia, así como las buenas prácticas correspondientes. 
13.	Atender los requerimientos normativos bajo las normas Circular 025 del 2022 SFC, buena práctica ISO22301:2019, normas de Superfinanciera y demás que se generen y aquellos que soliciten los Entes de Control y demás entidades que requieran la participación del Icetex. 
14.	Apoyar en la construcción de cultura de prevención y atención del plan de continuidad de negocio de la entidad. 
15.	Asistir y/o participar en las reuniones programadas previo acuerdo con el Supervisor del contrato. 
16.	Las demás obligaciones que sean acordes con el objeto contractual asignado por la supervisión del contrato. 
17.	Elaborar informes relacionados con la ejecución de su objeto contractual y obligaciones, cuando le sean solicitados.
</t>
  </si>
  <si>
    <t xml:space="preserve"> 20242520001064-I Id: 4138292</t>
  </si>
  <si>
    <t>11.81</t>
  </si>
  <si>
    <t>2024-0296</t>
  </si>
  <si>
    <t>CD-297-2024</t>
  </si>
  <si>
    <t>JEFFRYD STEVEN VALENCIA PANCHE</t>
  </si>
  <si>
    <t>CDEF-307-2024</t>
  </si>
  <si>
    <t>COORDINADOR(A) GRUPO INFRAESTRUCTURA TECNOLÓGICA</t>
  </si>
  <si>
    <t xml:space="preserve">1.	Verificar condiciones operativas y técnicas previas a la ejecución de procesos de cierre en la plataforma Core. 
2.	Ejecutar los procedimientos en la plataforma tecnológica asociados al cierre de operación. 
3.	Ejecutar los planes de operación siguiendo las instrucciones y orden definidos. 
4.	Registrar en las bitácoras definidas para tal fin las tareas ejecutadas en cada operación de cierre. 
5.	Realizar la ejecución y monitoreo de la operación de cierre diario y mensual. 
6.	Verificar condiciones operativas y técnicas mínimas requeridas para la reanudación de procesos misionales soportados por la plataforma Core. 
7.	Reportar de manera inmediata incidentes bloqueantes durante la operación del cierre al soporte de primer nivel oficialmente definido 
8.	Registrar las métricas del resultado de la operación acordadas con la coordinación de infraestructura en los repositorios definidos para tal fin. 
9.	Respaldar el análisis de incidentes y problemas técnicos reportados que tengan relación u origen en la operación del cierre. 
10.	Alinear todas las actividades a los lineamientos establecidos por la Dirección de Tecnología. 
</t>
  </si>
  <si>
    <t>20243030001070-I Id: 4138399</t>
  </si>
  <si>
    <t>11.169</t>
  </si>
  <si>
    <t>2024-0297</t>
  </si>
  <si>
    <t>CD-298-2024</t>
  </si>
  <si>
    <t>DIEGO JAVIER ROJAS GÓMEZ,</t>
  </si>
  <si>
    <t>PRESTACIÓN DE SERVICIOS PROFESIONALES ESPECIALIZADOS PARA LA ARTICULACIÓN ESTRATÉGICA EN LA GESTIÓN DE LOS DESEMBOLSOS DE LOS CRÉDITOS EDUCATIVOS OTORGADOS POR LA ENTIDAD, CON RECURSOS PROPIOS O CON RECURSOS DE TERCEROS ADMINISTRADOS POR EL ICETEX.</t>
  </si>
  <si>
    <t>CDEF-580-2024</t>
  </si>
  <si>
    <t>Ejecutar las actividades tendientes al cumplimiento de la gestión de giros a beneficiarios, IES, terceros y demás aliados estratégicos de los créditos otorgados o renovados con calidad y oportunidad.
2. Asegurar los desembolsos a beneficiarios, IES, terceros y demás aliados estratégicos en los tiempos establecidos por la entidad.
3. Generar informe ejecutivo periódico con el resultado de la gestión de los desembolsos.
4. Proponer y ejecutar actividades de mejora para la Gestión del Grupo de Operaciones e implementación de cambios en la operación.
5. Seguimiento de la ejecución de los planes de mejora del Grupo de Operaciones.
6. Responder a los requerimientos internos y externos en el tiempo establecido de la Gestión de Operación de Cartera.
7. Acudir a las reuniones citadas para la supervisión del contrato o que estén relacionadas con el objeto del mismo.</t>
  </si>
  <si>
    <t>20243030001066-I Id: 4138315</t>
  </si>
  <si>
    <t>11.137</t>
  </si>
  <si>
    <t>2024-0298</t>
  </si>
  <si>
    <t>CD-299-2024</t>
  </si>
  <si>
    <t>CLAUDIA MILENA TORRES PINEDA</t>
  </si>
  <si>
    <t xml:space="preserve">Ejecutar las actividades tendientes al cumplimiento de los procesos de 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
</t>
  </si>
  <si>
    <t>20243030001053-I Id: 4138195</t>
  </si>
  <si>
    <t>4.42</t>
  </si>
  <si>
    <t>2024-0299</t>
  </si>
  <si>
    <t>CD-300-2024</t>
  </si>
  <si>
    <t>DIEGO LEONARDO RINCON</t>
  </si>
  <si>
    <t>CDEF-389-2024</t>
  </si>
  <si>
    <t xml:space="preserve">OBLIGACIONES ESPECÍFICAS DEL CONTRATISTA	1.	Elaborar y entregar plan de trabajo para aprobación del supervisor del contrato, de conformidad con las estipulaciones contractuales.
2.	Realizar monitoreos y auditorías de calidad a los canales de servicio y comerciales de la entidad, con el fin de identificar oportunidades de mejora y generar las alertas correspondientes de manera oportuna.
3.	Acompañar el diseño y los ajustes necesarios a los protocolos de atención, matrices de calidad, plantillas y guiones de los canales de servicio y comerciales, que contribuyan a mejorar la experiencia y satisfacción de los grupos de interés de la entidad.
4.	Analizar el resultado de los indicadores generados por el proveedor de atención al usuario relacionados con el proceso de Calidad y verificar que sean íntegros y consistentes con lo observado en los canales de servicio y comerciales.
5.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6.	Acompañar la gestión y documentación de procesos y procedimientos, cumplimiento de los indicadores, planes de acción, planes de mejoramiento, reportes, auditorías de calidad, externas e internas, eventos de riesgos de los canales de servicio y comerciales y demás resultantes del ejercicio de control y autocontrol de los macroprocesos de la Oficina de Comercial y de Mercadeo.
7.	Participar activamente en los comités de seguimiento a los canales de servicio y comerciales de la entidad, con el fin de socializar las diferentes oportunidades de mejora; estableciendo en conjunto con la operación y el proveedor de atención planes de acción.
8.	Participar activamente en espacios de acompañamiento y control a los resultados de calidad obtenidos por el proveedor de servicio en los canales de servicio y comerciales, que sean generados por Icetex o el proveedor de atención al usuario.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11.	Las demás que sean inherentes para el logro del objeto contratado, asignadas por el supervisor del contrato
</t>
  </si>
  <si>
    <t>20243030001062-I Id: 4138259</t>
  </si>
  <si>
    <t>10.90</t>
  </si>
  <si>
    <t>2024-0300</t>
  </si>
  <si>
    <t>CD-301-2024</t>
  </si>
  <si>
    <t>HASBLADY RESTREPO RAYO</t>
  </si>
  <si>
    <t>"PRESTAR SUS SERVICIOS DE APOYO TÉCNICO EN LOS TEMAS OPERATIVOS RELACIONADOS CON LA ADMINISTRACIÓN DE CONVENIOS, CONTRATOS, FONDOS, ALIANZAS Y/O PROYECTOS A CARGO LA VICEPRESIDENCIA DE FONDOS EN ADMINISTRACIÓN.
"</t>
  </si>
  <si>
    <t>CDEF-418-2024</t>
  </si>
  <si>
    <t xml:space="preserve">1	Apoyar los asuntos operativos de los Fondos a cargo la Vicepresidencia de Fondos en Administración.
2	 Apoyar la verificación de información y el cargue de la misma en las bases de datos que le sean solicitados por la Vicepresidencia de Fondos en Administración.
3	Apoyar la generación de informes y proyecciones de respuestas requeridas, en el marco del objeto contractual.
4	Apoyar la elaboración de informes de gestión de los Fondos a cargo de la Vicepresidencia de Fondos en Administración, cuando sea requerido.
5	Apoyar la creación de garantías y firma asistida de las mismas, de los Fondos a cargo de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</si>
  <si>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9.1</t>
  </si>
  <si>
    <t>2024-0301</t>
  </si>
  <si>
    <t>CD-302-2024</t>
  </si>
  <si>
    <t>WENDY MILENA DIAZ MARTINEZ</t>
  </si>
  <si>
    <t>"PRESTAR LOS SERVICIOS TÉCNICOS EN LA ATENCIÓN DE PQRS Y REQUERIMIENTOS INTERNOS Y EXTERNOS CORRESPONDIENTES AL GRUPO DE CRÉDITO A CARGO DE LA VICEPRESIDENCIA DE CRÉDITO Y COB</t>
  </si>
  <si>
    <t>CDEF-439-2024</t>
  </si>
  <si>
    <t>REMUNERACIÓN DE SERVICIOS TÉCNICOS</t>
  </si>
  <si>
    <t xml:space="preserve">IG 312001020600014 </t>
  </si>
  <si>
    <t xml:space="preserve">Gestionar las Solicitudes, Peticiones, Quejas, Reclamos y Denuncias en el aplicativo de CRM de ICETEX.
2.	Atender requerimientos externos, internos de los entes de control para los procesos y procedimientos del área por los medios que se determinen de acuerdo con los tiempos establecidos. 
3.	Apoyar las actualizaciones de los contenidos de la página web, creación de comunicados, campañas y demás instrumentos que se requieran para los procesos y procedimientos del área.
4.	Apoyar al proceso para la firma de las garantías desmaterializadas a través de los medios que se determinen. 
5.	Proyectar capacitaciones con el fin de informar y fortalecer los procedimientos del área.
6.	Realizar pruebas de los procesos y procedimientos del área con el fin de garantizar que se encuentren correctos.
7.	Apoyar la gestión administrativa en cuanto a las actividades de archivo de los documentos contractuales, así como entregarlos a la dependencia correspondiente.
8.	Asistir y participar a las reuniones programadas.
9.	Elaborar y presentar los informes de gestión que se requieran y se relacionen con el cumplimiento del objeto contractual.
10.	Cumplir con los indicadores de gestión establecidos.
11.	Las demás obligaciones que se requieran para el cumplimiento a cabalidad del objeto contractual y que sean inherentes a la naturaleza del contrato.
Indicadores de gestión. 
</t>
  </si>
  <si>
    <t>20243030001079-I Id: 4138478</t>
  </si>
  <si>
    <t>10.88</t>
  </si>
  <si>
    <t>2024-0302</t>
  </si>
  <si>
    <t>CD-303-2024</t>
  </si>
  <si>
    <t>JOHANNA MARCELA ESCOBAR MARTINEZ</t>
  </si>
  <si>
    <t>PRESTAR SUS SERVICIOS DE APOYO TÉCNICO EN LOS TEMAS OPERATIVOS RELACIONADOS CON LA ADMINISTRACIÓN DE CONVENIOS, CONTRATOS, FONDOS, ALIANZAS Y/O PROYECTOS A CARGO LA VICEPRESIDENCIA DE FONDOS EN ADMINISTRACIÓN</t>
  </si>
  <si>
    <t>CDEF-414-2024</t>
  </si>
  <si>
    <t>20243030001071-I Id: 4138404</t>
  </si>
  <si>
    <t>10.40</t>
  </si>
  <si>
    <t>2024-0303</t>
  </si>
  <si>
    <t>CD-304-2024</t>
  </si>
  <si>
    <t>ANGEL LEONARDO JEREZ CARVAJAL</t>
  </si>
  <si>
    <t>PRESTAR SUS SERVICIOS PROFESIONALES ESPECIALIZADOS PARA PROMOVER LA CONSECUCIÓN DE RECURSOS DE TERCEROS, ORIENTADOS AL FOMENTO EDUCATIVO CONFORME LAS POLÍTICAS Y PROCEDIMIENTOS DEL ICETEX</t>
  </si>
  <si>
    <t>CDEF-286-2024</t>
  </si>
  <si>
    <t xml:space="preserve">
1.	Identificar y caracterizar la oferta de actores y recursos de terceros, que constituyan potenciales financiadores de proyectos o estrategias para fomentar el acceso y permanencia a educación superior conforme los lineamientos del Vicepresidente de Fondos en Administración.
2.	Proponer y brindar insumos que contribuyan a las estrategias orientadas al cumplimiento de las metas de la Vicepresidencia de Fondos en Administración 
3.	Proponer un portafolio de incentivos para actores del sector público y privado, que motive la generación de alianzas estratégicas con la ICETEX, para la constitución de fondos que fomenten el acceso y permanencia a la educación superior.
4.	Ejecutar la estrategia de captación y fidelización de financiadores externos, dirigida a promover la suscripción de nuevos convenios o contratos, o adición de recursos a los ya existentes, para fomentar el acceso y permanencia la educación superior.
5.	Monitorear los procesos y convocatorias que fomenten el acceso y permanencia a la educación superior.
6.	Proponer y/o revisar los procesos, procedimientos, mecanismos e instrumentos relacionados con gestión de recursos.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</si>
  <si>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20243030001083-I Id: 4138485</t>
  </si>
  <si>
    <t>4.120</t>
  </si>
  <si>
    <t>2024-0304</t>
  </si>
  <si>
    <t>CD-305-2024</t>
  </si>
  <si>
    <t>SANDRA SOFÍA OTALORA URREA</t>
  </si>
  <si>
    <t>IMPLEMENTAR ESTRATEGIAS PARA LA EJECUCIÓN DEL PLAN COMERCIAL DE LA TERRITORIAL  SUROCCIDENTE ASOCIADAS AL PORTAFOLIO DE SERVICIOS DE LCETEX EN LA REGIÓN, EN ARTICULACIÓN CON LA OFICINA COMERCIAL Y DE MERCADEO DEL NIVEL CENTRAL.</t>
  </si>
  <si>
    <t>CDEF-103-2024</t>
  </si>
  <si>
    <t>20243030001105-I Id: 4138724</t>
  </si>
  <si>
    <t>4.160</t>
  </si>
  <si>
    <t>2024-0305</t>
  </si>
  <si>
    <t>CD-306-2024</t>
  </si>
  <si>
    <t>RICARDO OLAYA LOPEZ</t>
  </si>
  <si>
    <t>IMPLEMENTAR ESTRATEGIAS PARA LA EJECUCIÓN DEL PLAN COMERCIAL DE LA TERRITORIAL ORIENTE ASOCIADAS AL PORTAFOLIO DE SERVICIOS DE LCETEX EN LA REGIÓN, EN ARTICULACIÓN CON LA OFICINA COMERCIAL Y DE MERCADEO DEL NIVEL CENTRAL</t>
  </si>
  <si>
    <t>CDEF-114-2024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</si>
  <si>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</si>
  <si>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20243030001107-I Id: 4138756</t>
  </si>
  <si>
    <t>4.166</t>
  </si>
  <si>
    <t>2024-0306</t>
  </si>
  <si>
    <t>CD-307-2024</t>
  </si>
  <si>
    <t>FHALON CECILIA ZURITA PATRON</t>
  </si>
  <si>
    <t>IMPLEMENTAR ESTRATEGIAS PARA LA EJECUCIÓN DEL PLAN COMERCIAL DE LA TERRITORIAL NORTE ASOCIADAS AL PORTAFOLIO DE SERVICIOS DE LCETEX EN LA REGIÓN, EN ARTICULACIÓN CON LA OFICINA COMERCIAL Y DE MERCADEO DEL NIVEL CENTRAL</t>
  </si>
  <si>
    <t>CDEF-319-2024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</si>
  <si>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</si>
  <si>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20243030001122-I Id: 4138911</t>
  </si>
  <si>
    <t>10.52</t>
  </si>
  <si>
    <t>2024-0307</t>
  </si>
  <si>
    <t>CD-308-2024</t>
  </si>
  <si>
    <t>ANGELA PATRICIA SANCHEZ CARVAJAL</t>
  </si>
  <si>
    <t>CDEF-280-2024</t>
  </si>
  <si>
    <t>20243030001085-I Id: 4138488</t>
  </si>
  <si>
    <t>9.21</t>
  </si>
  <si>
    <t>2024-0308</t>
  </si>
  <si>
    <t>CD-309-2024</t>
  </si>
  <si>
    <t>WENDY KATHERIN ZEA MARTINEZ</t>
  </si>
  <si>
    <t>CDEF-451-2024</t>
  </si>
  <si>
    <t xml:space="preserve">IG 312001020600012 </t>
  </si>
  <si>
    <t xml:space="preserve">.	Apoyar la elaboración estudios técnicos, cuentas de cobro, matriz de riesgo para alianzas nuevas, reglamentos operativos, modificaciones y/o prorroga y adiciones, así como realizar la parametrización de estas.  
2.	Proyectar y revisar desde el punto de vista técnico las minutas de los convenios, otros sí, actas de liquidación de las alianzas de acuerdo con la asignación definida por el área y conforme lo establecido con el aliado, así mismo elaborar y/o actualizar la ficha técnica correspondiente a cada convenio.  
3.	Revisar las solicitudes de alianzas para el comité de crédito, validación del cumplimiento de requisitos para acceder a los convenios, seguimiento de convocatoria, de las solicitudes de crédito, de presupuesto y remitir Informe de adjudicados después de los comités a los aliados estratégicos.  
4.	Realizar y validar la entrega de paz y salvo, paso al cobro, acuerdos de pago, condonaciones requeridas en el Grupo de Cartera y Cobranzas, así como realizar seguimiento a los saldos de las alianzas.  
5.	Generar Informes y estrategias para la estandarización y mejora del proceso de administración de alianzas estratégicas de acuerdo con la asignación definida por el área.  
6.	Cumplir con la gestión administrativa de acuerdo con el cronograma establecido para cada convenio, elaborando y presentando los informes de gestión que se requieran y se relacionen con el cumplimiento del objeto contractual. 
7.	Validar y apoyar las peticiones, quejas, reclamos, solicitudes, denuncias, tutelas, etc; en relación con los procesos de otorgamiento, legalización y renovación de las Alianzas Estratégicas a través del aplicativo de CRM de ICETEX o los medios que se determinen de acuerdo con los tiempos establecidos.  
8.	Realizar pruebas de los procedimientos que le sean asignados con el fin de evitar errores que afecten las solicitudes y la operatividad.  
9.	Crear Arandas, Infoservicios, actualizaciones de la página Web, campañas, documentos con el fin de mantener la información actualizada, mitigar el riesgo y reducir la cantidad de requerimientos de los procesos.  
10.	Asistir y participar a las reuniones de seguimiento programadas internas y externas.  
11.	Cumplir con los indicadores de gestión establecidos. 
12.	Las demás obligaciones que se requieran para el cumplimiento a cabalidad del objeto contractual y que sean inherentes a la naturaleza del contrato.
</t>
  </si>
  <si>
    <t>20243030001095-I Id: 4138586</t>
  </si>
  <si>
    <t>4.138</t>
  </si>
  <si>
    <t>2024-0309</t>
  </si>
  <si>
    <t>CD-310-2024</t>
  </si>
  <si>
    <t>CLAUDIA MILENA CASTILLO</t>
  </si>
  <si>
    <t>CDEF-170-2024</t>
  </si>
  <si>
    <t>20243030001117-I Id: 4138837</t>
  </si>
  <si>
    <t>13.52</t>
  </si>
  <si>
    <t>2024-0310</t>
  </si>
  <si>
    <t>CD-311-2024</t>
  </si>
  <si>
    <t>JORGE LUIS CALLE ALEMAN</t>
  </si>
  <si>
    <t>PRESTAR LOS SERVICIOS PROFESIONALES AL GRUPO DE DESARROLLO Y TRANSFORMACIÓN ORGANIZACIONAL DE LA SECRETARÍA GENERAL PARA LA IMPLEMENTACIÓN DEL PLAN ESTRATÉGICO DE TALENTO HUMANO DE ICETEX EN LA PERSPECTIVA DE BIENESTAR E INCENTIVOS, ASÍ COMO LA DEL PLAN DE GRADUALIDAD DE LAS POLÍTICAS DEL CÓDIGO PARA EL BUEN GOBIERNO.</t>
  </si>
  <si>
    <t>CDEF-358-2024</t>
  </si>
  <si>
    <t xml:space="preserve"> 1. Contribuir en la elaboración del diagnóstico de las necesidades de bienestar de los funcionarios y en la construcción del Plan Institucional de Bienestar de la entidad, conforme a la normatividad vigente. 
2. Apoyar la actualización de los manuales, procesos, procedimientos y documentos que reglamentan el Plan de Bienestar de acuerdo con la normatividad vigente. 
3. Coliderar la planeación, ejecución y control de las actividades previstas dentro del Plan Institucional de Bienestar 2024. 
4. Participar en las reuniones quincenales de evaluación y seguimiento a las actividades desarrolladas en el marco del Plan Institucional de Bienestar, proponiendo los indicadores de gestión pertinentes, así como las acciones de mejoramiento a las que haya lugar. 
5. Apoyar la implementación las políticas del Código del Buen Gobierno, enmarcado en la Iniciativa de Responsabilidad Social y Sostenibilidad Institucional, acompañando a las diferentes áreas del ICETEX en la definición y aplicación de acciones que den cumplimiento al mencionado Plan.  
6. Participar en diálogos sociales con equipos institucionales centrales y regionales, y con los diferentes grupos de interés del ICETEX, para captar necesidades y expectativas que se convertirán en estrategias de sostenibilidad; esto en el marco de la Iniciativa de Responsabilidad Social y Sostenibilidad Institucional de la Entidad. 
7. Contribuir en la formulación e implementación de los instrumentos para la medición del Modelo de cultura del ICETEX y proponer acciones de saneamiento o fortalecimiento según resultados por ejes. 
8. Apoyar al Grupo de Desarrollo y Transformación Organizacional en la gestión para la medición del Clima Laboral de la Entidad y proponer acciones para el cierre de brechas en este sentido. 
9. Las demás asignadas por el Supervisor, relacionadas con el objeto y la naturaleza del contrato.
</t>
  </si>
  <si>
    <t>1.16</t>
  </si>
  <si>
    <t>2024-0311</t>
  </si>
  <si>
    <t>CD-312-2024</t>
  </si>
  <si>
    <t>GUILLERMO LÓPEZ PUERTO</t>
  </si>
  <si>
    <t>PRESTAR LOS SERVICIOS TÉCNICOS PARA APOYAR LA ELABORACIÓN Y REALIZACIÓN DE PRODUCTOS FOTOGRÁFICOS Y AUDIOVISUALES PARA LA DIFUSIÓN DE INFORMACIÓN INTERNA DE LA OFICINA ASESORA DE COMUNICACIONES DEL ICETEX</t>
  </si>
  <si>
    <t>CDEF-159-2024</t>
  </si>
  <si>
    <t>REMUNERACIÓN SERVICIOS TÉCNICOS ODC</t>
  </si>
  <si>
    <t xml:space="preserve">IG312001020230014 </t>
  </si>
  <si>
    <t xml:space="preserve">1.	Apoyar el registro fotográfico o audiovisual de las actividades que adelante la entidad a nivel interno y externo.
2.	Apoyar la edición fotográfica de las imágenes para publicar en los diferentes canales de la entidad.
3.	Apoyar el acompañamiento y cubrimiento fotográfico o audiovisual de eventos y actividades internas y externas, ruedas de prensa, entrevistas y demás actividades asignadas por el supervisor del contrato.
4.	Apoyar la gestión de archivo audiovisual de la Oficina Asesora de Comunicaciones.
5.	El contratista deberá entregar diligenciados debidamente los F462 que respalda la autorización de cesión de imagen de sus productos fotográficos y audiovisuales de usuarios, beneficiarios o público en general que realice durante la ejecución de su contrato.
6.	El contratista deberá suministrar los equipos necesarios para el cumplimiento y desarrollo del presente objeto contractual, en condiciones eficientes y oportunas. 
7.	Administrar con plena autonomía sus equipos audiovisuales y demás herramientas que se requiere para el desarrollo del objeto, de tal manera que cualquier eventualidad el ICETEX no se haga responsable de daños o perjuicios. 
8.	Ceder los derechos patrimoniales de autor y conexos sobre las obras y documentos sometidos a registro, en cumplimiento de lo establecido en ley 23 de 1982 modificada por la ley 1450 de 2011 y 1520 de 2012.
9.	Asistir a reuniones y/o comités de conformidad con las necesidades de la entidad y la designación del supervisor del contrato. 
10.	Cumplir con los indicadores de gestión establecidos.  
11.	Las demás obligaciones que se requieran para el cumplimiento a cabalidad del objeto contractual y que sean inherentes a la naturaleza del contrato.
</t>
  </si>
  <si>
    <t>20243030001102-I Id: 4138702</t>
  </si>
  <si>
    <t>12.21</t>
  </si>
  <si>
    <t>2024-0312</t>
  </si>
  <si>
    <t>CD-313-2024</t>
  </si>
  <si>
    <t>JORGE ENRIQUE DAVILA CARDOZO</t>
  </si>
  <si>
    <t>PRESTAR LOS SERVICIOS PROFESIONALES ESPECIALIZADOS PARA LA MODERNIZACIÓN DE LAS FUNCIONES FINANCIERAS A TRAVÉS DE LA OPTIMIZACIÓN DE LOS PROCESOS DE RECAUDO Y DISPERSIÓN DE RECURSOS EN EL MARCO DEL PROYECTO DE INVERSIÓN DE BANCA ABIERTA Y TRANSPARENTE E INHOUSE BANKING</t>
  </si>
  <si>
    <t>CDEF-328-2024</t>
  </si>
  <si>
    <t>IG-332902005</t>
  </si>
  <si>
    <t xml:space="preserve">1. Realizar la estructuración y conceptualización técnica de informes y reportes asociados a la gestión bancaria que permitan consolidar la información de la entidad en el marco de modernizar las funciones financieras de la entidad. 
2. Realizar el análisis de costos, ingresos y demás conceptos asociados a los convenios bancarios de recaudo y giro de la entidad, incluyendo el levantamiento de información interna y externa, en el marco de los proyectos de inversión Inhouse Banking. 
3. Estructurar y socializar de informes, y reportes asociados a la gestión bancaria que permitan mejorar la visibilidad de la información en la entidad en el marco de modernizar las funciones financieras de la entidad.
4. Apoyar la implementación de iniciativas, programas y proyectos en el marco de las acciones para la modernización de las funciones financieras, a partir de la apropiación de buenas prácticas, estándares y la optimización de procesos en el marco de los proyectos de inversión Inhouse Banking. 
5. Elaborar informes y tableros de control de las operaciones generadas por la Dirección de Tesorería respecto a lo reportado por las Entidades Financieras en el marco de modernizar las funciones financieras de la entidad. 
6. Apoyar el desarrollo de los estudios requeridos para la implementación de mecanismos financieros que permitan mejorar el seguimiento y control de los procesos de dispersión y mecanismos de recaudo aportando al proyecto de inversión Inhouse Banking, a través de la estructuración de estudios de mercado, y la identificación de nuevas tendencias del sector financiero. 
7. Apoyar el desarrollo de iniciativas de innovación basadas en Tecnologías de la Información que fortalezcan la gestión financiera y operativa del Instituto en beneficio percibido de las audiencias objetivo, a través de la articulación de acciones con otras entidades públicas y/o privadas que permitan la implementación de iniciativas de la Vicepresidencia Financiera. 
8. Estructurar insumos técnicos para dar respuesta a los requerimientos de información solicitados por entes internos y/o externos en el marco de los proyectos de inversión Inhouse Banking, 
9. Apoyar a la Vicepresidencia Financiera en los proyectos que surjan en ejercicio de sus labores. 
10. Apoyar en el seguimiento y cumplimiento de los indicadores establecidos para el área y los procesos a cargo, con el fin de generar acciones de mejora en la gestión y operación financiera del ICETEX 
11. Dar cumplimiento a los indicadores de gestión establecidos en el contrato.
</t>
  </si>
  <si>
    <t>20243030001097-I Id: 4138634</t>
  </si>
  <si>
    <t>13.155</t>
  </si>
  <si>
    <t>2024-0313</t>
  </si>
  <si>
    <t>CD-314-2024</t>
  </si>
  <si>
    <t>CRISTIAN NICOLÁS CARDOZO GONZÁLEZ</t>
  </si>
  <si>
    <t>PRESTAR SERVICIOS PROFESIONALES JURÍDICOS PARA LA IMPLEMENTACIÓN Y DESARROLLO DEL PLAN ESTRATÉGICO DEL TALENTO HUMANO Y LA ADMINISTRACIÓN DE PERSONAL, EN EL MARCO DE LA POLÍTICA DE “GESTIÓN DEL TALENTO HUMANO”, ASÍ COMO CONTRIBUIR A MEJORAR LA OPORTUNIDAD DE LOS SERVICIOS QUE PRESTA LA ENTIDAD.</t>
  </si>
  <si>
    <t>CDEF-575-2024</t>
  </si>
  <si>
    <t>HONORARIOS -SGN</t>
  </si>
  <si>
    <t xml:space="preserve">1.	Realizar acompañamiento jurídico en la implementación y ejecución de planes y programas para el desarrollo y administración del talento humano, acorde con el objeto contractual. 
2.	Realizar acompañamiento jurídico en los procesos de selección y provisión de empleos de planta de personal de la Entidad. 
3.	Analizar, revisar, conceptuar y proyectar documentos relacionados con situaciones administrativas, nómina, seguridad y salud en el trabajo, y demás relacionadas con la gestión del talento humano. 
4.	Elaborar proyectos de actos administrativos de carácter general y particular relacionados con la gestión del Talento Humano. 
5.	Revisar, analizar integralmente y proyectar respuesta a las solicitudes, quejas, reclamos y derechos de petición realizados por los ciudadanos, dependencias, entidades y entes de control relacionado con la gestión del talento humano. 
6.	Proyectar certificados laborales, inexistencia e insuficiencia de personal respecto de las solicitudes realizadas por las dependencias de conformidad con los lineamientos internos y la normatividad vigente. 
7.	Gestionar los procesos contractuales en todas sus etapas para la gestión del Talento Humano de acuerdo con los lineamientos internos y la normatividad vigente. 
8.	Apoyar al comité estructurador y evaluador en los procesos de contratación que adelante el Grupo de Talento Humano, en el marco de los planes objeto del contrato. 
9.	Realizar el apoyo en la proyección de actas de liquidación y en la supervisión de la ejecución contractual en caso de que se requiera y según el objeto contractual. 
10.	Asistir y participar en los comités, reuniones, talleres, juntas y demás eventos que le indique el supervisor y se relacionen con el objeto del contrato. 
11.	Apoyar en la preparación y consolidación de informes de actividades relacionadas con su objeto contractual 
12.	Brindar acompañamiento jurídico a los servidores que tienen a su cargo el ejercicio de funciones en las instancias relativas a la administración de personal tales como la Comisión de Personal, el Comité Paritario de Seguridad y Salud Trabajo, el Comité de Convivencia Laboral, sindicato de trabajadores y cualquier otra derivada de la normatividad vigente y las disposiciones internas de la entidad 
13.	Apoyar las actividades relacionadas con su objeto y que le sean requeridas por su supervisor.
</t>
  </si>
  <si>
    <t>20243030001120-I Id: 4138908</t>
  </si>
  <si>
    <t>2.25</t>
  </si>
  <si>
    <t>2024-0314</t>
  </si>
  <si>
    <t>CD-315-2024</t>
  </si>
  <si>
    <t>JAIRO MARTÍN MARTÍNEZ CABRERA</t>
  </si>
  <si>
    <t>PRESTAR SERVICIOS PROFESIONALES ESPECIALIZADOS PARA EFECTUAR ANÁLISIS DE CONTEXTO, MERCADO, Y SOPORTE PARA ELABORACIÓN DE ESTUDIOS TÉCNICOS EN EL PROCESO DE FORMULACIÓN DE INICIATIVAS Y PROYECTOS QUE DESDE EL EQUIPO DE INNOVACIÓN SE LIDEREN O CUANDO SE APOYE TRANSVERSALMENTE PROYECTOS CON COMPONENTES DE INNOVACIÓN.</t>
  </si>
  <si>
    <t>HONORARIOS -OAP</t>
  </si>
  <si>
    <t xml:space="preserve">1.	Apoyar en la fase de análisis exploratoria de los proyectos liderados o apoyados por el equipo de innovación, como también en lo relacionado con la definición de los programas de trabajo para la creación de productos y/o servicios.
2.	Apoyar al equipo de innovación en la construcción de los estudios técnicos que sean necesarios, en aspectos como conocimiento del mercado, competencia, productos sustitutos, entre otros, que soporten el diseño de los nuevos servicios de apoyo educativo, crédito y financiamiento, que otorga la entidad.
3.	Participar en la definición de propuestas orientadas a proponer el desarrollo e innovación del portafolio de productos y servicios ofrecidos por la entidad, mediante el uso de técnicas de investigación.
4.	Adelantar actividades que permitan analizar políticas dentro del contexto nacional e internacional que sirvan como insumo para la toma de decisiones en los proyectos que lidere el equipo de innovación de la entidad.  
5.	Elaborar documentos de análisis que soporten la construcción de estudios técnicos específicos en los proyectos que lidere el equipo de innovación de la entidad.  
6.	Apoyar la elaboración de instrumentos, reportes y estadísticas que permitan sustentar la viabilidad de los proyectos que lidere el equipo de innovación o aquellos que le sean asignados
7.	Adelantar actividades con el equipo de innovación que permitan identificar y analizar problemas y necesidades que afecten a los beneficiarios actuales y potenciales de la entidad, con el fin de identificar soluciones innovadoras.
8.	Plantear y/o participar en acciones de ideación,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</si>
  <si>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20243030001108-I Id: 4138759</t>
  </si>
  <si>
    <t>2.22</t>
  </si>
  <si>
    <t>2024-0315</t>
  </si>
  <si>
    <t>CD-316-2024</t>
  </si>
  <si>
    <t>NANCY LILIANA BELTRÁN CRISTANCHO</t>
  </si>
  <si>
    <t>PRESTAR SERVICIOS PROFESIONALES ESPECIALIZADOS PARA LA ESTRUCTURACIÓN Y DESARROLLO DE LOS LINEAMIENTOS OPERATIVOS Y FUNCIONALES EN LAS INICIATIVAS QUE SE LIDEREN DESDE EL EQUIPO DE INNOVACIÓN O CUANDO SE
APOYE TRANSVERSALMENTE EN ACCIONES O PROYECTOS CON COMPONENTES DE INNOVACIÓN.</t>
  </si>
  <si>
    <t>CDEF-236-2024</t>
  </si>
  <si>
    <t xml:space="preserve">1.	Generar propuestas relacionadas con métodos y medidas de control que mejoren la calidad, el manejo de riesgos, la eficiencia y productividad del equipo de innovación de la entidad al planear y/o ejecutar sus proyectos o apoyar transversalmente otros proyectos con componentes de innovación. 
2.	Colaborar con distintas áreas para el desarrollo y/o mejora de sistemas, procesos, controles y procedimientos que aseguren la implementación de proyectos del equipo de innovación en la entidad. 
3.	Acompañar el desarrollo de los proyectos del equipo de innovación de la entidad hasta su finalización, informando actualizaciones de estado a las áreas interesadas. 
4.	Gestionar la entrada de los requerimientos que desde otras áreas se realicen al equipo de innovación para el apoyo transversal de proyectos con componentes de innovación. 
5.	Apoyar al equipo de innovación de la entidad en la elaboración de estudios técnicos requeridos, desde la investigación y consulta de información para contar con un análisis que facilite la posterior   implementación por parte de las áreas.
6.	Definir y gestionar acciones que optimicen los procesos internos del equipo de innovación y permitan recibir retroalimentación de otras áreas en el apoyo o desarrollo de proyectos con componentes de innovación de la entidad.
7.	Plantear y/o participar en acciones de ideación, creación y promoción de la innovación en ICETEX según como sea requerido por el equipo de innovación de la entidad y en articulación con las demás áreas de la entidad. 
8.	Cumplir con los indicadores de gestión establecidos. 
9.	Las demás que sean inherentes a la naturaleza del contrato, así como observar las recomendaciones dadas por el Supervisor de este para asegurar el cumplimiento de la finalidad del contrato, sin afectar la independencia del contratista.
</t>
  </si>
  <si>
    <t>20243030001109-I Id: 4138764</t>
  </si>
  <si>
    <t>4.167</t>
  </si>
  <si>
    <t>2024-0316</t>
  </si>
  <si>
    <t>CD-317-2024</t>
  </si>
  <si>
    <t>JOSE MIGUEL BENITEZ</t>
  </si>
  <si>
    <t>CDEF-320-2024</t>
  </si>
  <si>
    <t xml:space="preserve">OBLIGACIONES ESPECÍFICAS DEL CONTRATISTA	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</si>
  <si>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20243030001125-I Id: 4138972</t>
  </si>
  <si>
    <t>4.168</t>
  </si>
  <si>
    <t>2024-0317</t>
  </si>
  <si>
    <t>CD-318-2024</t>
  </si>
  <si>
    <t>KEVIN ANTONIO HERRERA ROMERO</t>
  </si>
  <si>
    <t>APOYAR LA EJECUCIÓN DEL PLAN COMERCIAL DE LA TERRITORIAL NORTE ASOCIADA AL PORTAFOLIO DE SERVICIOS DE ICETEX EN LA REGIÓN, EN ARTICULACIÓN CON LA OFICINA COMERCIAL Y DE MERCADEO DEL NIVEL CENTRAL.</t>
  </si>
  <si>
    <t>CDEF-321-2024</t>
  </si>
  <si>
    <t>20243030001133-I Id: 4139177</t>
  </si>
  <si>
    <t>4.121</t>
  </si>
  <si>
    <t>2024-0318</t>
  </si>
  <si>
    <t>CD-319-2024</t>
  </si>
  <si>
    <t>DIEGO FERNANDO LOZANO ARANA</t>
  </si>
  <si>
    <t>4.15</t>
  </si>
  <si>
    <t>2024-0319</t>
  </si>
  <si>
    <t>CD-320-2024</t>
  </si>
  <si>
    <t xml:space="preserve">PEDRO JOSE SOTO VARELA </t>
  </si>
  <si>
    <t>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t>
  </si>
  <si>
    <t>CDEF-098-2024</t>
  </si>
  <si>
    <t>HONORARIOS - OCM</t>
  </si>
  <si>
    <t xml:space="preserve">
1.	Elaborar y suscribir conjuntamente con el supervisor del contrato el plan de trabajo y cronograma de actividades, que permitan identificar los entregables y fechas a realizar durante la ejecución de este. 
2.	Identificar las oportunidades de mejora de los proyectos implementados, contemplando las lecciones aprendidas en las fases anteriores bajo el contrato 2022-0770. 
3.	Plantear soluciones frente a las necesidades identificadas en los proyectos de mejora continua que le sean asignados por la Oficina Comercial y de Mercadeo. 
4.	Garantizar las actividades relacionadas al seguimiento y control de los proyectos de mejora continua que le sean asignados en el marco de los procesos de la Oficina Comercial y de Mercadeo y sus diferentes equipos de trabajo. 
5.	Asegurar la salida a producción y estabilización de los proyectos asignados por la Oficina Comercial y de Mercadeo.   
6.	Apoyar las actividades propuestas por el equipo i3 en el marco del programa estratégico de la Entidad. 
7.	Ejecutar y apoyar desde el punto de vista técnico, las actividades propias de los procedimientos contractuales y/o poscontractuales que se desarrollen en el ICETEX bajo el modelo de atención 2023-2026. 
8.	Realizar labores de acompañamiento en juntas, reuniones o comités, de conformidad con las necesidades de la Entidad y la designación del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</si>
  <si>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20243030001136-I Id: 4139230</t>
  </si>
  <si>
    <t>8.8</t>
  </si>
  <si>
    <t>2024-0320</t>
  </si>
  <si>
    <t>CD-321-2024</t>
  </si>
  <si>
    <t>LILIANA MARGARITA RODRIGUEZ RODRÍGUEZ</t>
  </si>
  <si>
    <t>PRESTAR LOS SERVICIOS PROFESIONALES ESPECIALIZADOS PARA ARTICULAR ACTIVIDADES DE RELACIONAMIENTO CON RECTORES DE LAS INSTITUCIONES DE EDUCACIÓN SUPERIOR TANTO PÚBLICAS COMO PRIVADAS ASÍ COMO DE LAS ORGANIZACIONES QUE LAS AGREMIAN</t>
  </si>
  <si>
    <t>CDEF-584-2024</t>
  </si>
  <si>
    <t>HONORARIOS - PRE</t>
  </si>
  <si>
    <t xml:space="preserve">1.	Proponer estrategias para facilitar la comunicación en diferentes espacios académicos como encuentros. sesiones de trabajo y foros encaminados a la divulgación de la modernización y humanización del lCETEX ante los órganos de gobierno. rectores y equipos de trabajo de las Instituciones de Educación Superior, así como de las entidades que los representan y lo agremian.
2.	Concertar y articular sesiones que permitan la correcta divulgación y comprensión por parte de los actores de la comunidad educativa de las IES del país del proceso de modernización y humanización de la entidad. 
3.	Adelantar las acciones encaminadas a establecer el cronograma de sesiones de divulgación concertado con la entidad que se requieran llevar a cabo para socializar las nuevas estrategias y tácticas de ICETEX. ante las asociaciones que las agremian.
4.	Elaborar una propuesta de guion estratégico, para cada uno de los tipos de eventos diseñados, que permite transmitir a cada público de interés (rectores y equipos de trabajo) la socialización, divulgación y relacionamiento de los nuevos planes y proyectos de ICETEX.
5.	Adelantar acciones de acercamiento con las áreas de financiación crédito, bienestar permanencia y relaciones internacionales de las Instituciones de Educación Superior.
6.	Coordinar las visitas y mesas de trabajo regionales del presidente de la entidad, con especial énfasis en el relacionamiento con rectores, órganos de gobierno y equipos de trabajo de las IES las asociaciones que las agremian. 
7.	presentar dentro de los plazos establecidos, los informes de gestión que te sean requeridos de los trámites a su cargo.
8.	Realizar los viajes nacionales autorizados por el supervisor en cumplimiento del contrato. Cuando las necesidades del servicio así lo requieran.
9.	Presentar el reporte de avance de gestión de sus actividades contractuales, frente a los indicadores de medición establecidos para el presente contrato.
10.	Las demás obligaciones que sean acordes con el objeto contractual asignado por quien ejerza la función de la Supervisión del Contrato. 
</t>
  </si>
  <si>
    <t>20243030001134-I Id: 4139194</t>
  </si>
  <si>
    <t>4.7</t>
  </si>
  <si>
    <t>2024-0321</t>
  </si>
  <si>
    <t>CD-322-2024</t>
  </si>
  <si>
    <t xml:space="preserve">JAVIER ALEXANDER PEÑA NIVIA </t>
  </si>
  <si>
    <t>PRESTAR SERVICIOS PROFESIONALES, PARA EL DESARROLLO DE ACTIVIDADES DE CONSTRUCCIÓN DE INFORMES DE ANALÍTICA, DIMENSIONAMIENTO, SEGUIMIENTO OPERATIVO, DE PERSONAL Y CONTRACTUAL, EN EL MARCO DE LAS ACTIVIDADES DEL SERVICIO DE ATENCIÓN AL USUARIO, ASÍ COMO DE LA GESTIÓN DEL GOBIERNO DE DATOS DE LA OFICINA COMERCIAL Y DE MERCADEO</t>
  </si>
  <si>
    <t>CDEF-090-2024</t>
  </si>
  <si>
    <t xml:space="preserve">1.	Elaborar y entregar plan de trabajo y aprobación por parte del supervisor del contrato, de conformidad con las estipulaciones contractuales.
2.	Planear, gestionar y desarrollar todas las actividades tendientes a la planeación operativa de dimensionamiento personal del proceso de atención al usuario, concertado con el equipo del proveedor y el equipo operativo de Icetex
3.	Desarrollar y efectuar seguimiento a los indicadores que permitan establecer el cumplimiento del dimensionamiento pactado con el proveedor de atención al usuario, en concordancia con lo establecido en el contrato.
4.	A partir del seguimiento generar alertas y recomendaciones, y plantear recomendaciones operativas cuando se requiera
5.	Brindar insumos a partir de la data obtenida de seguimiento operativo, para la toma de decisiones, al equipo operativo y de experiencia
6.	Gestionar y administrar los trámites correspondientes a los usuarios de los sistemas de información, otorgados al proveedor de atención al usuario.
7.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Presentar, en caso de que aplique, para revisión y aprobación de la supervisión del contrato, propuestas de mejora continua, automatización e innovación de los procesos asociados a la atención de los grupos de interés.
10.	Brindar acompañamiento en relación con las actividades que le sean asignadas, en el marco de las funciones de la Oficina de Comercial y de Mercadeo.
11.	Brindar apoyo y asesoría técnica en los comités o reuniones a las que sea convocado y que la Entidad requiera acompañamiento.
12.	Participar, desde el alcance del objeto y sus obligaciones contractuales, todo el proceso de planeación, implementación y puesta en marcha, de proyectos donde participen una o más dependencias de la Entidad, de acuerdo a lo requerido por el supervisor del contrato.
13.	Las demás que sean inherentes para el logro del objeto contratado, asignadas por el supervisor del contrato
</t>
  </si>
  <si>
    <t>20243030001130-I Id: 4139092</t>
  </si>
  <si>
    <t>12.34</t>
  </si>
  <si>
    <t>2024-0322</t>
  </si>
  <si>
    <t>CD-323-2024</t>
  </si>
  <si>
    <t>WILLIAM DARIO COLMENARES CASTELLANOS</t>
  </si>
  <si>
    <t>CDEF-338-2024</t>
  </si>
  <si>
    <t xml:space="preserve"> BANCA ABIERTA Y TRANSPARENTE E INHOUSE B</t>
  </si>
  <si>
    <t xml:space="preserve">1.	Apoyar en la gestión de las herramientas y mecanismo para la verificación de la efectividad del asistente virtual del periodo objeto de actualización y mapeo de las novedades presentadas durante su ejecución. 
2.	Apoyar la articulación de las áreas involucradas para la implementación, adopción y estabilización de los evolutivos del asistente virtual, que permitan la mejora continua de los resultados de las conciliaciones y la regularización de las partidas. 
3.	Apoyar la sistematización, integración y validación de la información contable y financiera entre las herramientas tecnológicas dispuestas por la Entidad para la toma de decisiones referente al proyecto de inversión banca abierta y transparente e in house banking. 
4.	Estructurar los insumos técnicos que permitan la optimización de los procesos, mecanismos y sistemas que soportan la regularización de partidas conciliatorias. 
5.	Estructurar y realizar la conceptualización técnica de iniciativas que permitan verificar y registrar las partidas conciliatorias, garantizando la razonabilidad de los estados de cuenta, y la optimización del cierre contable y financiero. 
6.	Apoyar en el proceso de reconocimiento contable de las obligaciones a cargo del Icetex relativas a las cuentas por pagar generadas en la operación de la Entidad. 
7.	Realizar el proceso de actualización y regularización de la información contable y de cartera de los recursos en administración al cierre de cada periodo. 
8.	Elaborar los informes que sean requeridos por los constituyentes, áreas internas y externa y demás entes, incluidos los de control. 
9.	Realizar el seguimiento del cumplimiento de los indicadores establecidos para el área y los procesos a cargo, con el fin de generar acciones de mejora en la gestión y operación financiera del ICETEX 
10.	Las demás obligaciones que se requieran para el cumplimiento a cabalidad del objeto contractual y que sean inherentes a la naturaleza del contrato. 
11.	Cumplir con los indicadores de gestión establecidos.
</t>
  </si>
  <si>
    <t>20243030001128-I Id: 4139027</t>
  </si>
  <si>
    <t>12.24</t>
  </si>
  <si>
    <t>2024-0323</t>
  </si>
  <si>
    <t>CD-324-2024</t>
  </si>
  <si>
    <t xml:space="preserve">
BLEIDYS GAMEZ OLIVELLA
</t>
  </si>
  <si>
    <t>PRESTAR LOS SERVICIOS PROFESIONALES PARA SOPORTAR PROCESOS DE OPTIMIZACIÓN DEL SISTEMA DE GESTIÓN DE CALIDAD Y LA GESTIÓN INTEGRAL DE LOS RIESGOS VINCULADOS A LOS PROCESOS EJECUTADOS EN LA DIRECCIÓN DE TESORERÍA PARA EL PROYECTO DE INVERSIÓN DE BANCA ABIERTA Y TRANSPARENTE E INHOUSE BANKING</t>
  </si>
  <si>
    <t>CDEF-330-2024</t>
  </si>
  <si>
    <t xml:space="preserve">1.	Apoyar en la apropiación de estándares, procesos e indicadores que permitan estabilizar el proceso de dispersión asociado a la recepción de órdenes de pago y/o instrucciones de giro. 
2.	Apoyar en la estructuración y apropiación de indicadores para mejorar la toma de decisiones respecto de las actividades y responsabilidades del área, que permitan la adecuada gestión y seguimiento para el cumplimiento del sistema de calidad de la Dirección de Tesorería. 
3.	Elaborar informes y tableros de control de las operaciones que permitan la optimización de los procesos de la Dirección de Tesorería, el estricto cumplimiento del Sistema de Gestión de Calidad, y la Gestión Integral de Riesgo. 
4.	Realizar el seguimiento y control del arqueo, informes, y del Sistema Electrónico de Contratación Pública de acuerdo a la regulación vigente aplicable. 
5.	Validar y consolidar de los informes de ejecución de la Dirección de Tesorería, garantizando la calidad y puntualidad de la información requerida. 
6.	Apoyar en la implementación de los diversos mecanismos de control a los procedimientos establecidos, en procura de la oportuna atención, gestión y procesamiento de las operaciones realizadas por la Dirección de Tesorería. 
7.	Realizar el seguimiento y control de las acciones establecidas en los planes de mejor, políticas de mitigación de riesgos, y la optimización de procesos y procedimientos en el marco del Proyecto de inversión Banca Abierta y Transparente e Inhouse Banking. 
8.	Estructurar los insumos técnicos para dar respuesta a los requerimientos de información solicitados por entes internos y/o externos en el marco de los proyectos de inversión Inhouse Banking, 
9.	Realizar el seguimiento y cumplimiento de los indicadores establecidos para el área y los procesos a cargo, con el fin de generar acciones de mejora en la gestión y operación financiera del ICETEX. 
10.	Apoyar a la Vicepresidencia Financiera en los proyectos que surjan en ejercicio de sus labores. 
11.	Dar cumplimiento a los indicadores de gestión establecidos en el contrat
</t>
  </si>
  <si>
    <t>20243030001129-I Id: 4139043</t>
  </si>
  <si>
    <t>12.44</t>
  </si>
  <si>
    <t>2024-0324</t>
  </si>
  <si>
    <t>CD-325-2024</t>
  </si>
  <si>
    <t>PABLO ANTONIO MORENO ALVAREZ</t>
  </si>
  <si>
    <t>PRESTAR LOS SERVICIOS PROFESIONALES PARA LA IMPLEMENTACIÓN DEL MODELO DE REPORTE, GESTIÓN Y CONTROL DE LAS OBLIGACIONES TRIBUTARIAS A CARGO DEL ICETEX, GARANTIZANDO LA CONSOLIDACIÓN, CLASIFICACIÓN Y CONTABILIZACIÓN DE LA INFORMACIÓN EN MEDIOS DIGITALES DISPUESTOS POR LA ENTIDAD Y EL CUMPLIMIENTO DE PLANES DE MEJORAMIENTO A CARGO DEL ÁREA</t>
  </si>
  <si>
    <t>CDEF-348-2024</t>
  </si>
  <si>
    <t xml:space="preserve">
1.	Realizar el registro, seguimiento y control para la estabilización del proceso presentación de las declaraciones tributarias nacionales, departamentales y municipales, a través de la gestión oportuna de la preparación, elaboración y presentación de acuerdo a la normatividad aplicable y los aplicativos dispuestos por las entidades tributarias. 
2.	Realizar el registro, seguimiento y control para la estabilización del proceso de reporte de información exógena, a través de la preparación, y presentación de la información en medios magnéticos a nivel Municipal, Departamental y Nacional, cumpliendo los estándares técnicos indicados por las entidades para el año fiscal aplicable y propender por mantener consultas permanentes que anticipen la oportuna gestión en caso de rechazos o alerta de inconsistencia. 
3.	Estructurar los insumos técnicos Gestionar la elaboración de certificados tributarios desde el aplicativo o con el apoyo de las herramientas que la entidad tenga dispuestas, con diligencia y análisis previo a su emisión para garantizar la calidad de la información hacia terceros de la entidad que estén autorizados. 
4.	Realizar el soporte y gestión del proceso de recepción de cuentas, a través de la verificación de cálculo de impuestos y adecuado registro contable para garantizar una revisión integral y adecuada con el fin de obtener las cifras exactas para el pago y para la gestión de liquidación de impuestos, y demás transacciones como parte del proceso de causación para el cierre contable mensual que realiza la entidad, así como verificación de saldos y conciliación de cuentas. 
5.	Estructurar los insumos técnicos para entes externos que sean requeridas dentro del alcance del objeto contractual tendientes a dar respuesta a requerimientos dentro de su gestión, así como la proyección de comunicaciones que se requieran para la consecución de información contable y tributaria de la Entidad. 
6.	Realizar el análisis y revisión de los comprobantes contables elaborados por otros miembros del equipo para realizar validaciones del adecuado uso de cuentas contables, centros de utilidad, bases gravables, tarifas que garanticen la calidad de la información para el cumplimiento de las obligaciones de información contable y tributaria a los usuarios de la información. 
7.	Apoyar la parametrización de cuentas contables, actualización de terceros y demás que se requieran en el aplicativo financiero, para contribuir a la automatización de los registros contables a cargo de la Dirección de Contabilidad con el fin de mitigar errores y fortalecer la calidad de la información. 
8.	Apoyar el proceso de reconocimiento contable de las obligaciones a cargo del ICETEX que le sean asignadas relativas a las cuentas por pagar generadas en la operación de la Entidad. 
9.	Realizar el seguimiento y control a la actualización en los aplicativos internos, de la normativa tributaria vigente del nivel nacional y territorial, para garantizar el adecuado cumplimiento de las obligaciones tributarias a cargo de la Entidad. 
10.	Apoyar en el seguimiento y cumplimiento de los indicadores establecidos para el área y los procesos a cargo, con el fin de generar acciones de mejora en la gestión y operación financiera del ICETEX 
11.	Apoyar la redacción, seguimiento, actualización de avances y reporte de las acciones contenidas en los planes de mejoramiento, que permitan el cierre de los hallazgos identificados dentro de los plazos que se indiquen para optimizar las mejoras del área y/o de la entidad como parte del flujo continuo de los procesos. 
12.	Cumplir con los indicadores de gestión establecidos y atender las demás obligaciones que le sean requeridas y que estén relacionadas con el objeto del contrato. 
</t>
  </si>
  <si>
    <t>20243030001131-I Id: 4139158</t>
  </si>
  <si>
    <t>12.3</t>
  </si>
  <si>
    <t>2024-0325</t>
  </si>
  <si>
    <t>CD-326-2024</t>
  </si>
  <si>
    <t>CAROLINA MONTAÑO GONZALEZ</t>
  </si>
  <si>
    <t>PRESTAR LOS SERVICIOS PROFESIONALES JURÍDICOS A LA VICEPRESIDENCIA FINANCIERA PARA APOYAR LAS ACTIVIDADES NORMATIVAS Y CONTRACTUALES REQUERIDAS PARA LA ADECUADA EJECUCIÓN DE LAS FUNCIONES, E INICIATIVAS DEL ÁREA QUE PERMITAN LA MODERNIZACIÓN DE LAS FUNCIONES FINANCIERAS DEL ICETEX Y LA APROPIACIÓN DE LAS MEJORES PRÁCTICAS EN EL MARCO DE LOS PROYECTOS DE INVERSIÓN A CARGO DEL ÁREA</t>
  </si>
  <si>
    <t>CDEF-008-2024</t>
  </si>
  <si>
    <t>HONORARIOS - VFN</t>
  </si>
  <si>
    <t xml:space="preserve">IG 312001020400012 </t>
  </si>
  <si>
    <t xml:space="preserve">
1.	Apoyar en la articulación de las diferentes instancias para la estructuración y formulación de conceptos jurídicos que, en materia financiera, de derecho privado, comercial, publico o administrativo en el marco de la modernización de las funciones financieras. 
2.	Apoyar en la gestión y seguimiento de los procesos precontractuales, contractuales y poscontractuales a cargo de la Vicepresidencia Financiera y sus dependencias internas. 
3.	Apoyar en la proyección, revisión y formalización de liquidaciones a cargo de la Vicepresidencia Financiera y sus dependencias internas, realizando el seguimiento de compromisos adquiridos. 
4.	Apoyar en el análisis, interpretación y aplicación de la normativa aplicable a Entidades Financieras y comparables, en el marco de la modernización de las funciones financieras. 
5.	Realizar el seguimiento y monitoreo de los hitos legales y contractuales del área, y planificar las alertas en relación con los términos y procedimientos establecidos para adelantar los procesos de contratación de la Vicepresidencia Financiera en el marco de su competencia. 
6.	Realizar la revisión y corrección de los conceptos jurídicos, actos administrativos, documentos técnicos y contractuales, bases de datos y demás información que le sea asignada teniendo en cuenta la normativa aplicable al ICETEX. 
7.	Apoyar en la proyección, revisión o corrección de actas y demás documentos relacionados con los comités institucionales que le sean asignados, en los que deba intervenir la Vicepresidencia Financiera, realizando el seguimiento de compromisos adquiridos. 
8.	Apoyar en la articulación con instancias internas y externas para dar respuesta a requerimientos de información solicitados por entes internos y/o externos. 
9.	Apoyar en la solicitud de conceptos a diversas entidades del Estado y Órganos de Control necesarios para el adecuado desarrollo de las funciones de la dependencia. 
10.	Cumplir con los indicadores de gestión establecidos. 
11.	Las demás obligaciones que se requieran para el cumplimiento a cabalidad del objeto contractual y que sean inherentes a la naturaleza del contrato. 
</t>
  </si>
  <si>
    <t>20243030001142-I Id: 4139491</t>
  </si>
  <si>
    <t>11.19</t>
  </si>
  <si>
    <t>2024-0326
OC 123801</t>
  </si>
  <si>
    <t>800103052-8</t>
  </si>
  <si>
    <t>ORACLE COLOMBIA LTDA</t>
  </si>
  <si>
    <t>SOPORTE Y MANTENIMIENTO DEL LICENCIAMIENTO DE ORACLE</t>
  </si>
  <si>
    <t>CDEF-531-2024</t>
  </si>
  <si>
    <t>MANTENIMIENTO SOFTWARE Y SUMINISTRO DE I</t>
  </si>
  <si>
    <t>IG311002004005003</t>
  </si>
  <si>
    <t>10.54</t>
  </si>
  <si>
    <t>2024-0327</t>
  </si>
  <si>
    <t>CD-327-2024</t>
  </si>
  <si>
    <t>ZAHIRA YURANI CANTERO OSORIO</t>
  </si>
  <si>
    <t>CDEF-412-2024</t>
  </si>
  <si>
    <t xml:space="preserve">
IG312001020700012
</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</si>
  <si>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</si>
  <si>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20243030001068-I Id: 4138368</t>
  </si>
  <si>
    <t>10.28</t>
  </si>
  <si>
    <t>2024-0328</t>
  </si>
  <si>
    <t>CD-328-2024</t>
  </si>
  <si>
    <t>LEISY OLIVA SINISTERRA ROVIRA</t>
  </si>
  <si>
    <t>PRESTAR SUS SERVICIOS PROFESIONALES ESPECIALIZADOS APOYANDO LA GESTIÓN JURÍDICA DE LOS PROCESOS A CARGO DE LA VICEPRESIDENCIA DE FONDOS EN ADMINISTRACIÓN</t>
  </si>
  <si>
    <t>CDEF-294-2024</t>
  </si>
  <si>
    <t xml:space="preserve">1.	Revisar los proyectos de respuestas de peticiones internas y externas y, actos administrativos, desde el punto de vista jurídico, que le sean requeridos y que guarden relación con los procesos a cargo de la Vicepresidencia de Fondos en Administración.
2.	Apoyar la elaboración y/o actualización desde el punto de vista jurídico de los procedimientos e instrumentos internos a cargo de la Vicepresidencia de Fondos en Administración.
3.	Asesorar y emitir conceptos jurídicos que le sean solicitados y guarden relación con el objeto contractual.
4.	Apoyar la elaboración de la estrategia que permita la atención oportuna y eficiente de las de PQRSD, certificaciones derivadas de acciones judiciales, OPAS y demás trámites relacionados a cargo de la Vicepresidencia de Fondos en Administración.
5.	Apoyar el seguimiento a los compromisos generados con ocasión de la atención de PQRSD, certificaciones requeridas para la atención de acciones judiciales, OPAS y demás trámites relacionados a cargo de la Vicepresidencia de Fondos en Administración.
6.	Revisar las certificaciones requeridas por la Oficina Jurídica del ICETEX que le sean solicitados.
7.	Apoyar desde el punto de vista jurídico la elaboración y/o actualización de los procedimientos e instrumentos internos asociados a la atención de PQRSD, acciones judiciales, OPAS y demás trámites relacionados a cargo de la Vicepresidencia de Fondos en Administración.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</si>
  <si>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20243030001078-I Id: 4138475</t>
  </si>
  <si>
    <t>11.93</t>
  </si>
  <si>
    <t>2024-0329</t>
  </si>
  <si>
    <t>CD-329-2024</t>
  </si>
  <si>
    <t>MARCO ANTONIO MONTOYA MORALES</t>
  </si>
  <si>
    <t>PRESTACIÓN DE SERVICIOS PROFESIONALES DE ASESORÍA ESPECIALIZADA EN INGENIERÍA PARA LA GESTIÓN, SEGUIMIENTO Y CONTROL DE PROCESOS TI DEL ICETEX</t>
  </si>
  <si>
    <t>CDEF-500-2024</t>
  </si>
  <si>
    <t>COORDINADOR(A) GRUPO SISTEMAS DE INFORMACIÓN</t>
  </si>
  <si>
    <t xml:space="preserve">Coordinar y acompañar reuniones y mesas de trabajo con los diferentes interesados y los equipos de trabajo designados en las iniciativas a cargo de la Dirección de Tecnología.
2. Hacer el seguimiento continuo a los equipos de trabajo designados en las iniciativas a cargo de la Dirección de Tecnología, promoviendo y garantizando la ejecución para el levantamiento de datos, análisis de datos y elaboración de informes de seguimiento.
3. Hacer seguimiento a los cronogramas y demás planes de las iniciativas que se desarrollan en la Dirección de Tecnología, para su actualización y uso en el análisis de avances y elaboración de informes.
4. Identificar las necesidades de recursos para la ejecución de las iniciativas del área y apoyar a la dirección de tecnología en las gestiones requeridas para su consecución.
5. Acompañar de manera transversal las iniciativas a cargo del área, proponiendo y promoviendo acciones de mejora
6. Elaborar los informes técnicos necesarios para sustentar la toma de decisiones que deba adoptar la entidad, en el cumplimiento de las metas del área.
7. Asesorar y apoyar los proyectos de la Dirección de Tecnología, en las diferentes actividades que permitan una apropiada gestión del cambio al interior de la entidad.
8. Ejecutar, desarrollar e implementar nuevas soluciones informáticas para soportar y/o mejorar la operación de los procesos misionales del ICETEX.
</t>
  </si>
  <si>
    <t>ELERYS DAVID ROBLES GOMEZ</t>
  </si>
  <si>
    <t>CESIÓN DEL CONTRATO DE PRESTACIÓN DE SERVICIOS No. 2024-0329 SUSCRITO ENTRE EL INSTITUTO COLOMBIANO DE CRÉDITO EDUCATIVO Y ESTUDIOS TÉCNICOS EN EL EXTERIOR “MARIANO OSPINA PÉREZ” – ICETEX Y MARCO ANTONIO MONTOYA MORALES A ELERYS DAVID ROBLES GOMEZ.</t>
  </si>
  <si>
    <t>20243030001152-I Id: 4139532</t>
  </si>
  <si>
    <t>11.118</t>
  </si>
  <si>
    <t>2024-0330</t>
  </si>
  <si>
    <t>CD-330-2024</t>
  </si>
  <si>
    <t>DIANA NATALY ALJACH MOSQUERA</t>
  </si>
  <si>
    <t>PRESTACIÓN DE SERVICIOS PROFESIONALES ESPECIALIZADOS PARA LA DEPURACIÓN, AJUSTE, GENERACIÓN Y VALIDACIÓN DE INFORMACIÓN DE LOS CRÉDITOS DEL ICETEX</t>
  </si>
  <si>
    <t>CDEF-539-2024</t>
  </si>
  <si>
    <t>20243030001187-I Id: 4139890</t>
  </si>
  <si>
    <t>11.171</t>
  </si>
  <si>
    <t>2024-0331</t>
  </si>
  <si>
    <t>CD-331-2024</t>
  </si>
  <si>
    <t>MARIANA TRIANA CÁRDENAS</t>
  </si>
  <si>
    <t>PRESTACIÓN DE LOS SERVICIOS PROFESIONALES ESPECIALIZADOS PARA LA PREPARACIÓN Y LIQUIDACIÓN DE LOS DESEMBOLSOS EDUCATIVOS OTORGADOS CON RECURSOS PROPIOS O CON RECURSOS DE TERCEROS ADMINISTRADOS POR EL ICETEX</t>
  </si>
  <si>
    <t>CDEF-538-2024</t>
  </si>
  <si>
    <t xml:space="preserve">Contribuir en el análisis y gestión de giros a beneficiarios, IES, terceros y demás aliados estratégicos de los créditos otorgados o renovados con calidad y oportunidad. 
2.	Realizar el seguimiento a las novedades de giros para su trámite, a través de la generación y preparación de informes que se requieran en el desarrollo de las actividades a su cargo.
3.	Gestionar y/o responder a los requerimientos internos y externos de giros como; PQRS, SIC, TUTELAS, defensor del consumidor financiero, entre otros.
4.	Cumplir con los procesos y procedimientos adoptados por la Entidad en el Sistema de gestión de Calidad.
5.	Acudir a las reuniones citadas para la supervisión del contrato o que estén relacionadas con el objeto de este.
6.	Realizar las demás actividades que le sean asignadas por el supervisor designado para tal fin.
</t>
  </si>
  <si>
    <t>20243030001188-I Id: 4139898</t>
  </si>
  <si>
    <t>10.64</t>
  </si>
  <si>
    <t>2024-0332</t>
  </si>
  <si>
    <t>CD-332-2024</t>
  </si>
  <si>
    <t>PAOLA ALEJANDRA PEREZ VEGA</t>
  </si>
  <si>
    <t>CDEF-407-2024</t>
  </si>
  <si>
    <t>20243030001063-I Id: 4138277</t>
  </si>
  <si>
    <t>11.136</t>
  </si>
  <si>
    <t>2024-0333</t>
  </si>
  <si>
    <t>CD-333-2024</t>
  </si>
  <si>
    <t>INGRID PAOLA PARRA SANCHEZ</t>
  </si>
  <si>
    <t>PRESTACIÓN DE SERVICIOS PROFESIONALES ESPECIALIZADOS PARA LA ARTICULACIÓN ESTRATÉGICA EN LA CONCILIACIÓN Y DEPURACIÓN DE LAS CUENTAS PUENTES CONTABLES DE LA CARTERA, DE ACUERDO CON LAS NORMAS Y REGULACIONES CONTABLES EN EL ICETEX</t>
  </si>
  <si>
    <t>CDEF-541-2024</t>
  </si>
  <si>
    <t xml:space="preserve">	Realizar las conciliaciones de la cartera del ICETEX, según las necesidades y actividades tendientes al cumplimiento de los procedimientos de Administración de la Cartera. 
2.	Asegurar el cierre de la conciliación asignada, con el mínimo de diferencias; así mismo que se vea reflejado en la cartera como en la contabilidad cuando este se requiera o según lo establecido en los convenios del ICETEX. 
3.	Proponer y ejecutar actividades de mejora para la Gestión del Grupo de Operaciones e identificar las necesidades de estructuración e implementación de cambios en la operación. 
4.	Reportar situaciones evidenciadas en la cartera que estén generando inconsistencias y realizar seguimiento a los requerimientos tecnológicos u otros, hasta su solución requerida. 
5.	Responder a los requerimientos internos y externos del Grupo de Operaciones en el tiempo establecido. 
6.	Acudir a las reuniones citadas para la supervisión del contrato o que estén relacionadas con el objeto del mismo.
</t>
  </si>
  <si>
    <t>20243030001196-I Id: 4140021</t>
  </si>
  <si>
    <t>3.12</t>
  </si>
  <si>
    <t>2024-0334</t>
  </si>
  <si>
    <t>CD-334-2024</t>
  </si>
  <si>
    <t>OLGA LUCIA GIRALDO DURAN</t>
  </si>
  <si>
    <t>PRESTAR LOS SERVICIOS PROFESIONALES JURÍDICOS ESPECIALIZADOS EN EL DESARROLLO Y REPRESENTACIÓN DEL ICETEX, DIRIGIDO A LA IMPLEMENTACIÓN DE LA DEFENSA JURÍDICA DE LA ENTIDAD EN LA JURISDICCIÓN DE LO CONTENCIOSO ADMINISTRATIVO Y EN ASUNTOS CONTRACTUALES</t>
  </si>
  <si>
    <t>CDEF-564-2024</t>
  </si>
  <si>
    <t xml:space="preserve">
1. Implementar las políticas y ejercer la defensa jurídica de la entidad frente a las actuaciones
administrativas y/o judiciales en derecho administrativo y contractual, de conformidad con el
poder otorgado. 
2. Asesorar y conceptuar jurídicamente por escrito en todos los asuntos de carácter administrativo y/o judiciales en derecho administrativo y contractual que se le consulten por
parte de la supervisión, así como colaborar en la formulación y aplicación de normas en los
asuntos que tenga injerencia directa la Oficina Asesora Jurídica. 
3. Asesorar a las áreas de la entidad que soliciten el apoyo a la Oficina Asesora Jurídica, en
trámites relacionados con organismos públicos o privados en materia de derecho administrativo y/o judiciales en derecho administrativo y contractual. 
4. Allegar a la Oficina Jurídica en forma mensual y/o cuando existan movimientos procesales,
las correspondientes copias físicas y/o en medio magnético de las piezas procesales y demás
documentos que radique, solicite u obtenga, en los diferentes despachos judiciales en desarrollo de sus actividades judiciales, habida cuenta que hace parte del seguimiento a proceso del cual se constituya como apoderado, así como apoyar la elaboración de los
informes que sean requeridos a esta oficina por parte de los entes de control. 
5. Reportar con cinco (05) días de antelación a la celebración de las audiencias, la hora y fecha fijada elaborando y allegando según el caso, oportunamente al Comité de Defensa Judicial, las fichas técnicas para el trámite procedente. 
6. Gestionar y actualizar permanentemente la herramienta E-kogui en aplicación de las políticas de defensa prejurídica y jurídica de la entidad. 
7. Asistir al Comité de Conciliación o cualquier instancia de la entidad cuando ello sea requerido para asesorar y rendir concepto en la implementación de las políticas de defensa prejurídica y jurídica de la entidad. 
8. Asistir a la entidad y ejercer la representación en instancias prejudiciales, según le sean
asignados por el supervisor del contrato. 
9. Calificar el riesgo de los procesos judiciales a su cargo conforme a las políticas de defensa
jurídica de la entidad. 
10. Rendir los conceptos requeridos en el marco de las políticas de defensa jurídica y prevención del daño antijurídico a través de la herramienta E-kogui. 
11. Gestionar los documentos conforme a las políticas de gestión documental que para el efecto disponga la Entidad, para las comunicaciones que deba generar en cumplimiento del contrato. 
12. Asumir los diferentes costos por concepto de gastos, tales como: expedición de fotocopias, desarchive de procesos, autenticaciones y otros gastos de similar condición, toda vez que se encuentran contemplados dentro de los honorarios a pagar. 
13.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14. Presentar el correspondiente informe al cierre del periodo junto con las evidencias que lo 
soportes, presentando en documento individual y adjunto al informe el cumplimiento del 100%
de los indicadores de gestión establecidos. 
15. Asistir y participar de las reuniones presenciales y/o virtuales a las que sea convocado por parte de la Oficina Asesora Jurídica o de las demás dependencias de la entidad. 
16. Elaborar y radicar los documentos correspondientes en la oportunidad y de acuerdo con las directrices establecidas por la entidad, para el cobro mensual de los honorarios. 
17. Desarrollar las acciones asignadas tendientes al mejoramiento continuo de conformidad con las políticas de calidad implementadas en la entidad y que impacten favorablemente el
desarrollo de las metas del proyecto apoyado.  
18. Atender los demás asuntos que, de conformidad con el objeto contractual, le sean
asignados por la Oficina Asesora Jurídica.
</t>
  </si>
  <si>
    <t>20243030001192-I Id: 4140008</t>
  </si>
  <si>
    <t>13.56</t>
  </si>
  <si>
    <t>2024-0335</t>
  </si>
  <si>
    <t>CD-335-2024</t>
  </si>
  <si>
    <t>FERNANDO GOMEZ GONZÁLEZ</t>
  </si>
  <si>
    <t>PRESTAR SERVICIOS PROFESIONALES AL GRUPO DE DESARROLLO Y TRANSFORMACIÓN ORGANIZACIONAL DE LA SECRETARIA GENERAL EN EL DESARROLLO E IMPLEMENTACIÓN DE ACCIONES QUE, MEDIANTE LA LÚDICA FACILITEN LA TRANSFORMACIÓN CULTURAL DE LA ENTIDAD, PROMUEVAN LA IMPLEMENTACIÓN DE LA ESTRATEGIA DE RESPONSABILIDAD SOCIAL INSTITUCIONAL EN EL MARCO DEL MODELO INTEGRADO DE PLANEACIÓN Y GESTIÓN - MIPG, ASÍ COMO AL PROCESO DE TRANSFORMACIÓN QUE ELLA ADELANTA, FAVORECIENDO AL CUMPLIMIENTO DE LOS OBJETIVOS EN QUE PARTICIPA LA DEPENDENCIA</t>
  </si>
  <si>
    <t>CDEF-362-2024</t>
  </si>
  <si>
    <t xml:space="preserve">1.	Apoyar en la implementación de estrategias para la apropiación del Plan Estratégico Institucional, por medio de actividades lúdicas y artísticas que permitan la apropiación y fortalecimiento de la cultura organizacional y el desarrollo de la filosofía de la responsabilidad social institucional del ICETEX.
2.	Crear libretos y guiones que sean las bases para la realización de talleres y campañas de sensibilización para la implementación del modelo de la nueva cultura del ICETEX, con base en los cuatro ejes dinámicos definidos por la entidad, a saber: Identidad y compromiso, gestión del cambio, innovación y comunicación efectiva y gestión del conocimiento y aprendizaje continuo.
3.	Realizar talleres dinámicos e interactivos que fortalezcan el desarrollo de las campañas de sensibilización en pro de la implementación del modelo de Responsabilidad Social Institucional del ICETEX, de manera articulada con el Modelo Institucional de Planeación y Gestión – MIPG de la entidad
4.	Planear la realización de capacitaciones y talleres para fortalecer el clima organizacional, en áreas como el liderazgo, el trabajo en equipo, la comunicación asertiva y la gestión del cambio, del talento humano del ICETEX. 
5.	Documentar las estrategias, talleres y metodologías utilizadas para la apropiación del Plan Estratégico Institucional, haciendo entrega de productos que garanticen la apropiación y fortalecimiento de la cultura organizacional y el desarrollo de la filosofía de la responsabilidad social institucional del ICETEX.
6.	Gestionar acciones y estrategias para la apropiación del modelo de liderazgo propuesto para el ICETEX, por medio de metodologías lúdicas y artísticas, de carácter vivencial y experiencial. 
7.	Participar en reuniones técnicas y de comités que se requieran a lo largo de la ejecución del contrato en pro de la estrategia. 
8.	Proponer nuevas ideas y estrategias de comunicación organizacional a la Secretaría General, a través de su Grupo de Desarrollo y Transformación Organizacional, que promuevan y faciliten la apropiación de la nueva cultura organizacional de la entidad por parte de sus colaboradores mediante el uso de la lúdica e implementarlas disponiendo los elementos y el registro audiovisual correspondiente, de conformidad con los lineamientos de la Oficina Asesora de Comunicaciones, cuando sea requerido.
9.	Generar nuevas metodologías y dinámicas de intervención para los talleres y capacitaciones a los equipos de trabajo de las diferentes dependencias del ICETEX.
10.	Las demás asignadas por el Supervisor, relacionadas con el objeto y la naturaleza del contrato.
</t>
  </si>
  <si>
    <t>20243030001201-I Id: 4140029</t>
  </si>
  <si>
    <t>13.55</t>
  </si>
  <si>
    <t>2024-0336</t>
  </si>
  <si>
    <t>CD-336-2024</t>
  </si>
  <si>
    <t>WILLIAM MAHECHA HERNANDEZ</t>
  </si>
  <si>
    <t>PRESTACIÓN DE SERVICIOS PROFESIONALES AL GRUPO DE DESARROLLO Y TRANSFORMACIÓN ORGANIZACIONAL DE LA SECRETARIA GENERAL PARA EL DESARROLLO, IMPLEMENTACIÓN, SEGUIMIENTO Y MEJORA CONTINUA DE LA INICIATIVA DE RESPONSABILIDAD SOCIAL Y SOSTENIBILIDAD INSTITUCIONAL CON ENFOQUE ISO 26000, Y SU ARMONIZACIÓN CON EL MODELO INTEGRADO DE PLANEACIÓN Y GESTIÓN - MIPG Y EL SISTEMA INTEGRADO DE GESTIÓN DE LA ENTIDAD, EN EL MARCO DEL PROCESO DE TRANSFORMACIÓN CULTURAL Y ORGANIZACIONAL QUE ÉSTA ADELANTA, CONTRIBUYENDO DE MANERA DIRECTA AL CUMPLIMIENTO DE LOS OBJETIVOS EN QUE PARTICIPA LA DEPENDENCIA Y LOS HITOS PREVISTOS EN SU PLAN DE ACCIÓN</t>
  </si>
  <si>
    <t>CDEF-361-2024</t>
  </si>
  <si>
    <t xml:space="preserve">1.	Realizar la articulación y alineación de las diferentes acciones para la implementación de la Iniciativa de Responsabilidad Social y Sostenibilidad Institucional del ICETEX en el marco de los planes de gradualidad asociado a los temas materiales establecidos en los propósitos de valor estratégico corporativo, social, ambiental y económico en el marco del proyecto de inversión “Transformación de la Arquitectura y la Cultura Organizacional”.
2.	Realizar apoyo a la Coordinación de Desarrollo y Transformación Organizacional de la Secretaría General del ICETEX en la definición e implementación de las acciones del Modelo Integrado de Planeación y Gestión - MIPG que le son inherentes, en el marco de sus obligaciones legales y normativas.
3.	Realizar apoyo a la Coordinación de Desarrollo y Transformación Organizacional de la Secretaría General del ICETEX en la articulación e implementación de la Iniciativa de Responsabilidad Social y Sostenibilidad Institucional - RSSI con el Modelo Integrado de Planeación y Gestión – MIPG y el Sistema Integrado de Gestión del ICETEX.
4.	Realizar apoyo a la Coordinación de Desarrollo y Transformación Organizacional de la Secretaría General del ICETEX en la planificación y seguimiento del valor estratégico de las acciones que enmarcan las políticas establecidas en el Código para el Buen Gobierno en alineación con el MIPG y la IRSS.
5.	Analizar y consolidar la información de los temas materiales (corporativo, social, ambiental y económico) en el marco de la Guía de Lineamientos requeridos para el informe de sostenibilidad anual presentado ante el Global Reporting Initiative (GRI) y la comunicación de progresividad al Pacto Global de las Naciones Unidas.
6.	Participar en las mesas de trabajo de la Red Pacto Global Red -Colombia en el marco de los compromisos establecidos en la adhesión del ICETEX y su alineación con los requerimientos de la Iniciativa de Responsabilidad Social y Sostenibilidad Institucional.
7.	Participar en la elaboración de las estrategias y acciones de socialización y apropiación de la Iniciativa de Responsabilidad Social y Sostenibilidad Institucional - IRSS del ICETEX, por parte de sus grupos de interés internos y externos.
8.	Proponer e implementar acciones de mejoramiento a la Iniciativa de Responsabilidad Social y Sostenibilidad Institucional del ICETEX; en el marco de los requerimientos del Sistema Integrado de Gestión del ICETEX.
9.	Elaborar y estandarizar los documentos requeridos en la implementación de la Iniciativa de Responsabilidad Social y Sostenibilidad Institucional, apoyándose en el equipo de desarrollo y transformación organizacional de la Secretaría General de la Entidad.
10.	Participar en las reuniones técnicas y comités que se requieran durante la ejecución del contrato y estén relacionadas con su objeto contractual.
11.	Las demás asignadas por el Supervisor, relacionadas con el objeto y la naturaleza del contrato.
</t>
  </si>
  <si>
    <t>20243030001194-I Id: 4140017</t>
  </si>
  <si>
    <t>1.8</t>
  </si>
  <si>
    <t>2024-0337</t>
  </si>
  <si>
    <t>CD-337-2024</t>
  </si>
  <si>
    <t>CARLOS FERNANDO RAMOS SANTOS</t>
  </si>
  <si>
    <t>"PRESTAR LOS SERVICIOS PROFESIONALES PLANIFICAR Y DESARROLLAR CONTENIDOS E INSUMOS PARA LA IMPLEMENTACIÓN DE ESTRATEGIAS DE COMUNICACIÓN INTERNA DE LA ENTIDAD EN ARTICULACIÓN CON LAS DIFERENTES DEPENDENCIAS INVOLUCRADAS, DE ACUERDO A LOS LINEAMIENTOS DE LA OFICINA ASESORA DE
COMUNICACIONES"</t>
  </si>
  <si>
    <t>CDEF-162-2024</t>
  </si>
  <si>
    <t xml:space="preserve">1.	Realizar el diseño y puesta en marcha de planes y estrategias para comunicaciones internas del ICETEX; así como la divulgación de información a través de canales de difusión interna de la entidad y evaluación para la vigencia 2024.
2.	Realizar la interlocución y articulación con las diferentes áreas de la entidad para la ejecución de las estrategias comunicativas internas.
3.	Desarrollar contenidos, productos y mensajes que requiera la Oficina Asesora de Comunicaciones, tanto para público interno y externo, gestionando los contenidos requeridos dentro de los canales de comunicación institucional para las partes interesadas.
4.	Realizar el seguimiento de los mecanismos estratégicos de las campañas que adelante la entidad.
5.	Realizar el seguimiento a la actualización de procesos y procedimientos que tenga actualmente la Oficina Asesora de Comunicaciones.
6.	Acompañar a la Oficina Asesora de Comunicaciones en la realización de cubrimientos periodísticos y el respectivo acompañamiento en los eventos y actividades en los que participe el ICETEX, su presidente o sus voceros, según lo disponga el jefe de esta dependencia.
7.	Ceder los derechos patrimoniales de autor y conexos sobre las obras y documentos sometidos a registro, en cumplimiento de lo establecido en ley 23 de 1982 modificada por la ley 1450 de 2011 y 1520 de 2012.
8.	Asistir a reuniones y/o comités de conformidad con el supervisor del contrato.
9.	Cumplir con los indicadores de gestión establecidos. Las demás obligaciones que se requieran para el cumplimiento a cabalidad del objeto contractual y que sean inherentes a la naturaleza del contrato.
</t>
  </si>
  <si>
    <t>20243030001195-I Id: 4140018</t>
  </si>
  <si>
    <t>6.14</t>
  </si>
  <si>
    <t>2024-0338</t>
  </si>
  <si>
    <t>CD-338-2024</t>
  </si>
  <si>
    <t>ANDREA MELISSA MORALES CANO</t>
  </si>
  <si>
    <t>PRESTAR LOS SERVICIOS PROFESIONALES PARA FORTALECER Y CONTRIBUIR A MEJORAR LA OPORTUNIDAD DE LA GESTIÓN ADMINISTRATIVA DE LOS PROCESOS ESTRATÉGICOS, MISIONALES, DE APOYO, CONTROL Y EVALUACIÓN DE LOS PROGRAMAS DEL PORTAFOLIO INTERNACIONAL EN DESARROLLO DE LA POLÍTICA DE COOPERACIÓN ACADÉMICA INTERNACIONAL E INTERINSTITUCIONAL DEL ICETEX.</t>
  </si>
  <si>
    <t>HONORARIOS - ORI</t>
  </si>
  <si>
    <t xml:space="preserve">
1. Manejar, reportar y actualizar de la información en plataforma DARUMA, retroalimentando la gestión 
de esta, en el sistema de gestión calidad, informando de ello, a la supervisión del contrato. 
2. Realizar la revisión de indicadores existentes y la formulación de los que se requieran en consonancia con las metas de la presente vigencia, teniendo como referente, la información existente, la estadística y resultados de los programas del portafolio internacional a la fecha, para revisión y validación del supervisor del contrato
3. Revisar y consolidar la información existente de los programas que hacen parte del portafolio deservicios de la Oficina de Relaciones Internacionales, presentando la proyección de la medición deindicadores de gestión y/o de resultado según corresponda, generando los reportes correspondientes,para aprobación de la Jefe de la Oficina de relaciones internacionales, previa remisión a la OficinaAsesora de Planeación. 
4. Elaborar las matrices de riesgos en los procesos precontractuales de contratos y acuerdosestratégicos, consolidando y atendiendo los requerimientos que en materia de riesgos, deba atenderla Oficina de Relaciones Internacionales.  
5. Acompañar a la Oficina de Relaciones Internacionales, en la revisión de procesos y procedimientos,gestionando cuando corresponda su actualización documental en el sistema de calidad del ICETEX. 
6. Apoyar a la Oficina de Relaciones Internacionales en las auditorías internas de gestión de procesos yexternas de calidad, consolidando la información necesaria para su atención, conforme corresponda. 
7. Gestionar y elaborar cuando corresponda la propuesta de planes de mejoramiento, acciones de mejoray demás que se requieran, presentándola a la jefe de la Oficina para su aprobación, previa remisión alas áreas competentes.  
8. Atender y dar trámite a los requerimientos, peticiones y solicitudes que la oficina de riesgos, la oficinade planeación y la oficina de control interno de gestión, haga a la Oficina de RelacionesInternacionales, relacionadas con el objeto contractual.  
9. Las demás asignadas por el supervisor y que tengan relación con el objeto del presente contrato.</t>
  </si>
  <si>
    <t>HAROLD DAVID PICO GARCÍA</t>
  </si>
  <si>
    <t>Prestar los servicios profesionales para fortalecer y contribuir a mejorar la oportunidad de la gestión administrativa de los procesos estratégicos, misionales, de apoyo, control y evaluación de los programas del portafolio internacional en desarrollo de la Política de Cooperación Académica Internacional e Interinstitucional del ICETEX</t>
  </si>
  <si>
    <t>20243030001206-I Id: 4140036</t>
  </si>
  <si>
    <t>1.12</t>
  </si>
  <si>
    <t>2024-0339</t>
  </si>
  <si>
    <t>CD-339-2024</t>
  </si>
  <si>
    <t>JENNY YOLANI RAMOS MARTIN</t>
  </si>
  <si>
    <t>PRESTAR SERVICIOS PROFESIONALES ESPECIALIZADOS PARA APOYAR LA IMPLEMENTACIÓN Y SEGUIMIENTO DE ESTRATEGIAS DE COMUNICACIÓN DIGITAL PARA LA DIVULGACIÓN DE INFORMACIÓN Y GESTIÓN DE LA ENTIDAD EN LOS ENTORNOS DIGITALES QUE MANEJA LA OFICINA ASESORA DE COMUNICACIÓN.</t>
  </si>
  <si>
    <t>CDEF-156-2024</t>
  </si>
  <si>
    <t xml:space="preserve">1.	Gestionar información sobre la implementación de las estrategias para administrar y gestionar las redes sociales oficiales del ICETEX según sea requerido por la Oficina Asesora de Comunicaciones.
2.	Gestionar el monitoreo de las redes sociales de la entidad, identificando diversos espacios online, desde redes sociales hasta blogs, portales de noticias y canales de atención al cliente para ampliar la cobertura digital en los distintos espacios digitales donde mencionen al ICETEX.
3.	Gestionar información requerida de acuerdo con la línea del sistema de gestión de calidad y el Plan Anticorrupción y de Atención al Ciudadano, campañas de comunicación digital difundidas en Sinergia donde intervenga la Oficina Asesora de Comunicaciones.
4.	Generar, redactar y realizar las parrillas de publicaciones en las redes sociales en los tiempos y formatos establecidos por el sistema de gestión de calidad de la entidad.
5.	Gestionar el seguimiento, medición y escucha activa de las estrategias de comunicación digital en redes sociales de la entidad, analizando coyunturas, alcance e influenciadores, detectando potenciales situaciones de crisis para tomar decisiones oportunas.
6.	Poner en marcha la nueva narrativa y lenguaje a través de las redes sociales de la entidad, formulando nuevas estrategias para administrar y gestionar las redes sociales en las que participa el ICETEX.
7.	Difundir las campañas de comunicación digital, en sinergia con el Gobierno Nacional, instituciones o entidades del sector.
8.	Cubrir las actividades, eventos y proyectos del ICETEX para realizar difusión en tiempo real a través de redes sociales.
9.	Gestionar las diferentes plataformas de redes sociales en las que participe el ICETEX.
10.	Asistir a reuniones y/o comités que designe el supervisor del contrato.
11.	Cumplir con los indicadores de gestión establecidos.
12.	Las demás que le sean asignadas por el supervisor del contrato.
</t>
  </si>
  <si>
    <t>20243030001210-I Id: 4140045</t>
  </si>
  <si>
    <t>4.162</t>
  </si>
  <si>
    <t>2024-0340</t>
  </si>
  <si>
    <t>CD-340-2024</t>
  </si>
  <si>
    <t>YAMIL ALBERTO ARDILA DIAZ</t>
  </si>
  <si>
    <t>IMPLEMENTAR ESTRATEGIAS PARA LA EJECUCIÓN DEL PLAN COMERCIAL DE LA TERRITORIAL ORIENTE ASOCIADAS AL PORTAFOLIO DE SERVICIOS DE LCETEX EN LA REGIÓN, EN ARTICULACIÓN CON LA OFICINA COMERCIAL Y DE MERCADEO DEL NIVEL CENTRAL”</t>
  </si>
  <si>
    <t>CDEF-116-2024</t>
  </si>
  <si>
    <t>20243030001211-I Id: 4140062</t>
  </si>
  <si>
    <t>2024-0341</t>
  </si>
  <si>
    <t>ACUERDO</t>
  </si>
  <si>
    <t>CD-341-2024</t>
  </si>
  <si>
    <t>13 IES</t>
  </si>
  <si>
    <t>900114439-4</t>
  </si>
  <si>
    <t>CORPORACIÓN UNIVERSITARIA AMERICANA</t>
  </si>
  <si>
    <t>ALBA LUCIA CORREDOR GÓMEZ</t>
  </si>
  <si>
    <t>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</si>
  <si>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4 NO APLICA</t>
  </si>
  <si>
    <t>CUANTÍA INDETERMINADA PERO DETERMINABLE AL MOMENTO DE SU LIQUIDACIÓN</t>
  </si>
  <si>
    <t>2 (MISIONAL)</t>
  </si>
  <si>
    <t>GRUPO_ACUERDOS_ESTRATÉGICOS</t>
  </si>
  <si>
    <t>JUAN GUILLERMO MURIEL</t>
  </si>
  <si>
    <t>EL OBJETO DEL PRESENTE DOCUMENTO ES PRORROGAR EL PLAZO ESTABLECIDO EN LA CLÁUSULA QUINTA Y MODIFICAR EL ANEXO DEL ACUERDO ESTRATÉGICO NO. 2024-0341.</t>
  </si>
  <si>
    <t>11.69</t>
  </si>
  <si>
    <t>2024-0342</t>
  </si>
  <si>
    <t>CD-342-2024</t>
  </si>
  <si>
    <t>CLAUDIA MARCELA LOPEZ CORREA</t>
  </si>
  <si>
    <t>PRESTACIÓN DE SERVICIOS PROFESIONALES ESPECIALIZADOS PARA LA GESTIÓN DE PROYECTOS EN EL ÁMBITO TECNOLÓGICO CON ALINEACIÓN AL CICLO DE MEJORA CONTINUA PARA EL ICETEX</t>
  </si>
  <si>
    <t>CDEF-498-2024</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</si>
  <si>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y la gestión del equipo asignado a cada uno de los proyectos por medio de las herramientas definidas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</si>
  <si>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20243030001239-I Id: 4140397</t>
  </si>
  <si>
    <t>1.13</t>
  </si>
  <si>
    <t>2024-0343</t>
  </si>
  <si>
    <t>CD-343-2024</t>
  </si>
  <si>
    <t>CARLOS JULIO GUERRERO CARO</t>
  </si>
  <si>
    <t>PRESTAR LOS SERVICIOS PARA EL DISEÑO DE CONTENIDO GRÁFICO PARA LA DIVULGACIÓN DE LA GESTIÓN E INFORMACIÓN DE LA ENTIDAD, DE ACUERDO A LOS LINEAMIENTOS DE LA OFICINA ASESORA DE COMUNICACIONES</t>
  </si>
  <si>
    <t>CDEF-455-2024</t>
  </si>
  <si>
    <t xml:space="preserve">1.	Desarrollar el diseño de material gráfico en diferentes formatos, para público interno y externo, que requiera la Oficina Asesora de Comunicaciones.
2.	Generar piezas gráficas, infografías y contenidos digitales para apoyar la divulgación de la entidad, según lineamiento de la Oficina Asesora de Comunicaciones. 
3.	Presentar metodologías vinculadas a estrategias creativas y de innovación en el marco del cambio cultural y eventos, que promuevan la apropiación del conocimiento sobre la gestión de la entidad a través de activaciones internas y externas. 
4.	Realizar la diagramación visual de cada campaña que requiera socializarse para aplicar en los distintos canales de la entidad, así como en eventos y actividades ATL y BTL donde requiera que sean implementadas por la Oficina Asesora de Comunicaciones
5.	Generar y crear conceptos de creatividad visual e imagen que requiera la Oficina Asesora de Comunicaciones.
6.	Proponer productos gráficos que sirvan para apoyar la difusión de los servicios de la entidad, según lineamiento de la Oficina Asesora de Comunicaciones.
7.	Ceder los derechos patrimoniales de autor y conexos sobre las obras y documentos sometidos a registro, en cumplimiento de lo establecido en ley 23 de 1982 modificada por la ley 1450 de 2011 y 1520 de 2012.
8.	Asistir a reuniones y/o comités que designe el supervisor del contrato.
9.	Cumplir con los indicadores de gestión establecidos.
10.	Las demás obligaciones que se requieran para el cumplimiento a cabalidad del objeto contractual y que sean inherentes a la naturaleza del contrato.
</t>
  </si>
  <si>
    <t>20243030001235-I Id: 4140357</t>
  </si>
  <si>
    <t>4.80</t>
  </si>
  <si>
    <t>2024-0344</t>
  </si>
  <si>
    <t>CD-344-2024</t>
  </si>
  <si>
    <t>JUAN DAVID SIERRA MUÑOZ</t>
  </si>
  <si>
    <t>PRESTAR SERVICIOS PROFESIONALES PARA RESPALDAR Y ORIENTAR EN LOS PROCESOS DE IDEACIÓN, PUESTA EN MARCHA Y GESTIÓN DEL DESARROLLO WEB DEL ECOSISTEMA DIGITAL EN EL MARCO DEL DESARROLLO DEL PLAN ESTRATÉGICO DE LA ENTIDAD Y LA "POLÍTICA DE GUÍA, INFORMACIÓN Y ACOMPAÑAMIENTO</t>
  </si>
  <si>
    <t>CDEF-067-2024</t>
  </si>
  <si>
    <t xml:space="preserve">Participar en la planeación, ejecución y seguimiento de las actividades que requiera la “Unidad de Entendimiento y Diseño de Experiencias” del proyecto Comunidad ICETEX.  
2.	Contribuir al desarrollo y puesta en marcha del Ecosistema Digital de Comunidad ICETEX mediante la aplicación de tecnologías para implementar soluciones avanzadas, actualizadas y eficientes. 
3.	Proponer y desarrollar funcionalidades interactivas para mejorar la experiencia del usuario y fomentar la participación activa de los beneficiarios en el Ecosistema Digital de Comunidad ICETEX. 
4.	Desarrollar y optimizar el back-end y front-end del Ecosistema Digital de Comunidad ICETEX, aplicando las mejores prácticas de programación y utilizando tecnologías relevantes para asegurar su rendimiento tecnológico y usabilidad. 
5.	Implementar pruebas exhaustivas y continuas al Ecosistema Digital de Comunidad ICETEX, para garantizar el correcto funcionamiento y la eficiencia del mismo.  
6.	Facilitar espacios de interacción con jóvenes estudiantes y usuarios en diversos territorios para asegurar su participación en el desarrollo, prototipado, validación y evolución de las experiencias de Comunidad ICETEX. 
7.	Apoyar la estandarización de los procesos de la “Unidad de Entendimiento y Diseño de Experiencias” de Comunidad ICETEX. 
8.	Asistir a reuniones y/o comités de conformidad con las necesidades de la entidad y la designación del supervisor del contrato. 
9.	Informe mensual de actividades y cumplimiento de los indicadores de gestión establecidos.
10.	Las demás obligaciones que se requieran para el cumplimiento a cabalidad del objeto contractual y que sean inherentes a la naturaleza del contrato
</t>
  </si>
  <si>
    <t>20243030001242-I Id: 4140448</t>
  </si>
  <si>
    <t>4.41</t>
  </si>
  <si>
    <t>2024-0345</t>
  </si>
  <si>
    <t>CD-345-2024</t>
  </si>
  <si>
    <t>YOLANDA RODRIGUEZ MOLINA</t>
  </si>
  <si>
    <t>PRESTAR SERVICIOS PROFESIONALES ESPECIALIZADOS PARA LA EJECUCIÓN DE ESTRATEGIAS ENCAMINADAS AL ASEGURAMIENTO DE LA CALIDAD EN LOS CANALES DE ATENCIÓN Y GESTIÓN, ASÍ COMO A LA MEJORA EN LA EXPERIENCIA Y SATISFACCIÓN DE LOS GRUPOS DE INTERÉS (BENEFICIARIOS, CIUDADANOS</t>
  </si>
  <si>
    <t>CDEF-390-2024</t>
  </si>
  <si>
    <t xml:space="preserve">1.	Elaborar y entregar plan de trabajo y cronograma de actividades para aprobación de la supervisión del contrato, de conformidad con las estipulaciones contractuales.
2.	Generar lineamientos estratégicos y tácticos para el proceso de calidad en la operación de Icetex, que conduzcan a la mejora continua, en los canales de servicio y comerciales y que aporten a incrementar la satisfacción y experiencia de los grupos de interés de la entidad.
3.	Analizar los indicadores y acuerdos de servicio establecidos para el proceso de calidad de la operación de Icetex en los canales de servicio y comerciales y proponer las acciones necesarias para garantizar la integridad de los datos y consistencia del proceso.
4.	Definir la estructura y ajustes necesarios a los protocolos de servicio y atención al usuario, matrices de calidad, plantillas y guiones de los canales de servicio y comerciales que contribuyan a mejorar la experiencia y satisfacción de los grupos de interés de la entidad.
5.	Participar, brindar apoyo, asesoría técnica y conceptual en reuniones de seguimiento, comités de entrega de resultados, comités de experiencia al usuario de los canales comerciales y de servicio de la entidad, con el fin de proponer mejoras en los procesos de calidad, satisfacción y experiencia.
6.	Participar en el fortalecimiento de la estrategia de atención a los canales de servicio y comerciales según el perfilamiento de los beneficiarios y ciudadanos, conforme a las características de la población y la caracterización de los ciudadanos establecida por el Departamento Nacional de Planeación.
7.	Asegurar el acompañamiento, gestión y documentación de procesos y procedimientos, cumplimiento de los indicadores, planes de acción, planes de mejoramiento, reportes, auditorías de calidad externas e internas, eventos de riesgos y demás resultantes del ejercicio de control y autocontrol de los macroprocesos de la Oficina de Comercial y de Mercadeo.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10.	Las demás que sean inherentes para el logro del objeto contratado, asignadas por el supervisor del contrato.
</t>
  </si>
  <si>
    <t>20243030001243-I Id: 4140540</t>
  </si>
  <si>
    <t>10.44</t>
  </si>
  <si>
    <t>2024-0346</t>
  </si>
  <si>
    <t>CD-346-2024</t>
  </si>
  <si>
    <t>DANIELA GIRALDO SERRANO</t>
  </si>
  <si>
    <t>PRESTAR SUS SERVICIOS PROFESIONALES ESPECIALIZADOS LIDERANDO LA GESTIÓN, SEGUIMIENTO Y CONTROL DE LA OPERACIÓN DE FONDOS, CONVENIOS, CONTRATOS, ALIANZAS Y/O PROYECTOS ADMINISTRADAS POR VICEPRESIDENCIA DE FONDOS EN ADMINISTRACIÓN</t>
  </si>
  <si>
    <t>CDEF-200-2024</t>
  </si>
  <si>
    <t xml:space="preserve">
1.	Orientar y efectuar seguimiento a la gestión de los procesos de otorgamiento, legalización, renovación, desembolsos, condonaciones y pasos al cobro de los fondos administrados por la Vicepresidencia de Fondos en Administración.
2.	Orientar y dar el visto bueno a los cronogramas y términos de referencia de las convocatorias abiertas, gestionadas en la Vicepresidencia de Fondos en Administración.
3.	Efectuar seguimiento y consolidar los cronogramas de las convocatorias gestionadas en la Vicepresidencia de Fondos en Administración.  
4.	Acompañar y efectuar recomendaciones en los Comités o Juntas Administradoras donde sea solicitada su participación.  
5.	Efectuar seguimiento a los compromisos derivados de los Comités o Juntas Administradoras de los fondos administrados por la Vicepresidencia de Fondos en Administración.  
6.	Efectuar seguimiento a las aprobaciones de condonaciones realizadas por las Juntas Administradoras.  
7.	Efectuar seguimiento al envío de los informes de gestión que deban presentarse a los constituyentes en el marco de las obligaciones contractuales.  
8.	Efectuar seguimiento a las modificaciones y terminación de los convenios y contratos a cargo de la Vicepresidencia de Fondos en Administración. 
9.	Orientar y revisar las respuestas a los requerimientos de los entes de control, los constituyentes y usuarios que le sean asignadas.
10.	Apoyar y brindar la información requerida para la elaboración y/o actualizaciones de los procesos y procedimientos a cargo de la Vicepresidencia de Fondos en Administración.  
11.	Garantizar la confidencialidad, reserva y privacidad de la información que por razón de sus actividades deba manejar en desarrollo del contrato. 
12.	Asistir y/o participar en los comités, mesas de trabajo y demás reuniones relacionadas con el objeto contractual.
13.	Desplazarse a las diferentes ciudades del país, en caso de ser necesario para la debida ejecución del contrato, previa coordinación con el supervisor.  
14.	Las demás asignadas por el supervisor y que tengan relación con el objeto del presente contrato.
</t>
  </si>
  <si>
    <t>6.9</t>
  </si>
  <si>
    <t>2024-0347</t>
  </si>
  <si>
    <t>CD-347-2024</t>
  </si>
  <si>
    <t>JHON STEVEN CONTRERAS MARIN</t>
  </si>
  <si>
    <t>PRESTAR LOS SERVICIOS PROFESIONALES PARA CONTRIBUIR Y FORTALECER LOS RESULTADOS DE LA GESTIÓN DE LOS PROGRAMAS DEL PORTAFOLIO INTERNACIONAL Y LA COOPERACIÓN NACIONAL E INTERNACIONAL QUE SE ENCUENTRAN ALINEADOS EN EL MARCO DE LA POLÍTICA DE COOPERACIÓN ACADÉMICA INTERNACIONAL E INTERINSTITUCIONAL DEL ICETEX</t>
  </si>
  <si>
    <t>CDEF-370-2024</t>
  </si>
  <si>
    <t xml:space="preserve"> 
1.	Establecer estrategias que permitan realizar el seguimiento a los convenios existentes, identificar y gestionar propuestas para la constitución de nuevos acuerdos estratégicos, becas y oportunidades en el exterior para colombianos. 
2.	Establecer estrategias que permitan fomentar la internacionalización de la educación superior del país a través del ICETEX y adelantar las acciones necesarias para su materialización en consonancia con las instrucciones de la Supervisión del contrato. 
3.	Apoyar el ejercicio de definición y consolidación de alianzas de cooperación nacional e internacional, asistiendo a las reuniones que se requieran, elaborando los documentos técnicos que correspondan y acompañando su implementación. 
4.	Elaborar y remitir los insumos que den cuenta del estado y seguimiento adelantado conforme a las estrategias de cooperación nacional e internacional asignadas para su gestión en la Oficina de Relaciones Internacionales. 
5.	Prestar el apoyo técnico y estratégico a los procesos y requerimientos de negociación de fondeo de recursos que adelante la Oficina de Relaciones Internacionales, conforme con la solicitud de la supervisión. 
6. Apoyar la supervisión técnica de contratos y acuerdos estratégicos, conforme a la
solicitud y designación del supervisor.
7. Proyectar para revisión, respuesta a derechos de petición asignados y suministrar
los insumos requeridos para trámite de tutelas cuando le sea requerido.
8. Mantener una relación con los cooperantes de los programas de colombianos en el
exterior y extranjeros en Colombia, de acuerdo con el programa asignado.
9. Elaborar y tramitar los documentos necesarios conforme al proceso de comisiones
establecido por el ICETEX, cuando se requiera su desplazamiento a nivel nacional o
internacional en consonancia con las funciones de la ORI y del ICETEX.
10. Las demás asignadas por la supervisión del contrato, siempre que tengan relación
con el objeto del presente contrato.
</t>
  </si>
  <si>
    <t>20243030001225-I Id: 4140267</t>
  </si>
  <si>
    <t>13.19</t>
  </si>
  <si>
    <t>2024-0348</t>
  </si>
  <si>
    <t>CD-348-2024</t>
  </si>
  <si>
    <t>PABLO ANDRES OLARTE HUGUET</t>
  </si>
  <si>
    <t>PRESTACIÓN DE SERVICIOS PROFESIONALES EN LA SECRETARIA GENERAL PARA ACOMPAÑAR Y GESTIONAR LA INSTRUCCIÓN Y SUSTANCIACIÓN DE LOS PROCESOS DISCIPLINARIOS DE CONFORMIDAD CON LA NORMATIVIDAD VIGENTE</t>
  </si>
  <si>
    <t>CDEF-602-2024</t>
  </si>
  <si>
    <t xml:space="preserve">
1.	Orientar, conceptualizar y brindar acompañamiento en el trámite de denuncias, quejas y reclamos recibidos en la Secretaría General, en cumplimiento de su función disciplinaria, con miras a establecer la actuación a seguir y proyectar oportunamente la decisión que en tal sentido corresponda. 
2.	Orientar y acompañar la instrucción de los procesos disciplinarios que sean competencia de la Secretaría General 
3.	Revisar las providencias que deban adoptarse dentro de las actuaciones disciplinarias de acuerdo con la normatividad vigente y los procedimientos establecidos, dentro de los términos de ley. 
4.	Verificar e intervenir en la práctica de pruebas y el recaudo del material probatorio que sea requerido como parte de las actuaciones disciplinarias que se adelanten, de acuerdo con los procedimientos y normas vigentes. 
5.	Verificar que las solicitudes que se presenten en desarrollo de los procesos disciplinarios sean atendidas oportunamente, de conformidad con la normatividad vigente y los lineamientos institucionales. 
6.	Orientar y acompañar el impulso procesal de todos los actos que sean necesarios para dar cumplimiento a lo decidido en cada providencia que se profiera a efectos de impulsar cada proceso que le fuere asignado. 
7.	Verificar e intervenir en las diligencias de ampliación y ratificación de queja, declaración bajo la gravedad del juramento, versión libre, visitas a cualquier dependencia de la entidad o lugar según la necesidad y la Inspección ocular a las carpetas relacionadas con el objeto de la actuación, cuando así se ordene dentro de la misma. 
8.	Revisar y orientar la sustanciación y proyección de los actos administrativos que deciden los recursos de reposición, apelación y queja que se interpongan contra las decisiones disciplinarias, de conformidad con la normatividad vigente. 
9.	Remitir las investigaciones disciplinarias que sean de competencia de la Procuraduría General de la Nación, en desarrollo del poder disciplinario preferente. 
10.	Proponer y promover junto con el Grupo de Talento Humano la formulación de políticas de capacitación y divulgación de los objetivos de la función disciplinaria. 
11.	Entregar informes cuando el supervisor le requiera. 
12.	Proyectar respuestas a peticiones internas o externas relacionadas con el objeto contractual. 
13.	Las demás relacionadas con el objeto y obligaciones a ejecutar. 
</t>
  </si>
  <si>
    <t>20243030001252-I Id: 4140675</t>
  </si>
  <si>
    <t>13.18</t>
  </si>
  <si>
    <t>2024-0349</t>
  </si>
  <si>
    <t>CD-349-2024</t>
  </si>
  <si>
    <t>MANUEL GUILLERMO MOLINA JIMENEZ</t>
  </si>
  <si>
    <t>PRESTAR LOS SERVICIOS PROFESIONALES EN LA SECRETARÍA GENERAL EJECUTANDO ACTIVIDADES DE SUSTANCIACIÓN QUE SE DEBEN SURTIR EN LAS DIFERENTES ETAPAS DE LOS PROCESOS DISCIPLINARIOS QUE ADELANTE LA ENTIDAD, DE CONFORMIDAD CON LA NORMATIVIDAD VIGENTE.</t>
  </si>
  <si>
    <t>CDEF-603-2024</t>
  </si>
  <si>
    <t xml:space="preserve">1.	Recibir, estudiar y tramitar las denuncias, quejas y reclamos recibidos en la Secretaría General, en cumplimiento de su función disciplinaria, con miras a establecer la actuación a seguir y proyectar oportunamente la decisión que en tal sentido corresponda. 
2.	Apoyar la instrucción de los procesos disciplinarios que sean competencia de la Secretaría General y proyectar las providencias que deban adoptarse dentro de las actuaciones disciplinarias de acuerdo con la normatividad vigente y los procedimientos establecidos, dentro de los términos de ley. 
3.	Solicitar y apoyar la práctica de pruebas y el recaudo del material probatorio que sea requerido como parte de las actuaciones disciplinarias que se adelanten, de acuerdo con los procedimientos y normas vigentes. 
4.	Atender las solicitudes que se presenten en desarrollo de los procesos disciplinarios, de conformidad con la normatividad vigente y los lineamientos institucionales. 
5.	Ejecutar todos los actos que sean necesarios para dar cumplimiento a lo decidido en cada providencia que se profiera a efectos de impulsar cada proceso que le fuere asignado, elaborando los oficios, memorandos, solicitudes y en general adelantando las diligencias necesarias para dar cumplimiento a la publicidad de las decisiones. así como para el acopio oportuno de las pruebas requeridas para el esclarecimiento de los hechos materia de investigación. 
6.	Adelantar las diligencias de ampliación y ratificación de queja, declaración bajo la gravedad del juramento, versión libre, visitas a cualquier dependencia de la entidad o lugar según la necesidad y la Inspección ocular a las carpetas relacionadas con el objeto de la actuación, cuando así se ordene dentro de la misma. 
7.	Apoyar en la sustanciación y proyección de los actos administrativos que deciden los recursos de reposición, apelación y queja que se interpongan contra las decisiones disciplinarias, de conformidad con la normatividad vigente. 
8.	Remitir las investigaciones disciplinarias que sean de competencia de la Procuraduría General de la Nación, en desarrollo del poder disciplinario preferente. 
9.	Participar con el Grupo de Talento Humano en la formulación de políticas de capacitación y divulgación de los objetivos de la función disciplinaria. 
10.	Las demás relacionadas con el objeto y obligaciones a ejecutar.
</t>
  </si>
  <si>
    <t>CDEF- 976 - 2024</t>
  </si>
  <si>
    <t>OTROSÍ DE ADICIÓN Y PRORROGA NO. 01 al Contrato de Prestación Servicios Profesionales No. 2024-0349</t>
  </si>
  <si>
    <t>20243030001259-I Id: 4140691</t>
  </si>
  <si>
    <t>4.6</t>
  </si>
  <si>
    <t>2024-0350</t>
  </si>
  <si>
    <t>CD-350-2024</t>
  </si>
  <si>
    <t xml:space="preserve">JUAN SEBASTIAN CAMACHO RINCON </t>
  </si>
  <si>
    <t>"PRESTAR SERVICIOS PROFESIONALES, PARA LA EXTRACCIÓN, REVISIÓN, DEPURACIÓN, GENERACIÓN Y MANTENIMIENTO DE INFORMES, PARA EFECTOS DEL SEGUIMIENTO OPERATIVO, GENERACIÓN Y MEDICIÓN DE KPI, EN EL MARCO DE LAS ACTIVIDADES DEL SERVICIO DE ATENCIÓN AL USUARIO Y ACTIVIDADES DE GESTIÓN COMERCIAL, EN EL MARCO DEL DESARROLLO DE LA GESTIÓN DEL GOBIERNO DE DATOS DE LA OFICINA COMERCIAL Y DE MERCADEO"</t>
  </si>
  <si>
    <t>CDEF-089-2024</t>
  </si>
  <si>
    <t xml:space="preserve">1.	Elaborar y entregar plan de trabajo y aprobación por parte del supervisor del contrato, de conformidad con las estipulaciones contractuales.
2.	 Generación y actualización de reportes de gestión comercial y de mercadeo, a partir del seguimiento de la convocatoria vigente
3.	Actualización reporte convocatorias Histórica, depurando y actualizando los datos a partir de los criterios definidos por el equipo de Gobierno de datos
4.	Presentar proyección y análisis de comportamiento de convocatoria, a través de modelos Estadísticos que permitan la toma de decisiones
5.	 Brindar asesoría a un modelo de seguimiento estadístico, para identificación de intenciones obtenidas por la descripción de las atenciones brindadas por los canales de servicio
6.	 Identificar a partir del modelo los posibles errores de tipificación de acuerdo a la consistencia entre la intención y la tipificación descrita.
7.	 Apoyar el acompañamiento, gestión y documentación de procesos y procedimientos, indicadores, planes de acción, planes de mejoramiento, reportes, auditorias de calidad, auditorías externas e internas, eventos de riesgos y demás, resultantes del ejercicio de control y autocontrol de los macroprocesos de la Oficina de Comercial y de Mercadeo.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Presentar, en caso de que aplique, para revisión y aprobación de la supervisión del contrato, propuestas de mejora continua, automatización e innovación de los procesos asociados a la atención de los grupos de interés.
10.	 Brindar acompañamiento para las actividades asignadas, en el marco de las funciones de la Oficina de Comercial y de Mercadeo.
11.	Brindar apoyo y asesoría técnica en los comités o reuniones a las que sea convocado y que la Entidad requiera acompañamiento.
12.	 Participar, desde el alcance del objeto y sus obligaciones contractuales, todo el proceso de planeación, implementación y puesta en marcha, de proyectos donde participen una o más dependencias de la Entidad, de acuerdo a lo requerido por el supervisor del contrato.
13.	 Las demás que sean inherentes para el logro del objeto contratado, asignadas por el supervisor del contrato.
</t>
  </si>
  <si>
    <t>20243030001241-I Id: 4140446</t>
  </si>
  <si>
    <t>11.100</t>
  </si>
  <si>
    <t>2024-0351</t>
  </si>
  <si>
    <t>CD-351-2024</t>
  </si>
  <si>
    <t>ROSLIN NAIDU LOPEZ ROA</t>
  </si>
  <si>
    <t>PRESTACIÓN DE SERVICIOS PROFESIONALES ESPECIALIZADOS COMO APOYO AL SEGUIMIENTO ADMINISTRATIVO DE PROYECTOS E INICIATIVAS CONTRACTUALES DE LA VICEPRESIDENCIA DE OPERACIONES Y TECNOLOGÍA DEL ICETEX.</t>
  </si>
  <si>
    <t>CDEF-507-2024</t>
  </si>
  <si>
    <t xml:space="preserve">1.	Procesar, consolidar y verificar la información de la ejecución contractual y presupuestal de la Vicepresidencia de Operaciones y Tecnología del ICETEX en los formatos que disponga la entidad para su control.	
2.	Apoyar y gestionar las actuaciones contractuales que requiera la Vicepresidencia de Operaciones y Tecnología del ICETEX para satisfacer el cubrimiento de las necesidades de prestación de servicios de la entidad. 
3.	Apoyar y gestionar los trámites necesarios para la correcta ejecución contractual de la prestación de servicios requeridos por la Vicepresidencia de Operaciones y Tecnología del ICETEX.	
4.	Consolidar y mantener actualizado el repositorio de expedientes contractuales de la Vicepresidencia de Operaciones y Tecnología del ICETEX. 
5.	Realizar el control integral y publicación en la plataforma SECOP de los documentos contractuales de la Vicepresidencia de Operaciones y Tecnología del ICETEX.
6.	Apoyar en la elaboración de estudios de mercado y análisis de sector de los procesos contractuales de la Vicepresidencia de Operaciones y Tecnología del ICETEX.	
7.	Gestionar el trámite necesario para la creación de usuarios en los sistemas de información de la entidad para el personal que requiera la Vicepresidencia de Operaciones y Tecnología del ICETEX.	
8.	Presentar y estructurar los informes que se requieran, así como organizar y asistir a las mesas de trabajo que deriven del normal desarrollo del objeto del contrato.
</t>
  </si>
  <si>
    <t>20243030001264-I Id: 4140719</t>
  </si>
  <si>
    <t>6.7</t>
  </si>
  <si>
    <t>2024-0352</t>
  </si>
  <si>
    <t>CD-352-2024</t>
  </si>
  <si>
    <t>ARIEL SANCHEZ PLAZAS</t>
  </si>
  <si>
    <t>PRESTAR LOS SERVICIOS PROFESIONALES ESPECIALIZADOS A LA OFICINA DE RELACIONES INTERNACIONALES PARA REALIZAR SEGUIMIENTO, APOYO TÉCNICO Y ESTRATÉGICO AL PROGRAMA BECA COLOMBIA Y LOS DEMÁS PROGRAMAS ESPECIALES DE COOPERACIÓN INTERNACIONAL EN EL MARCO DE LA POLÍTICA DE COOPERACIÓN ACADÉMICA INTERNACIONAL E INTERINSTITUCIONAL DEL ICETEX</t>
  </si>
  <si>
    <t>CDEF-368-2024</t>
  </si>
  <si>
    <t xml:space="preserve"> 1.Adelantar todos los procesos estratégicos, técnicos y administrativos gestionando cada una de las etapas de las convocatorias de los programas para extranjeros Beca Colombia, Alianza del Pacífico y programas binacionales, reportando insumos para el seguimiento de los mismos por parte de la ORI. 
2.Elaborar y presentar los planes de acción para la ejecución presupuestal, técnica y administrativa de los programas Beca Colombia, Alianza del Pacífico y programas binacionales que garanticen la operatividad de los mismos.
3.Gestionar y acompañar técnicamente y estratégicamente a la Oficina de Relaciones Internacionales en el relacionamiento con las diferentes embajadas, consulados e instituciones nacionales e internacionales que hagan fortalezcan la implementación de la estrategia de reciprocidad para extranjeros en Colombia, previa coordinación con el/la jefe de la Oficina de la ORI. 
4. Realizar el apoyo a la supervisión técnica de los contratos o convenios asignados por la Jefe de la Oficina de Relaciones internacionales. 
5. Revisar y hacer control y seguimiento a la documentación soporte de los giros que deban realizarse a los beneficiarios de los Programas Beca Colombia, Alianza del Pacifico y programas binacionales. 
6.Realizar, revisar y tramitar los términos y publicación de la convocatoria anual de Beca Colombia y la Plataforma de Movilidad Estudiantil y Académica de la Alianza del Pacífico. 
7. Implementar estrategias de seguimiento a la cooperación internacional educativa para los programas de becas binacionales con los países con los que Colombia tenga instrumentos de cooperación activos, en articulación con las entidades del orden nacional de titulares de dichos instrumentos. 
8.Servir de enlace técnico con el Ministerio de Relaciones Exteriores, la Agencia Presidencial de Cooperación Internacional APC de Colombia y realizar acompañamiento estratégico a las misiones internacionales que visiten al ICETEX. 
9. Elaborar y tramitar los documentos necesarios conforme al proceso de comisiones establecido por el ICETEX, cuando se requiera su desplazamiento a nivel nacional o internacional en consonancia con las funciones de la ORI y del ICETEX 
10. Proyectar para revisión, respuesta a derechos de petición asignados, suministrando los insumos para trámite de tutelas cuando le sea requerido y las demás actividades que se le sean solicitadas en el marco del objeto contractual.
</t>
  </si>
  <si>
    <t>20243030001227-I Id: 4140283</t>
  </si>
  <si>
    <t>4.161</t>
  </si>
  <si>
    <t>2024-0353</t>
  </si>
  <si>
    <t>CD-353-2024</t>
  </si>
  <si>
    <t>GERALDYNE ALEJANDRA CUADROS BOTELLO</t>
  </si>
  <si>
    <t>CUCUTA</t>
  </si>
  <si>
    <t xml:space="preserve">IG312001020240012  </t>
  </si>
  <si>
    <t>20243030001262-I Id: 4140712</t>
  </si>
  <si>
    <t>10.57</t>
  </si>
  <si>
    <t>2024-0354</t>
  </si>
  <si>
    <t>CD-354-2024</t>
  </si>
  <si>
    <t>PAULA ANDREA CLAROS GREGORY</t>
  </si>
  <si>
    <t>PRESTAR SUS SERVICIOS PROFESIONALES APOYANDO LAS ACTIVIDADES ADMINISTRATIVAS, OPERATIVAS, FINANCIERAS RELACIONADAS CON LOS FONDOS, CONVENIOS, CONTRATOS, ALIANZAS Y/O PROYECTOSADMINISTRADOS POR LA VICEPRESIDENCIA DE FONDOS EN ADMINISTRACIÓN CONFORME LOS PROCEDIMIENTOS ESTABLECIDOS POR EL ICETEX.</t>
  </si>
  <si>
    <t>CDEF-278-2024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</si>
  <si>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</si>
  <si>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NORMA CONSTANZA MENDOZA VELANDIA</t>
  </si>
  <si>
    <t>MARIA NOLMA ESTUPIÑAN NARANJO</t>
  </si>
  <si>
    <t>20243030001275-I Id: 4140746</t>
  </si>
  <si>
    <t>10.73</t>
  </si>
  <si>
    <t>2024-0355</t>
  </si>
  <si>
    <t>CD-355-2024</t>
  </si>
  <si>
    <t>LINA ALEJANDRA SABOGAL MARTINEZ</t>
  </si>
  <si>
    <t>CDEF-289-2024</t>
  </si>
  <si>
    <t>20243030001274-I Id: 4140745</t>
  </si>
  <si>
    <t>4.67</t>
  </si>
  <si>
    <t>2024-0356</t>
  </si>
  <si>
    <t>CD-356-2024</t>
  </si>
  <si>
    <t>JOHANNA RAQUEL GALLARDO ESTUPIÑAN</t>
  </si>
  <si>
    <t>PRESTAR SERVICIOS TÉCNICOS DE APOYO PARA LA GESTIÓN DEL MEJORAMIENTO DE LA EXPERIENCIA DE LOS GRUPOS DE INTERÉS ICETEX (BENEFICIARIOS, CIUDADANOS, IES) EN SUS INTERACCIONES CON LA ENTIDAD</t>
  </si>
  <si>
    <t>CDEF-376-2024</t>
  </si>
  <si>
    <t>REMUNERACIÓN SERVICIOS TÉCNICOS - OCM</t>
  </si>
  <si>
    <t>IG 312001020240014</t>
  </si>
  <si>
    <t xml:space="preserve">EL ICETEX pagará al CONTRATISTA el valor del contrato mediante PAGOS MENSUALES por valor de CUATRO MILLONES CUATROCIENTOS TRECE MIL OCHOCIENTOS VEINTI SEIS PESOS CON CERO CENTAVOS M/CTE ($4.413.826,00) 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Manual de Contratación del ICETEX y acorde a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personales naturales, deberán presentar junto con el informe final como requisito para el último pago, el respectivo paz y salvo de conformidad con el formato dispuesto por la entidad. F509 Formato Paz y Salvo Contratistas prestación de servicios profesionales o apoyo a la gestión, cuyo diligenciamiento se realizará conforme al Instructivo I509.
1.	Elaborar y entregar un plan de trabajo y cronograma de actividades para la aprobación de la supervisión del contrato, de acuerdo con las estipulaciones contractuales.
2.	Apoyar en la revisión de los modelos de gestión de servicio al usuario actuales que afecten a los grupos de interés del ICETEX, con el propósito de contribuir en la mejora de la experiencia del usuario.
3.	Apoyar técnicamente en el monitoreo y seguimiento de los momentos cruciales de interacción con el usuario en los canales de servicio de los proveedores con el fin de implementar acciones y actividades concretas que permitan elevar el nivel de satisfacción de los beneficiarios y/o ciudadanos.
4.	Brindar un apoyo integral en la realización de estudios de satisfacción de los usuarios y beneficiarios, a través de la aplicación de diversas herramientas de recolección de información como encuestas, grupos focales y reuniones, de acuerdo con los requerimientos establecidos en el programa estratégico de la oficina comercial y de mercadeo.
5.	Apoyar el análisis de datos estadísticos de las evaluaciones de satisfacción de los usuarios y beneficiarios, con el objetivo de obtener información que permita tomar decisiones efectivas en beneficio de los grupos de interés.
6.	Realizar seguimiento a las novedades relacionadas con la satisfacción y la insatisfacción de los usuarios y beneficiarios en las diferentes redes sociales y canales de comunicación de la entidad, identificando oportunidades de mejora y emitiendo recomendaciones sobre los productos y servicios de la entidad
7.	Acompañar los comités de experiencia al usuario, identificando y proponiendo mejoras a las casuísticas que se impactan negativamente por la gestión de los colabores de atención al usuario desde por los procesos y procedimientos de formación, calidad y operaciones
8.	Apoyar la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</si>
  <si>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20243030001288-I Id: 4153179</t>
  </si>
  <si>
    <t>2024-0357</t>
  </si>
  <si>
    <t>CD-357-2024</t>
  </si>
  <si>
    <t>892201263-1</t>
  </si>
  <si>
    <t>CORPORACIÓN UNIVERSITARIA DEL CARIBE - CECAR</t>
  </si>
  <si>
    <t>CARLOS MAURICIO GARCÍA HOYOS</t>
  </si>
  <si>
    <t>DIANA RODRIGUEZ</t>
  </si>
  <si>
    <t>El objeto del presente documento es prorrogar el plazo establecido en la cláusula quinta y modificar el “ANEXO B Fórmula aporte IES” del Acuerdo Estratégico No. 2024-0357.</t>
  </si>
  <si>
    <t>11.11</t>
  </si>
  <si>
    <t>2024-0358</t>
  </si>
  <si>
    <t>CD-358-2024</t>
  </si>
  <si>
    <t>90112115-4</t>
  </si>
  <si>
    <t>BRITEK TRIBUTO S.A.S.</t>
  </si>
  <si>
    <t>RENOVACIÓN DEL SERVICIO DE SUSCRIPCIÓN A UNA PLATAFORMA PARA LA OPERACIÓN DE FACTURACIÓN ELECTRÓNICA EN LOS TÉRMINOS EXIGIDOS POR LA DIAN</t>
  </si>
  <si>
    <t>CDEF-530-2024</t>
  </si>
  <si>
    <t xml:space="preserve">IG311002004005003 </t>
  </si>
  <si>
    <t>20243030001251-I Id: 4140672</t>
  </si>
  <si>
    <t>9.16</t>
  </si>
  <si>
    <t>2024-0359</t>
  </si>
  <si>
    <t>CD-359-2024</t>
  </si>
  <si>
    <t>MONICA MARIA MONTOYA MONTOYA</t>
  </si>
  <si>
    <t>PRESTAR LOS SERVICIOS PROFESIONALES PARA EL ANÁLISIS DE LA DOCUMENTACIÓN Y ATENCIÓN DE CASOS CORRESPONDIENTES A CRÉDITO EXTERIOR Y APOYO CONTRACTUAL Y POSCONTRACTUAL DE LOS CONTRATOS CORRESPONDIENTES AL ÁREA.</t>
  </si>
  <si>
    <t>CDEF-447-2024</t>
  </si>
  <si>
    <t xml:space="preserve">1. 	Realizar seguimiento al proceso de otorgamiento, legalización y renovación de créditos o los que se requieran que permitan brindar al área herramientas, con el fin de analizar la información recibida y la mejora continua y optimización de dichos procesos. 
2.	Consolidar e informar los resultados de los procesos y alertar en caso de que se presenten fallas operativas.
3.	Realizar la validación, verificación, control y medición de los contratos o acuerdos estratégicos. 
4.	Realizar gestión operativa del personal asignado por el operador de servicio al cliente, para dar soporte al proceso de validación y revisión de los procesos de crédito en el exterior. 
5.	Registrar los eventos de riesgos y arandas en caso de evidenciar incidencias en el proceso de otorgamiento, legalización y renovación de créditos educativos.
6.	Responder requerimientos externos o internos que le sean asignados, para los procesos de legalización y renovación de créditos educativos a través de los medios que se determinen de acuerdo con los tiempos establecidos.
7.	Realizar informes correspondientes a la operación del Grupo de Crédito, conforme a las especificaciones requeridas por el área.
8.	Realizar pruebas de los procedimientos que le sean asignados con el fin de evitar errores que afecten las solicitudes y la operatividad.
9.	Asistir y participar en las reuniones programadas.
10.	Elaborar y presentar los informes de gestión que se requieran y se relacionen con el cumplimiento del objeto contractual.
11.	Cumplir con los indicadores de gestión establecidos
12.	Las demás obligaciones que se requieran para el cumplimiento a cabalidad del objeto contractual y que sean inherentes a la naturaleza del contrato.
</t>
  </si>
  <si>
    <t>20243030001297-I Id:4153323</t>
  </si>
  <si>
    <t>10.32</t>
  </si>
  <si>
    <t>2024-0360</t>
  </si>
  <si>
    <t>CD-360-2024</t>
  </si>
  <si>
    <t>SANDRA MILENA RUBIANO PONCHE</t>
  </si>
  <si>
    <t>PRESTAR SUS SERVICIOS PARA APOYAR LA GESTIÓN OPERATIVA DE TRÁMITES Y REQUERIMIENTOS RECIBIDOS EN LA VICEPRESIDENCIA DE FONDOS EN ADMINISTRACIÓN, ASÍ COMO EL APOYO A LA GESTIÓN DOCUMENTAL QUE SE DERIVE DEL PROCESO DE ATENCIÓN DE PQRSD.</t>
  </si>
  <si>
    <t xml:space="preserve">1.	Apoyar la gestión operativa y los trámites relacionados con las PQRSD a cargo de la Vicepresidencia de Fondos en Administración y brindar los insumos que le sean requeridos y guarden relación con el objeto contractual.
2.	Apoyar la validación del cumplimiento de requisitos de condonación, conforme los documentos allegados por el beneficiario de Fondos en Administración.
3.	Actualizar la información que reposa en las bases de datos que soporta la gestión de la atención de PQRSD, certificaciones derivadas de acciones judiciales, OPAS y demás trámites relacionados a cargo de la Vicepresidencia de Fondos en Administración.
4.	Apoyar la actualización de los expedientes de gestión documental de la entidad con los soportes de la atención de PQRSD, certificaciones derivadas de acciones judiciales, OPAS y demás trámites relacionados a cargo de la Vicepresidencia de Fondos en Administración.
5.	Garantizar la confidencialidad, reserva y privacidad de la información que por razón de sus actividades deba manejar en desarrollo del contrato.
6.	Asistir y/o participar en los comités, mesas de trabajo y demás reuniones relacionadas con el objeto contractual.
7.	Desplazarse en oficinas institucionales ubicadas en ciudades o municipios distintos a Bogotá D.C, por solicitud del supervisor, previo el otorgamiento de la correspondiente autorización de desplazamiento.
8.	Las demás asignadas por el supervisor y que tengan relación con el objeto del presente contrato
</t>
  </si>
  <si>
    <t>20243030001305-I Id: 4153376</t>
  </si>
  <si>
    <t>11.102</t>
  </si>
  <si>
    <t>2024-0361</t>
  </si>
  <si>
    <t>CD-361-2024</t>
  </si>
  <si>
    <t>OTTO ALEXANDER MARTINEZ BELLO</t>
  </si>
  <si>
    <t>CDEF-513-2024</t>
  </si>
  <si>
    <t>MODERNIZACIÓN DIGITAL Y ARQUITECTURA TEC</t>
  </si>
  <si>
    <t>IG 332903001</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</si>
  <si>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y la gestión del equipo asignado a cada uno de los proyectos por medio de las herramientas definidas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</si>
  <si>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20243030001315-I Id: 4153426</t>
  </si>
  <si>
    <t>11.157</t>
  </si>
  <si>
    <t>2024-0362</t>
  </si>
  <si>
    <t>CD-362-2024</t>
  </si>
  <si>
    <t>DIANA LORENA CASTILLO CALDERON,</t>
  </si>
  <si>
    <t>CDEF-545-2024</t>
  </si>
  <si>
    <t xml:space="preserve">Realizar las conciliaciones de la cartera del ICETEX, según las necesidades y actividades tendientes al cumplimiento de los procedimientos de Administración de la Cartera. 
2.	Asegurar el cierre de la conciliación asignada, con el mínimo de diferencias; así mismo que se vea reflejado en la cartera como en la contabilidad cuando este se requiera o según lo establecido en los convenios del ICETEX. 
3.	Gestionar actividades de mejora para la conciliación de la cartera e IES e identificar las necesidades de estructuración e implementación de cambios en la operación. 
4.	Reportar situaciones evidenciadas en la cartera que estén generando inconsistencias y realizar seguimiento a los requerimientos tecnológicos u otros, hasta su solución requerida. 
5.	Responder a los requerimientos internos y externos en el tiempo establecido de la gestión del grupo de operaciones. 
6.	Acudir a las reuniones citadas para la supervisión del contrato o que estén relacionadas con el objeto de este.
</t>
  </si>
  <si>
    <t>20243030001270-I Id: 4140728</t>
  </si>
  <si>
    <t>11.135</t>
  </si>
  <si>
    <t>2024-0363</t>
  </si>
  <si>
    <t>CD-363-2024</t>
  </si>
  <si>
    <t>GUSTAVO ADOLFO BERNAL ESPITIA</t>
  </si>
  <si>
    <t>CDEF-547-2024</t>
  </si>
  <si>
    <t>20243030001269-I Id: 4140727</t>
  </si>
  <si>
    <t>11.,119</t>
  </si>
  <si>
    <t>2024-0364</t>
  </si>
  <si>
    <t>CD-364-2024</t>
  </si>
  <si>
    <t>EDGAR JOVANY JOYA CHAPARRO</t>
  </si>
  <si>
    <t>CDEF-544-2024</t>
  </si>
  <si>
    <t xml:space="preserve">Analizar y ajustar obligaciones de todos los productos del ICETEX, en los sistemas de información de la cartera de la Entidad, según corresponda. 
2.	Analizar y ajustar las Interfaces de la cartera, de acuerdo con los movimientos del mes para insumo del cierre de cartera. 
3.	Proponer y ejecutar actividades de mejora para el Grupo de Operaciones e identificar las necesidades de estructuración e implementación de cambios en la operación. 
4.	Realizar seguimiento a la aplicación de las novedades de la gestión del Grupo de Operaciones e implementar controles para su correcta liquidación.  
5.	Seguimiento de la ejecución de los planes de mejora del Grupo de Operaciones.
6.	Responder a los requerimientos internos y externos del Grupo de Operaciones en el tiempo establecido. 
7.	Acudir a las reuniones citados para la supervisión del contrato o que estén relacionadas con el objeto del mismo.
</t>
  </si>
  <si>
    <t>20243030001278-I Id: 4140751</t>
  </si>
  <si>
    <t>11.173</t>
  </si>
  <si>
    <t>2024-0365</t>
  </si>
  <si>
    <t>CD-365-2024</t>
  </si>
  <si>
    <t>YULI PAOLA DAVILA CASTAÑO</t>
  </si>
  <si>
    <t>CDEF-548-2024</t>
  </si>
  <si>
    <t>20243030001268-I Id: 4140726</t>
  </si>
  <si>
    <t>2024-0366</t>
  </si>
  <si>
    <t>CD-366-2024</t>
  </si>
  <si>
    <t>890401962-0</t>
  </si>
  <si>
    <t>UNIVERSIDAD TECNOLÓGICA DE BOLÍVAR</t>
  </si>
  <si>
    <t>ALBERTO ENRIQUE ROA VARELO</t>
  </si>
  <si>
    <t>BLANCA GOMEZ</t>
  </si>
  <si>
    <t>EL OBJETO DEL PRESENTE DOCUMENTO ES PRORROGAR EL PLAZO ESTABLECIDO EN LA CLÁUSULA QUINTA Y MODIFICAR EL “ANEXO B FÓRMULA APORTE IES” DEL ACUERDO ESTRATÉGICO NO. 2024-0366.</t>
  </si>
  <si>
    <t>11.168</t>
  </si>
  <si>
    <t>2024-0367</t>
  </si>
  <si>
    <t>CD-367-2024</t>
  </si>
  <si>
    <t>ESTEBAN JOSÉ LARA OROZCO</t>
  </si>
  <si>
    <t>CDEF-543-2024</t>
  </si>
  <si>
    <t>"Contribuir en el análisis y gestión de giros a beneficiarios, IES, terceros y demás aliados estratégicos de los créditos otorgados o renovados con calidad y oportunidad. 
2.	Realizar el seguimiento a las novedades de giros para su trámite, a través de la generación y preparación de informes que se requieran en el desarrollo de las actividades a su cargo.
3.	Gestionar y/o responder a los requerimientos internos y externos de giros como; PQRS, SIC, TUTELAS, defensor del consumidor financiero, entre otros.
4.	Cumplir con los procesos y procedimientos adoptados por la Entidad en el Sistema de gestión de Calidad.
5.	Acudir a las reuniones citadas para la supervisión del contrato o que estén relacionadas con el objeto de este.
6.	Realizar las demás actividades que le sean asignadas por el supervisor designado para tal fin.
"</t>
  </si>
  <si>
    <t>20243030001261-I Id: 4140699</t>
  </si>
  <si>
    <t>11.121</t>
  </si>
  <si>
    <t>2024-0368</t>
  </si>
  <si>
    <t>CD-368-2024</t>
  </si>
  <si>
    <t>WALTER ALEXANDER ROZO NUÑEZ</t>
  </si>
  <si>
    <t>CDEF-553-2024</t>
  </si>
  <si>
    <t xml:space="preserve">1. Realizar las conciliaciones de la cartera del ICETEX, según las necesidades y actividades tendientes al cumplimiento de los procedimientos de Administración de la Cartera. 
2.	Asegurar el cierre de la conciliación asignada, con el mínimo de diferencias; así mismo que se vea reflejado en la cartera como en la contabilidad cuando este se requiera o según lo establecido en los convenios del ICETEX. 
3.	Gestionar actividades de mejora para la conciliación de la cartera e IES e identificar las necesidades de estructuración e implementación de cambios en la operación. 
4.	Reportar situaciones evidenciadas en la cartera que estén generando inconsistencias y realizar seguimiento a los requerimientos tecnológicos u otros, hasta su solución requerida. 
5.	Responder a los requerimientos internos y externos en el tiempo establecido de la gestión del grupo de operaciones. 
6.	Acudir a las reuniones citadas para la supervisión del contrato o que estén relacionadas con el objeto de este.
</t>
  </si>
  <si>
    <t>20243030001277-I Id: 4140750</t>
  </si>
  <si>
    <t>11.170</t>
  </si>
  <si>
    <t>2024-0369</t>
  </si>
  <si>
    <t>CD-369-2024</t>
  </si>
  <si>
    <t>LORENA MARCELA REYES FLOREZ</t>
  </si>
  <si>
    <t>20243030001280-I Id: 4140753</t>
  </si>
  <si>
    <t>11.172</t>
  </si>
  <si>
    <t>2024-0370</t>
  </si>
  <si>
    <t>CD-370-2024</t>
  </si>
  <si>
    <t>MARIO ALBERTO CASTRO MARTINEZ</t>
  </si>
  <si>
    <t>CDEF-550-2024</t>
  </si>
  <si>
    <t>20243030001271-I Id: 4140739</t>
  </si>
  <si>
    <t>11.141</t>
  </si>
  <si>
    <t>2024-0371</t>
  </si>
  <si>
    <t>CD-371-2024</t>
  </si>
  <si>
    <t>MARÍA ALEJANDRA CARDOZO HERNANDEZ</t>
  </si>
  <si>
    <t>CDEF-551-2024</t>
  </si>
  <si>
    <t>20243030001279-I Id: 4140752</t>
  </si>
  <si>
    <t>12.6</t>
  </si>
  <si>
    <t>2024-0372</t>
  </si>
  <si>
    <t>CD-372-2024</t>
  </si>
  <si>
    <t xml:space="preserve">ALVARO ANDRES AGUIRRE COTE </t>
  </si>
  <si>
    <t>PRESTAR LOS SERVICIOS PROFESIONALES ESPECIALIZADOS PARA LA APROPIACIÓN DE BUENAS PRÁCTICAS Y ESTÁNDARES QUE PERMITAN FORTALECER EL DESPLIEGUE DE LAS INICIATIVAS ENCAMINADAS A LA OPTIMIZACIÓN DE LA ESTRUCTURA FINANCIERA DEL INSTITUTO Y SUS SERVICIOS FINANCIEROS, EN EL MARCO DE IMPLEMENTACIÓN DEL PROYECTO DE INVERSIÓN PARA LA DIVERSIFICACIÓN DE LAS FUENTES DE FONDEO</t>
  </si>
  <si>
    <t>CDEF-122-2024</t>
  </si>
  <si>
    <t>OPTIMIZACIÓN DEL PASIVO Y
DIVERSIFICACIÓN</t>
  </si>
  <si>
    <t xml:space="preserve">
1.	Estructurar los insumos técnicos para la adopción de marcos conceptuales, reglamentación y/o lineamientos que permitan la implementación de las iniciativas de diversificación de fuentes de financiación y la generación de eficiencias financieras para apoyar a los beneficiarios de la entidad. 
2.	Realizar la estructuración y apropiación de lineamientos, metodologías e indicadores que permitan fortalecer la gestión y gobernanza del Instituto para la apropiación de buenas prácticas y estándares que permitan fortalecer el despliegue de las iniciativas encaminadas a la optimización de la estructura financiera del Instituto y sus servicios financieros. 
3.	Identificar, analizar y apoyar la implementación de los instrumentos y/o mecanismos de financiación y fondeo que permitan la diversificación de las Fuentes de Fondeo, y la optimización del pasivo financiero del Instituto. 
4.	Apoyar la apropiación estándares, indicadores y tableros de control que permitan la Optimización de la estructura financiera del Instituto y sus servicios financieros, en procura de la consolidación de eficiencias financieras que permitan trasladar los beneficios generados para apoyar a los usuarios de crédito educativo de la entidad. 
5.	Estructurar y proyectar los indicadores, informes e insumos técnicos que permitan la optimización de la estructura financiera del Instituto y sus servicios financieros, en el marco de implementación del proyecto de inversión para la diversificación de las Fuentes de Fondeo 
6.	Apoyar en la implementación de mecanismos de participación y divulgación que permitan la mejora de la transparencia y oportunidad en la entrega de la información para los grupos de incidencia de la Vicepresidencia Financiera. 
7.	Apoyar la implementación de iniciativas, programas y proyectos en el marco de las acciones para la modernización de las funciones financieras, a partir de la apropiación de buenas prácticas, estándares y la optimización de procesos en el marco del proyecto de inversión para la diversificación de fuentes de fondeo. 
8.	Gestionar información y elaborar la respuesta de requerimientos de información solicitados por entes internos y/o externos. 
9.	Contribuir con la Vicepresidencia Financiera en la gestión de los proyectos que surjan en ejercicio de sus labores. 
10.	Cumplir con los indicadores de gestión establecidos. 
</t>
  </si>
  <si>
    <t>20243030001238-I Id: 4140387</t>
  </si>
  <si>
    <t>6.21</t>
  </si>
  <si>
    <t>2024-0373</t>
  </si>
  <si>
    <t>IMC-052-2024</t>
  </si>
  <si>
    <t>11 SEGUROS</t>
  </si>
  <si>
    <t>901061386-7</t>
  </si>
  <si>
    <t xml:space="preserve">BMI COLOMBIA COMPAÑÍA DE SEGUROS DE VIDA SA </t>
  </si>
  <si>
    <t>CARLOS ALBERTO SÁNCHEZ RODRIGUEZ</t>
  </si>
  <si>
    <t>SELECCIONAR UNA COMPAÑÍA DE SEGUROS PARA LA CONTRATACIÓN DE UN SEGURO QUE AMPARE A LOS EXTRANJEROS BENEFICIAROS DEL ICETEX EN TODO EL TERRITORIO NACIONAL, DESDE EL MOMENTO EN QUE INGRESAN AL PAÍS Y HASTA LA FECHA DE SALIDA HACIA SU PAÍS DE ORIGEN, FRENTE A TODOS LOS RIESGOS Y EVENTOS CUBIERTOS EN LA PÓLIZA.</t>
  </si>
  <si>
    <t>CDEF-226-2024</t>
  </si>
  <si>
    <t>RECIP.EXTRANJ.- POSTGRADOS EXTRANJEROS</t>
  </si>
  <si>
    <t>IG331620001001001</t>
  </si>
  <si>
    <t>6 INVITACIÓN MENOR CUANTÍA</t>
  </si>
  <si>
    <t>20243030000310-I Id: 4085967</t>
  </si>
  <si>
    <t>1.19</t>
  </si>
  <si>
    <t>2024-0374</t>
  </si>
  <si>
    <t>CD-373-2024</t>
  </si>
  <si>
    <t>INDIRA SGUERRA CASTAÑEDA</t>
  </si>
  <si>
    <t>PRESTAR LOS SERVICIOS PROFESIONALES ESPECIALIZADOS PARA ESTRUCTURAR Y GESTIONAR CONTENIDOS GRÁFICOS, ANIMADOS Y MULTIMEDIA PARA LOS DIVERSOS ENTORNOS DIGITALES QUE MANEJA LA OFICINA ASESORA DE COMUNICACIONES</t>
  </si>
  <si>
    <t>CDEF-562-2024</t>
  </si>
  <si>
    <t xml:space="preserve">1.	Proponer lineamientos para implementar en los manuales gráficos internos y externos que ponga en marcha la entidad.
2.	Generar piezas gráficas, infografías e ilustraciones para la divulgación de toda la información que requiera difundir el ICETEX.
3.	Graficar contenidos para productos audiovisuales y especiales multiformato que requiera la Oficina Asesora de Comunicaciones.
4.	Generar los conceptos gráficos que se requieran de acuerdo con las necesidades de la dependencia.
5.	Generar el desarrollo de material gráfico en diferentes formatos que se solicite por parte de la Oficina Asesora de Comunicaciones.
6.	Diseñar el montaje de las secciones internas del portal web para contribuir al desarrollo visual y de interfaz de usuario de la página web del ICETEX.
7.	Ceder los derechos patrimoniales de autor y conexos sobre las obras y documentos sometidos a registro, en cumplimiento de lo establecido en ley 23 de 1982 modificada por la ley 1450 de 2011 y 1520 de 2012.
8.	Cumplir con los indicadores de gestión establecidos.
9.	Las demás obligaciones que se requieran para el cumplimiento a cabalidad del objeto contractual y que sean inherentes a la naturaleza del contrato.
</t>
  </si>
  <si>
    <t>20243030001290-I Id: 4153261</t>
  </si>
  <si>
    <t>9.22</t>
  </si>
  <si>
    <t>2024-0375</t>
  </si>
  <si>
    <t>CD-374-2024</t>
  </si>
  <si>
    <t>WILSON RAFAEL SULVARAN RUIZ</t>
  </si>
  <si>
    <t>PRESTAR LOS SERVICIOS PROFESIONALES EN LA ATENCIÓN, ANÁLISIS, ESTRUCTURACIÓN DE PLANTILLAS Y GENERACIÓN DE ESTADÍSTICAS DE PQRS DE LOS PROCESOS DE CRÉDITO</t>
  </si>
  <si>
    <t>CDEF-452-2024</t>
  </si>
  <si>
    <t xml:space="preserve">
HONORARIOS VCC
</t>
  </si>
  <si>
    <t xml:space="preserve">1.	Gestionar las Solicitudes, Peticiones, Quejas, Reclamos y Denuncias en el aplicativo de CRM de ICETEX.
2.	Atender requerimientos externos, internos de los, entes de control para los procesos y procedimientos del área por los medios que se determinen de acuerdo con los tiempos establecidos. 
3.	Apoyar el proceso para la firma de las garantías desmaterializadas a través de los medios que se determinen. 
4.	Apoyar en la generación de documentos de aplicación y solicitud de Condonación de alianzas.
5.	Apoyar en la elaboración y revisión de proformas que sirvan de insumo para atender requerimientos.
6.	Proyectar capacitaciones con el fin de informar y fortalecer los procedimientos del área.
7.	Realizar pruebas de los procesos y procedimientos del área, con el fin de garantizar que se encuentren correctos.
8.	Asistir y participar en las reuniones programadas.
9.	Elaborar y presentar los informes de gestión que se requieran y se relacionen con el cumplimiento del objeto contractual.
10.	Cumplir con los indicadores de gestión establecidos.
11.	Las demás obligaciones que se requieran para el cumplimiento a cabalidad del objeto contractual y que sean inherentes a la naturaleza del contrato.
</t>
  </si>
  <si>
    <t>20243030001308-I Id: 4153392</t>
  </si>
  <si>
    <t>9.10</t>
  </si>
  <si>
    <t>2024-0376</t>
  </si>
  <si>
    <t>CD-375-2024</t>
  </si>
  <si>
    <t>LORENA MARCELA BARANDICA ACOSTA</t>
  </si>
  <si>
    <t>PRESTAR LOS SERVICIOS PROFESIONALES ESPECIALIZADOS PARA TRAMITAR LOS PROCESOS QUE EN MATERIA DE CONTRATACIÓN Y ACUERDOS ESTRATÉGICOS DESARROLLE EL GRUPO DE CRÉDITO, HACIENDO SEGUIMIENTO PRECONTRACTUAL, CONTRACTUAL Y POSCONTRACTUAL REQUERIDO POR EL ÁREA, ASÍ COMO TAMBIÉN ANALIZAR Y ATENDER LOS REQUERIMIENTOS DE ENTES DE CONTROL CORRESPONDIENTES A LOS PROCESOS DE OTORGAMIENTO, LEGALIZACIÓN Y RENOVACIÓN</t>
  </si>
  <si>
    <t>CDEF-444-2024</t>
  </si>
  <si>
    <t xml:space="preserve">1.	Elaborar y apoyar administrativamente los procesos pre y pos contractuales de los contratos a cargo de la Vicepresidencia de Crédito y Cobranza realizando la validación, verificación, medición y control, así como documentos que se requiera para la suscripción y finalización de los contratos, convenios y acuerdos estratégicos definidos por el área.   
2.	Crear, consolidar y organizar las órdenes de pago de los contratos por contratación directa de acuerdo con el procedimiento establecido.
3.	Llevar el registro de los procesos de contratación directa realizados con la información pertinente, así como realizar seguimiento a las obligaciones contractuales de los mismos. 
4.	Elaborar actas de liquidación, minutas, actas de inicio entre otros documentos y actividades para la suscripción y finalización de convenios y contratos.
5.	Proyectar la respuesta desde el punto de vista jurídico a los requerimientos externos o internos que le sean asignados, dentro del tiempo establecido para ello, a través de los medios que se determinen, así como realizar memorandos en caso de requerirse.
6.	Crear Arandas, Infoservicios, actualizaciones de la página Web, campañas, con el fin de mantener la información actualizada, mitigar el riesgo y reducir la cantidad de requerimientos de los procesos.
7.	Proyectar capacitaciones con el fin de informar y fortalecer los procedimientos del área.
8.	Realizar pruebas de los procesos de procedimientos de otorgamiento, legalización y renovación, con el fin de garantizar que se encuentren correctos. 
9.	Apoyar en la estructuración o actualización en los procesos en cuanto a temas de calidad. 
10.	Elaborar y presentar los informes de gestión que se requieran y se relacionen con el cumplimiento del objeto contractual. 
11.	Cumplir con los indicadores de gestión establecidos. 
12.	Las demás obligaciones que se requieran para el cumplimiento a cabalidad del objeto contractual y que sean inherentes a la naturaleza del contrato.
</t>
  </si>
  <si>
    <t xml:space="preserve">20243030001303-I Id:4153366 </t>
  </si>
  <si>
    <t>4.79</t>
  </si>
  <si>
    <t>2024-0377</t>
  </si>
  <si>
    <t>CD-376-2024</t>
  </si>
  <si>
    <t>LEIDY JOHANNA RODRIGUEZ AMORTEGUI</t>
  </si>
  <si>
    <t>PRESTAR SERVICIOS PROFESIONALES PARA RESPALDAR Y ORIENTAR EN LOS PROCESOS RELACIONADOS CON EL DESARROLLO UX/UI NECESARIOS PARA LA IMPLEMENTACIÓN DEL PLAN ESTRATÉGICO DE LA ENTIDAD Y LA "POLÍTICA DE GUÍA, INFORMACIÓN Y ACOMPAÑAMIENTO</t>
  </si>
  <si>
    <t>CDEF-063-2024</t>
  </si>
  <si>
    <t xml:space="preserve"> COMUNIDAD ICETEX</t>
  </si>
  <si>
    <t xml:space="preserve">1.	Participar en la planeación, ejecución y seguimiento de las actividades que requiera la “Unidad de Entendimiento y Diseño de Experiencias” del proyecto Comunidad ICETEX.  
2.	Realizar actividades de entendimiento e investigación UX/UI que generen los insumos necesarios para el desarrollo del Ecosistema Digital de Comunidad ICETEX.   
3.	Apoyar en los procesos de desarrollo de la arquitectura de la información y la funcionalidad del Ecosistema Digital, para garantizar que sea fácil de entender y usar por parte de los beneficiarios de Comunidad ICETEX.   
4.	Elaborar los flujos de interacción y wireframes (representaciones visuales de la estructura y la creación de una interfaz) para definir cómo los beneficiarios de Comunidad ICETEX interactuaron con el Ecosistema Digital.   
5.	Apoyar en la definición de la apariencia visual del Ecosistema Digital de acuerdo con la identidad gráfica de Comunidad ICETEX, y crear una interfaz atractiva y coherente con la marca.   
6.	Desarrollar prototipos y pruebas interactivas del Ecosistema Digital, en sus diferentes fases para su validación y evolución del desarrollo, hasta lograr el alcance que se defina con la supervisión.   
7.	Realizar evaluaciones constantes de la implementación del Ecosistema Digital Comunidad ICETEX, para identificar áreas de mejora y realizar iteraciones en el desarrollo.   
8.	Colaborar directamente con los programadores y diferentes equipos internos de Comunidad ICETEX, así́ como con otras áreas de la entidad, para lograr la óptima implementación del Ecosistema Digital.   
9.	Apoyar los espacios de interacción con jóvenes estudiantes y usuarios en diversos territorios para asegurar su participación en el desarrollo, prototipado, validación y evolución de las experiencias de Comunidad ICETEX.  
10.	Apoyar la estandarización de los procesos de la “Unidad de Entendimiento y Diseño de Experiencias” de Comunidad ICETEX. 
11.	Asistir a reuniones y/o comités de conformidad con las necesidades de la entidad y la designación del supervisor del contrato. 
12.	Informes mensuales de actividades que permitan al supervisor verificar el avance y cumplimiento de las obligaciones contractuales y de los indicadores de gestión. 
13.	Las demás obligaciones que se requieran para el cumplimiento a cabalidad del objeto contractual y que sean inherentes a la naturaleza del contrato. 
</t>
  </si>
  <si>
    <t>20243030001338-I Id: 4153739</t>
  </si>
  <si>
    <t>4.40</t>
  </si>
  <si>
    <t>2024-0378</t>
  </si>
  <si>
    <t>CD-377-2024</t>
  </si>
  <si>
    <t>ANGELA PATRICIA OLAYA CHALA</t>
  </si>
  <si>
    <t>PRESTAR SERVICIOS TÉCNICOS DE APOYO A LA MEJORA EN LOS PROCESOS Y PROCEDIMIENTOS EN LOS CANALES DE ATENCIÓN Y GESTIÓN DE LA ENTIDAD</t>
  </si>
  <si>
    <t>CDEF-479-2024</t>
  </si>
  <si>
    <t xml:space="preserve">1.	Elaborar y presentar un plan de trabajo para la aprobación por parte del supervisor del contrato, en cumplimiento con las cláusulas contractuales establecidas.
2.	Acompañar el seguimiento y control al cumplimiento de acuerdos de servicio definidos en el contrato de atención al usuario 2022-0770 de los distintos canales de atención y gestión implementados por la entidad.
3.	Apoyar en la resolución de casos y situaciones que se presenten en los distintos canales de atención, con el objetivo de mejorar la satisfacción y experiencia de los grupos de interés de la entidad.
4.	Generar alertas ante situaciones críticas que afecten la operación de atención al usuario, que impacten los acuerdos de niveles de servicio y la satisfacción y experiencia de los grupos de interés de la entidad.
5.	Prestar apoyo operativo y técnico a la Entidad, en los trámites que se requieran durante la implementación de estrategias de mejoramiento de experiencia y satisfacción de los grupos de interés del ICETEX.
6.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7.	Apoyar la gestión, documentación y cumplimiento de procesos y procedimientos, indicadores, planes de acción, planes de mejora, reportes, auditorías de calidad, auditorías internas y externas, eventos de riesgo, y demás derivados del ejercicio de control y autocontrol de los macroprocesos de la Oficina de Comercial y de Mercadeo.
8.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asignadas por el supervisor del contrato y que sean inherentes al objeto contractual del contrato.
</t>
  </si>
  <si>
    <t>20243030001346-I Id: 4153749</t>
  </si>
  <si>
    <t>9.8</t>
  </si>
  <si>
    <t>2024-0379</t>
  </si>
  <si>
    <t>CD-378-2024</t>
  </si>
  <si>
    <t xml:space="preserve">LEIDY ESTEFANIA POSADA PEÑUELA </t>
  </si>
  <si>
    <t>PRESTAR LOS SERVICIOS TÉCNICOS PARA EL DESARROLLO DE LAS ACTIVIDADES ASOCIADAS A LA CREACIÓN, EJECUCIÓN Y/O TERMINACIÓN LAS ALIANZAS ESTRATÉGICAS A CARGO DE LA VICEPRESIDENCIA DE CRÉDITO Y COBRANZA DE ACUERDO CON LA ASIGNACIÓN   DEFINIDA POR EL ÁREA.</t>
  </si>
  <si>
    <t>CDEF-0378-2024</t>
  </si>
  <si>
    <t xml:space="preserve">1.	Apoyar en la elaboración de los estudios técnicos, cuentas de cobro, estados de cuenta para alianzas nuevas, modificaciones y adiciones, así como realizar la parametrización de estas. 
2.	Apoyar en la revisión de las minutas de los convenios, otros sí, actas de liquidación de las alianzas de acuerdo con la asignación definida por el área y conforme lo establecido con el aliado. Así mismo elaborar y/o actualizar la ficha técnica correspondiente a cada convenio.
3.	Apoyar los procedimientos de las Alianzas Estratégicas en cuanto a revisión, seguimiento y validación del comité de crédito, saldos de las alianzas, paso al cobro, acuerdos de pago, condonaciones, conciliaciones, paz y salvos y pruebas de los aplicativos que se requieran.   
4.	Asistir y participar a las reuniones programadas.
5.	Crear Arandas, Infoservicios, actualizaciones de la página Web, campañas, documentos con el fin de mantener la información actualizada, mitigar el riesgo y reducir la cantidad de requerimientos de los procesos.
6.	Realizar pruebas de los procedimientos que le sean asignados con el fin de evitar errores que afecten las solicitudes y la operatividad.
7.	Asistir y participar a las reuniones programadas.
8.	Elaborar los informes de ejecución semestrales correspondientes a cada uno de los convenios asignados que lo requieran.
9.	Cumplir con los indicadores de gestión establecidos.
10.	Las demás obligaciones que se requieran para el cumplimiento a cabalidad del objeto contractual y que sean inherentes a la naturaleza del contrato.
</t>
  </si>
  <si>
    <t>20243030003013-I Id: 4153749</t>
  </si>
  <si>
    <t>9.18</t>
  </si>
  <si>
    <t>2024-0380</t>
  </si>
  <si>
    <t>CD-379-2024</t>
  </si>
  <si>
    <t>SANDRA MILENA PARDO CHAVARRO</t>
  </si>
  <si>
    <t>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t>
  </si>
  <si>
    <t>CDEF-0449-2024</t>
  </si>
  <si>
    <t xml:space="preserve">OBLIGACIONES ESPECÍFICAS DEL CONTRATISTA	1.	Apoyar la elaboración estudios técnicos, cuentas de cobro, matriz de riesgo para alianzas nuevas, reglamentos operativos, modificaciones y/o prorroga y adiciones, así como realizar la parametrización de estas.  
2.	Proyectar y revisar desde el punto de vista técnico las minutas de los convenios, otros sí, actas de liquidación de las alianzas de acuerdo con la asignación definida por el área y conforme lo establecido con el aliado, así mismo elaborar y/o actualizar la ficha técnica correspondiente a cada convenio.  
3.	Revisar las solicitudes de alianzas para el comité de crédito, validación del cumplimiento de requisitos para acceder a los convenios, seguimiento de convocatoria, de las solicitudes de crédito, de presupuesto y remitir Informe de adjudicados después de los comités a los aliados estratégicos.  
4.	Realizar y validar la entrega de paz y salvo, paso al cobro, acuerdos de pago, condonaciones requeridas en el Grupo de Cartera y Cobranzas, así como realizar seguimiento a los saldos de las alianzas.  
5.	Generar Informes y estrategias para la estandarización y mejora del proceso de administración de alianzas estratégicas de acuerdo con la asignación definida por el área.  
6.	Cumplir con la gestión administrativa de acuerdo con el cronograma establecido para cada convenio, elaborando y presentando los informes de gestión que se requieran y se relacionen con el cumplimiento del objeto contractual. 
7.	Validar y apoyar las peticiones, quejas, reclamos, solicitudes, denuncias, tutelas, etc; en relación con los procesos de otorgamiento, legalización y renovación de las Alianzas Estratégicas a través del aplicativo de CRM de ICETEX o los medios que se determinen de acuerdo con los tiempos establecidos.  
8.	Realizar pruebas de los procedimientos que le sean asignados con el fin de evitar errores que afecten las solicitudes y la operatividad.  
9.	Crear Arandas, Infoservicios, actualizaciones de la página Web, campañas, documentos con el fin de mantener la información actualizada, mitigar el riesgo y reducir la cantidad de requerimientos de los procesos.  
10.	Asistir y participar a las reuniones de seguimiento programadas internas y externas.  
11.	Cumplir con los indicadores de gestión establecidos. 
12.	Las demás obligaciones que se requieran para el cumplimiento a cabalidad del objeto contractual y que sean inherentes a la naturaleza del contrato.
</t>
  </si>
  <si>
    <t>20243030001310-I Id: 4153396</t>
  </si>
  <si>
    <t>9.25</t>
  </si>
  <si>
    <t>2024-0381</t>
  </si>
  <si>
    <t>CD-380-2024</t>
  </si>
  <si>
    <t>MICHEL OVIEDO BRIÑEZ</t>
  </si>
  <si>
    <t xml:space="preserve">PRESTAR LOS SERVICIOS PROFESIONALES EN EL ANÁLISIS DE SOLICITUDES DE CRÉDITO Y GENERACIÓN DE ESTADÍSTICAS E INFORMES CORRESPONDIENTES AL PROCESO DE OTORGAMIENTO DE CRÉDITO. </t>
  </si>
  <si>
    <t>CDEF-0438-2024</t>
  </si>
  <si>
    <t>1.	Apoyar en la descarga y revisión previa y durante el comité de crédito, de las solicitudes registradas por los usuarios en la plataforma de formularios dispuesta por ICETEX.
2.	Apoyar en la consolidación de la base de datos conforme a la estructura determinada por los analistas del Grupo Crédito de la VCC, para procesar la información de cada una de las líneas de crédito.
3.	Realizar pruebas de los procedimientos que le sean asignados con el fin de evitar errores que afecten las solicitudes y la operatividad. 
4.	Apoyar en la verificación, revisión y descarga de los beneficios otorgados a los créditos educativos.
5.	Crear Arandas con el fin de mitigar los riesgos que se presenten en los procesos y procedimientos. 
6.	Realizar seguimiento de las adjudicaciones de los créditos educativos.  
7.	Asistir y participar en las reuniones programadas.
8.	Elaborar los informes de ejecución semestrales, correspondientes a cada uno de los convenios asignados que lo requieran.
9.	Cumplir con los indicadores de gestión establecidos.</t>
  </si>
  <si>
    <t>20243030001310-I Id: 4153355</t>
  </si>
  <si>
    <t>10.35</t>
  </si>
  <si>
    <t>2024-0382</t>
  </si>
  <si>
    <t>CD-381-2024</t>
  </si>
  <si>
    <t>DIANA CRISTEL VEGA ORDOÑEZ</t>
  </si>
  <si>
    <t>PRESTAR SUS SERVICIOS PROFESIONALES GESTIONANDO LA LIQUIDACIÓN Y/O CIERRE DE LOS CONTRATOS Y CONVENIOS A CARGO DE LA VICEPRESIDENCIA DE FONDOS EN ADMINISTRACIÓN.</t>
  </si>
  <si>
    <t>CDEF-0292-2024</t>
  </si>
  <si>
    <t xml:space="preserve">
1.	V
2.	
1.	Efectuar el proceso oportuno de validación, solicitud y seguimiento de los desembolsos y pago de facturas a proveedores cuando aplique.
2.	Identificar los beneficiarios susceptibles de condonación, informar a la instancia correspondiente de acuerdo con el Reglamento Operativo y efectuar el seguimiento hasta culminar dicho proceso.
3.	Realizar seguimiento a la gestión de cartera de los fondos asignados, actualizar la información en los informes de gestión y monitorear de manera mensual el movimiento financiero del fondo.
4.	Efectuar el seguimiento a los rendimientos financieros y los trámites relacionados con reintegros a los entes que correspondan, de acuerdo con lo establecido en el Reglamento Operativo, la normatividad vigente y los procedimientos del ICETEX.
5.	Convocar las mesas de trabajo de manera presencial o virtual con los constituyentes de los fondos a su cargo, y elaborar las actas de los Comités y Juntas Administradoras en los que el ICETEX tenga a cargo la Secretaria Técnica.
6.	Incorporar a los expedientes de los fondos y las carpetas compartidas de la Vicepresidencia de Fondos en Administración la información que surja en el desarrollo del objeto contractual y hacer correcto uso de las mismas.
7.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8.	Garantizar la confidencialidad, reserva y privacidad de la información que por razón de sus actividades deba manejar en desarrollo del contrato.
9.	Asistir y/o participar en los comités, mesas de trabajo y demás reuniones relacionadas con el objeto contractual.
10.	Desplazarse a las diferentes ciudades del país, en caso de ser necesario para la debida ejecución del contrato, previa coordinación con el supervisor.
11.	Las demás asignadas por el supervisor y que tengan relación con el objeto del presente contrato.
</t>
  </si>
  <si>
    <t>20243030001154-I Id: 4139539</t>
  </si>
  <si>
    <t>4.100</t>
  </si>
  <si>
    <t>2024-0383</t>
  </si>
  <si>
    <t>CD-382-2024</t>
  </si>
  <si>
    <t>JUAN SEBASTIAN RINCON HERNANDEZ</t>
  </si>
  <si>
    <t>PRESTAR LOS SERVICIOS PROFESIONALES PARA LIDERAR EL PLANTEAMIENTO, DESARROLLO Y MEJORA CONTINUA DE LA ESTRATEGIA AUDIOVISUAL APLICADA A LA PROMOCIÓN Y DIVULGACIÓN DEL PORTAFOLIO DE PRODUCTOS ICETEX O PROYECTOS DE LA OFICINA COMERCIAL Y DE MERCADEO.</t>
  </si>
  <si>
    <t>CDEF-0047-2024</t>
  </si>
  <si>
    <t xml:space="preserve">1.	Elaborar y entregar plan de trabajo y cronograma de actividades para aprobación de la supervisión del contrato, de conformidad con las estipulaciones contractuales. 
2.	Proponer un plan de contenidos audiovisuales articulado con el plan de promoción y divulgación del portafolio de productos de ICETEX. 
3.	Asesorar y apoyar las labores de pre-produción, producción y post producción a contenidos audiovisuales o multimedial, de acuerdo con las necesidades del ICETEX y solicitadas por la supervisión del contrato o por quien éste designe. 
4.	Suministrar los equipos audiovisuales, multimediales y fotográficos, así como de los equipos y softwares legales necesarios para la edición del producto; que permitan el cumplimiento y desarrollo del presente objeto contractual, en condiciones eficientes y oportunas. 
5.	Proveer, en caso de que se requiera por la supervisión del contrato o quien éste designe, grabaciones de audio profesional para cuñas o locuciones de radio o productos audiovisuales. 
6.	Realizar cubrimientos y acompañamientos audiovisuales a actividades o eventos comerciales, en el marco de la ejecución de las estrategias comerciales y de mercadeo de la Oficina Comercial y de Mercadeo. 
7.	Estructurar, organizar y mantener actualizado y accesible, un banco de productos audiovisuales, de conformidad con los lineamientos dados por la supervisión del contrato o por quien ésta designe. 
8.	Desplazarse a cualquier región del país, o disponer del personal idóneo en las regiones en caso de no poderse desplazar, en el marco del objeto contractual, según los cronogramas y planes de trabajo para la correcta realización de los productos o servicios solicitados por ICETEX, previa autorización del supervisor del contrato. 
9.	Realizar las labores de acompañamiento en reuniones o comités, de conformidad con las necesidades de la entidad y la designación de supervisor del contrato. 
10.	Las demás que sean inherentes para el logro del objeto contratado, asignadas por el supervisor del contrato. 
</t>
  </si>
  <si>
    <t>20243030001345-I Id: 4153748</t>
  </si>
  <si>
    <t>9.4</t>
  </si>
  <si>
    <t>2024-0384</t>
  </si>
  <si>
    <t>CD-383-2024</t>
  </si>
  <si>
    <t>HENRY ALBERTO CUAO LARA</t>
  </si>
  <si>
    <t xml:space="preserve">PRESTAR LOS SERVICIOS TÉCNICOS EN LA ATENCIÓN DE PQRS Y REQUERIMIENTOS INTERNOS Y EXTERNOS CORRESPONDIENTES AL GRUPO DE CRÉDITO A CARGO DE LA VICEPRESIDENCIA DE CRÉDITO Y COBRANZA. </t>
  </si>
  <si>
    <t>CDEF-0441-2024</t>
  </si>
  <si>
    <t xml:space="preserve">
1.	Gestionar las Solicitudes, Peticiones, Quejas, Reclamos y Denuncias en el aplicativo de CRM de ICETEX.
2.	Atender requerimientos externos, internos de los entes de control para los procesos y procedimientos del área por los medios que se determinen de acuerdo con los tiempos establecidos. 
3.	Apoyar las actualizaciones de los contenidos de la página web, creación de comunicados, campañas y demás instrumentos que se requieran para los procesos y procedimientos del área.
4.	Apoyar al proceso para la firma de las garantías desmaterializadas a través de los medios que se determinen. 
5.	Proyectar capacitaciones con el fin de informar y fortalecer los procedimientos del área.
6.	Realizar pruebas de los procesos y procedimientos del área con el fin de garantizar que se encuentren correctos.
7.	Apoyar la gestión administrativa en cuanto a las actividades de archivo de los documentos contractuales, así como entregarlos a la dependencia correspondiente.
8.	Asistir y participar a las reuniones programadas.
9.	Elaborar y presentar los informes de gestión que se requieran y se relacionen con el cumplimiento del objeto contractual.
10.	Cumplir con los indicadores de gestión establecidos.
11.	Las demás obligaciones que se requieran para el cumplimiento a cabalidad del objeto contractual y que sean inherentes a la naturaleza del contrato.
1.	Entregar un archivo excel con las siguientes columnas: fecha de recepción del caso, fecha de respuesta, números de casos, descripción de los requerimientos atendidos por tipo de requerimiento y tipificación del tema atendido (CRM, PQRS, etc.) 
2.	Presentar un archivo en excel con las siguientes columnas: número de caso atendido para el infoservicio, campañas, comunicados etc, área a quien se le escala, tipo de solicitud, fecha de creación, fecha de respuesta, remitente y observaciones. 
3.	Presentar informe definitivo al culminar el plazo del contrato, donde se consoliden las actividades realizadas y las estrategias implementadas en el cumplimiento de la gestión y de las obligaciones específicas a desarrollar durante la ejecución del contrato. 
4.	Los demás informes y documentos que sean requeridos por la supervisión del contrato. 
5.	Estos informes se podrán realizar de manera virtual o presencial conforme lo establezca la supervisión del contrato. 
</t>
  </si>
  <si>
    <t>20243030001307-I Id: 4153384</t>
  </si>
  <si>
    <t>4.101</t>
  </si>
  <si>
    <t>2024-0385</t>
  </si>
  <si>
    <t>CD-384-2024</t>
  </si>
  <si>
    <t xml:space="preserve">DIEGO FERNANDO GUTIERREZ QUINTERO </t>
  </si>
  <si>
    <t>PRESTAR LOS SERVICIOS PROFESIONALES PARA EL PLANTEAMIENTO, DESARROLLO Y MEJORA CONTINUA DE PRODUCCIONES FOTOGRÁFICAS PARA LA PROMOCIÓN Y DIVULGACIÓN DEL PORTAFOLIO DE PRODUCTOS DE ICETEX</t>
  </si>
  <si>
    <t xml:space="preserve">1.	Elaborar y entregar plan de trabajo y cronograma de actividades para aprobación de la supervisión del contrato, de conformidad con las estipulaciones contractuales. 
2.	Proponer un plan de contenidos fotográficos articulado con el plan de promoción y divulgación de la oficina comercial y mercadeo. 
3.	Asesorar y apoyar las labores de pre-produción, producción y post producción a contenidos fotográficos, de acuerdo con las necesidades del ICETEX y solicitadas por la supervisión del contrato o por quien éste designe. 
4.	Suministrar los equipos audiovisuales, multimediales y fotográficos, así como de los equipos y softwares legales necesarios para la edición del producto; que permitan el cumplimiento y desarrollo del presente objeto contractual, en condiciones eficientes y oportunas. 
5.	Proveer, en caso de que se requiera por la supervisión del contrato o quien éste designe, grabaciones de audio profesional para cuñas o locuciones de radio o productos audiovisuales. 
6.	Realizar cubrimientos y acompañamientos a nivel fotográfico a actividades o eventos comerciales, en el marco de la ejecución de las estrategias comerciales y de mercadeo de la Oficina Comercial y de Mercadeo. 
7.	Estructurar, organizar, mantener actualizado y accesible un banco de productos fotográficos o audiovisuales, en el caso de que sea solicitado el apoyo en el desarrollo audiovisual, de conformidad con los lineamientos dados por la supervisión del contrato o por quien ésta designe. 
8.	Desplazarse a cualquier región del país, o disponer del personal idóneo en las regiones en caso de no poderse desplazar, en el marco del objeto contractual, según los cronogramas y planes de trabajo para la correcta realización de los productos o servicios solicitados por ICETEX, previa autorización del supervisor del contrato. 
9.	Apoyar la preproducción, producción y post producción de material audiovisual, cuando sea requerido por la supervisión del contrato. 
10.	 Realizar las labores de acompañamiento en reuniones o comités, de conformidad con las necesidades de la entidad y la designación de supervisor del contrato. 
11.	Las demás que sean inherentes para el logro del objeto contratado, asignadas por el supervisor del contrato
</t>
  </si>
  <si>
    <t>20243030001352-I Id: 4153865</t>
  </si>
  <si>
    <t>2.4</t>
  </si>
  <si>
    <t>2024-0386</t>
  </si>
  <si>
    <t>CD-385-2024</t>
  </si>
  <si>
    <t>MATEO HERRON FAJARDO</t>
  </si>
  <si>
    <t>PRESTAR LOS SERVICIOS PROFESIONALES ESPECIALIZADOS PARA LA INVESTIGACIÓN, ELABORACIÓN, PUESTA EN MARCHA Y VERIFICACIÓN DE LA APLICACIÓN DE POLÍTICAS PÚBLICAS, ECONÓMICAS, PRESUPUESTALES Y LEGISLATIVAS ASOCIADAS A LA MISIÓN INSTITUCIONAL DEL ICETEX</t>
  </si>
  <si>
    <t>CDEF-0432-2024</t>
  </si>
  <si>
    <t xml:space="preserve">IG312001020210012 </t>
  </si>
  <si>
    <t xml:space="preserve">1.	Hacer seguimiento y gestionar las acciones que sean necesarias para la implementación de las acciones en el marco del “Fortalecimiento estratégico y operativo MEN – ICETEX 2023-2026”.
2.	Contribuir con el diseño de iniciativas legislativas relacionadas con el proyecto de reforma a la Entidad.
3.	Orientar la formulación de parámetros y aspectos técnicos, económicos y financieros necesarios para la reglamentación de los artículos que fueron incluidos en el Plan Nacional de Desarrollo y se encuentran relacionados con la Entidad.
4.	Acompañar la planeación estratégica y participar en las mesas de trabajo que se realicen con organizaciones estudiantiles, profesorales, multipartidistas y de usuarios para la construcción del proyecto de ley de reforma a la Entidad.
5.	Plantear y gestionar proyectos de investigación relacionados con la reforma de la Entidad y su portafolio de servicios.
6.	Diagnosticar y documentar las deficiencias detectadas por parte de la comunidad beneficiaria de los servicios de la Entidad.
7.	Desplazarse en caso de requerirse con el fin de dar cumplimiento al objeto contractual.
8.	Presentar informes relacionados con su objeto y obligaciones contractuales y cuando estos sean requeridos por su supervisor.
9.	Las demás obligaciones asignadas por el Supervisor del Contrato y que sean acordes con el objeto contractual.
</t>
  </si>
  <si>
    <t>20243030001350-I Id: 4153835</t>
  </si>
  <si>
    <t>4.43</t>
  </si>
  <si>
    <t>2024-0387</t>
  </si>
  <si>
    <t>CD-386-2024</t>
  </si>
  <si>
    <t>ERUIN ENRIQUE HERRERA PARRA</t>
  </si>
  <si>
    <t>PRESTAR SERVICIOS PROFESIONALES PARA EL SEGUIMIENTO Y CONTROL DEL PROCESO CALIDAD OPERATIVA Y MEJORA CONTINUA EN LOS DISTINTOS CANALES DE ATENCIÓN Y GESTIÓN DE LA ENTIDAD CON EL FIN DE MEJORAR LA EXPERIENCIA Y SATISFACCIÓN DE LOS GRUPOS DE INTERÉS (BENEFICIARIOS, CIUDADANOS E IES</t>
  </si>
  <si>
    <t>CDEF-0394-2024</t>
  </si>
  <si>
    <t xml:space="preserve">1.	Elaborar y entregar plan de trabajo para aprobación del supervisor del contrato, de conformidad con las estipulaciones contractuales.
2.	Realizar monitoreos y auditorías de calidad a los canales de servicio y comerciales de la entidad, con el fin de identificar oportunidades de mejora y generar las alertas correspondientes de manera oportuna.
3.	Acompañar el diseño y los ajustes necesarios a los protocolos de atención, matrices de calidad, plantillas y guiones de los canales de servicio y comerciales, que contribuyan a mejorar la experiencia y satisfacción de los grupos de interés de la entidad.
4.	Analizar el resultado de los indicadores generados por el proveedor de atención al usuario relacionados con el proceso de Calidad y verificar que sean íntegros y consistentes con lo observado en los canales de servicio y comerciales.
5.	Participar en el fortalecimiento de la estrategia de atención a los canales de servicio y comerciales, según el perfilamiento de los beneficiarios y ciudadanos, conforme a las características de la población y la caracterización establecida por el Departamento Nacional de Planeación.
6.	Acompañar la gestión y documentación de procesos y procedimientos, cumplimiento de los indicadores, planes de acción, planes de mejoramiento, reportes, auditorías de calidad, externas e internas, eventos de riesgos de los canales de servicio y comerciales y demás resultantes del ejercicio de control y autocontrol de los macroprocesos de la Oficina de Comercial y de Mercadeo.
7.	Participar activamente en los comités de seguimiento a los canales de servicio y comerciales de la entidad, con el fin de socializar las diferentes oportunidades de mejora; estableciendo en conjunto con la operación y el proveedor de atención planes de acción.
8.	Participar activamente en espacios de acompañamiento y control a los resultados de calidad obtenidos por el proveedor de servicio en los canales de servicio y comerciales, que sean generados por Icetex o el proveedor de atención al usuario.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11.	Las demás que sean inherentes para el logro del objeto contratado, asignadas por el supervisor del contrato
</t>
  </si>
  <si>
    <t>20243030001366-I Id: 4154034</t>
  </si>
  <si>
    <t>4.84</t>
  </si>
  <si>
    <t>2024-0388</t>
  </si>
  <si>
    <t>CD-387-2024</t>
  </si>
  <si>
    <t>LIZETHE LEONOR LIEVANO PAVA</t>
  </si>
  <si>
    <t>PRESTAR SERVICIOS PROFESIONALES ESPECIALIZADOS PARA LIDERAR LA "UNIDAD DE OPERACIÓN" EN EL CONTEXTO DEL DESARROLLO DEL PLAN ESTRATÉGICO DE LA ENTIDAD Y LA "POLÍTICA DE GUÍA, INFORMACIÓN Y ACOMPAÑAMIENTO</t>
  </si>
  <si>
    <t>CDEF-0071-2024</t>
  </si>
  <si>
    <t>Generar el plan de trabajo de la Unidad de Operación de Comunidad ICETEX y realizar el
seguimiento correspondiente de acuerdo con los lineamientos de la entidad.
2. Liderar la Unidad de Operación en el desarrollo de las actividades asignadas para el logro
de los objetivos de Comunidad ICETEX.
3. Definir las estrategias y acciones requeridas en el proceso de creación de las alianzas y/o
acuerdos estratégicos, en conjunto con el aliado, del proyecto Comunidad ICETEX.
4. Liderar la gestión y consecución de alianzas y/o acuerdos estratégicos que generen valor
agregado a Comunidad ICETEX.
5. Liderar la estandarización de los procesos de la Unidad de Operación de Comunidad
ICETEX.
6. Reportar los logros, avances y cualquier otra información, que sea requerida de la Unidad
de Operación de Comunidad ICETEX ante la coordinación del proyecto, áreas internas del
ICETEX, entidades de control y ciudadanía.
7. Apoyar y ejecutar técnicamente las actividades relacionadas con los procedimientos antes,
durante y después de la contratación de bienes y servicios, convenios, alianzas o acuerdos
estratégicos de Comunidad ICETEX, conforme a los objetivos establecidos y las
asignaciones de la supervisión del contrato.
8. Asistir a reuniones y/o comités de conformidad con las necesidades de la entidad y la
designación del supervisor del contrato.
9. Apoyar la supervisión de los contratos que le sean asignados, desde el punto de vista técnico
y/o administrativo y/o financiero y/o contable, de conformidad con lo establecido en el Manual
de Contratación de la Entidad.
10. Informe mensual de actividades que permita al supervisor verificar el avance y cumplimiento
de las obligaciones contractuales y de los indicadores de gestión.
11. Las demás obligaciones que se requieran para el cumplimiento a cabalidad del objeto
contractual y que sean inherentes a la naturaleza del contrato.</t>
  </si>
  <si>
    <t>13/05/81984</t>
  </si>
  <si>
    <t>20243030001370-I Id: 4154110</t>
  </si>
  <si>
    <t>4.72</t>
  </si>
  <si>
    <t>2024-0389</t>
  </si>
  <si>
    <t>CD-388-2024</t>
  </si>
  <si>
    <t>ESTEBAN PINEDA LOPEZ</t>
  </si>
  <si>
    <t>PRESTAR SERVICIOS PROFESIONALES PARA ASESORAR EN MATERIAS JURÍDICAS, ADMINISTRATIVAS Y CONTRACTUALES EN EL CONTEXTO DEL AVANCE DE PROYECTOS RELACIONADOS CON EL DESARROLLO DEL PLAN ESTRATÉGICO DE LA ENTIDAD Y LA "POLÍTICA DE GUÍA, INFORMACIÓN Y ACOMPAÑAMIENTO</t>
  </si>
  <si>
    <t>CDEF-0049-2024</t>
  </si>
  <si>
    <t xml:space="preserve">1.	Brindar apoyo jurídico en el proyecto Comunidad ICETEX en asuntos propios del ordenamiento jurídico, administrativo y contractual, así como en los demás asuntos de la Oficina Comercial y de Mercadeo que le sean asignados.
2.	Elaborar, analizar o revisar jurídicamente las comunicaciones, documentos y procesos que deba firmar el Jefe de la Oficina Comercial y de Mercadeo en el marco del proyecto Comunidad ICETEX.
3.	Apoyar jurídicamente los temas en reuniones que deba asistir en el marco del contrato y cumplir con los compromisos que le sean asignados para su seguimiento y entrega.
4.	Colaborar en la formulación y aplicación de normas en materia de contratación en las que tenga injerencia la Oficina Comercial y de Mercadeo en el marco del proyecto Comunidad ICETEX.
5.	Asesorar y apoyar los trámites relacionados con requerimientos de entes de control, organismos públicos o privados.
6.	Apoyar la estructuración, según asignación de la supervisión del contrato, los estudios previos y verificar la documentación allegada para viabilidad de la contratación, con base en las normas en materia de contratación aplicables al ICETEX.
7.	Gestionar y tramitar los Convenios y Acuerdos Estratégicos que se susciten en el marco del proyecto Comunidad ICETEX.
8.	Apoyar el seguimiento al procedimiento de liquidación de contratos, Convenios y Acuerdos estratégicos velando porque no se pierda competencia legal para realizar las liquidaciones.
9.	Apoyar la supervisión de los contratos que le sean asignados, desde el punto de vista jurídico, administrativo y contractual, de conformidad con lo establecido en el Manual de Contratación de la Entidad.
10.	Participar, desde el alcance del objeto y sus obligaciones contractuales, durante todo el proceso de planeación, implementación y puesta en marcha, de proyectos donde participen una o más dependencias de la Entidad, en las cuales se encuentre la Oficina Comercial y Mercadeo.
11.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del proyecto Comunidad ICETEX de la Oficina de Comercial y de Mercadeo.
12.	Informe mensual de actividades que permita al supervisor verificar el avance y cumplimiento de las obligaciones contractuales y de los indicadores de gestión.
13.	Las demás que sean inherentes para el logro del objeto contratado, asignadas por el supervisor del contrato.
</t>
  </si>
  <si>
    <t>20243030001371-I Id: 4154114</t>
  </si>
  <si>
    <t>4.96</t>
  </si>
  <si>
    <t>2024-0390</t>
  </si>
  <si>
    <t>CD-389-2024</t>
  </si>
  <si>
    <t xml:space="preserve">NICOLAS EDUARDO TOVAR TABARES </t>
  </si>
  <si>
    <t>PRESTAR LOS SERVICIOS PROFESIONALES ESPECIALIZADOS PARA EL DISEÑO, IMPLEMENTACIÓN, EJECUCIÓN, SUPERVISIÓN, CONTROL Y MEJORA CONTINUA DE INVESTIGACIONES Y ESTRATEGIAS QUE CONTRIBUYAN A ENRIQUECER LA PROMOCIÓN Y OTORGAMIENTO DEL PORTAFOLIO DE PRODUCTOS DEL ICETEX.</t>
  </si>
  <si>
    <t>CDEF-0061-2024</t>
  </si>
  <si>
    <t>HONORARIOS -OCM</t>
  </si>
  <si>
    <t xml:space="preserve">1.	Elaborar y entregar plan de trabajo y cronograma de actividades para aprobación de la supervisión del contrato, de conformidad con las estipulaciones contractuales. 
2.	Identificar necesidades de investigación, analizando los requerimientos del ICETEX en términos de información y conocimiento para respaldar las estrategias de marketing 
3.	Proponer planes efectivos de investigación que aborden las necesidades identificadas, definiendo objetivos claros y metodologías apropiadas. 
4.	Apoyar desde el punto de vista técnico el proceso de contratación de las investigaciones planeadas por el ICETEX. 
5.	Realizar análisis de mercado recopilando, analizando e interpretando datos de mercado relevantes para identificar tendencias, oportunidades y desafíos que puedan afectar las estrategias de marketing del ICETEX, incluyendo un análisis periódico de la competencia y su comportamiento. 
6.	Investigar perfiles de audiencia realizando investigaciones de comportamiento del público objetivo para comprender mejor sus necesidades, preferencias y comportamientos de consumo. 
7.	Analizar los datos recopilados, preparar informes claros y concisos que resuman los  
8.	hallazgos clave y presentar recomendaciones basadas en la investigación realizada. 
9.	Proponer estrategias acordes a los resultados obtenidos en la investigación, los objetivos de la Entidad y las oportunidades identificadas en el mercado. 
10.	Apoyar la supervisión de los contratos, en caso de ser requerido por la supervisión del contrato, desde el punto de vista técnico, administrativo, financiero y contable, de conformidad con lo establecido en el Manual de Contratación de la Entidad. 
11.	Desplazarse a cualquier región del país, o disponer del personal idóneo en las regiones en caso de no poderse desplazar, en el marco del objeto contractual, según los cronogramas y planes de trabajo para la correcta realización de los productos o servicios solicitados por ICETEX, previa autorización del supervisor del contrato. 
12.	Realizar las labores de acompañamiento en reuniones o comités, de conformidad con las necesidades de la entidad y la designación de supervisor del contrato. 
13.	Las demás que sean inherentes para el logro del objeto contratado, asignadas por el supervisor del contrato. 
</t>
  </si>
  <si>
    <t>20243030001353-I Id: 4153869</t>
  </si>
  <si>
    <t>13.17</t>
  </si>
  <si>
    <t>2024-0391</t>
  </si>
  <si>
    <t>CD-390-2024</t>
  </si>
  <si>
    <t>EDWARD ELIECER BELTRAN PACHON</t>
  </si>
  <si>
    <t>PRESTAR LOS SERVICIOS PROFESIONALES EN LA SECRETARÍA GENERAL DEL ICETEX PARA ORIENTAR Y ACOMPAÑAR LA IMPLEMENTACIÓN, EJECUCIÓN Y SUPERVISIÓN DEL PROCESO DE GESTIÓN DOCUMENTAL</t>
  </si>
  <si>
    <t>CDEF-0069-2024</t>
  </si>
  <si>
    <t>IG IG332901003</t>
  </si>
  <si>
    <t xml:space="preserve">1.	Apoyar en el fortalecimiento de la política de Gestión Documental de MIPG a partir de su componente estratégico en las actividades de diseño, planeación, verificación, mejoramiento y sostenibilidad de la gestión documental de entidad, atendiendo los lineamientos del Archivo General de la Nación, Ministerio de Tecnologías de la Información y las Comunicaciones. 
2.	Desarrollar las actividades relacionadas con la actualización e implementación del Programa de Gestión Documental, en el desarrollo de sus programas especiales a partir de estrategias organizaciones, lineamientos, la planeación, dirección y control de los recursos tecnológicos, técnicos y humanos del componente de administración de archivos con el fin de fortalecer la política Gestión Documental de MIPG. 
3.	Realizar la actualización o elaboración de las Tablas de Retención Documental de las dependencias del ICETEX y el cuadro de clasificación documental, siguiendo la metodología, del Archivo General de la Nación. 
4.	Realizar la actualización y mejora de los procesos, procedimientos, manuales y guías del Grupo de Gestión Documental, en línea con las actividades propuestas dentro del Plan Institucional de Archivos (PINAR). Además, se llevarán a cabo las actividades relacionadas con el Sistema Integrado de Conservación de la entidad.
5.	Preparar, revisar y/o analizar cuando se le requiera informes y documentos solicitados por el supervisor del contrato en lo correspondiente a la gestión documental de la entidad. 
6.	Brindar apoyo técnico en la elaboración de estudios previos relacionados con la gestión documental y acompañar el diseño y administración de los acuerdos de niveles de servicio del Sistema de Gestión Documental Electrónico de archivos. 
7.	Acompañar y orientar técnicamente el uso del SGDEA en cada dependencia del ICETEX respecto de la seguridad de la información, la interoperabilidad, el mantenimiento técnico y funcional de la plataforma. 
8.	Apoyar en la supervisión de los contratos designados por el supervisor y relacionados con el objeto contractual, así como el seguimiento a los compromisos adquiridos en la ejecución de éstos. 
9.	Las demás que le que le sean asignadas por el supervisor, en el marco del cumplimiento del objeto del contrato.
</t>
  </si>
  <si>
    <t>20243030001374-I Id: 4154169</t>
  </si>
  <si>
    <t>10.83</t>
  </si>
  <si>
    <t>2024-0392</t>
  </si>
  <si>
    <t>CD-392-2024</t>
  </si>
  <si>
    <t>WLADIMIR DE LA CRUZ GAMARRA</t>
  </si>
  <si>
    <t>PRESTACIÓN DE SERVICIOS PROFESIONALES ESPECIALIZADOS EN EL TRÁMITE DE SERVICIOS DE TI ORIENTADOS A LA REVISIÓN, ANÁLISIS, MODELAMIENTO, IMPLEMENTACIÓN, USO Y APROPIACIÓN DE LA ARQUITECTURA DE DATOS REQUERIDA PARA SOLUCIONES INFORMÁTICAS DEL ICETEX</t>
  </si>
  <si>
    <t>CDEF-0311-2024</t>
  </si>
  <si>
    <t>PROFESIONAL UNIVERSITARIO GRADO 01 GRUPO DE DATOS E INFORMACIÓN</t>
  </si>
  <si>
    <t xml:space="preserve">1.	Acompañar y asistir a la Coordinación de Datos e Información en el entendimiento de los procesos del negocio, los modelos de datos de los sistemas de información del ICETEX y de los terceros, para garantizar la resolución de las necesidades de datos requeridas por la entidad. 
2.	Definir con el liderazgo de la Coordinación de Datos e Información y ejecutar las actividades que garanticen el análisis, validación y seguimiento de las bases de datos del ICETEX, para el correcto funcionamiento de estas y los sistemas de información. 
3.	Apoyar desde a la Coordinación de Datos e Información en el desarrollo de la capacidad al interior de la Dirección de Tecnología en la construcción de procesos de extracción, transformación y carga de datos desde un origen a un destino especificado
4.	Generar estrategias que permitan documentar y transferir el conocimiento de los diferentes procesos y actividades de la Coordinación de Datos e Información.
5.	Garantizar que se dé cumplimiento a los lineamientos dados desde la Coordinación de Datos e Información acorde con la política de Gobierno de Datos, ejecutando actividades como: la participación en las mesas técnicas, tácticas y operativas, apoyando en el componente técnico y sugiriendo e implementando mejoras que propendan por un uso eficiente de los recursos de bases de datos. 
6.	Aprovisionar y velar por el uso responsable de los servicios de datos con la herramienta que dispone la entidad como parte de los requerimientos que desde los proyectos permitan cumplir con las necesidades de acceso a datos y los estándares definidos desde la Coordinación de Datos e Información.
7.	Verificar y aprobar la optimización de sentencias SQL que permitan mejorar los tiempos de respuesta de los reportes y sistemas de información propios del ICETEX que hacen parte de la operación de la entidad. 
8.	Las demás actividades definidas por la Coordinación de Datos e Información, inherentes al objeto y la naturaleza del Contrato, que resulten necesarias e indispensables para el cabal cumplimiento de las funciones de la coordinación, así como proveer a sí mismo el equipo de cómputo adecuado para ejecutar las funciones encargadas
</t>
  </si>
  <si>
    <t>20243030001395-I Id: 4154352</t>
  </si>
  <si>
    <t>11,113</t>
  </si>
  <si>
    <t>2024-0393</t>
  </si>
  <si>
    <t>CD-391-2024</t>
  </si>
  <si>
    <t xml:space="preserve">
ANGELICA MARÍA SERJE ROJAS 
</t>
  </si>
  <si>
    <t>CDEF-0459-2024</t>
  </si>
  <si>
    <t xml:space="preserve">HONORARIOS VFA </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</si>
  <si>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estos.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</si>
  <si>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20243030001381-I Id: 4154239</t>
  </si>
  <si>
    <t>4.216</t>
  </si>
  <si>
    <t>2024-0394</t>
  </si>
  <si>
    <t>CD-393-2024</t>
  </si>
  <si>
    <t>MAGDA ISABEL SEGURA</t>
  </si>
  <si>
    <t>CDEF-0099-2024</t>
  </si>
  <si>
    <t xml:space="preserve">
1.	Desarrollar actividades profesionales para el control y seguimiento de la ejecución y avance de la implementación de planes, programas, estrategias y herramientas que faciliten el cumplimiento del objeto misional del ICETEX, de conformidad con las directrices impartidas por la Oficina de Comercial y Mercadeo y sus diferentes equipos de Trabajo.  
2.	Elaborar y preparar informes que sean requeridos por la Oficina de Comercial y Mercadeo del ICETEX, para adelantar actividades, reuniones designadas por la Supervisión del contrato.   
3.	Revisar todas las actas, comisiones, peticiones y demás documentos que sean firmados por el jefe de la Oficina de Comercial y mercadeo o requieran su aval.  
4.	Elaborar las bases de datos o matriz para el control y seguimiento de los compromisos que sean asignados a Oficina, con el fin de poder implementar los objetivos institucionales de ICETEX.  
5.	Apoyar en la en la preparación de los temas a presentar a los diferentes comités, así́ como participar de los mismos que le sean delegados por el supervisor y hacer seguimiento de los compromisos  
6.	Proyectar los documentos que se relacionen con las actividades que le sean encomendadas por el supervisor del contrato, en el marco del objeto contractual.  
7.	Realizar aportes a las diferentes respuestas a los requerimientos internos y externos, así́ como a derechos de petición, consultas y demás solicitudes relacionadas con la Oficina de Comercial y Mercadeo y sus diferentes equipos de trabajo.  
8.	Acompañar a los comités, mesas de trabajo y reuniones de coordinación, seguimiento o información que se programen en el marco de las actividades del jefe de la Oficina, efectuando los reportes e informes pertinentes que le sean solicitados.  
9.	Las demás obligaciones que sean acordes con el objeto contractual asignado por el jefe de la Oficina de Comercial y Mercadeo o quien haga sus veces.   
</t>
  </si>
  <si>
    <t>20243030001394-I Id: 4154342</t>
  </si>
  <si>
    <t>12.47</t>
  </si>
  <si>
    <t>2024-0395</t>
  </si>
  <si>
    <t>CD-394-2024</t>
  </si>
  <si>
    <t>WILMAR FERNEY SONZA BAQUERO</t>
  </si>
  <si>
    <t>"PRESTAR LOS SERVICIOS PROFESIONALES PARA LA IMPLEMENTACIÓN Y ESTABILIZACIÓN DE LOS SISTEMAS DE INFORMACIÓN CONTABLE Y TRIBUTARIA COMO PARTE DEL MODELO DE GESTIÓN Y DE CONTROL EN EL MARCO DE INICIATIVAS DE SIMPLIFICACIÓN Y AUTOMATIZACIÓN DE PROCESOS DE LA DIRECCIÓN DE CONTABILIDAD Y DEL PROYECTO DE INVERSIÓN BANCA ABIERTA Y
TRANSPARENTE E INHOUSE BANKING"</t>
  </si>
  <si>
    <t>CDEF-0351-2024</t>
  </si>
  <si>
    <t xml:space="preserve">
1. Apoyar el seguimiento del módulo contable y su interacción con otros aplicativos y preparar los informes que se requieran para las diferentes áreas de la Entidad.
2. Apoyar y asistir a las reuniones que se celebren en virtud de los procesos de implementación del aplicativo financiero de la parte contable.
3. Apoyar a la Dirección de contabilidad con los requerimientos y conceptos técnico-contables que sean necesarios para la correcta implementación del aplicativo financiero.
4. Apoyar el seguimiento a las diferentes etapas y del cumplimiento de los cronogramas de implementación del aplicativo financiero.
5. Apoyar la presentación de informes sobre los avances en el desarrollo y estructuración del módulo contable en el aplicativo financiero.
6. Apoyar la implementación y uso de nuevas plataformas o herramientas que conlleven a mejorar los procedimientos de la Dirección de Contabilidad.
7. Apoyar, proponer y ejecutar actividades de mejora para los procedimientos del Grupo de Operaciones Contables y en los sistemas de información, cuando se requiera
8. Apoyar el proceso de causación de las cuentas por pagar que se generan en la operación de la Entidad y apoyar la estabilización de devoluciones que surjan y deban ser atendidas.
9. Apoyar en el seguimiento y cumplimiento de los indicadores establecidos para el área y los procesos a cargo, con el fin de generar acciones de mejora en la gestión y operación financiera del ICETEX
10. Apoyar al Grupo de Trabajo de información exógena y servir como canal de comunicación con el área de tecnología a cargo de la herramienta robótica para automatización de la información a reportar relacionada con el área de cartera.
11. Las demás obligaciones que sean asignadas por el supervisor, que estén relacionadas con el objeto del contrato y cumplir con los indicadores de gestión establecidos.
12. Cumplir con los indicadores de gestión.
</t>
  </si>
  <si>
    <t>20243030001316-I Id: 4153464</t>
  </si>
  <si>
    <t>3.7</t>
  </si>
  <si>
    <t>2024-0396</t>
  </si>
  <si>
    <t>CD-395-2024</t>
  </si>
  <si>
    <t>LINA MARCELA SANTIS JOIRO</t>
  </si>
  <si>
    <t xml:space="preserve">
1. Implementar las políticas y ejercer la defensa jurídica de la entidad frente a las acciones constitucionales y demás trámites asignados, de conformidad con el poder otorgado. 
2. Atender dentro de los términos legales los requerimientos y/o trámites administrativos que le sean asignados en el marco de la política de defensa jurídica de la entidad. 
3. Hacer seguimiento y gestionar en oportunidad con las áreas competentes el cumplimiento de los fallos judiciales de primera, segunda instancia y /o decisión de revisión de las acciones de tutela que le sean asignadas. 
4. Realizar la revisión de las acciones de tutela y trámites que le sean asignados y/o cuando sea requeridos por la Oficina Asesora Jurídica, y adelantar la gestión necesaria para la defensa jurídica de la entidad. 
5. Hacer seguimiento y gestionar en oportunidad con las áreas competentes todo lo necesario con el fin de garantizar el cierre definitivo de los incidentes de desacato que se notifiquen en contra de la entidad. 
6. Presentar un (1) informe semanal, en los formatos autorizados por la entidad, del estado en que se encuentran los incidentes de desacato asignados, junto con su indicador, y demás casos que encuentre relevantes y/o que le sean solicitados, indicando el riesgo en que puede encontrarse la entidad frente a los mismos. 
7. Gestionar a través de los aplicativos de la entidad, en forma oportuna los asuntos que le sean asignados, observando el trámite de actualización de la gestión.
 8. Generar los informes requeridos de conformidad con el objeto contractual y las obligaciones establecidas, así como los que sean requeridos por la supervisión del contrato.
 9. Proponer acciones para la disminución de acciones de tutela de acuerdo con la identificación que efectúe en el desarrollo de sus obligaciones.
 10. Desarrollar las acciones asignadas tendientes al mejoramiento continuo de conformidad con las políticas de calidad implementadas en la entidad. 
11.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el cual deberá contener un apéndice especial con el detalle del estado de cada trámite asignado. 
12. Elaborar y presentar, los poderes otorgados en cada una de las acciones de tutela y demás trámites que le sean asignados conforme al objeto del contrato y a la asignación que efectúe la Oficina Asesora Jurídica y al finalizar el contrato presentar a esta oficina la renuncia de los poderes con el último informe. 
13. Asistir y participar de las reuniones presenciales y/o virtuales a las que sea convocado por parte de la Oficina Asesora Jurídica o de las demás dependencias de la entidad. 
14. Elaborar y radicar los documentos correspondientes en la oportunidad y de acuerdo con las directrices establecidas por la entidad, para el cobro mensual de los honorarios. 
15. Elaborar una presentación mensual con las acciones de tutela que tuvieron mayor relevancia durante la vigencia, con el objeto de evidenciar la problemática que dio origen a la citada acción y exponer los casos escogidos en las sesiones presenciales convocadas trimestralmente en el marco de la Política de Prevención del Daño Antijurídico.
16. Atender los demás asuntos que, de conformidad con el objeto contractual, le sean asignados por la Oficina Asesora Jurídica.
</t>
  </si>
  <si>
    <t>20243030001337-I Id: 4153737</t>
  </si>
  <si>
    <t>12.43</t>
  </si>
  <si>
    <t>2024-0397</t>
  </si>
  <si>
    <t>CD-396-2024</t>
  </si>
  <si>
    <t>DIANA CAROLINA MORENO GÓMEZ</t>
  </si>
  <si>
    <t>"PRESTAR LOS SERVICIOS PROFESIONALES PARA LA OPTIMIZACIÓN
DEL PROCESO DE PARAMETRIZACIÓN DE TERCEROS Y LA SISTEMATIZACIÓN DE DATOS, PARA FORTALECER EL ANÁLISIS Y PROCESAMIENTO DE INFORMACIÓN CONTABLE Y LA ACTUALIZACIÓN NORMATIVA APLICABLE AL INSTITUTO, CON EL FIN DE OPTIMIZAR EL PROCESO DE PRESENTACIÓN DE INFORMACIÓN EXÓGENA,
DECLARACIONES TRIBUTARIAS Y DEMÁS OBLIGACIONES A CARGO DE ICETEX."</t>
  </si>
  <si>
    <t>CDEF-0347-2024</t>
  </si>
  <si>
    <t xml:space="preserve">IG-312001020400012 </t>
  </si>
  <si>
    <t xml:space="preserve">
1.	Realizar la gestión y seguimiento a la actualización normativa y tarifaria en los aplicativos internos para garantizar el cumplimiento de las obligaciones tributarias del Instituto. 
2.	Realizar el soporte y gestión al proceso de la creación y parametrización de actualización de la información de terceros en el aplicativo financiero, para el cumplimiento de las obligaciones de la Entidad, y la normatividad aplicable. 
3.	Apoyar en la estabilización del proceso de conciliación de cuentas contables por pagar de los recursos denominados fondos y propios, para garantizar la información contable, y la estricta aplicación de la normatividad aplicable.
4.	Apoyar en la estructuración, elaboración y presentación de las declaraciones tributarias nacionales, departamentales y municipales, a través de la actualización constante de la información que reposa en los aplicativos dispuestos por las entidades tributarias, y seguimiento a su correspondiente pago. 
5.	Realizar la gestión y soporte para preparar, presentar y realizar el seguimiento y control en la presentación de información exógena en medios magnéticos a nivel Municipal, Departamental y Nacional, cumpliendo los estándares técnicos indicados por las entidades para el año fiscal aplicable y propender por mantener consultas permanentes que anticipen la oportuna gestión en caso de rechazos o alerta de inconsistencia.
6.	Ejecutar el soporte y gestión del proceso de recepción de cuentas, a través de la verificación de cálculo de impuestos y adecuado registro contable para garantizar una revisión integral y adecuada con el fin de obtener las cifras exactas para el pago y para la gestión de liquidación de impuestos; igualmente en las demás transacciones necesarias que hacen parte del proceso de causación para el cierre contable mensual que realiza la entidad, así como verificación de saldos y conciliación de cuentas. 
7.	Apoyar en la producción de los requerimientos de las áreas internas y entes externos, así como en la estructuración de las comunicaciones que se requieran para la consecución de información contable y tributaria de la Entidad. 
8.	Realizar el seguimiento y control a los comprobantes contables para realizar validaciones del adecuado uso de cuentas contables, centros de utilidad, bases gravables, tarifas que garanticen la calidad de la información para el cumplimiento de las obligaciones de información contable y tributaria a los usuarios de la información.
9.	Adelantar el reporte, seguimiento y actualización de avances, frente a las acciones contenidas en los planes de mejoramiento, que permitan el cierre de los hallazgos identificados dentro de los plazos que se indiquen para optimizar las mejoras del área y/o de la entidad como parte del flujo continuo de los procesos. 
10.	Preparar de reconocimiento contable de las obligaciones a cargo del ICETEX que le sean asignadas relativas a las cuentas por pagar generadas en la operación de la Entidad, cumplir con los indicadores de gestión establecidos y atender las demás obligaciones que le sean requeridas y que estén relacionadas con el objeto del contrato. 
11.	Apoyar en el seguimiento y cumplimiento de los indicadores establecidos para el área y los procesos a cargo, con el fin de generar acciones de mejora en la gestión y operación financiera del ICETEX.
12.	Cumplir con los indicadores de gestión establecidos y atender las demás obligaciones que le sean requeridas y que estén relacionadas con el objeto del contrato.
</t>
  </si>
  <si>
    <t>20243030001182-I Id: 4139825</t>
  </si>
  <si>
    <t>1.15</t>
  </si>
  <si>
    <t>2024-0398</t>
  </si>
  <si>
    <t>CD-397-2024</t>
  </si>
  <si>
    <t>GERMAN ANDRÉS CARO LAGOS</t>
  </si>
  <si>
    <t>"PRESTAR LOS SERVICIOS PROFESIONALES PARA LA GENERACIÓN DE CONTENIDO GRÁFICO, ANIMANDO Y MULTIMEDIA RELACIONADO CON LA GESTIÓN E INFORMACIÓN DE LA ENTIDAD DE ACUERDO CON LOS LINEAMIENTOS DE LA OFICINA ASESORA DE COMUNICACIONES"</t>
  </si>
  <si>
    <t xml:space="preserve">1.	Proponer lineamientos para implementar en los manuales gráficos internos y externos que ponga en marcha la entidad.
2.	Generar piezas gráficas, infografías e ilustraciones para la divulgación de toda la información que requiera difundir el ICETEX.
3.	Graficar y animar contenidos para productos audiovisuales y especiales multiformato que requiera la Oficina Asesora de Comunicaciones.
4.	Generar los conceptos gráficos que se requieran de acuerdo con las necesidades de la dependencia.
5.	Generar el desarrollo de material gráfico en diferentes formatos que se solicite por parte de la Oficina Asesora de Comunicaciones.
6.	Diseñar el montaje de las secciones internas del portal web para contribuir al desarrollo visual y de interfaz de usuario de la página web del ICETEX
7.	Ceder los derechos patrimoniales de autor y conexos sobre las obras y documentos sometidos a registro, en cumplimiento de lo establecido en ley 23 de 1982 modificada por la ley 1450 de 2011 y 1520 de 2012.
8.	Cumplir con los indicadores de gestión establecidos.
9.	Las demás obligaciones que se requieran para el cumplimiento a cabalidad del objeto contractual y que sean inherentes a la naturaleza del contrato.
</t>
  </si>
  <si>
    <t>20243030001367-I Id: 4154037</t>
  </si>
  <si>
    <t>3.10</t>
  </si>
  <si>
    <t>2024-0399</t>
  </si>
  <si>
    <t>CD-398-2024</t>
  </si>
  <si>
    <t>CARLOS ANDRES GOMEZ GONZALEZ</t>
  </si>
  <si>
    <t>PRESTAR LOS SERVICIOS PROFESIONALES JURÍDICOS ESPECIALIZADOS EN EL DESARROLLO Y REPRESENTACIÓN DEL ICETEX, DIRIGIDO A LA IMPLEMENTACIÓN DE LA DEFENSA JURÍDICA DE LA ENTIDAD EN MATERIA PENAL.</t>
  </si>
  <si>
    <t>CDEF-0488-2024</t>
  </si>
  <si>
    <t xml:space="preserve">
1. Implementar las políticas y ejercer la defensa jurídica de la entidad frente a las actuaciones administrativas y/o judiciales de carácter penal, de conformidad con el poder otorgado. 
2. Asesorar y conceptuar jurídicamente por escrito en todos los asuntos de carácter penal que se le consulten por parte de la supervisión, así como colaborar en la formulación y aplicación de normas en los asuntos que tenga injerencia directa la Oficina Asesora Jurídica. 
3. Asesorar a las áreas de la entidad que soliciten el apoyo a la Oficina Asesora Jurídica, en trámites relacionados con atención y trámite de asuntos relacionados con organismos públicos o privados en materia penal. 
4. Allegar a la Oficina Jurídica en forma mensual y/o cuando existan movimientos procesales, las correspondientes copias físicas y/o en medio magnético de las piezas procesales y demás documentos que radique, solicite u obtenga, en los diferentes despachos judiciales en desarrollo de sus actividades judiciales, habida cuenta que hace parte del seguimiento a proceso del cual se constituya como apoderado, así como apoyar la elaboración de los informes que sean requeridos a esta oficina por parte de los entes de control.
 5. Reportar con cinco (05) días de antelación a la celebración de las audiencias, la hora y fecha fijada elaborando y allegando según el caso, oportunamente al Comité de Defensa Judicial, las fichas técnicas para el trámite procedente.
6. Asistir al Comité de Conciliación o cualquier instancia de la entidad cuando ello sea requerido para asesorar y rendir concepto en la implementación de las políticas de defensa prejurídica y jurídica de la entidad. 
7. Asistir a la entidad y ejercer la representación en instancias prejudiciales, según le sean asignados por el supervisor del contrato. 
8. Rendir los conceptos requeridos en el marco de las políticas de defensa jurídica y prevención del daño antijurídico. 
9. Gestionar los documentos conforme a las políticas de gestión documental que para el efecto disponga la Entidad para las comunicaciones que deba generar en cumplimiento del contrato. 
10. Asumir los diferentes costos por concepto de gastos, tales como: expedición de fotocopias, desarchive de procesos, autenticaciones y otros gastos de similar condición, toda vez que se encuentran contemplados dentro de los honorarios a pagar. 
11.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12. Presentar el correspondiente informe al cierre del periodo junto con las evidencias que lo soportes, presentando en documento individual y adjunto al informe el cumplimiento del 100% de los indicadores de gestión establecidos. 
13. Asistir y participar de las reuniones presenciales y/o virtuales a las que sea convocado por parte de la Oficina Asesora Jurídica o de las demás dependencias de la entidad. 
14. Elaborar y radicar los documentos correspondientes en la oportunidad y de acuerdo con las directrices establecidas por la entidad, para el cobro mensual de los honorarios. 
15. Desarrollar las acciones asignadas tendientes al mejoramiento continuo de conformidad con las políticas de calidad implementadas en la entidad y que impacten favorablemente el desarrollo de las metas establecidas. 16. Atender los demás asuntos que, de conformidad con el objeto contractual, le sean asignados por la Oficina Asesora Jurídica.
</t>
  </si>
  <si>
    <t>20243030001364-I Id: 4154009</t>
  </si>
  <si>
    <t>2.7</t>
  </si>
  <si>
    <t>2024-0400</t>
  </si>
  <si>
    <t>CD-399-2024</t>
  </si>
  <si>
    <t>JULIANA DEL PILAR CAMARGO CHAVARRO</t>
  </si>
  <si>
    <t>PRESTAR SERVICIOS PROFESIONALES PARA APOYAR EL PROCESAMIENTO Y ANÁLISIS DE INFORMACIÓN PARA LA ELABORACIÓN DE INFORMES Y DOCUMENTOS TÉCNICOS RELACIONADOS CON PROGRAMAS Y POLÍTICAS DE FINANCIACIÓN DE LA EDUCACIÓN SUPERIOR QUE SOPORTEN LA TOMA DE DECISIONES DE LA ENTIDAD.</t>
  </si>
  <si>
    <t>CDEF-0433-2024</t>
  </si>
  <si>
    <t xml:space="preserve">1.	Promover la consolidación de convenios interinstitucionales con entidades públicas y/o privadas que permita el intercambio de experiencias e información para el desarrollo de estudios económicos y sectoriales.
2.	Consolidar y construir bases de datos sectoriales que permitan al centro de estudios de ICETEX, la elaboración de estudios e indicadores que den cuenta de los avances y logros de la entidad, y de la política pública sectorial.
3.	Realizar la depuración, procesamiento y análisis de información estadística del sector para dar respuesta a los requerimientos internos y externos, y para permitir la toma de decisiones informada a la oficina asesora de planeación y del ICETEX.
4.	Apoyar y proponer al centro de estudios de ICETEX, la elaboración de estudios, indicadores económicos y documentos técnicos, que involucren metodologías de inferencia causal, análisis estadístico y econométrico.
5.	Apoyar actividades de seguimiento, evaluación de planes y programas relacionados con la misionalidad de la entidad.
6.	Hacer seguimiento a literatura académica sobre las implicaciones de las acciones de política pública y las tendencias de mecanismos de crédito educativo en el mundo.
7.	Las demás actividades asignadas por el supervisor del contrato, que permitan su cumplimiento y el desempeño eficiente en la oficina asesora de planeación.
</t>
  </si>
  <si>
    <t>Radicado 20243030001400-I Id: 4154372</t>
  </si>
  <si>
    <t>4.50</t>
  </si>
  <si>
    <t>2024-0401</t>
  </si>
  <si>
    <t>CD-400-2024</t>
  </si>
  <si>
    <t>DIANA CAROLINA CORDOBA IPIA</t>
  </si>
  <si>
    <t>PRESTAR SERVICIOS PROFESIONALES PARA LA GESTIÓN, MEDICIÓN DE RESULTADOS Y ACOMPAÑAMIENTO A LA ESTRATEGIA DE FORMACIÓN Y DE ENTRENAMIENTO DE LOS EQUIPOS DE SERVICIO Y COMERCIAL DE LA OFICINA COMERCIAL Y DE MERCADEO</t>
  </si>
  <si>
    <t>CDEF-0393-2024</t>
  </si>
  <si>
    <t xml:space="preserve">1.	Elaborar y entregar plan de trabajo y cronograma de actividades para aprobación de la supervisión del contrato, de conformidad con las estipulaciones contractuales. 
2.	Acompañar y promover la estrategia de formación y entrenamiento de la entidad para la Oficina Comercial y de Mercadeo, los distintos canales de atención y gestión; en cuanto al portafolio de productos, para los procesos comerciales y de servicio, que contribuya a la mejora en la experiencia y la satisfacción de los grupos de interés de la entidad.
3.	Generar espacios de capacitación con los departamentos financieros y comerciales de las Instituciones de Educación Superior (IES), con el propósito de mantenerlos actualizados acerca del portafolio de productos y servicios del ICETEX.
4.	Contribuir con la formación continua del equipo de la Oficina Comercial y de Mercadeo en temas del Manual del Sistema de Atención al Consumidor Financiero – SAC, con seguimientos aleatorios al 10% de la población del proveedor de atención al usuario, abordando el conocimiento del producto, habilidades comerciales y buenas prácticas en la gestión.
5.	Participar en la aplicación de evaluaciones al equipo del proveedor de atención al usuario con el fin de detectar oportunidades de mejora que conlleven a planes de acción alineados con la estrategia de formación definida y que contribuyan a la mejora en la experiencia y la satisfacción de los grupos de interés.
6.	Participar en actividades de seguimiento a los procesos de servicio y comerciales, en conjunto con las áreas que intervienen en la gestión del contrato de atención al usuario, con el fin de proponer y desarrollar estrategias de formación que fortalezcan las habilidades necesarias para ofrecer una atención adecuada a los grupos de interés de la entidad.
7.	Acompañar los eventos de formación sobre temas vinculados al Defensor del Consumidor Financiero (DCF), con el propósito de difundir la información de manera oportuna tanto al equipo de la Oficina Comercial y de Mercadeo como al proveedor de atención al usuario.
8.	Prestar asesoría conceptual, operativa y técnica en el desarrollo de la operación del proveedor de atención al usuario del contrato 2022 - 0770 en relación con la estrategia de formación y entrenamiento definida por la entidad.
9.	Asegurar el acompañamiento, gestión y documentación de procesos y procedimientos, cumplimiento de los indicadores, planes de acción, planes de mejoramiento, reportes, auditorías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asignadas por el supervisor del contrato y que sean inherentes al objeto contractual del contrato.
</t>
  </si>
  <si>
    <t>20243030001382-I Id: 4154241</t>
  </si>
  <si>
    <t>11.110</t>
  </si>
  <si>
    <t>2024-0402</t>
  </si>
  <si>
    <t>CD-401-2024</t>
  </si>
  <si>
    <t>WILDER JAVIER MORALES PEÑA</t>
  </si>
  <si>
    <t>PRESTACIÓN DE SERVICIOS PROFESIONALES ESPECIALIZADOS EN INGENIERIA PARA LA CONFIGURACIÓN, SOPORTE FUNCIONAL, SOPORTE TÉCNICO Y GESTIONES COMPLEMENTARIAS EN LA HABILITACIÓN DE RECURSOS DE INFRAESTRUCTURA Y TELECOMUNICACIONES DEL ICETEX</t>
  </si>
  <si>
    <t>CDEF-0501-2024</t>
  </si>
  <si>
    <t xml:space="preserve">IG 312001020510012 </t>
  </si>
  <si>
    <t xml:space="preserve">1.	Realizar estudios de mercado, estudios previos y demás documentos necesarios para suplir necesidades de contratación a cargo de la coordinación.  
2.	Respaldar la etapa contractual de los procesos de contratación y/o contratos de los servicios asignados.
3.	Respaldar la planeación, seguimiento y ejecución de las contrataciones del Plan Anual de Adquisiciones de la coordinación.  	
4.	Velar por la oportuna entrega de los informes que se soliciten por parte de otras dependencias de la Entidad o entidades externas.  
5.	Respaldar las actividades seguimiento contractual relacionadas con los proyectos de infraestructura asignados. 
6.	Administrar herramientas tecnológicas orientadas al correcto funcionamiento de la operación del ICETEX.
7.	Monitorear y administrar los equipos de cómputo del ICETEX en cuanto a actualizaciones y seguridad.
8.	Gestionar y coadyuvar en actividades que contribuyan al control de ejecución de contratos de la Coordinación de Infraestructura.
</t>
  </si>
  <si>
    <t>20243030001425-I Id: 4154468</t>
  </si>
  <si>
    <t>7.1</t>
  </si>
  <si>
    <t>2024-0403</t>
  </si>
  <si>
    <t>CD-402-2024</t>
  </si>
  <si>
    <t>DIEGO MARIO CORZO FAJARDO</t>
  </si>
  <si>
    <t>PRESTAR LOS SERVICIOS PROFESIONALES ESTADÍSTICOS PARA CONSTRUCCIÓN, ANÁLISIS Y MANTENIMIENTO DE LOS DIFERENTES MODELOS REQUERIDOS EN LA OFICINA DE RIESGOS PARA LA ADMINISTRACIÓN DE LOS SISTEMAS DE GESTIÓN DE RIESGOS DEL ICETEX</t>
  </si>
  <si>
    <t>CDEF-0526-2024</t>
  </si>
  <si>
    <t xml:space="preserve">
1.	Desarrollar modelos y/o metodologías que mejore la gestión de los riesgos financieros y no financieros que administra la Oficina de Riesgos y los demás que se pudiera solicitar por las necesidades de la entidad: 
a) Modelo de estimación de probabilidad de recuperación de castigos 
b) Modelo de capacidad de pago para crédito a la medida 
c) Modelo interno para análisis de riesgo del deudor solidario. 
2.	Asesorar en el diseño y aplicación de pruebas a los modelos que se tienen implementados para la gestión y administración de los riesgos financieros que permitan identificar si se mantiene la capacidad de pronóstico observada al momento de la construcción de los mismos y lo demás que se pudiera solicitar por las necesidades de la entidad. 
a) Calibración modelo de provisiones 
b) Calibración del modelo de pronóstico de ICV 
c) Modelo para crédito territorial 
d) Modelo de selección 
3.	Acompañar el montaje del código resultado de la construcción y/o calibración del (los) modelo (s) en la herramienta que defina la Entidad, así como y pruebas de resultados previo a la puesta en producción del (los) modelo (s) así como lo que se pudiera solicitar por las necesidades de la entidad. 
4.	Realizar análisis, estudios, mejoras y aspectos de valor agregado referente a requerimientos que se realicen a la Oficina de Riesgos, así como lo que se pudiera solicitar por las necesidades de la entidad. 
5.	Desarrollar el análisis y definición de metodologías que se requieran desde la alta gerencia de la Entidad para cumplimiento de las mejoras que se establezcan en el marco de la transformación de la institución, así como lo que se pudiera solicitar por las necesidades de la entidad. 
6.	Asistir a las reuniones o mesas de trabajo que sean solicitadas por el supervisor del contrato. 
</t>
  </si>
  <si>
    <t>20242510001431-I Id: 4154544</t>
  </si>
  <si>
    <t>2024-0404</t>
  </si>
  <si>
    <t>CD-403-2024</t>
  </si>
  <si>
    <t>801003135-5</t>
  </si>
  <si>
    <t>CORPORACIÓN UNIVERSITARIA EMPRESARIAL ALEXANDER VON HUMBOLDT- CUE</t>
  </si>
  <si>
    <t>DIEGO FERNANDO JARAMILLO LÓPEZ</t>
  </si>
  <si>
    <t>JOHN VIRGÜEZ</t>
  </si>
  <si>
    <t>2024-0405</t>
  </si>
  <si>
    <t>CD-404-2024</t>
  </si>
  <si>
    <t>890104530-9</t>
  </si>
  <si>
    <t>LA CORPORACIÓN UNIVERSIDAD DE LA COSTA CUC</t>
  </si>
  <si>
    <t>EDUARDO ALFONSO CRISSIEN BORRERO</t>
  </si>
  <si>
    <t>EL OBJETO DEL PRESENTE DOCUMENTO ES PRORROGAR EL PLAZO ESTABLECIDO EN LA CLÁUSULA QUINTA Y MODIFICAR EL "ANEXO B FORMULA APORTE IES" DEL ACUERDO ESTRATÉGICO NO 2024-0406</t>
  </si>
  <si>
    <t>2024-0406</t>
  </si>
  <si>
    <t>CD-405-2024</t>
  </si>
  <si>
    <t>860029924-7</t>
  </si>
  <si>
    <t>UNIVERSIDAD COOPERATIVA DE COLOMBIA</t>
  </si>
  <si>
    <t>MARITZA RONDON RANGEL</t>
  </si>
  <si>
    <t>TERRITORIAL_NOROCCIDENTE
TERRITORIAL_ORIENTE
TERRITORIAL_CENTRO
TERRITORIAL_NORTE</t>
  </si>
  <si>
    <t>ASESOR TERRITORIAL ZONA NOROCCIDENTE
ASESOR TERRITORIAL ZONA ORIENTE
ASESOR TERRITORIAL ZONA CENTRO
ASESOR TERRITORIAL ZONA NORTE</t>
  </si>
  <si>
    <t>DANIEL ALBERTO CASTAÑO LOPEZ
IVETTE FRASSER SÁNCHEZ
ESTEBAN GUERRERO ALVAREZ
VIVIANA MARGARITA ROMERO</t>
  </si>
  <si>
    <t>7544385
38285903
1032460552
32794946</t>
  </si>
  <si>
    <t>LUZ JOHANNA MEDINA</t>
  </si>
  <si>
    <t>EL OBJETO DEL PRESENTE DOCUMENTO ES PRORROGAR EL PLAZO ESTABLECIDO EN LA CLÁUSULA QUINTA Y MODIFICAR EL "ANEXO B FORMULA APORTE IES" DEL ACUERDO ESTRATÉGICO No 2024-0406</t>
  </si>
  <si>
    <t>12.38</t>
  </si>
  <si>
    <t>2024-0407</t>
  </si>
  <si>
    <t>CD-406-2024</t>
  </si>
  <si>
    <t xml:space="preserve">ANGIE TATIANA SOTO AVELLANEDA </t>
  </si>
  <si>
    <t>PRESTAR LOS SERVICIOS PROFESIONALES LA ADOPCIÓN DE LOS ESTÁNDARES, BUENAS PRÁCTICAS Y PROCEDIMIENTOS QUE PERMITAN GARANTIZAR EL CONTROL E IMPLEMENTACIÓN DE ACCIONES PARA LA REGULARIZACIÓN DE LAS PARTIDAS A CONCILIAR DE LOS RECURSOS EN ADMINISTRACIÓN A CARGO ICETEX EN EL MARCO DEL PROYECTO DE BANCA ABIERTA Y TRANSPARENTE E INHOUSE BANKING</t>
  </si>
  <si>
    <t>CDEF-0342-2024</t>
  </si>
  <si>
    <t>BANCA ABIERTA Y TRANSPARENTE E
INHOUSE BANKING</t>
  </si>
  <si>
    <t xml:space="preserve">
1. Apoyar la estandarización de los procesos, informes e indicadores que permitan el control y la medición del proceso en la regularización de los Fondos y Alianzas.
2. Realizar el seguimiento y control a plan de trabajo definido para la regularización de fondos y alianzas al cierre de cada periodo.
3. Adelantar sistematización e integración de información contable y financiera entre las herramientas tecnológicas dispuestas por la Entidad para la toma de decisiones referente al proyecto de inversión banca abierta y transparente e in house banking.
4. Apoyar la articulación entre las áreas que intervienen en el proceso de regularización de partidas conciliatorias y las áreas Administradoras en busca de los mecanismos e instrumentos que garanticen la toma de decisiones oportuna, a partir de la implementación de tableros de control.
5. Realizar el seguimiento, soporte y gestión de los objetivos y resultados de las jornadas deajustes con el Grupo de Cartera, con el fin de evaluar oportunamente las partidas conciliatorias y su debido ajuste antes de cada cierre, garantizando la razonabilidad de los estados de cuenta, a través de la actualización, estandarización y sistematización de la información. 
6. Apoyar en la apropiación de tableros de control que permitan la optimización del proceso de reconocimiento contable de las obligaciones a cargo del Icetex relativas a las cuentas por pagar generadas en la operación de la Entidad.
7. Realizar el proceso de actualización y regularización de la información contable y de cartera de los recursos en administración al cierre de cada periodo.
8. Ejecutar el seguimiento y cumplimiento de los indicadores establecidos para el área y los procesos a cargo, con el fin de generar acciones de mejora en la gestión y operación financiera del ICETEX
9. Las demás obligaciones que se requieran para el cumplimiento a cabalidad del objeto contractual y que sean inherentes a la naturaleza del contrato.
10. Cumplir con los indicadores de gestión establecidos.
</t>
  </si>
  <si>
    <t>20243030001362-I Id: 4153997</t>
  </si>
  <si>
    <t>3.16</t>
  </si>
  <si>
    <t>2024-0408</t>
  </si>
  <si>
    <t>CD-407-2024</t>
  </si>
  <si>
    <t>AURA MARIA HUSNY NUÑEZ</t>
  </si>
  <si>
    <t>PRESTAR LOS SERVICIOS PROFESIONALES JURÍDICOS PARA APOYAR LA ACTIVIDAD PRECONTRACTUAL, CONTRACTUAL Y POST CONTRACTUAL RELACIONADOS CON EL APOYO A LA SUPERVISIÓN CONTRACTUAL A CARGO DE LA OFICINA ASESORA JURÍDICA, LA RESPUESTA A LAS PETICIONES, Y DEMÁS SOLICITUDES QUE LE SEAN ASIGNADAS. APOYAR EL TRÁMITE Y SEGUIMIENTO EN LA ETAPA DE JUZGAMIENTO EN LOS ASUNTOS DISCIPLINARIOS QUE SE LE ASIGNEN A LA OFICINA ASESORA JURÍDICA</t>
  </si>
  <si>
    <t>CDEF-0036-2024</t>
  </si>
  <si>
    <t xml:space="preserve">IG312001020220012 </t>
  </si>
  <si>
    <t xml:space="preserve">
1.	Revisar y determinar la procedencia de la documentación presentada por los demás contratistas para el pago de honorarios mensuales. 
2.	Realizar seguimiento al cargue de documentos por parte de los contratistas a las plataformas tecnológicas destinadas para el efecto.
3.	Proyectar los documentos que sean requeridos relacionados con las etapas precontractual, contractual y post contractual de los contratos de prestación de servicios de la Oficina Asesora Jurídica. 
4.	Revisar los diferentes documentos que corresponden al manejo y control de los contratos de prestación de servicios de la Oficina Asesora Jurídica.
5.	Proyectar respuesta a los derechos de petición, trámites y demás solicitudes que en el plano jurídico le sean asignadas, según los términos establecidos en las normas vigentes.
6.	 Aplicar conocimientos jurídicos y técnicas en la gestión de archivo de los procesos juridiciales que hayan sido adelantados y se estén adelantando por parte de la Oficina Asesora Jurídica. 
7.	Gestionar la recopilación y organización de los expedientes físicos de los procesos judiciales que hayan sido adelantados y se estén adelantando por parte de la Oficina Asesora Jurídica aplicando conocimientos jurídicos para lo que se requiera. 
8.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9.	Asistir y participar en las reuniones presenciales y/o virtuales a las que sea convocado por parte de la Oficina Asesora Jurídica o de las demás dependencias de la entidad.
10.	Elaborar y radicar los documentos correspondientes en la oportunidad y de acuerdo con las directrices establecidas por la entidad, para el cobro mensual de los honorarios. 
11.	Desarrollar las acciones asignadas tendientes al mejoramiento continuo de conformidad con las políticas de calidad implementadas en la entidad y que impacten favorablemente el desarrollo de las metas del proyecto apoyado.
12.	Apoyar las gestiones correspondientes en la etapa de juzgamiento en la primera instancia de los procesos disciplinarios que corresponda adelantar en la entidad, de conformidad con lo previsto en el libro IV artículo 83 y siguientes de la Ley 1952 de 2019 y demás normatividad aplicable y las que la modifiquen. 
13.	Atender los demás asuntos que, de conformidad con el objeto contractual, le sean asignados por la Oficina Asesora Jurídica.
</t>
  </si>
  <si>
    <t>20243030001412-I Id: 4154396</t>
  </si>
  <si>
    <t>12.33</t>
  </si>
  <si>
    <t>2024-0409</t>
  </si>
  <si>
    <t>CD-408-2024</t>
  </si>
  <si>
    <t xml:space="preserve">CESAR ALEXANDER HERNANDEZ ACOSTA </t>
  </si>
  <si>
    <t>PRESTAR LOS SERVICIOS PROFESIONALES PARA LA ADOPCIÓN DE LOS ESTÁNDARES, BUENAS PRÁCTICAS Y PROCEDIMIENTOS QUE PERMITAN OPTIMIZAR LOS TIEMPOS DE OPERACIÓN CONTABLE, ASÍ COMO, LOS PROCESOS DE CONSOLIDACIÓN Y MEJORA DE LA CALIDAD DE LA INFORMACIÓN FINANCIERA PARA LA REGULARIZACIÓN DE LOS FONDOS Y ALIANZAS EN ADMINISTRACIÓN, EN EL MARCO DEL PROYECTO DE BANCA ABIERTA Y TRANSPARENTE E INHOUSE BANKING</t>
  </si>
  <si>
    <t>CDEF-0337-2024</t>
  </si>
  <si>
    <t xml:space="preserve">
1. Apoyar en la apropiación de lineamientos, estándares e informes que permitan la implementación del extracto y/o estado de cuenta, que soporte el proceso de regularización de partidas conciliatorias de los Fondos y Alianzas en administración.
2. Realizar la integración y sistematización de información entre las áreas que intervienen en el desarrollo y elaboración del extracto y/o estados de cuenta que contiene la información contable y financiera de los recursos en administración.
3. Ejecutar el seguimiento y control para la integración de información contable y financiera entre las herramientas tecnológicas dispuestas por la Entidad para la toma de decisiones en el marco del proyecto de inversión banca abierta y transparente e in house banking.
4. Apoyar la articulación entre las áreas que intervienen en el proceso de regularización de partidas conciliatorias y las áreas Administradoras en busca de los mecanismos e instrumentos que garanticen la toma de decisiones oportuna.
5. Realizar el seguimiento, soporte y gestión de los objetivos y resultados de las jornadas de ajustes con el Grupo de Cartera, con el fin de evaluar oportunamente las partidas conciliatorias y su debido ajuste antes de cada cierre, garantizando la razonabilidad de los estados de cuenta.
6. Apoyar en la apropiación de estándares, buenas prácticas e indicadores para la estabilización del proceso de reconocimiento contable de las obligaciones a cargo del Icetex relativas a las cuentas por pagar generadas en la operación de la Entidad.
7. Estructurar los insumos técnicos para la optimización del proceso de actualización y regularización de la información contable y de cartera de los recursos en administración al cierre de cada periodo.
8. Ejecutar el seguimiento y cumplimiento de los indicadores establecidos para el área y los procesos a cargo, con el fin de generar acciones de mejora en la gestión y operación financiera del ICETEX
9. Las demás obligaciones que se requieran para el cumplimiento a cabalidad del objeto contractual y que sean inherentes a la naturaleza del contrato.
10. Cumplir con los indicadores de gestión establecidos.
</t>
  </si>
  <si>
    <t>20243030001380-I Id: 4154215</t>
  </si>
  <si>
    <t>13.9</t>
  </si>
  <si>
    <t>2024-0410</t>
  </si>
  <si>
    <t>CD-409-2024</t>
  </si>
  <si>
    <t>JUAN DAVID MARÍN LOPEZ</t>
  </si>
  <si>
    <t>PRESTAR SERVICIOS PROFESIONALES ESPECIALIZADOS PARA APOYAR Y ASESORAR A LA SECRETARÍA GENERAL EN LA GESTIÓN CONTRACTUAL Y DEMÁS ASUNTOS JURÍDICOS QUE SEAN COMPETENCIA DE LA SECRETARÍA GENERAL</t>
  </si>
  <si>
    <t>CDEF-0617-2024</t>
  </si>
  <si>
    <t xml:space="preserve">1.	Apoyar y asesorar a la Secretaría General en la revisión, análisis y/o trámite de las solicitudes de contratación que realicen las diferentes dependencias, y proponer los ajustes jurídicos y/o contractuales que se requieran, con base en las normas en materia de contratación aplicables a EL ICETEX. 
2.	Brindar acompañamiento y soporte jurídico a la Secretaría General en la revisión de los documentos que sean sometidos a su consideración, conforme a la normatividad vigente y las disposiciones internas. 
3.	Apoyar a la Secretaría General mediante la elaboración y/o revisión de proyectos de respuesta de carácter jurídico que demande el trámite de los procesos en sus etapas precontractual, contractual y poscontractual o de materias que sean de competencia de la Secretaría General.
4.	Efectuar las recomendaciones y emitir los conceptos jurídicos que correspondan respecto de las situaciones particulares sujetas a su análisis, en estricta atención a las normas sobre la contratación pública.
5.	Apoyar y realizar acompañamiento jurídico a la Secretaría General en los comités, reuniones, mesas de trabajo y demás escenarios que se estimen pertinentes relacionados con el objeto del contrato 
6.	Elaborar y /o revisar proyectos de actos administrativos de carácter general y particular que le sean solicitados. 
7.	Desplazarse en caso de requerirse con el fin de dar cumplimiento al objeto contractual. 
8.	Las demás obligaciones que sean acordes con el objeto contractual asignado por quien ejerza la función de la Supervisión del Contrato.
</t>
  </si>
  <si>
    <t>20243030001445-I Id: 4154683</t>
  </si>
  <si>
    <t>10.72</t>
  </si>
  <si>
    <t>2024-0411</t>
  </si>
  <si>
    <t>CD-410-2024</t>
  </si>
  <si>
    <t>FLOR MILENA BERNAL TARQUINO</t>
  </si>
  <si>
    <t>CDEF-0476-2024</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</si>
  <si>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</si>
  <si>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20243030001372-I Id: 4154132</t>
  </si>
  <si>
    <t>2024-0412</t>
  </si>
  <si>
    <t>CD-411-2024</t>
  </si>
  <si>
    <t>890983722-6</t>
  </si>
  <si>
    <t>UNIVERSIDAD EIA</t>
  </si>
  <si>
    <t>OLGA LUCIA OCAMPO TORO</t>
  </si>
  <si>
    <t>ANGELICA CHILITO</t>
  </si>
  <si>
    <t>EL OBJETO DEL PRESENTE DOCUMENTO ES PRORROGAR EL PLAZO ESTABLECIDO EN LA CLÁUSULA QUINTA Y MODIFICAR EL “ANEXO B FÓRMULA APORTE IES” DEL ACUERDO ESTRATÉGICO NO. 2024-0412.</t>
  </si>
  <si>
    <t>2024-0413</t>
  </si>
  <si>
    <t>CD-412-2024</t>
  </si>
  <si>
    <t>890101681-9</t>
  </si>
  <si>
    <t>UNIVERSIDAD DEL NORTE</t>
  </si>
  <si>
    <t>ELKIN JOSE HERNANDEZ CUELLO</t>
  </si>
  <si>
    <t>DIANA HERNANDEZ</t>
  </si>
  <si>
    <t>EL OBJETO DEL PRESENTE DOCUMENTO ES PRORROGAR EL PLAZO ESTABLECIDO EN LA CLÁUSULA QUINTA Y MODIFICAR EL “ANEXO B FÓRMULA APORTE IES” DEL ACUERDO ESTRATÉGICO NO. 2024-0413.</t>
  </si>
  <si>
    <t>4.123</t>
  </si>
  <si>
    <t>2024-0414</t>
  </si>
  <si>
    <t>CD-413-2024</t>
  </si>
  <si>
    <t>DALILA CALLE GARCIA</t>
  </si>
  <si>
    <t>CDEF-0106-2024</t>
  </si>
  <si>
    <t xml:space="preserve"> HONORARIOS -  OCM</t>
  </si>
  <si>
    <t>20243030001428-I Id: 4154535</t>
  </si>
  <si>
    <t>4.124</t>
  </si>
  <si>
    <t>2024-0415</t>
  </si>
  <si>
    <t>CD-414-2024</t>
  </si>
  <si>
    <t>OSCAR IVAN VALENCIA RAMIREZ</t>
  </si>
  <si>
    <t>CDEF-0107-2024</t>
  </si>
  <si>
    <t>20243030001454-I Id: 4154749</t>
  </si>
  <si>
    <t>4.119</t>
  </si>
  <si>
    <t>2024-0416</t>
  </si>
  <si>
    <t>CD-415-2024</t>
  </si>
  <si>
    <t>LUZ ADRIANA OROZCO VANDER HUCK</t>
  </si>
  <si>
    <t>20243030001450-I Id: 4154724</t>
  </si>
  <si>
    <t>4.86</t>
  </si>
  <si>
    <t>2024-0417</t>
  </si>
  <si>
    <t>CD-416-2024</t>
  </si>
  <si>
    <t>NICOLAS PARRA HERRERA</t>
  </si>
  <si>
    <t>PRESTAR SERVICIOS PROFESIONALES PARA PROPORCIONAR ACOMPAÑAMIENTO TÉCNICO, ASISTENCIA METODOLÓGICA Y SOPORTE LOGÍSTICO EN LA "UNIDAD DE OPERACIÓN" EN EL MARCO DEL DESARROLLO DEL PLAN ESTRATÉGICO DE LA ENTIDAD Y LA "POLÍTICA DE GUÍA, INFORMACIÓN Y ACOMPAÑAMIENTO".</t>
  </si>
  <si>
    <t>CDEF-0243-2024</t>
  </si>
  <si>
    <t xml:space="preserve">Colaborar en la concepción, planificación y ejecución de las iniciativas asignadas por el líder de la Unidad de Operaciones de Comunidad ICETEX. 
2.	Monitorear la implementación de las iniciativas designadas por el líder de la Unidad de Operaciones de Comunidad ICETEX, lo cual incluirá evaluaciones regulares del progreso y la elaboración de informes detallados. 
3.	Definir y poner en práctica los ajustes necesarios en los planes operativos de las iniciativas asignadas por el líder de la Unidad de Operaciones de Comunidad ICETEX. 
4.	Aportar a la estandarización de los procesos de la Unidad de Operaciones de Comunidad ICETEX. 
5.	Aportar en la formulación y puesta en marcha de los sistemas de gestión de Comunidad ICETEX, teniendo en cuenta las mejores prácticas nacionales e internacionales de gestión de proyectos y metodologías ágiles. 
6.	Respaldar los procesos de reporte de los logros y avances del proyecto Comunidad ICETEX ante las áreas internas del ICETEX, entidades de control y ciudadanía.   
7.	Asistir en los procedimientos precontractuales asignados para la ejecución de las actividades relacionadas con Comunidad ICETEX. 
8.	Apoyar la supervisión de los contratos que le sean asignados, desde el punto de vista técnico y/o administrativo y/o financiero y/o contable, de conformidad con lo establecido en el Manual de Contratación de la Entidad.   
9.	Informes mensuales de actividades que permitan al supervisor verificar el avance y cumplimiento de las obligaciones contractuales y de los indicadores de gestión.  
10.	Las demás obligaciones que se requieran para el cumplimiento a cabalidad del objeto contractual y que sean inherentes a la naturaleza del contrato.
</t>
  </si>
  <si>
    <t>20243030001473-I Id: 4154961</t>
  </si>
  <si>
    <t>10.82</t>
  </si>
  <si>
    <t>2024-0418</t>
  </si>
  <si>
    <t>CD-417-2024</t>
  </si>
  <si>
    <t>YOLANDA BUILES GUTIERREZ</t>
  </si>
  <si>
    <t>PRESTAR SUS SERVICIOS PROFESIONALES APOYANDO LAS ACTIVIDADES RELACIONADAS CON LOS FONDOS Y/O ALIANZAS INACTIVAS Y FONDOS CON CONVOCATORIAS CERRADAS QUE SEAN ADMINISTRADOS POR LA VICEPRESIDENCIA DE FONDOS EN ADMINISTRACIÓN.</t>
  </si>
  <si>
    <t>CDEF-0421-2024</t>
  </si>
  <si>
    <t xml:space="preserve">1.	Apoyar los trámites relacionados con la modificación y actualización de los convenios, contratos, alianzas, proyectos y reglamentos a cargo de Vicepresidencia de Fondos en Administración, teniendo en cuenta los procedimientos establecidos por el ICETEX.
2.	Efectuar seguimiento mensual de los fondos asignados, informando al Despacho las novedades que impidan la correcta ejecución de los mismos.
3.	Apoyar los procesos de convocatoria y adjudicación relacionados con Fondos asignados, conforme con las condiciones establecidas en los reglamentos operativos y los procedimientos establecidos por el ICETEX.
4.	Efectuar la legalización, renovación, giro, paso al cobro, de conformidad con el Reglamento Operativo de cada fondo a su cargo y los procedimientos establecidos por el ICETEX.
5.	Realizar la proyección financiera de los fondos asignados, manteniendo actualizada la información.
6.	Proponer flujo de caja de los fondos asignados y realizar seguimiento a la ejecución del mismo de manera mensual, conforme los lineamientos de la Vicepresidencia de Fondos en Administración.
7.	Efectuar el proceso oportuno de validación, solicitud y seguimiento de los desembolsos y pago de facturas a proveedores cuando aplique.
8.	Identificar los beneficiarios susceptibles de condonación, informar a la instancia correspondiente de acuerdo con el Reglamento Operativo y efectuar el seguimiento hasta culminar dicho proceso.
9.	 Realizar seguimiento a la gestión de cartera de los fondos asignados, actualizar la información en los informes de gestión y monitorear de manera mensual el movimiento financiero del fondo.
10.	Efectuar el seguimiento a los rendimientos financieros y los trámites relacionados con reintegros a los entes que correspondan, de acuerdo con lo establecido en el Reglamento Operativo, la normatividad vigente y los procedimientos del ICETEX.
11.	Convocar las mesas de trabajo de manera presencial o virtual con los constituyentes de los fondos a su cargo, y elaborar las actas de los Comités y Juntas Administradoras en los que el ICETEX tenga a cargo la Secretaria Técnica.
12.	Incorporar en los expedientes de los fondos y en las carpetas compartidas de la Vicepresidencia de Fondos en Administración la información que surja en el desarrollo del objeto contractual y hacer correcto uso de las mismas.
13.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a las diferentes ciudades del país, en caso de ser necesario para la debida ejecución del contrato, previa coordinación con el supervisor.
17.	Las demás asignadas por el supervisor y que tengan relación con el objeto del presente contrato
</t>
  </si>
  <si>
    <t>20243030001456-I Id: 4154757</t>
  </si>
  <si>
    <t>10.58</t>
  </si>
  <si>
    <t>2024-0419</t>
  </si>
  <si>
    <t>CD-418-2024</t>
  </si>
  <si>
    <t>SANDRA LILIANA TARQUINO AYALA</t>
  </si>
  <si>
    <t>CDEF-0431-2024</t>
  </si>
  <si>
    <t>20243030001474-I Id: 4154963</t>
  </si>
  <si>
    <t>10.61</t>
  </si>
  <si>
    <t>2024-0420</t>
  </si>
  <si>
    <t>CD-419-2024</t>
  </si>
  <si>
    <t>JULIO ANTONIO MARTINEZ RAMIREZ</t>
  </si>
  <si>
    <t>CDEF-0403-2024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</si>
  <si>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en los expedientes de los fondos y en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</si>
  <si>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20243030001427-I Id: 4154526</t>
  </si>
  <si>
    <t>10.59</t>
  </si>
  <si>
    <t>2024-0421</t>
  </si>
  <si>
    <t>CD-420-2024</t>
  </si>
  <si>
    <t>DIANA MARIA DIAZ DELGADO</t>
  </si>
  <si>
    <t>CDEF-0413-2024</t>
  </si>
  <si>
    <t xml:space="preserve">1.	Apoyar la gestión, administración, seguimiento y control de los convenios y contratos a cargo de la Vicepresidencia de Fondos en Administración, que le sean asignados.  
2.	Efectuar seguimiento a los trámites administrativos para las modificaciones de los convenios, contratos y reglamentos de los fondos a cargo de la Vicepresidencia de Fondos en Administración.
3.	Revisar desde el punto de visto técnico de los Reglamentos Operativos de los fondos administrados por la Vicepresidencia de Fondo en Administración que le sean asignados. 
4.	Revisar los informes financieros y de gestión conforme las condiciones y periodicidad establecida en cada convenio, contrato y reglamentos operativos y efectuar seguimiento a la remisión de los mismos a los constituyentes.
5.	Revisar las cuentas de cobro que deben remitirse a los constituyentes y efectuar seguimiento de las mismas. 
6.	Revisar los cronogramas y términos de referencia de las convocatorias requeridas para la adjudicación de los recursos de los fondos asignados y asegurar que el fondo cuente con los recursos disponibles para garantizar los giros que se requieran.
7.	Revisar la calificación efectuada en la Vicepresidencia de Fondos en Administración, conforme con las condiciones establecidas en los reglamentos operativos y los procedimientos establecidos por el ICETEX.
8.	Validar las proyecciones financieras y flujo de caja previamente proyectados contra los datos históricos y los apoyos económicos en proceso de adjudicación y renovación.  
9.	Efectuar seguimiento mensual a la gestión de los procesos de otorgamiento, legalización, renovación, desembolsos, condonaciones y pasos al cobro de los fondos administrados por la Vicepresidencia de Fondos en Administración que le sean asignados.
10.	Efectuar seguimiento a los compromisos derivados de los Comités o Juntas Administradoras de los fondos que le sean asignados.
11.	Revisar respuestas a los requerimientos de los constituyentes, entes de control que le sean solicitados. 
12.	Acompañar y efectuar recomendaciones en los Comités o Juntas Administradoras donde sea solicitada su participación.  
13.	Apoyar la supervisión de los contratos y/o convenios que le sean asignados, relacionados con el objeto contractual.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en oficinas institucionales ubicadas en ciudades o municipios distintos a Bogotá D.C, por solicitud del supervisor, previo el otorgamiento de la correspondiente autorización de desplazamiento. 
17.	Las demás asignadas por el supervisor y que tengan relación con el objeto del presente contrato.
</t>
  </si>
  <si>
    <t>20243030001432-I Id: 4154551</t>
  </si>
  <si>
    <t>10.81</t>
  </si>
  <si>
    <t>2024-0422</t>
  </si>
  <si>
    <t>CD-421-2024</t>
  </si>
  <si>
    <t>SINDY CAROLINA OLIVEROS MARTINEZ</t>
  </si>
  <si>
    <t>PRESTAR SUS SERVICIOS PROFESIONALES APOYANDO LAS ACTIVIDADES RELACIONADAS CON LOS FONDOS Y/O ALIANZAS INACTIVAS Y FONDOS CON CONVOCATORIAS CERRADAS QUE SEAN ADMINISTRADOS POR LA VICEPRESIDENCIA DE FONDOS EN ADMINISTRACIÓN</t>
  </si>
  <si>
    <t>CDEF-0424-2024</t>
  </si>
  <si>
    <t xml:space="preserve">
1.	Apoyar los trámites relacionados con la modificación y actualización de los convenios, contratos, alianzas, proyectos y reglamentos a cargo de Vicepresidencia de Fondos en Administración, teniendo en cuenta los procedimientos establecidos por el ICETEX.
2.	Efectuar seguimiento mensual de los fondos asignados, informando al Despacho las novedades que impidan la correcta ejecución de los mismos.
3.	Apoyar los procesos de convocatoria y adjudicación relacionados con Fondos asignados, conforme con las condiciones establecidas en los reglamentos operativos y los procedimientos establecidos por el ICETEX.
4.	Efectuar la legalización, renovación, giro, paso al cobro, de conformidad con el Reglamento Operativo de cada fondo a su cargo y los procedimientos establecidos por el ICETEX.
5.	Realizar la proyección financiera de los fondos asignados, manteniendo actualizada la información.
6.	Proponer flujo de caja de los fondos asignados y realizar seguimiento a la ejecución del mismo de manera mensual, conforme los lineamientos de la Vicepresidencia de Fondos en Administración.
7.	Efectuar el proceso oportuno de validación, solicitud y seguimiento de los desembolsos y pago de facturas a proveedores cuando aplique.
8.	Identificar los beneficiarios susceptibles de condonación, informar a la instancia correspondiente de acuerdo con el Reglamento Operativo y efectuar el seguimiento hasta culminar dicho proceso.
9.	 Realizar seguimiento a la gestión de cartera de los fondos asignados, actualizar la información en los informes de gestión y monitorear de manera mensual el movimiento financiero del fondo.
10.	Efectuar el seguimiento a los rendimientos financieros y los trámites relacionados con reintegros a los entes que correspondan, de acuerdo con lo establecido en el Reglamento Operativo, la normatividad vigente y los procedimientos del ICETEX.
11.	Convocar las mesas de trabajo de manera presencial o virtual con los constituyentes de los fondos a su cargo, y elaborar las actas de los Comités y Juntas Administradoras en los que el ICETEX tenga a cargo la Secretaria Técnica.
12.	Incorporar en los expedientes de los fondos y en las carpetas compartidas de la Vicepresidencia de Fondos en Administración la información que surja en el desarrollo del objeto contractual y hacer correcto uso de las mismas.
13.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a las diferentes ciudades del país, en caso de ser necesario para la debida ejecución del contrato, previa coordinación con el supervisor.
17.	Las demás asignadas por el supervisor y que tengan relación con el objeto del presente contrato.
</t>
  </si>
  <si>
    <t>20243030001478-I Id: 4154971</t>
  </si>
  <si>
    <t>11.78</t>
  </si>
  <si>
    <t>2024-0423</t>
  </si>
  <si>
    <t>CD-422-2024</t>
  </si>
  <si>
    <t>HUGO JOCKNERY DURÁN TICORA</t>
  </si>
  <si>
    <t>PRESTACIÓN DE SERVICIOS PROFESIONALES ESPECIALIZADOS EN INGENIERÍA EN EL TRÁMITE DE TI PARA LA CONFIGURACIÓN, SOPORTE FUNCIONAL Y TÉCNICO DE LOS SISTEMAS DE INFORMACIÓN O COMPONENTES TECNOLÓGICOS DEL ICETEX</t>
  </si>
  <si>
    <t>CDEF-0499-2024</t>
  </si>
  <si>
    <t>PROFESIONAL ESPECIALIZADO GRADO 04 GRUPO DE DATOS E INFORMACIÓN</t>
  </si>
  <si>
    <t xml:space="preserve">1.	Parametrizar y configurar de los Sistemas de Información asignados para el correcto funcionamiento de los procesos del área financiera y de talento humano             
2.	Implementar ajustes para solucionar incidentes y problemas detectados en los sistemas de información o componentes de software.  
3.	Proponer mejoras funcionales en los aplicativos asignados para su evaluación y aprobación en los órganos de gobierno de TI indicados por la Dirección de Tecnología.  
4.	Tramitar el soporte requerido con los proveedores tecnológicos del área financiera y talento humano para atender los requerimientos solicitados por las áreas misionales del ICETEX  
5.	Respaldar a los equipos de trabajo relacionados con los sistemas financieros de la entidad en tareas de implementación, formulación de planes de pruebas, diseño de pruebas de aceptación y ejecución de las mismas.  
6.	Respaldar estrategias de comunicación de las diferentes actividades relacionadas con los sistemas financieros de la entidad  
7.	Acompañar el monitoreo y control de la efectividad de las estrategias de comunicación definidas  
8.	Garantizar la gestión del conocimiento generado, mediante creación y actualización de procedimientos, manuales y artefactos, en los repositorios de la entidad. 
</t>
  </si>
  <si>
    <t>20243030001462-I Id: 4154838</t>
  </si>
  <si>
    <t>4.104</t>
  </si>
  <si>
    <t>2024-0424</t>
  </si>
  <si>
    <t>CD-423-2024</t>
  </si>
  <si>
    <t xml:space="preserve">ANDRES SEBASTIAN ROMERO LUCAS </t>
  </si>
  <si>
    <t>PRESTAR LOS SERVICIOS PROFESIONALES DE LIDERAR EL DESARROLLO, SEGUIMIENTO, CONTROL Y MEJORA CONTINUA DE ESTRATEGIAS GRÁFICAS PARA LA PROMOCIÓN DEL PORTAFOLIO DE PRODUCTOS DE ICETEX Y PROGRAMAS O PROYECTOS DE LA OFICINA COMERCIAL Y DE MERCADEO</t>
  </si>
  <si>
    <t>CDEF-0073-2024</t>
  </si>
  <si>
    <t>HONORARIOS -  OCM</t>
  </si>
  <si>
    <t xml:space="preserve">
1. Elaborar y entregar plan de trabajo y cronograma de actividades para aprobación de la supervisión del contrato, de conformidad con las estipulaciones contractuales. 
2. Proponer e implementar diseños gráficos con la finalidad de promocionar y divulgar el portafolio de productos y servicios del ICETEX.  
3. Adaptar los diseños gráficos de las diferentes campañas comunicativas a los diferentes formatos que sean requeridos para publicaciones o actualizaciones dentro de la página web del ICETEX. 
4. Investigar e implementar diferentes clases de diseños gráficos para comunicar el portafolio de productos ICETEX. 
1. Elaborar y entregar plan de trabajo y cronograma de actividades para aprobación de la supervisión del contrato, de conformidad con las estipulaciones contractuales. 
2. Proponer e implementar diseños gráficos con la finalidad de promocionar y divulgar el portafolio de productos y servicios del ICETEX.  
3. Adaptar los diseños gráficos de las diferentes campañas comunicativas a los diferentes formatos que sean requeridos para publicaciones o actualizaciones dentro de la página web del ICETEX. 
4. Investigar e implementar diferentes clases de diseños gráficos para comunicar el portafolio de productos ICETEX. 
5. Nutrir el SharePoint (centro de marca) del Grupo de Gestión Comercial y de Mercadeo, con los diferentes diseños gráficos y material audiovisual, así como los demás diseños comerciales que le sean requeridos.  
6. Apoyar la producción audiovisual y fotográfica de la Entidad, así como el montaje y ejecución de los eventos para promover y difundir sus productos y servicios. 
7. Realizar las labores de acompañamiento en reuniones o comités, de conformidad con las necesidades de la Entidad y la designación de supervisor del contrato. 
8. Las demás que sean inherentes para el logro del objeto contratado, asignadas por el supervisor del contrato. Indicador de gestión 
5. Nutrir el SharePoint (centro de marca) del Grupo de Gestión Comercial y de Mercadeo, con los diferentes diseños gráficos y material audiovisual, así como los demás diseños comerciales que le sean requeridos.  
6. Apoyar la producción audiovisual y fotográfica de la Entidad, así como el montaje y ejecución de los eventos para promover y difundir sus productos y servicios. 
7. Realizar las labores de acompañamiento en reuniones o comités, de conformidad con las necesidades de la Entidad y la designación de supervisor del contrato. 
8. Las demás que sean inherentes para el logro del objeto contratado, asignadas por el supervisor del contrato. Indicador de gestión 
</t>
  </si>
  <si>
    <t>20243030001470-I
Id: 4154948</t>
  </si>
  <si>
    <t>13.65</t>
  </si>
  <si>
    <t>2024-0425</t>
  </si>
  <si>
    <t>CD-424-2024</t>
  </si>
  <si>
    <t>CAMILO HERNANDEZ RIAÑO</t>
  </si>
  <si>
    <t>PRESTAR SERVICIOS PROFESIONALES A LA SECRETARÍA GENERAL EN LAS ACTIVIDADES RELACIONADAS CON LA CONSTRUCCIÓN, EJECUCIÓN, SEGUIMIENTO Y CONTROL DEL PLAN DE GESTIÓN DEL CAMBIO PARA LA MEJORA CONTINUA DE CONFORMIDAD CON LOS LINEAMIENTOS INTERNOS Y LA NORMATIVIDAD VIGENTE.</t>
  </si>
  <si>
    <t>CDEF-0598-2024</t>
  </si>
  <si>
    <t xml:space="preserve">1.	Apoyar y conceptualizar las estrategias para la implementación de la gestión del cambio, innovación, clima y cultura organizacional en línea con el MIPG, de conformidad con lo dispuesto en la Ley y bajo los lineamientos establecidos.
2.	Acompañar a la Secretaría General en procesos de gestión del cambio y formular estrategias para la implementación de la nueva estructura organizacional del ICETEX.
3.	Acompañar, conceptualizar y realizar el seguimiento a las actividades y metas definidas en los planes institucionales e indicadores de gestión del cambio.
4.	Realizar la recolección y apoyar en la implementación de los resultados obtenidos en mediciones de cambio y documentar según los requerimientos planteados por el ICETEX.
5.	Proponer planes de acción que garanticen la aplicación, desarrollo y apropiación de las estrategias en la gestión del cambio en el ICETEX.
6.	Acompañar y realizar los seguimientos a los procesos involucrados en la gestión del cambio y la apropiación de las nuevas tecnologías 
7.	Proyectar, gestionar y aplicar las acciones necesarias para lograr la flexibilidad y la visión de cambio en la entidad
8.	Asistir y participar en comités, mesas de trabajo y reuniones relacionadas con el desarrollo de su objeto y obligaciones contractuales.
9.	Las demás asignadas por el Supervisor, relacionadas con el objeto y la naturaleza del contrato.
</t>
  </si>
  <si>
    <t>20243030001475-I Id: 4154964</t>
  </si>
  <si>
    <t>13.64</t>
  </si>
  <si>
    <t>2024-0426</t>
  </si>
  <si>
    <t>CD-425-2024</t>
  </si>
  <si>
    <t>MARÍA ALEJANDRA GOMEZ RIVERA</t>
  </si>
  <si>
    <t>PRESTAR SERVICIOS PROFESIONALES A LA SECRETARÍA GENERAL EN LAS ACTIVIDADES RELACIONADAS CON LA PROYECCIÓN, EJECUCIÓN Y SEGUIMIENTO A LOS PLANES DE MEJORA, IMPLEMENTACIÓN DEL MIPG, CULTURA ORGANIZACIONAL Y PLAN ANUAL DE VACANTES NECESARIOS PARA LA MEJORA CONTINUA DE CONFORMIDAD CON LOS LINEAMIENTOS INTERNOS Y LA NORMATIVIDAD VIGENTE.</t>
  </si>
  <si>
    <t xml:space="preserve">1. Apoyar y conceptualizar las estrategias para la implementación de creación de valor a partir de los diagnósticos de bienestar, clima y cultura organizacional en el marco de los planes anuales de bienestar, incentivos, gestión del cambio, gestión del conocimiento, innovación, clima y cultura organizacional en contraste con el MIPG de conformidad con lo dispuesto en la Ley y bajo los lineamientos definidos por el Ministerio de Hacienda y el Ministerio de Educación Nacional.
2. Acompañar a la Secretaría General en procesos de gestión del cambio y formular estrategias para la implementación de la nueva estructura organizacional del ICETEX.
3. Apoyar seguimiento del plan estratégico de talento humano, así como el acompañamiento a la formulación de los demás planes políticas y programas de talento humano apoyar la ejecución seguimiento y evaluación del plan de vacantes y plan de previsión de recursos humanos.
4. Apoyar la ejecución, seguimiento y evaluación del Plan Anual de Vacantes, Plan de Previsión de Recursos Humanos y la formulación de la siguiente vigencia, así como el proceso de selección de los aspirantes para la provisión de empleos vacantes de la Planta de Personal del ICETEX.
5. Apoyar en la ejecución del concurso meritocrático de los empleos vacantes de la planta permanente del ICETEX, desde la administración del aplicativo SIMO-vacantes y el módulo del banco de lista de elegibles, según lineamientos de la CNSC.
6. Asistir y participar en comités, mesas de trabajo y reuniones relacionadas con el desarrollo de su objeto y obligaciones contractuales.
7. Las demás asignadas por el Supervisor, relacionadas con el objeto y la naturaleza del contrato.
</t>
  </si>
  <si>
    <t>20243030001476-I Id: 4154967</t>
  </si>
  <si>
    <t>6.6</t>
  </si>
  <si>
    <t>2024-0427</t>
  </si>
  <si>
    <t>CD-426-2024</t>
  </si>
  <si>
    <t>ROSA AMPARO ALVAREZ CONTRERAS</t>
  </si>
  <si>
    <t>PRESTAR SERVICIOS PROFESIONALES PARA APOYAR LA PLANEACIÓN Y SEGUIMIENTO DE LOS RECURSOS FINANCIEROS ASIGNADOS A LA OFICINA DE RELACIONES INTERNACIONALES REALIZANDO LOS TRÁMITES PRESUPUESTALES NECESARIOS AL INTERIOR DEL ICETEX</t>
  </si>
  <si>
    <t>CDEF-0367-2024</t>
  </si>
  <si>
    <t>IG312001020270012.</t>
  </si>
  <si>
    <t xml:space="preserve">
1. Apoyar la elaboración, formulación, actualización y seguimiento a los rubros de funcionamiento y de inversión del presupuesto asignado a la ORI. 
2. Elaborar y tramitar la expedición de las solicitudes de certificados de disponibilidad presupuestal, traslados presupuestales, solicitud de vigencias futuras, solicitudes de RP, creación de terceros, órdenes de pago, revisión y trámite de cuentas de cobro, facturas y demás documentos que deba suscribir la jefe de la Oficina de Relaciones Internacionales en calidad de ordenadora y/o supervisora de contratos.  
3. Realizar seguimiento presupuestal y financiero a los programas que ejecuta la ORI, validando internamente y con las dependencias correspondientes la información que corresponda y presentar reporte mensual de la misma a la supervisión del contrato. 
4. Elaborar y/o revisar los documentos e informes de presupuesto y financieros que deban remitirse a dependencias distintas de la ORI y los que le sean solicitados por la Supervisión.  
5. Realizar control de segundo nivel a la documentación para trámite de giros de recursos, remisión y seguimiento a desembolsos dentro de los programas de la ORI.  
6. Realizar acompañamiento en los comités financieros y de presupuesto de la Entidad, en los que se requiera presencia de la ORI, previa instrucción de la Supervisión.   
7. Apoyar a la jefe de la Oficina de Relaciones Internacionales en la revisión y actualización de los proyectos de inversión y funcionamiento de la ORI, en consonancia con la gestión misional que tiene a cargo.   
8. Realizar y/o revisar las respuestas a las solicitudes y peticiones de los diferentes entes de control relacionadas con el objeto contractual, previa coordinación con el supervisor del contrato.  
9. Realizar el apoyo a la supervisión financiera de contratos y acuerdos estratégicos, conforme a la solicitud del supervisor, revisando los informes presentados por los contratistas y aliados dentro de la gestión de cuentas de cobro, de facturas y desembolsos, previo al aval de la
jefe de la ORI.  
10. Apoyar la elaboración de reportes, informes, presentaciones y realizar las demás actividades que sean requeridas por el Supervisor que se relacionen con el objeto del contrato. 
</t>
  </si>
  <si>
    <t>20243030001465-I Id: 4154896</t>
  </si>
  <si>
    <t>10.87</t>
  </si>
  <si>
    <t>2024-0428</t>
  </si>
  <si>
    <t>CD-427-2024</t>
  </si>
  <si>
    <t>LINA MARIA BOCANEGRA VERGARA</t>
  </si>
  <si>
    <t>CDEF-0460-2024</t>
  </si>
  <si>
    <t>REMUNERACION SERVICIOS TECNICOS VFA</t>
  </si>
  <si>
    <t xml:space="preserve">
IG 312001020700014
</t>
  </si>
  <si>
    <t xml:space="preserve">
1.	Apoyar los asuntos operativos de los Fondos a cargo la Vicepresidencia de Fondos en Administración.
2.	 Apoyar la verificación de información y el cargue de la misma en las bases de datos que le sean solicitados por la Vicepresidencia de Fondos en Administración.
3.	Apoyar la generación de informes y proyecciones de respuestas requeridas, en el marco del objeto contractual.
4.	Apoyar la elaboración de informes de gestión de los Fondos a cargo de la Vicepresidencia de Fondos en Administración, cuando sea requerido.
5.	Apoyar la creación de garantías y firma asistida de las mismas, de los Fondos a cargo de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</si>
  <si>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20243030001502-I Id: 4155007</t>
  </si>
  <si>
    <t>12.39</t>
  </si>
  <si>
    <t>2024-0429</t>
  </si>
  <si>
    <t>CD-428-2024</t>
  </si>
  <si>
    <t>MARISOL SALAMANCA DIAZ</t>
  </si>
  <si>
    <t>CDEF-0343-2024</t>
  </si>
  <si>
    <t>BANCA ABIERTA Y TRANSPARENTE E
INHOUSE</t>
  </si>
  <si>
    <t xml:space="preserve">1. Apoyar en la apropiación de lineamientos, estándares e informes que permitan laimplementación del extracto y/o estado de cuenta, que soporte el proceso de regularización de partidas conciliatorias de los Fondos y Alianzas en administración.
2. Realizar la integración y sistematización de información entre las áreas que intervienen enel desarrollo y elaboración del extracto y/o estados de cuenta que contiene la información contable y financiera de los recursos en administración.
3. Ejecutar el seguimiento y control para la integración de información contable y financiera entre las herramientas tecnológicas dispuestas por la Entidad para la toma de decisiones en el marco del proyecto de inversión banca abierta y transparente e in house banking.
4. Apoyar la articulación entre las áreas que intervienen en el proceso de regularización de partidas conciliatorias y las áreas Administradoras en busca de los mecanismos einstrumentos que garanticen la toma de decisiones oportuna.
5. Realizar el seguimiento, soporte y gestión de los objetivos y resultados de las jornadas de ajustes con el Grupo de Cartera, con el fin de evaluar oportunamente las partidas conciliatorias y su debido ajuste antes de cada cierre, garantizando la razonabilidad de los estados de cuenta.
6. Apoyar en la apropiación de estándares, buenas prácticas e indicadores para la estabilización del proceso de reconocimiento contable de las obligaciones a cargo del Icetex relativas a las cuentas por pagar generadas en la operación de la Entidad.
7. Estructurar los insumos técnicos para la optimización del proceso de actualización y regularización de la información contable y de cartera de los recursos en administración al cierre de cada periodo.
8. Ejecutar el seguimiento y cumplimiento de los indicadores establecidos para el área y los procesos a cargo, con el fin de generar acciones de mejora en la gestión y operación financiera del ICETEX
9. Las demás obligaciones que se requieran para el cumplimiento a cabalidad del objeto contractual y que sean inherentes a la naturaleza del contrato.
10. Cumplir con los indicadores de gestión establecidos.
</t>
  </si>
  <si>
    <t>20243030001485-I Id: 4154980</t>
  </si>
  <si>
    <t>12.28</t>
  </si>
  <si>
    <t>2024-0430</t>
  </si>
  <si>
    <t>CD-429-2024</t>
  </si>
  <si>
    <t>JOSÉ LUIS ÁLVAREZ RIVERA</t>
  </si>
  <si>
    <t>CDEF-0334-2024</t>
  </si>
  <si>
    <t xml:space="preserve">1. Apoyar la estandarización de los procesos, informes e indicadores que permitan el control y la medición del proceso en la regularización de los Fondos y Alianzas.
2. Realizar el seguimiento y control a plan de trabajo definido para la regularización de fondos y alianzas al cierre de cada periodo.
3. Adelantar la sistematización e integración de información contable y financiera entre las herramientas tecnológicas dispuestas por la Entidad para la toma de decisiones referente al proyecto de inversión banca abierta y transparente e in house banking.
4. Apoyar la articulación entre las áreas que intervienen en el proceso de regularización de partidas conciliatorias y las áreas Administradoras en busca de los mecanismos e instrumentos que garanticen la toma de decisiones oportuna, a partir de la implementación de tableros de control.
5. Realizar el seguimiento, soporte y gestión de los objetivos y resultados de las jornadas de ajustes con el Grupo de Cartera, con el fin de evaluar oportunamente las partidas conciliatorias y su debido ajuste antes de cada cierre, garantizando la razonabilidad de los estados de cuenta, a través de la actualización, estandarización y sistematización de la información.
6. Apoyar en la apropiación de tableros de control que permitan la optimización del proceso de reconocimiento contable de las obligaciones a cargo del Icetex relativas a las cuentas por pagar generadas en la operación de la Entidad.
7. Realizar el proceso de actualización y regularización de la información contable y de cartera de los recursos en administración al cierre de cada periodo.
8. Ejecutar el seguimiento y cumplimiento de los indicadores establecidos para el área y los procesos a cargo, con el fin de generar acciones de mejora en la gestión y operación financiera del ICETEX
9. Las demás obligaciones que se requieran para el cumplimiento a cabalidad del objeto contractual y que sean inherentes a la naturaleza del contrato.
10. Cumplir con los indicadores de gestión establecidos
</t>
  </si>
  <si>
    <t>20243030001488-I Id: 4154985</t>
  </si>
  <si>
    <t>4.85</t>
  </si>
  <si>
    <t>2024-0431</t>
  </si>
  <si>
    <t>CD-430-2024</t>
  </si>
  <si>
    <t>CESAR AUGUSTO PARDO ACOSTA</t>
  </si>
  <si>
    <t>PRESTAR SERVICIOS PROFESIONALES PARA PROPORCIONAR ACOMPAÑAMIENTO TÉCNICO, ASISTENCIA METODOLÓGICA Y SOPORTE LOGÍSTICO EN LA "UNIDAD DE OPERACIÓN" EN EL MARCO DEL DESARROLLO DEL PLAN ESTRATÉGICO DE LA ENTIDAD Y LA "POLÍTICA DE GUÍA, INFORMACIÓN Y ACOMPAÑAMIENTO</t>
  </si>
  <si>
    <t>CDEF-0281-2024</t>
  </si>
  <si>
    <t xml:space="preserve">1.	Apoyar la planificación y puesta en marcha de la operación de las iniciativas que les sean asignadas por el líder de la Unidad de Operaciones de Comunidad ICETEX.  
2.	Realizar el seguimiento y control a la operación de las iniciativas que les sean asignadas por el líder de la Unidad de Operaciones de Comunidad ICETEX, incluyendo evaluaciones periódicas de progreso y generación de informes detallados. 
3.	Definir e implementar ajustes a los planes de operación de las iniciativas que les sean asignadas por el líder de la Unidad de Operaciones de Comunidad ICETEX.  
4.	Aportar a la estandarización de los procesos de la Unidad de Operaciones de Comunidad ICETEX bajo las mejores prácticas de formulación, gestión y control de proyectos.  
5.	Apoyar la formulación y puesta en marcha de los sistemas de gestión de Comunidad ICETEX teniendo en cuenta las mejores prácticas nacionales e internacionales de gestión de proyectos. 
6.	Acompañar los procesos de reporte de los logros y avances del proyecto Comunidad ICETEX ante las áreas internas del ICETEX, entidades de control y ciudadanía.   
7.	Acompañar los procesos precontractuales que le sean asignados para la ejecución de las actividades Comunidad ICETEX.   
8.	Apoyar la supervisión de los contratos que le sean asignados, desde el punto de vista técnico y/o administrativo y/o financiero y/o contable, de conformidad con lo establecido en el Manual de Contratación de la Entidad. 
9.	Informes mensuales de actividades que permitan al supervisor verificar el avance y cumplimiento de las obligaciones contractuales y de los indicadores de gestión. 
10.	Las demás obligaciones que se requieran para el cumplimiento a cabalidad del objeto contractual y que sean inherentes a la naturaleza del contrato.  
</t>
  </si>
  <si>
    <t>20243030001513-I Id: 4155246</t>
  </si>
  <si>
    <t>11.152</t>
  </si>
  <si>
    <t>2024-0432</t>
  </si>
  <si>
    <t>CD-431-2024</t>
  </si>
  <si>
    <t>YURI ANDREA BELTRAN SARMIENTO</t>
  </si>
  <si>
    <t>CDEF-0554-2024</t>
  </si>
  <si>
    <t>20243030001507-I Id: 4155111</t>
  </si>
  <si>
    <t>11.116</t>
  </si>
  <si>
    <t>2024-0433</t>
  </si>
  <si>
    <t>CD-432-2024</t>
  </si>
  <si>
    <t xml:space="preserve">
YOHANA DEL CARMEN MUÑOZ RODRIGUEZ
</t>
  </si>
  <si>
    <t>CDEF-0613-2024</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</si>
  <si>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y la gestión del equipo asignado a cada uno de los proyectos por medio de las herramientas definidas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</si>
  <si>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20243030001523-I Id: 4155450</t>
  </si>
  <si>
    <t>12.36</t>
  </si>
  <si>
    <t>2024-0434</t>
  </si>
  <si>
    <t>CD-433-2024</t>
  </si>
  <si>
    <t>SONIA ROCIÓ ÁVILA AMAYA</t>
  </si>
  <si>
    <t>PRESTAR LOS SERVICIOS PROFESIONALES PARA LA ESTRUCTURACIÓN Y ADOPCIÓN DE PROCESOS, LINEAMIENTOS Y ESTÁNDARES QUE SOPORTAN LA IMPLEMENTACIÓN DE HERRAMIENTAS AGILIZADORAS (BOT) PARA IMPULSAR LA REGULARIZACIÓN DE LOS FONDOS Y ALIANZAS EN ADMINISTRACIÓN EN EL MARCO DEL PROYECTO DE BANCA ABIERTA Y TRANSPARENTE E INHOUSE BANKING</t>
  </si>
  <si>
    <t>CDEF-0340-2024</t>
  </si>
  <si>
    <t xml:space="preserve">1. Apoyar en la apropiación de estándares, procesos e indicadores que permitan estabilizar el proceso de regulación de fondos en administración a partir la producción de información, estados de cuenta y informes periódicos.
2. Estructurar informes, reportes e indicadores que permitan la toma oportuna de decisiones para la adecuada gestión y seguimiento a los planes de mejoramiento, el sistema de calidad, y la optimización de los procesos a cargo de la Dirección de Contabilidad.
3. Elaborar informes y tableros de control de las operaciones que permitan la optimización de los procesos de la Dirección de Contabilidad, con énfasis en la estabilización de la herramienta agilizadora (BOT).
4. Estructurar de procesos, lineamientos y estándares para la estabilización de las herramientas, información y bases de datos que soportan el proceso en la regularización de la información contable de los recursos en administración.
5. Articular y gestionarlas áreas involucradas para la sistematización de información y optimización de procesos que permitan la mejora continua de los resultados de las conciliaciones y la regularización de las partidas contables.
6. Estructurar insumos técnicos que permitan la optimización de los procesos, mecanismos y sistemas que soportan la regularización de partidas conciliatorias.
7. Apoyar en la gestión y soporte al proceso de reconocimiento contable de las obligaciones a cargo del Icetex relativas a las cuentas por pagar generadas en la operación de la Entidad.
8. Adelantar el seguimiento y cumplimiento de los indicadores establecidos para el área y los procesos a cargo, con el fin de generar acciones de mejora en la gestión y operación financiera del ICETEX
9. Formular los insumos técnicos que permitan dar respuesta de forma oportuna, a los requerimientos de información por agentes interno y externos
10. Las demás obligaciones que se requieran para el cumplimiento a cabalidad del objeto contractual y que sean inherentes a la naturaleza del contrato.
11. Cumplir con los indicadores de gestión.
</t>
  </si>
  <si>
    <t>2.26</t>
  </si>
  <si>
    <t>2024-0435</t>
  </si>
  <si>
    <t>CD-434-2024</t>
  </si>
  <si>
    <t>ANA MARÍA TORRES SCARPETTA</t>
  </si>
  <si>
    <t>PRESTAR SERVICIOS PROFESIONALES PARA LA PRODUCCIÓN DEL MATERIAL GRÁFICO QUE SE REQUIERA PARA LA DIVULGACIÓN, PROMOCIÓN, SOCIALIZACIÓN, CAPACITACIÓN Y LANZAMIENTO DE LAS ACCIONES Y PROYECTOS LIDERADOS O APOYADOS DESDE EL EQUIPO DE INNOVACIÓN DE LA ENTIDAD.</t>
  </si>
  <si>
    <t>CDEF-0240-2024</t>
  </si>
  <si>
    <t xml:space="preserve">1.	Apoyar en la creación, diseño y desarrollo de material gráfico y visual que requiera el equipo de innovación de la entidad, siguiendo los lineamientos establecidos en materia de comunicación por parte de la entidad. 
2.	Crear el material gráfico impreso y digital como apoyo a la promoción de las iniciativas que desde este equipo de innovación de la entidad se lideren o apoyen. 
3.	Gestionar la publicación de las piezas gráficas digitales o impresas que se produzcan en el desarrollo de los proyectos que lidera o apoya el equipo de innovación, siguiendo los lineamientos establecidos en materia de comunicación por parte de la entidad. 
4.	Elaborar el diseño y desarrollar material gráfico impreso y digital para la organización de eventos virtuales y/o presenciales de la entidad, para dar a conocer los proyectos que apoye o lidere el equipo de innovación de la entidad. 
5.	Apoyar en la ideación, diseño, desarrollo y comunicación de campañas internas de la entidad para dar a conocer los proyectos que apoye o lidere el equipo de innovación de la entidad. 
6.	Plantear y/o participar en acciones de ideación, creación y promoción de la innovación en ICETEX según como sea requerido por el equipo de innovación de la entidad y en articulación con las demás áreas de la entidad. 
7.	Cumplir con los indicadores de gestión establecidos. 
8.	Las demás que sean inherentes a la naturaleza del contrato, así como observar las recomendaciones dadas por el Supervisor de este para asegurar el cumplimiento de la finalidad del contrato, sin afectar la independencia del contratista.
</t>
  </si>
  <si>
    <t>20243030001516-I Id: 4155276</t>
  </si>
  <si>
    <t>12.35</t>
  </si>
  <si>
    <t>2024-0436</t>
  </si>
  <si>
    <t>CD-435-2024</t>
  </si>
  <si>
    <t>ERIKA RAMIREZ SÁNCHEZ</t>
  </si>
  <si>
    <t xml:space="preserve">Apoyar en la apropiación de estándares, procesos e indicadores que permitan estabilizar el proceso de regulación de fondos en administración a partir la producción de información, estados de cuenta y informes periódicos.
2. Estructurar informes, reportes e indicadores que permitan la toma oportuna de decisiones para la adecuada gestión y seguimiento a los planes de mejoramiento, el sistema de calidad, y la optimización de los procesos a cargo de la Dirección de Contabilidad.
3. Elaborar informes y tableros de control de las operaciones que permitan la optimización de los procesos de la Dirección de Contabilidad, con énfasis en la estabilización de la herramienta agilizadora (BOT).
4. Estructurar de procesos, lineamientos y estándares para la estabilización de las herramientas, información y bases de datos que soportan el proceso en la regularización de la información contable de los recursos en administración.
5. Articular y gestionarlas áreas involucradas para la sistematización de información y optimización de procesos que permitan la mejora continua de los resultados de las conciliaciones y la regularización de las partidas contables.
6. Estructurar insumos técnicos que permitan la optimización de los procesos, mecanismos y sistemas que soportan la regularización de partidas conciliatorias.
7. Apoyar en la gestión y soporte al proceso de reconocimiento contable de las obligaciones a cargo del Icetex relativas a las cuentas por pagar generadas en la operación de la Entidad.
8. Adelantar el seguimiento y cumplimiento de los indicadores establecidos para el área y los procesos a cargo, con el fin de generar acciones de mejora en la gestión y operación financiera del ICETEX
9. Formular los insumos técnicos que permitan dar respuesta de forma oportuna, a los requerimientos de información por agentes interno y externos
10. Las demás obligaciones que se requieran para el cumplimiento a cabalidad del objeto contractual y que sean inherentes a la naturaleza del contrato.
11. Cumplir con los indicadores de gestión.
</t>
  </si>
  <si>
    <t>12.49</t>
  </si>
  <si>
    <t>2024-0437</t>
  </si>
  <si>
    <t>CD-436-2024</t>
  </si>
  <si>
    <t>YURY CRISTINA OROZCO ANTURY</t>
  </si>
  <si>
    <t>PRESTAR LOS SERVICIOS PROFESIONALES PARA LA IMPLEMENTACIÓN Y MEJORA CONTINUA DE LOS PROCESOS QUE SOPORTAN LA GESTIÓN CONTABLE A PARTIR DE LA CONSOLIDACIÓN Y ANÁLISIS DE LA INFORMACIÓN CONTABLE, LA ADOPCIÓN DE TABLEROS DE CONTROL E INDICADORES QUE PERMITAN GARANTIZAR LA CALIDAD DE LA INFORMACIÓN FINANCIERA DEL INSTITUTO EN EL MARCO DE LA MEJORA CONTINUA DE LOS PROCESOS CONTABLES Y FISCALES, Y LA ADOPCIÓN DE LA NORMATIVA APLICABLE</t>
  </si>
  <si>
    <t>20243030001496-I Id: 4154998</t>
  </si>
  <si>
    <t>2.11</t>
  </si>
  <si>
    <t>2024-0438</t>
  </si>
  <si>
    <t>CD-437-2024</t>
  </si>
  <si>
    <t>ADRIANA ESPERANZA ARANGUREN PRIETO</t>
  </si>
  <si>
    <t>PRESTAR LOS SERVICIOS PROFESIONALES ESPECIALIZADOS PARA REALIZAR EL ANÁLISIS, MEJORA Y OPTIMIZACIÓN DE LOS COMPONENTES Y METODOLOGÍAS RELACIONADOS CON EL SISTEMA DE GESTIÓN INTEGRAL</t>
  </si>
  <si>
    <t xml:space="preserve">1.	Acompañar a los procesos asignados en la identificación de cambios que afectan el sistema y realizar el seguimiento al avance de estos, así como apoyarlos en la realización de la evaluación cuando aplique. 
2.	Realizar el acompañamiento a los procesos en la identificación de nuevas Salidas no Conformes, así como el seguimiento al reporte periódico de las mismas para los procesos que le sean asignados. 
3.	Orientar a los procesos de la entidad en identificación de documentación a elaborar, así como de la actualización y mejora de los procesos, procedimientos y demás documentos del Sistema de Gestión de Calidad, de acuerdo con los lineamientos establecidos en el ICETEX. 
4.	Ejecutar las solicitudes de actualización y mejoramiento de documentación que le sean asignadas a través del aplicativo que administra el Sistema de Gestión de la Calidad. 
5.	Proponer nuevas metodologías o mejoras para los instrumentos del Sistema de Gestión de Calidad así como orientar a las dependencias en su implementación. 
6.	Generar la información insumo para la Reunión de Revisión por la dirección que le sean asignados, así como en la elaboración del Acta de esta. 
7.	Apoyar en la elaboración de presentaciones relacionadas con capacitaciones del Sistema de Gestión de la Calidad, en el marco de la inducción, reinducción y Academia ICETEX. 
8.	Apoyar en las sesiones de auditoría tanto interna como externa que se realicen al proceso de Direccionamiento estratégico y Gestión Organizacional y a la entidad. 
9.	Apoyar las actividades que se desarrollen en el proyecto de Rediseño de procesos en cuanto proponer las mejoras, modificaciones o actualizaciones del mapa de procesos de la entidad. 
10.	Las demás que sean indicadas por la supervisión del contrato y tengan relación con el objeto contractual.
</t>
  </si>
  <si>
    <t>20243030001518-I Id: 4155281</t>
  </si>
  <si>
    <t>10.85</t>
  </si>
  <si>
    <t>2024-0439</t>
  </si>
  <si>
    <t>CD-438-2024</t>
  </si>
  <si>
    <t>PATRICIA MARINA MALDONADO BETANCOURT</t>
  </si>
  <si>
    <t>CDEF-0461-2024</t>
  </si>
  <si>
    <t>20243030001503-I Id: 4155008</t>
  </si>
  <si>
    <t>12.31</t>
  </si>
  <si>
    <t>2024-0440</t>
  </si>
  <si>
    <t>CD-439-2024</t>
  </si>
  <si>
    <t xml:space="preserve">YANETH ESPERANZA HERNANDEZ YEPES </t>
  </si>
  <si>
    <t>PRESTAR LOS SERVICIOS PROFESIONALES LA ADOPCIÓN DE LOS ESTÁNDARES, BUENAS PRÁCTICAS Y PROCEDIMIENTOS QUE PERMITAN GARANTIZAR EL CONTROL E IMPLEMENTACIÓN DE ACCIONES PARA LA REGULARIZACIÓN DE LAS PARTIDAS A CONCILIAR DE LOS RECURSOS EN ADMINISTRACIÓN A CARGO ICETEX EN EL MARCO DEL PROYECTO DE BANCA ABIERTA Y TRANSPARENTE E INHOUSE BANKING.</t>
  </si>
  <si>
    <t>CDEF-0336-2024</t>
  </si>
  <si>
    <t xml:space="preserve">Adelantar el seguimiento, soporte y gestión del proceso de registro de la información contable de cada uno de los módulos correspondiente a los activos fijos del ICETEX, bajo normas tanto internacionales como locales.
2. Realizar la gestión del proceso de registros contables de las operaciones diarias reportadas por el área de tesorería, garantizando la calidad de la información financiera del Instituto.
3. Apoyar con en la articulación y gestión de las áreas involucradas para la sistematización de información y optimización del proceso de causación, así como en la generación de procesos de mejora continua aplicables en el marco de la adopción de la normativa vigente y aplicable.
4. Apoyar en el soporte y gestión para la estabilización de las herramientas, información y bases de datos que soportan el proceso de reporte de información exógena de la Entidad.
5. Ejecutar las actividades relacionadas con el cierre periódico de los estados financieros cuentas por cobrar y por pagar, y la conciliación contable de las cuentas para garantizar la oportuna producción información, indicadores y estados financieros de la Entidad.
6. Elaborar de los informes financieros y el análisis contable al cierre de cada periodo a través de la apropiación de tableros de control que permitan garantizar la calidad de la información financiera del Instituto.
7. Apoyar a la Dirección de Contabilidad en el análisis y verificación de la razonabilidad financiera y contable de las cuentas conforme a los lineamientos de las NIIF, y la normatividad aplicable.
8. Proyectar la respuesta a requerimientos de carácter contable elevados por las áreas internas y entes externos, así como en la gestión del proceso de réplica contable en el sistema COLGAP.
9. Realizar el seguimiento y cumplimiento de los indicadores establecidos para el área y los procesos a cargo, con el fin de generar acciones de mejora en la gestión y operación financiera del ICETEX
10. Estructurar los informes en forma oportuna que solicite la Dirección de Contabilidad o la Vicepresidencia Financiera.
11. Cumplir con los indicadores de gestión establecidos.
</t>
  </si>
  <si>
    <t>20243030001497-I Id: 4154999</t>
  </si>
  <si>
    <t>4.151</t>
  </si>
  <si>
    <t>2024-0441</t>
  </si>
  <si>
    <t>CD-440-2024</t>
  </si>
  <si>
    <t>ARISTOBULO SUAREZ CASTILLO</t>
  </si>
  <si>
    <t>CDEF-0271-2024</t>
  </si>
  <si>
    <t>20243030001533-I Id: 4155580</t>
  </si>
  <si>
    <t>4.125</t>
  </si>
  <si>
    <t>2024-0442</t>
  </si>
  <si>
    <t>CD-441-2024</t>
  </si>
  <si>
    <t>MARIA ISABEL NAVIA CERON</t>
  </si>
  <si>
    <t>POPAYAN</t>
  </si>
  <si>
    <t>CDEF-0108-2024</t>
  </si>
  <si>
    <t>20243030001548-I Id: 4155661</t>
  </si>
  <si>
    <t>2024-0443</t>
  </si>
  <si>
    <t>CD-442-2024</t>
  </si>
  <si>
    <t>890316745-5</t>
  </si>
  <si>
    <t>UNIVERSIDAD ICESI</t>
  </si>
  <si>
    <t>ESTEBAN PIEDRAHITA URIBE</t>
  </si>
  <si>
    <t>EL OBJETO DEL PRESENTE DOCUMENTO ES PRORROGAR EL PLAZO ESTABLECIDO EN LA CLÁUSULA QUINTA Y MODIFICAR EL “ANEXO B FÓRMULA APORTE IES” DEL ACUERDO ESTRATÉGICO NO. 2024-0443.</t>
  </si>
  <si>
    <t>2024-0444</t>
  </si>
  <si>
    <t>CD-443-2024</t>
  </si>
  <si>
    <t>891401313-4</t>
  </si>
  <si>
    <t>CORPORACION DE ESTUDIO TECNOLÓGICOS DEL NORTE DEL VALLE</t>
  </si>
  <si>
    <t>LEONARDO VILLAMIL GAMBA</t>
  </si>
  <si>
    <t>13.161</t>
  </si>
  <si>
    <t>2024-0445</t>
  </si>
  <si>
    <t>CD-444-2024</t>
  </si>
  <si>
    <t>CAROLINA ÁVILA LEÓN</t>
  </si>
  <si>
    <t>PRESTAR SERVICIOS PROFESIONALES ESPECIALIZADOS PARA LA GESTIÓN DEL TALENTO HUMANO Y EL SEGUIMIENTO PRESUPUESTAL EN PROCURA DEL MEJORAMIENTO CONTINUO Y EN EL MARCO DE LA POLÍTICA DE “GESTIÓN DEL TALENTO HUMANO</t>
  </si>
  <si>
    <t>CDEF-0620-2024</t>
  </si>
  <si>
    <t xml:space="preserve">IG 31200102030012 </t>
  </si>
  <si>
    <t xml:space="preserve">1.	Realizar las solicitudes de CDPS y el seguimiento a la ejecución presupuestal de los contratos suscritos en el marco de la operación de Talento Humano y generar los informes solicitados en los demás rubros. 
2.	Apoyar en la implementación, seguimiento , y actualización del proyecto de teletrabajo, trabajo en casa y relacionados de conformidad con la normatividad vigente y los lineamientos internos. 
3.	Realizar seguimiento y control al proceso de dotación de los servidores de la entidad. 
4.	Analizar y proyectar respuestas a solicitudes internas, externas y entes de control de competencia del Grupo de Talento Humano.
5.	Apoyar la ejecución y control de las actividades correspondientes a los procedimientos de selección de personal y nombramiento y posesión, aplicando las normas que rigen el empleo público, directrices de la Entidad y los procedimientos establecidos. 
6.	Realizar el seguimiento y control a cada uno de los proyectos que le sean asignados en el marco de la gestión del talento humano, velando por el cumplimiento de los compromisos e indicadores en los plazos establecidos en los respectivos cronogramas. 
7.	Realizar el seguimiento, control y propuesta de mejora en los planes de mejoramiento y austeridad al gasto de competencia del Grupo de Talento Humano. 
8.	Asistir y participar en los comités, reuniones, talleres, juntas y demás eventos que le indique el supervisor y se relacionen con el objeto del contrato. 
9.	Apoyar en la supervisión de contratos y/o convenio del Grupo De Talento Humano. 
10.	 Apoyar las actividades que le sean requeridas desde la Secretaría General y la Coordinación de Talento Humano, acorde con el objeto contractual y previa coordinación con el supervisor del contrato.
</t>
  </si>
  <si>
    <t>20243030001550-I Id: 4155672</t>
  </si>
  <si>
    <t>13.160</t>
  </si>
  <si>
    <t>2024-0446</t>
  </si>
  <si>
    <t>CD-445-2024</t>
  </si>
  <si>
    <t>GIOMAR TATIANA FORERO TORRES</t>
  </si>
  <si>
    <t>PRESTAR SERVICIOS PROFESIONALES ESPECIALIZADOS PARA LA REALIZACIÓN DE LOS AUTODIAGNÓSTICOS DE GESTIÓN ESTRATÉGICA DE TALENTO HUMANO, DEL MODELO INTEGRADO DE PLANEACIÓN Y GESTIÓN; ESTRUCTURAR, ARTICULAR CON OTROS PLANES Y HACER SEGUIMIENTO AL PLAN DE BRECHAS, EN PROCURA DEL MEJORAMIENTO CONTINUO, EN EL MARCO DE LA POLÍTICA DE “GESTIÓN DEL TALENTO HUMANO</t>
  </si>
  <si>
    <t>CDEF-0625-2024</t>
  </si>
  <si>
    <t xml:space="preserve">1.	Adelantar la obtención de la información, diagnóstico y elaboración de los planes de acción, seguimiento a la implementación y evaluación de la gestión estratégica del Talento Humano conforme al Modelo Integrado de Planeación y Gestión. 
2.	Articular y hacer seguimiento a los autodiagnósticos que conforman el Modelo Integrado de Planeación y Gestión – MIPG que le compete al Grupo de Talento Humano. 
3.	Apoyar en la formulación y seguimiento al Sistema de Seguridad y Salud en el Trabajo, plan anual de vacantes y plan de previsión del Talento Humano. 
4.	Realizar el seguimiento de las etapas precontractual, contractual y postcontractual de los trámites que deba surtir el Grupo de Talento Humano para la ejecución de los planes de acción. 
5.	Realizar el seguimiento a la ejecución presupuestal de los contratos suscritos en el marco de la operación de Talento Humano y generar los informes solicitados 
6.	Realizar el análisis preparación de respuestas a solicitudes de competencia del Grupo de Talento Humano en lo referente a los planes y programas. 
7.	Apoyar el control dual de la nómina, seguridad social, cesantías y provisiones. 
8.	Realizar seguimiento de los planes de mejoramiento inherentes a los procesos de competencia de talento humano alertando sobre posibles retrasos y generar los informes que le sean requeridos. 
9.	Realizar actividades tendientes al mejoramiento continuo del sistema de Gestión de la Calidad y la documentación de los procedimientos. 
10.	Ejecutar la medición, documentación y seguimiento a los indicadores del área. 
11.	Asistir y participar en los comités, reuniones, talleres, juntas y demás eventos que le indique el supervisor y se relacionen con el objeto del contrato. 
12.	Apoyar las actividades relacionadas con su objeto y que le sean requeridas por su supervisor
</t>
  </si>
  <si>
    <t>LINET JOANNA TRIGOS NUÑEZ</t>
  </si>
  <si>
    <t>20243030001549-I Id: 4155666</t>
  </si>
  <si>
    <t>4.73</t>
  </si>
  <si>
    <t>2024-0447</t>
  </si>
  <si>
    <t>CD-446-2024</t>
  </si>
  <si>
    <t>DAVID CAMILO GALLEGO TRUJILLO</t>
  </si>
  <si>
    <t>PRESTAR SERVICIOS PROFESIONALES ESPECIALIZADOS PARA LIDERAR LA "UNIDAD DE COMUNICACIONES Y DESARROLLOS" EN EL MARCO DE LA IMPLEMENTACIÓN DEL PLAN ESTRATÉGICO DE LA ENTIDAD Y LA "POLÍTICA DE GUÍA, INFORMACIÓN Y ACOMPAÑAMIENTO</t>
  </si>
  <si>
    <t>CDEF-0050-2024</t>
  </si>
  <si>
    <t xml:space="preserve">1.	Generar el plan de trabajo de la "Unidad de Comunicaciones y Desarrollos" y realizar el seguimiento correspondiente de acuerdo con los lineamientos de la entidad.  
2.	Liderar la "Unidad de Comunicaciones y Desarrollos" en la ejecución de las actividades asignadas para el logro de los objetivos de Comunidad ICETEX. 
3.	Producir, coordinar e implementar cualquier tipo de estrategia de comunicación, con sus respectivos contenidos editoriales, o de diseño gráfico, que posibilite el logro de los objetivos de comunicación de Comunidad ICETEX.  
4.	Liderar la comunicación estratégica en pro del relacionamiento de la Comunidad ICETEX con sus grupos de interés nacionales y territoriales en el desarrollo de sus iniciativas y alianzas. 
5.	Hacer seguimiento a la implementación, actualización y correcto uso de la marca de Comunidad ICETEX en materiales digitales e impresos, tanto de la entidad como de cualquier otro grupo de interés.  
6.	Monitorear y evaluar el impacto de las campañas de comunicación de Comunidad ICETEX, haciendo seguimiento de apariciones en medios de comunicación, campañas de e-mail marketing enviadas y en general cualquier acción de comunicación coordinada desde Comunidad ICETEX. 
7.	Liderar la estandarización de los procesos de la "Unidad de Comunicaciones y Desarrollos" de Comunidad ICETEX.  
8.	Reportar los logros, avances y cualquier otra información, que sea requerida de la "Unidad de Comunicaciones y Desarrollos" de Comunidad ICETEX ante la coordinación del proyecto, áreas internas del ICETEX, entidades de control y ciudadanía.   
9.	Apoyar y ejecutar desde el punto de vista técnico, las actividades propias de los procedimientos precontractuales, contractuales y pos contractuales, requeridos en el marco de las contrataciones de bienes y servicios o convenios, alianzas y/o acuerdos estratégicos que se desarrollen en relación al logro de los objetivos de la "Unidad de Comunicaciones y Desarrollos" de Comunidad ICETEX, y aquellas que sean asignados por la supervisión del contrato.  
10.	Asistir a reuniones y/o comités de conformidad con las necesidades de la entidad y la designación del supervisor del contrato.   
11.	Apoyar la supervisión de los contratos que le sean asignados, desde el punto de vista técnico y/o administrativo y/o financiero y/o contable, de conformidad con lo establecido en el Manual de Contratación de la Entidad.   
12.	Informe mensual de actividades que permita al supervisor verificar el avance y cumplimiento de las obligaciones contractuales y de los indicadores de gestión. 
13.	Las demás obligaciones que se requieran para el cumplimiento a cabalidad del objeto contractual y que sean inherentes a la naturaleza del contrato. 
</t>
  </si>
  <si>
    <t>20243030001561-I Id: 4155792</t>
  </si>
  <si>
    <t>11.160</t>
  </si>
  <si>
    <t>2024-0448</t>
  </si>
  <si>
    <t>CD-447-2024</t>
  </si>
  <si>
    <t>DEBBY HADLEY GUARIN MORENO</t>
  </si>
  <si>
    <t>CDEF-0557-2024</t>
  </si>
  <si>
    <t>20243030001543-I Id: 4155613</t>
  </si>
  <si>
    <t>11.156</t>
  </si>
  <si>
    <t>2024-0449</t>
  </si>
  <si>
    <t>CD-448-2024</t>
  </si>
  <si>
    <t>JONATHAN STEVEN ROJAS ALDANA</t>
  </si>
  <si>
    <t>CDEF-0555-2024</t>
  </si>
  <si>
    <t xml:space="preserve">1.	Analizar y ajustar obligaciones de todos los productos del ICETEX, en los sistemas de información de la cartera de la Entidad, según corresponda. 
2.	Analizar y ajustar las Interfaces de la cartera, de acuerdo con los movimientos del mes para insumo del cierre de cartera. 
3.	Proponer y ejecutar actividades de mejora para el Grupo de Operaciones e identificar las necesidades de estructuración e implementación de cambios en la operación. 
4.	Realizar seguimiento a la aplicación de las novedades de la gestión del Grupo de Operaciones e implementar controles para su correcta liquidación.  
5.	Seguimiento de la ejecución de los planes de mejora del Grupo de Operaciones.
6.	Responder a los requerimientos internos y externos del Grupo de Operaciones en el tiempo establecido. 
7.	Acudir a las reuniones citados para la supervisión del contrato o que estén relacionadas con el objeto del mismo.
</t>
  </si>
  <si>
    <t>20243030001541-I Id: 4155611</t>
  </si>
  <si>
    <t>11.144</t>
  </si>
  <si>
    <t>2024-0450</t>
  </si>
  <si>
    <t>CD-449-2024</t>
  </si>
  <si>
    <t>ADIS ROCIO HERNANDEZ AGON</t>
  </si>
  <si>
    <t>CDEF-0559-2024</t>
  </si>
  <si>
    <t>20243030001546-I Id: 4155618</t>
  </si>
  <si>
    <t>11.122</t>
  </si>
  <si>
    <t>2024-0451</t>
  </si>
  <si>
    <t>CD-450-2024</t>
  </si>
  <si>
    <t>CAROLINA HERNANDEZ SOTO</t>
  </si>
  <si>
    <t>CDEF-0558-2024</t>
  </si>
  <si>
    <t>20243030001545-I Id: 4155617</t>
  </si>
  <si>
    <t>11.52</t>
  </si>
  <si>
    <t>2024-0452</t>
  </si>
  <si>
    <t>CD-451-2024</t>
  </si>
  <si>
    <t>KATHERINE JOHANA GUZMÁN GÓMEZ</t>
  </si>
  <si>
    <t>PRESTACIÓN DE SERVICIOS PROFESIONALES ESPECIALIZADOS PARA LA EJECUCIÓN DE METODOLOGÍAS EN LOS PROYECTOS Y ESTRATEGIAS DE AUTOMATIZACIÓN DE PROCESOS PARA EL ICETEX.</t>
  </si>
  <si>
    <t>CDEF-0596-2024</t>
  </si>
  <si>
    <t>COORDINADOR(A) GRUPO DE AUTOMATIZACIÓN ROBÓTICA DE PROCESOS</t>
  </si>
  <si>
    <t xml:space="preserve">OBLIGACIONES ESPECÍFICAS DEL CONTRATISTA	
1.	Apoyar la construcción técnica y la adopción de metodologías y estrategias para la utilización de tecnologías de automatización de procesos en la entidad. 
2.	Apoyar la construcción y aplicación de un Modelo Operativo que permitirá crear y consolidar un Centro de Automatización de procesos para la entidad.
3.	Crear las herramientas analíticas y de generación de informes avanzados de las soluciones de Automatización de Procesos en la Vicepresidencia de Operaciones y Tecnología del ICETEX.
4.	Apoyar la creación, las definiciones y mapas de proceso utilizados para la automatización.
5.	Construir herramientas e instrumentos de evaluación, seguimiento y control que faciliten la toma de decisión de los procesos candidatos a automatización. 
6.	Estructurar estudios previos para los procesos contractuales de bienes o servicios que requiera el proceso de automatización de acuerdo con el Manual de Contratación de la Entidad. 
7.	Realizar seguimiento y control a la operación, productos y servicios de los contratos que soportan la gestión de automatización de procesos de la Entidad.
8.	Apoyar el desarrollo de acciones para el sistema de gestión de calidad y el reporte de indicadores relacionados con el proceso de gestión de automatización, así como acompañar las auditorías correspondientes.
9.	Documentar las actividades correspondientes a la supervisión de los contratos que soportan la automatización de procesos de la Entidad. 
10.	Analizar aquellos procesos que requieran realizar requerimientos sobre los ambientes de producción o preproducción de los sistemas de información del ICETEX relacionados con la automatización de procesos. 
11.	Aplicar las mejores prácticas para el levantamiento necesidades de automatización, cumpliendo con los estándares y lineamientos establecidos en la entidad en el proceso de automatización o de innovación tecnológica. 
12.	Realizar los análisis de factibilidad de procesos, procedimientos o actividades para la automatización de procesos con tecnologías emergentes. 
13.	Gestionar la atención de los reportes de error y/o solicitudes de servicio presentados por los funcionarios del ICETEX sobre la automatización de procesos e integración de los sistemas de información, cubriendo emergencias de software, ajustes menores de software y datos.  
14.	Asegurar la adopción de los procesos de automatización dentro de la entidad a través de planes de comunicación dirigidos a respaldar los productos resultantes de la automatización de procesos.
</t>
  </si>
  <si>
    <t>20243030001570-I Id: 4155909</t>
  </si>
  <si>
    <t>11.97</t>
  </si>
  <si>
    <t>2024-0453</t>
  </si>
  <si>
    <t>CD-452-2024</t>
  </si>
  <si>
    <t>MERCY LILIANA MACEDO VELÁSQUEZ</t>
  </si>
  <si>
    <t>PRESTACIÓN DE SERVICIOS ESPECIALIZADOS EN INGENIERÍA PARA GESTIONAR HACER SEGUIMIENTO Y CONTROL DE LOS SERVICIOS DE OPERACIÓN DE TI Y LA GESTIÓN DE PROCESOS TECNOLÓGICOS DEL ICETEX</t>
  </si>
  <si>
    <t>CDEF-0506-2024</t>
  </si>
  <si>
    <t xml:space="preserve">OBLIGACIONES ESPECÍFICAS DEL CONTRATISTA	1.	Coordinar y acompañar reuniones y mesas de trabajo con los diferentes interesados para asegurar el alcance de los requerimientos de las iniciativas a cargo de la Dirección de tecnología orientadas a la operación de Tecnologías de la Información, como su definición de especificaciones, alcance, aprobación e implementación. 
2.	Hacer el seguimiento continuo del equipo de soporte a la operación asignado para la atención de incidentes y elaborar los informes de gestión de servicios de TI para la Dirección de Tecnología 
3.	Asegurar el cumplimiento de niveles de servicio acordados entre la Dirección de Tecnología y las áreas misionales del Icetex con relación a la operación de los Sistemas de Información, infraestructura y otros componentes de Tecnología que soportan los procesos misionales 
4.	Identificar y aplicar los procedimientos de gestión de servicios tecnológicos que deban conservarse dentro de la operación de tecnologías de la información. 
5.	Hacer el seguimiento continuo a los equipos de trabajo designados en las iniciativas relacionadas con operación de tecnologías de información a cargo de la Dirección de Tecnología, promoviendo y garantizando la ejecución para el levantamiento de datos, análisis de datos y elaboración de informes de seguimiento 
6.	Elaborar los informes técnicos necesarios para sustentar la toma de decisiones que deba adoptar la entidad, en el cumplimiento de las metas a cargo de la Dirección de tecnología. 
7.	Colaborar en la gestión de los recursos humanos internos de operación de servicios de TI de sistemas de información, datos, infraestructura y mesa de servicios. 
8.	Asesorar los proyectos de la Dirección de Tecnología, en las diferentes actividades que permitan una apropiada gestión del cambio al interior de la entidad. 
</t>
  </si>
  <si>
    <t>20243030001579-I Id: 4155986</t>
  </si>
  <si>
    <t>4.48</t>
  </si>
  <si>
    <t>2024-0454</t>
  </si>
  <si>
    <t>CD-453-2024</t>
  </si>
  <si>
    <t>LEONEL ALBERTO CASTAÑEDA MARTINEZ</t>
  </si>
  <si>
    <t>PRESTAR SERVICIOS TÉCNICOS DE APOYO A LA GESTIÓN, MEDICIÓN DE RESULTADOS Y ACOMPAÑAMIENTO A LA ESTRATEGIA DE FORMACIÓN Y DE ENTRENAMIENTO DE LOS EQUIPOS DE SERVICIO Y COMERCIAL DE LA OFICINA COMERCIAL Y DE MERCADEO</t>
  </si>
  <si>
    <t>CDEF-0402-2024</t>
  </si>
  <si>
    <t xml:space="preserve">OBLIGACIONES ESPECÍFICAS DEL CONTRATISTA	1.	Elaborar y entregar plan de trabajo y cronograma de actividades para aprobación de la supervisión del contrato, de conformidad con las estipulaciones contractuales.
2.	Acompañar la ejecución de estrategia de formación y entrenamiento de la entidad para la Oficina Comercial y de Mercadeo, los distintos canales de atención y gestión; en cuanto al portafolio de productos, para los procesos comerciales y de servicio, que contribuya a la mejora en la experiencia y la satisfacción de los grupos de interés de la entidad.
3.	Participar en espacios de capacitación que se generen con los departamentos financieros y comerciales de las Instituciones de Educación Superior (IES), con el propósito de mantenerlos actualizados acerca del portafolio de productos y servicios del ICETEX.
4.	Acompañar la formación continua del equipo de la Oficina Comercial y de Mercadeo en temas del Manual del Sistema de Atención al Consumidor Financiero – SAC, con seguimientos aleatorios al 10% de la población del proveedor de atención al usuario, abordando el conocimiento del producto, habilidades comerciales y buenas prácticas en la gestión.
5.	Participar en la aplicación de evaluaciones al equipo del proveedor de atención al usuario con el fin de detectar oportunidades de mejora que conlleven a planes de acción alineados con la estrategia de formación definida y que contribuyan a la mejora en la experiencia y la satisfacción de los grupos de interés.
6.	Acompañar los eventos de formación sobre temas vinculados al Defensor del Consumidor Financiero (DCF), con el propósito de difundir la información de manera oportuna tanto al equipo de la Oficina Comercial y de Mercadeo como al proveedor de atención al usuario.
7.	Prestar apoyo operativo y técnico en el desarrollo de la operación del proveedor de atención al usuario del contrato 2022 - 0770 en relación con la estrategia de formación y entrenamiento definida por la entidad.
8.	Participar en actividades de seguimiento a los procesos de servicio y comerciales, en conjunto con las áreas que intervienen en la gestión del contrato de atención al usuario, con el fin de proponer y desarrollar estrategias de formación y entrenamiento que fortalezcan las habilidades necesarias para ofrecer una atención adecuada a los grupos de interés de la entidad.
9.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asignadas por el supervisor del contrato y que sean inherentes al objeto contractual del contrato.
</t>
  </si>
  <si>
    <t>20243030001569-I Id: 4155904</t>
  </si>
  <si>
    <t>4.102</t>
  </si>
  <si>
    <t>2024-0455</t>
  </si>
  <si>
    <t>CD-454-2024</t>
  </si>
  <si>
    <t>CAMILO JOSE GUERRERO</t>
  </si>
  <si>
    <t>PRESTAR SERVICIOS PROFESIONALES PARA EL PLANTEAMIENTO, DESARROLLO, SEGUIMIENTO, CONTROL Y MEJORA CONTINUA DE ESTRATEGIAS DE MARKETING DE CONTENIDOS APLICADAS A LA PROMOCIÓN Y DIVULGACIÓN DEL PORTAFOLIO DE PRODUCTOS DE LA ENTIDAD O PROYECTOS DE LA OFICINA COMERCIAL Y DE MERCADEO</t>
  </si>
  <si>
    <t>CDEF-0066-2024</t>
  </si>
  <si>
    <t xml:space="preserve">1.	Elaborar y entregar plan de trabajo y cronograma de actividades para aprobación de la supervisión del contrato, de conformidad con las estipulaciones contractuales. 
2.	Proponer procedimientos, estrategias, mecanismos y acciones para la optimización y mejora de los contenidos que utiliza el ICETEX para difundir sus productos y servicios, de acuerdo con la estrategia de mercadeo y comercial 
3.	Asesorar la producción, organización y edición de textos, anuncios, storyboards, libretos, guiones, historias de usuario o narrativas para diversos formatos, dentro del ámbito del marketing de contenidos destinado a promover el conjunto de productos o servicios de la Entidad. 
4.	Sugerir, establecer y administrar medios de comunicación para difundir y promover contenidos comerciales, en línea con la estrategia de marketing y comercial de la organización. 
5.	Coordinar la integración de contenidos con la oficina asesora de comunicaciones del ICETEX, participando en comités y reuniones para generar colaboraciones efectivas entre las actividades de ambas oficinas. 
6.	Realizar el análisis, medición y seguimiento a los resultados obtenidos por las iniciativas propuestas e implementadas, identificando oportunidades de mejora y realizando su implementación. 
7.	Apoyar la producción audiovisual y fotográfica de la Entidad, así como el montaje y ejecución de los eventos para promover y difundir sus productos y servicios. 
8.	Realizar las labores de acompañamiento en reuniones o comités, de conformidad con las necesidades de la Entidad y la designación de supervisor del contrato. 
9.	Las demás que sean inherentes para el logro del objeto contratado, asignadas por el supervisor del contrato. 
</t>
  </si>
  <si>
    <t>20243030001559-I Id: 4155786</t>
  </si>
  <si>
    <t>11.108</t>
  </si>
  <si>
    <t>2024-0456</t>
  </si>
  <si>
    <t>CD-455-2024</t>
  </si>
  <si>
    <t>VICTOR HUGO ROMERO DE MARTINO</t>
  </si>
  <si>
    <t>PRESTACIÓN DE SERVICIOS PROFESIONALES ESPECIALIZADOS EN INGENIERÍA EN EL TRÁMITE DE SERVICIOS DE TI PARA LA CONFIGURACIÓN, SOPORTE FUNCIONAL Y TÉCNICO DE LOS SISTEMAS DE INFORMACIÓN O COMPONENTES TECNOLÓGICOS A DEL ICETEX</t>
  </si>
  <si>
    <t>CDEF-0508-2024</t>
  </si>
  <si>
    <t xml:space="preserve">OBLIGACIONES ESPECÍFICAS DEL CONTRATISTA	1.	Parametrizar, configurar y desarrollar ajustes de los sistemas de información asignados. 
2.	Verificar los criterios de calidad establecidos para los entregables de los Sistemas de Información asignados.
3.	Documentar las tareas de migración de información en los sistemas de información asignados.  
4.	Realizar las actividades de soporte a usuarios funcionales de los sistemas de información y otros componentes de software de la Dirección de Tecnología.
5.	Garantizar los ambientes de contingencia que permitan dar continuidad a las actividades a su cargo.
6.	Hacer el seguimiento al soporte y soluciones de los proveedores tecnológicos para atender las solicitudes de las áreas misionales del ICETEX. 
7.	Elaborar y mantener actualizados los procedimientos y manuales de operación asignados.  
8.	Seguir los lineamientos para la gestión de servicios de TI establecidos por la Dirección de Tecnología.
</t>
  </si>
  <si>
    <t>20243030001588-I Id: 4156067</t>
  </si>
  <si>
    <t>4.103</t>
  </si>
  <si>
    <t>2024-0457</t>
  </si>
  <si>
    <t>CD-456-2024</t>
  </si>
  <si>
    <t xml:space="preserve">NICOLAS MCCORMICK TELLEZ </t>
  </si>
  <si>
    <t>PRESTAR LOS SERVICIOS PROFESIONALES PARA APOYAR EL DISEÑO, IMPLEMENTACIÓN, EJECUCIÓN, SUPERVISIÓN, CONTROL Y MEJORA CONTINUA DE LAS ESTRATEGIAS DE MERCADEO QUE CONTRIBUYAN A LA PROMOCIÓN Y OTORGAMIENTO DEL PORTAFOLIO DE PRODUCTOS DEL ICETEX</t>
  </si>
  <si>
    <t>CDEF-0070-2024</t>
  </si>
  <si>
    <t xml:space="preserve">1.	Elaborar y entregar plan de trabajo y cronograma de actividades para aprobación de la supervisión del contrato, de conformidad con las estipulaciones contractuales. 
2.	Respaldar la implementación de la estrategia digital y/o tradicional para cada uno de los productos de la entidad, enfocado en el objetivo de la Oficina Comercial y de Mercadeo. 
3.	Realizar seguimiento y control operativo de la estrategia de marketing digital y/o tradicional, proponiendo oportunidades de mejora de campañas y eventos. 
4.	Apoyar la estrategia de marca y activación de la misma mediante el desarrollo de eventos, ferias y demás acciones tácticas de BTL con el propósito de contribuir con el cumplimiento de las metas comerciales de la Oficina Comercial y de Mercadeo. 
5.	Monitorear el cumplimiento de las metas comerciales establecidas en la estrategia digital y/o tradicional definidas, analizando las métricas (leads, impresiones, asistentes a eventos, clics, aperturas, visitas, porcentaje de conversión) de acuerdo con el plan comercial y de mercadeo establecido para la Entidad. 
6.	Proponer y ejecutar campañas Outbound por medio del envío masivo de E-mail Marketing, SMS o cualquier otro medio dispuesto para este fin. 
7.	Desplazarse a cualquier región del país, o disponer del personal idóneo en las regiones en caso de no poderse desplazar, en el marco del objeto contractual, según los cronogramas y planes de trabajo para la correcta realización de los productos o servicios solicitados por ICETEX, previa autorización del supervisor del contrato. 
8.	Apoyar la supervisión de los contratos, cuando sea requerido, desde el punto de vista técnico, las actividades propias de los procedimientos precontractuales, contractuales y poscontractuales requeridos en el marco de las contrataciones de bienes y servicios que se desarrollen en la Oficina de Comercial y de Mercadeo. 
9.	Realizar las labores de acompañamiento en reuniones o comités, de conformidad con las necesidades de la entidad y la designación de supervisor del contrato. 
10.	Las demás que sean inherentes para el logro del objeto contratado, asignadas por el supervisor del contrato. 
</t>
  </si>
  <si>
    <t>20243030001560-I Id: 4155789</t>
  </si>
  <si>
    <t>13.128</t>
  </si>
  <si>
    <t>2024-0458</t>
  </si>
  <si>
    <t>CD-457-2024</t>
  </si>
  <si>
    <t>LAURA ALEJANDRA GUZMÁN BARRIGA</t>
  </si>
  <si>
    <t>PRESTAR LOS SERVICIOS PROFESIONALES ESPECIALIZADOS EN EL DESARROLLO Y EJECUCIÓN TÉCNICA DEL PROYECTO DE INVERSIÓN DENOMINADO “MEJORAMIENTO DE SEDES” CORRESPONDIENTE A LA GESTIÓN DEL GRUPO DE ADMINISTRACIÓN DE RECURSOS FÍSICOS PARA EL PLAN INSTITUCIONAL DE GESTIÓN AMBIENTAL, TENDIENTE A CONTRIBUIR Y MEJORAR LA OPORTUNIDAD DE LOS SERVICIOS QUE PRESTA LA ENTIDAD</t>
  </si>
  <si>
    <t>CDEF-0610-2024</t>
  </si>
  <si>
    <t>ADECUACION E INTERVENTORIA PUNTOS DE ATENCION</t>
  </si>
  <si>
    <t xml:space="preserve">1.	Realizar las actividades tendientes a la implementación, seguimiento y mejora continua del Plan Institucional de Gestión Ambiental-PIGA y los seis programas anexos. 
2.	Realizar el diagnóstico, planificación, documentación e implementación del Sistema de Gestión Ambiental ISO 14001:2015 y su articulación con la Iniciativa de Responsabilidad Social y Sostenibilidad Institucional. 
3.	Realizar el proceso de implementación, sensibilización, actualización y seguimiento de los diferentes programas asociados con el Plan Institucional de Gestión Ambiental de la Entidad. Realizando las actividades necesarias para la planificación e implementación del plan de gradualidad del componente ambiental en el marco de la iniciativa de responsabilidad social, principios del pacto global y objetivos de desarrollo sostenible. 
4.	Apoyar el proceso de actualización y seguimiento de los planes propios de la Secretaría General, con el fin de realizar las alertas correspondientes para su adecuado cumplimiento. 
5.	Realizar el seguimiento de las actividades que le sean asignadas por la Secretaría General o el supervisor del contrato apoyando el proceso de implementación, sensibilización y seguimiento de los planes asociados y el proyecto de inversión de Mejoramiento de Sedes a cargo de la Secretaría General. 
6.	Elaborar los informes sobre el cumplimiento e implementación del Plan Institucional de Gestión Ambiental, y todos los que le sean requeridos por la Secretaría General o el supervisor del contrato. 
7.	Proponer planes, programas, estrategias y herramientas que faciliten el cumplimiento de los planes y programas a cargo de la Secretaría General. 
8.	Participar, atender y documentar todas las reuniones en relación con el objeto contractual, a los que sea convocado(a) o designado(a). 
9.	Estructurar las respuestas a los requerimientos internos y externos que le sean requeridos por el supervisor del contrato. 
10.	Apoyar en la elaboración de actas de inicio, actas de terminación y actas de liquidación de contratos que le sean asignados. 
11.	Adelantar el cargue en la herramienta documental de la entidad, todos los documentos e insumos que se generen en su contrato y en todos aquellos en los que apoye a la supervisión. 
12.	Las demás obligaciones que sean acordes con el objeto contractual asignado por quien ejerza la función de la Supervisión del Contrato.
</t>
  </si>
  <si>
    <t>20243030001535-I Id: 4155584</t>
  </si>
  <si>
    <t>11.72</t>
  </si>
  <si>
    <t>2024-0459</t>
  </si>
  <si>
    <t>CD-458-2024</t>
  </si>
  <si>
    <t>DIANA JUDITH OLIVARES LEON</t>
  </si>
  <si>
    <t>PRESTACIÓN DE SERVICIOS PROFESIONALES ESPECIALIZADOS EN INGENIERÍA EN EL TRÁMITE DE TI PARA LA CONFIGURACIÓN, SOPORTE FUNCIONAL Y TÉCNICO DE LOS SISTEMAS DE INFORMACIÓN O COMPONENTES TECNOLÓGICOS EN EL ICETEX</t>
  </si>
  <si>
    <t>CDEF-0592-2024</t>
  </si>
  <si>
    <t xml:space="preserve">1.	Parametrizar y configurar de los Sistemas de Información asignados para el correcto funcionamiento de los procesos del área financiera y de talento humano	
2.	Implementar ajustes para solucionar incidentes y problemas detectados en los sistemas de información o componentes de software.  	
3.	Proponer mejoras funcionales en los aplicativos asignados para su evaluación y aprobación en los órganos de gobierno de TI indicados por la Dirección de Tecnología.  	
4.	Tramitar el soporte requerido con los proveedores tecnológicos del área financiera y talento humano para atender los requerimientos solicitados por las áreas misionales del ICETEX  
5.	Respaldar a los equipos de trabajo relacionados con los sistemas financieros de la entidad en tareas de implementación, formulación de planes de pruebas, diseño de pruebas de aceptación y ejecución de las mismas.  
6.	Respaldar estrategias de comunicación de las diferentes actividades relacionadas con los sistemas financieros de la entidad  
7.	Acompañar el monitoreo y control de la efectividad de las estrategias de comunicación definidas  
8.	Garantizar la gestión del conocimiento generado, mediante creación y actualización de procedimientos, manuales y artefactos, en los repositorios de la entidad. 
</t>
  </si>
  <si>
    <t>20243030001603-I Id: 4156349</t>
  </si>
  <si>
    <t>4.46</t>
  </si>
  <si>
    <t>2024-0460</t>
  </si>
  <si>
    <t>CD-459-2024</t>
  </si>
  <si>
    <t>JOHN JAIRO GUERRERO BALLESTEROS</t>
  </si>
  <si>
    <t>PRESTAR SERVICIOS PROFESIONALES ESPECIALIZADOS PARA EL DIRECCIONAMIENTO DE LA ESTRATEGIA DE FORMACIÓN Y ENTRENAMIENTO DE LA OFICINA COMERCIAL Y DE MERCADEO, INCLUYENDO LOS CANALES DE ATENCIÓN Y GESTIÓN, LAS OFICINAS TERRITORIALES E IES; CON EL FIN DE GARANTIZAR EL FORTALECIMIENTO DE LOS CONOCIMIENTOS DEL PORTAFOLIO DE SERVICIOS Y PROCESOS DE LA ENTIDAD</t>
  </si>
  <si>
    <t>CDEF-0401-2024</t>
  </si>
  <si>
    <t xml:space="preserve">1.	1.	Elaborar y entregar un plan de trabajo y cronograma de actividades para aprobación de la supervisión del contrato, de conformidad con las estipulaciones contractuales.
2.	Realizar seguimiento periódico, a las estrategias definidas por el equipo de Formación de la Oficina Comercial y de Mercadeo, con el objetivo de mejorar los indicadores del proceso de formación y entrenamiento obtenidos por el proveedor de atención al usuario.
3.	Realizar acompañamiento en la mplementación de la estrategia de formación de la Oficina Comercial y de Mercadeo que permita generar el despliegue de información, en espacios de capacitación no formal, tanto al proveedor de Atención al Usuario, como a los demás grupos que intervienen en el proyecto de Atención al Usuario.
4.	Realizar reuniones periódicas, en la que se revisen los aspectos a mejorar en las dinámicas de capacitación, las cuales se tomarán como insumo para la conciliación de los temas que serán dictados por parte del proveedor.
5.	Elaborar, implementar y realizar la medición de la estrategia que permita fomentar espacios de capacitación enfocados en procedimientos propios de la entidad, tanto al proveedor de atención al usuario como a los colaboradores de la Oficina Comercial y de Mercadeo.
6.	Realizar seguimiento periódico a los indicadores obtenidos de las sesiones SAC, DCF, de Procedimientos y actualizaciones en el portafolio del Icetex; realizadas por el grupo de formación OCM e impartidas al proveedor de atención al usuario, en pro de la mejora de los indicadores de experiencia y satisfacción.
7.	Mantener seguimiento periódico a los indicadores de las capacitaciones iniciales previa contratación, y de OJT, correspondientes al personal que se incorpora al proveedor de atención al usuario, mediante grupos nuevos.
8.	Realizar seguimiento a la actualización de los contenidos registrados en la plataforma de Formación Virtual “Gestor de Conocimientos” a fin de garantizar que se encuentren alineados conforme a los lineamientos entregados por el ICETEX en su portafolio de servicios.
9.	Prestar asesoría conceptual, operativa y técnica en el desarrollo de la operación del proveedor de atención al usuario del contrato 2022 - 0770 en relación con la estrategia de formación y entrenamiento definida por la entidad.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inherentes para el logro del objeto contratado, asignadas por el supervisor del contrato
</t>
  </si>
  <si>
    <t>20243030001599-I Id: 4156338</t>
  </si>
  <si>
    <t>3.15</t>
  </si>
  <si>
    <t>2024-0461</t>
  </si>
  <si>
    <t>CD-460-2024</t>
  </si>
  <si>
    <t>BERNARDO ANDRES GONZÁLEZ SOLARTE</t>
  </si>
  <si>
    <t>PRESTAR LOS SERVICIOS PROFESIONALES JURÍDICOS ESPECIALIZADOS PARA ATENDER LA ACTIVIDAD JURÍDICA DEL ICETEX, DIRIGIDO A LA IMPLEMENTACIÓN DE LA POLÍTICA DE MEJORA NORMATIVA DE LA ENTIDAD, Y APOYO A LAS ÁREAS MISIONALES</t>
  </si>
  <si>
    <t>CDEF-0566-2024</t>
  </si>
  <si>
    <t xml:space="preserve">1.	Un (1) informe mensual, en cual se refleje el avance de las actividades asignadas por el Supervisor del Contrato. 
2.	Un (1) informe definitivo al culminar el plazo de ejecución contractual, en el cual se consoliden las actividades realizadas durante la ejecución del contrato. 
3.	Asesorar en las actividades que se requieran para cumplir con el trámite de adopción de nuevos productos y servicios de la entidad.
4.	 Apoyar en la formulación y revisión de las normas internas que rigen las actividades de la entidad conforme a la política de mejora normativa, en el marco del proyecto de fortalecimiento organizacional.
5.	Orientar en el conocimiento, interpretación y correcta aplicación del régimen legal aplicable al Icetex en coordinación y en línea con las directrices de la Oficina Asesora Jurídica en el marco del desarrollo de las políticas de mejora normativa. 
6.	Analizar y conceptuar jurídicamente en los asuntos inherentes a la normatividad aplicable al ICETEX en el marco del desarrollo de la política de mejora normativa y el proyecto de fortalecimiento organizacional. 
7.	Acompañar las reuniones y mesas de trabajo a las que sea convocado por la Oficina Asesora Jurídica y/o juntas de administración y orientar cuando se requiera en la aplicación de acciones tendientes en la prevención de riesgo legal. 
8.	Apoyar en temas jurídicos teniendo en cuenta la naturaleza financiera especial de la entidad a la Secretaria General en calidad de Secretaria Técnica de la Junta Directiva. 
9.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10.	Presentar el correspondiente informe al cierre del periodo junto con las evidencias que lo soporten, presentando en documento individual y adjunto al informe el cumplimiento del 100% de los indicadores de gestión establecidos. 
11.	Asistir y participar de las reuniones presenciales y/o virtuales a las que sea convocado por parte de la Oficina Asesora Jurídica o de las demás dependencias de la entidad. 
12.	Elaborar y radicar los documentos correspondientes en la oportunidad y de acuerdo con las directrices establecidas por la entidad, para el cobro mensual de los honorarios. 
13.	Desarrollar las acciones asignadas tendientes al mejoramiento continuo de conformidad con las políticas de calidad implementadas en la entidad y que impacten favorablemente el desarrollo de las metas del proyecto apoyado. 
14.	Atender los demás asuntos que, de conformidad con el objeto contractual, le sean asignados por la Oficina Asesora Jurídica. 
15.	 Desarrollar las acciones asignadas tendientes al mejoramiento continuo de conformidad con las políticas de calidad implementadas en la entidad y que impacten favorablemente el desarrollo de las metas del proyecto apoyado. 
16.	Apoyar y promover el diseño, desarrollo, seguimiento, socialización, articulación y/o implementación, de acciones de ideación y creación de estrategias de innovación que se requieran para el desarrollo de iniciativas y propuestas en conjunto con las diferentes áreas de la entidad y la VOT, con el propósito de asegurar la obtención de resultados alineados con las metas del ICETEX, considerando el uso de tecnologías emergentes, metodologías ágiles, y los procesos y procedimientos establecidos en la entidad dentro del macroproceso de servicios tecnológicos. 
17.	Atender los demás asuntos que, de conformidad con el objeto contractual, le sean asignados por la Oficina Asesora Jurídica.
</t>
  </si>
  <si>
    <t>20243030001538-I Id: 4155596</t>
  </si>
  <si>
    <t>4.148</t>
  </si>
  <si>
    <t>2024-0462</t>
  </si>
  <si>
    <t>CD-461-2024</t>
  </si>
  <si>
    <t>CLAUDIA MARCELA JIMENEZ CORTÉS</t>
  </si>
  <si>
    <t>IMPLEMENTAR ESTRATEGIAS PARA LA EJECUCIÓN DEL PLAN COMERCIAL DE LA TERRITORIAL CENTRO ASOCIADAS AL PORTAFOLIO DE SERVICIOS DE LCETEX EN LA REGIÓN, EN ARTICULACIÓN CON LA OFICINA COMERCIAL Y DE MERCADEO DEL NIVEL CENTRAL</t>
  </si>
  <si>
    <t>CDEF-0266-2024</t>
  </si>
  <si>
    <t>20243030001621-I Id: 4156425</t>
  </si>
  <si>
    <t>4.150</t>
  </si>
  <si>
    <t>2024-0463</t>
  </si>
  <si>
    <t>CD-462-2024</t>
  </si>
  <si>
    <t>MARCELO ANTONIO CAMACHO SUÁREZ</t>
  </si>
  <si>
    <t>IMPLEMENTAR ESTRATEGIAS PARA LA EJECUCIÓN DEL PLAN COMERCIAL DE LA TERRITORIAL CENTRO ASOCIADAS AL PORTAFOLIO DE SERVICIOS DE ICETEX EN LA REGIÓN, EN ARTICULACIÓN CON LA OFICINA COMERCIAL Y DE MERCADEO DEL NIVEL CENTRAL.</t>
  </si>
  <si>
    <t>CDEF-0264-2024</t>
  </si>
  <si>
    <t>20243030001615-I Id: 4156386</t>
  </si>
  <si>
    <t>4.153</t>
  </si>
  <si>
    <t>2024-0464</t>
  </si>
  <si>
    <t>CD-463-2024</t>
  </si>
  <si>
    <t>JAIRO CESAR PEREZ SUAREZ</t>
  </si>
  <si>
    <t>CDEF-0267-2024</t>
  </si>
  <si>
    <t>20243030001617-I Id: 4156392</t>
  </si>
  <si>
    <t>4.152</t>
  </si>
  <si>
    <t>2024-0465</t>
  </si>
  <si>
    <t>CD-464-2024</t>
  </si>
  <si>
    <t>JAVIER ERNESTO BORRERO CORTÉS</t>
  </si>
  <si>
    <t>CDEF-0272-2024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</si>
  <si>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t>
  </si>
  <si>
    <t>20243030001616-I Id: 4156391</t>
  </si>
  <si>
    <t>11.94</t>
  </si>
  <si>
    <t>2024-0466</t>
  </si>
  <si>
    <t>CD-465-2024</t>
  </si>
  <si>
    <t>MARIA ANGELICA GAITAN SANCHEZ.</t>
  </si>
  <si>
    <t>PRESTACIÓN DE SERVICIOS PROFESIONALES ESPECIALIZADOS EN INGENIERÍA EN EL TRÁMITE DE SERVICIOS DE TI PARA LA CONFIGURACIÓN, SOPORTE FUNCIONAL Y TÉCNICO DE LOS SISTEMAS DE INFORMACIÓN O COMPONENTES TECNOLÓGICOS A CARGO DEL ICETEX.</t>
  </si>
  <si>
    <t>CDEF-0518-2024</t>
  </si>
  <si>
    <t>1.Diseñar,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metodología "agile" definida por el ICETEX en el desarrollo de los Sprint.</t>
  </si>
  <si>
    <t>20243030001610-I Id: 4156372</t>
  </si>
  <si>
    <t>11.68</t>
  </si>
  <si>
    <t>2024-0467</t>
  </si>
  <si>
    <t>CD-466-2024</t>
  </si>
  <si>
    <t>CIRO YASAEL VENCE URIBE</t>
  </si>
  <si>
    <t>PRESTACIÓN DE SERVICIOS PROFESIONALES ESPECIALIZADOS PARA EL TRÁMITE DE SERVICIOS DE TI ORIENTADOS AL ANÁLISIS, MODELAMIENTO, DESARROLLO, PRUEBAS, IMPLEMENTACIÓN Y MEJORAMIENTO CONTINUO DE SOLUCIONES INFORMÁTICAS, REQUERIDAS EN EL ICETEX.</t>
  </si>
  <si>
    <t>CDEF-0591-2024</t>
  </si>
  <si>
    <t xml:space="preserve">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organos de gobierno de TI indicados por la Dirección de Tecnología.
6.	Tramitar los ambientes de contingencia que permitan dar continuidad a las actividades en los dominios de aplicaciones e información.
7.	Tramitar el soporte requerido con los proveedores tecnológicos para atender los requerimientos solicitados por las áreas misionales del ICETEX
8.	Garantizar la aplicación de la metodologia "agile" definida por el Icetex en el desarrollo de los Sprint
</t>
  </si>
  <si>
    <t>20243030001619-I Id: 4156418</t>
  </si>
  <si>
    <t>1.18</t>
  </si>
  <si>
    <t>2024-0468</t>
  </si>
  <si>
    <t>CD-467-2024</t>
  </si>
  <si>
    <t>BRAYAN ALEXIS VARGAS LOZANO</t>
  </si>
  <si>
    <t>PRESTAR LOS SERVICIOS TÉCNICOS PARA APOYAR LA ADMINISTRACIÓN FUNCIONAL DE LOS MICROSITIOS QUE ADMINISTRA LA OFICINA ASESORA DE COMUNICACIONES, ASÍ COMO HACER SEGUIMIENTO Y ANÁLISIS DE LOS CONTENIDOS PUBLICADOS EN EL PORTAL WEB DE LA ENTIDAD.</t>
  </si>
  <si>
    <t>CDEF-0161-2024</t>
  </si>
  <si>
    <t>REMUNERACIÓN SERVICIOS
TÉCNICOS ODC</t>
  </si>
  <si>
    <t xml:space="preserve">G312001020230014 </t>
  </si>
  <si>
    <t xml:space="preserve">1.	Apoyar en la administración, programación, actualización, creación de contenidos, noticias, boletines, eventos, actividades y en general información con su maquetación y programación sobre contenidos periodísticos a publicar en la página web de la entidad.
2.	Apoyar en la instalación de herramientas, secciones multimedia, mediciones métricas, micrositios, actualizaciones, secciones, botones, banners, iconos o instalación de nuevas funcionalidades de acuerdo con las necesidades de la organización. 
3.	Apoyar en la puesta en marcha de lineamientos institucionales en materia de imagen corporativa del Gobierno Nacional y la normatividad vigente relacionada con la Transparencia y acceso a la información pública.  
4.	Apoyar la ejecución de la administración herramienta de copias de seguridad dentro del portal web de la entidad. 
5.	Apoyar la generación de manuales de referencia de uso de las plataformas digitales usadas por la entidad o de funcionalidades específicas introducidas a las mismas.
6.	Ceder los derechos patrimoniales de autor y conexos sobre las obras y documentos sometidos a registro, en cumplimiento de lo establecido en ley 23 de 1982 modificada por la ley 1450 de 2011 y 1520 de 2012.
7.	Apoyar la actualización de manuales de administración y uso del portal web de la entidad. 
8.	Asistir a reuniones y/o comités según indique el supervisor del contrato.  
9.	Cumplir con los indicadores de gestión establecidos.  
10.	Las demás obligaciones que se requieran para el cumplimiento a cabalidad del objeto contractual y que sean inherentes a la naturaleza del contrato
</t>
  </si>
  <si>
    <t>20243030001612-I Id: 4156376</t>
  </si>
  <si>
    <t>1.20</t>
  </si>
  <si>
    <t>2024-0469</t>
  </si>
  <si>
    <t>CD-468-2024</t>
  </si>
  <si>
    <t>DIANA CAROLINA CHAVARRIA ESPITIA</t>
  </si>
  <si>
    <t>PRESTAR LOS SERVICIOS PROFESIONALES PARA LA GENERACIÓN DE CONTENIDO GRÁFICO, ANIMANDO Y MULTIMEDIA RELACIONADO CON LA GESTIÓN E INFORMACIÓN DE LA ENTIDAD DE ACUERDO A LOS LINEAMIENTOS DE LA OFICINA ASESORA DE COMUNICACIONES</t>
  </si>
  <si>
    <t>CDEF-0158-2024</t>
  </si>
  <si>
    <t>20243030001613-I Id: 4156378</t>
  </si>
  <si>
    <t>2.24</t>
  </si>
  <si>
    <t>2024-0470</t>
  </si>
  <si>
    <t>CD-469-2024</t>
  </si>
  <si>
    <t>JOHN FERNANDO MALDONADO ESCOBAR</t>
  </si>
  <si>
    <t>PRESTAR SERVICIOS PROFESIONALES EN ANALÍTICA DE DATOS DE ACUERDO CON LOS REQUERIMIENTOS, PROPUESTAS Y NECESIDADES TÉCNICAS QUE PUEDAN SURGIR EN LAS INICIATIVAS Y PROYECTOS QUE SE LIDEREN O APOYEN DESDE EL EQUIPO DE INNOVACIÓN</t>
  </si>
  <si>
    <t>CDEF-0238-2024</t>
  </si>
  <si>
    <t xml:space="preserve">
G312001020210012 
</t>
  </si>
  <si>
    <t xml:space="preserve">
EL ICETEX pagará al CONTRATISTA el valor del contrato mediante PAGOS MENSUALES por un valor total de CINCO MILLONES TRESCIENTOS NOVENTA Y CUATRO MIL SEISCIENTOS SETENTA Y SIETE PESOS M/CTE ($5.394.677), 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el Manual de Contratación del ICETEX y acorde con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PARÁGRAFO SEXTO:  Para contratistas personales naturales, deberán presentar junto con el informe final como requisito para el último pago, el respectivo paz y salvo de conformidad con el formato dispuesto por la entidad. F509 Formato Paz y Salvo Contratistas prestación de servicios profesionales o apoyo a la gestión, cuyo diligenciamiento se realizará conforme al Instructivo I509.
1.	Analizar posibles orígenes de información que permitan mejorar y/o agilizar los procesos de análisis de datos para los distintos requerimientos que se presenten en los proyectos que lidere o apoye el equipo de innovación.
2.	Administrar las fuentes de datos y realizar el correspondiente análisis estadístico y visual en búsqueda de patrones de comportamiento con el fin de presentar la información de manera gráfica identificando aspectos que generen valor agregado para las actividades y/o proyectos que lidere o apoye el equipo de innovación.
3.	Buscar soluciones innovadoras en el campo de la analítica de datos e inteligencia de negocios con el fin de obtener tendencias, evaluaciones y simulaciones para las distintas propuestas y estudios técnicos que involucren acciones o proyectos liderados o apoyados por el equipo de innovación.
4.	Participar en la construcción y ejecución de procesos de captura de información como formularios, sondeos de opinión, muestreos, encuestas, construcción de bases de datos, entre otros, que se requieran en las acciones y proyectos que lidere o apoye el equipo de innovación.
5.	Administrar las solicitudes, requerimientos y permisos de ingreso sobre información recopilada y necesaria para los proyectos que apoye o lidere el equipo de innovación garantizando la calidad y privacidad de los datos.
6.	Buscar opciones y/o alternativas que permitan tener un alto estándar en la calidad, coherencia y seguridad de la información usada en los distintos proyectos y retos que lidere o apoye el equipo de innovación. 
7.	Colaborar en la construcción de reportes o informes que sirvan de apoyo y sustento a respuestas de requerimientos realizados al equipo de innovación y que se encuentren vinculados a las estadísticas o actividades de investigación del ICETEX. 
8.	Plantear y/o participar en acciones de ideación,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</si>
  <si>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JULIAN YAMID TORRES TORRES</t>
  </si>
  <si>
    <t>CESIÓN DEL CONTRATO DE PRESTACIÓN DE SERVICIOS No. 2024-0470 SUSCRITO ENTRE EL INSTITUTO COLOMBIANO DE CRÉDITO EDUCATIVO Y ESTUDIOS TÉCNICOS EN EL EXTERIOR “MARIANO OSPINA PÉREZ” – ICETEX Y JOHN FERNANDO MALDONADO ESCOBAR A JULIAN YAMID TORRES TORRES</t>
  </si>
  <si>
    <t>20243030001632-I Id: 4156616</t>
  </si>
  <si>
    <t>2024-0471</t>
  </si>
  <si>
    <t>CD-470-2024</t>
  </si>
  <si>
    <t>800248926-2</t>
  </si>
  <si>
    <t>CORPORACIÓN UNIVERSITARIA
DE CIENCIAS EMPRESARIALES, EDUCACIÓN Y SALUD-UNICORSALUD</t>
  </si>
  <si>
    <t>ADOLFO FERNANDO GÓMEZ PADILLA</t>
  </si>
  <si>
    <t>EL OBJETO DEL PRESENTE DOCUMENTO ES PRORROGAR EL PLAZO ESTABLECIDO EN LA CLÁUSULA QUINTA Y MODIFICAR EL ANEXO DEL ACUERDO ESTRATÉGICO NO. 2024-0471.</t>
  </si>
  <si>
    <t>2024-0472</t>
  </si>
  <si>
    <t>13.157</t>
  </si>
  <si>
    <t>2024-0473</t>
  </si>
  <si>
    <t>CD-472-2024</t>
  </si>
  <si>
    <t>EMELY ALEXANDRA IRAL FIQUITIVA</t>
  </si>
  <si>
    <t>PRESTAR SERVICIOS PROFESIONALES EN LAS ACTIVIDADES RELACIONADAS CON LA IMPLEMENTACIÓN, FORTALECIMIENTO Y MEJORAMIENTO CONTINUO DEL SISTEMA DE SEGURIDAD Y SALUD EN EL TRABAJO CON  ÉNFASIS EN EL SISTEMA DE VIGILANCIA EPIDEMIOLÓGICA, DE RIESGO OSTEOMUSCULAR Y EL PROGRAMA DE MEDICINA PREVENTIVA Y DEL TRABAJO EN EL MARCO DE LA POLÍTICA DE “GESTIÓN DEL TALENTO HUMANO”, ASÍ COMO CONTRIBUIR A MEJORAR LA OPORTUNIDAD DE LOS SERVICIOS QUE PRESTA LA ENTIDAD.</t>
  </si>
  <si>
    <t>CDEF-0623-2024</t>
  </si>
  <si>
    <t xml:space="preserve">IG 312001020300012 </t>
  </si>
  <si>
    <t xml:space="preserve">1.	Gestionar y apoyar las actividades de implementación, evaluación y seguimiento del Sistema de Gestión de la Seguridad y Salud en el Trabajo, de acuerdo con los lineamientos establecidos por la entidad y acorde con el objeto contractual. 
2.	Organizar y acompañar técnicamente el desarrollo de las actividades relacionadas con Medicina preventiva y del trabajo, los planes de promoción y prevención, programas de vigilancia epidemiológica, seguridad e higiene industrial, programas de gestión de riesgos, planes de emergencia, apoyo a comités (convivencia, copasst, COE, Brigadas de emergencia, etc.) y todas las demás que se relacionen y sean requeridas en el marco del SGSST
3.	Actualizar la documentación necesaria del Sistema y cumplir con los lineamientos de gestión documental necesarios para el manejo de los documentos del Sistema General de la seguridad y salud en el trabajo de conformidad con lo establecido en el Decreto 1072 de 2015 (libro 2, parte 2, titulo 4, capitulo 6) y tomar las medidas necesarias para la conservación de los documentos de conformidad con la tabla de retención documental que expida la dirección General. 
4.	Apoyar en la elaboración, verificación, evaluación y remisión de la documentación e informes ordinarios u extraordinarios que se requieran en el marco del SGSST, en el marco del objeto contractual. 
5.	Gestionar y apoyar técnicamente la verificación de los requerimientos técnicos de los elementos adquiridos por la entidad y que correspondan a la seguridad y salud en el trabajo (EPPS, señalización, elementos de dotación de brigadas, elementos ergonómicos, mobiliario y demás requeridos por el equipo de seguridad y salud en el trabajo para el funcionamiento de SG-SST.), llevando un adecuado control de los registros y evidencias de su entrega. 
6.	Apoyar la divulgación de las políticas del sistema de seguridad y salud en el trabajo, inducción y reinducción a todos los trabajadores de la entidad y capacitaciones independientemente del tipo de vinculación (funcionarios, contratistas), de acuerdo con los lineamientos y el objeto contractual. 
7.	Realizar seguimiento a las incapacidades presentadas por el personal, en lo que se refiera a lesiones o molestias osteomusculares, las cuales pueden desencadenar consecuencias moderadas o graves a mediano o largo plazo. 
8.	Trabajar en la prevención y atención temprana en lo que se refiere a molestias del tipo osteomuscular, teniendo en cuenta los factores de riesgo asociados a dicha dolencia. Tales como los movimientos repetitivos, posturas inadecuadas. Etc. 
9.	Realizar el análisis de los ausentismos generados con ocasión de enfermedad laboral, accidente de trabajo de los funcionarios de la entidad, acorde con el objeto contractual. 
10.	Realizar propuestas para la mejora de los procedimientos, programas, planes y demás relacionados con la seguridad y salud en el trabajo que produzcan impacto positivo en la disminución de los riesgos y como parte de la mejora continua, en el marco del objeto contractual. 
11.	Registrar evidencias de todas las actividades, procesos y/o procedimientos efectuados y que hacen parte del desarrollo del objeto del contrato y los lineamientos emitidos por la entidad, como son las listas de asistencia, actas de reunión, informes, fotografías, videos, etc. 
12.	Asistir y participar en los comités, reuniones, talleres, juntas y demás eventos que le indique el supervisor y se relacionen con el objeto del contrato. 
13.	Apoyar en la supervisión de contratos y/o convenio del Grupo De Talento Humano. 
14.	Apoyar las actividades que le sean requeridas desde la Secretaría General y la Coordinación de Talento Humano, acorde con el objeto contractual y previa coordinación con el supervisor del contrato.
</t>
  </si>
  <si>
    <t>SONIA ALEXANDRA ESPINOSA DELGADO</t>
  </si>
  <si>
    <t>20243030001646-I Id: 4156834</t>
  </si>
  <si>
    <t>4.145</t>
  </si>
  <si>
    <t>2024-0474</t>
  </si>
  <si>
    <t>CD-473-2024</t>
  </si>
  <si>
    <t>NADIA VALENTINA RINCON WILLIAMS</t>
  </si>
  <si>
    <t>PRESTAR SERVICIOS PROFESIONALES ESPECIALIZADOS EN LA TERRITORIAL CENTRO, PARA EL APOYO EN EL SEGUIMIENTO DEL CUMPLIMIENTO DE LAS OBLIGACIONES CONTRACTUALES A CARGO DE LOS ALIADOS ESTRATÉGICOS EN EL MARCO DE LOS CONVENIOS SUSCRITOS CON EL ICETEX, ASÍ COMO EL ASESORAMIENTO PARA LA IMPLEMENTACIÓN DE ESTRATEGIAS DE REGIONALIZACIÓN PARA EL FORTALECIMIENTO DE LA PRESENCIA DE LA ENTIDAD EN LOS TERRITORIOS APARTADOS UBICADOS EN LA AMAZONÍA Y LA ORINOQUÍA</t>
  </si>
  <si>
    <t>CDEF-0265-2024</t>
  </si>
  <si>
    <t xml:space="preserve">1.	 Realizar seguimiento al debido cumplimiento de las obligaciones contractuales por parte de las Instituciones de Educación Superior y demás aliados estratégicos en los convenios vigentes o en proceso de liquidación con el Icetex. 
2.	Apoyar y asesorar a las Instituciones de Educación Superior y demás aliados estratégicos bajo supervisión de la Territorial Centro, en los debidos procesos y reportes de información a cargo de las IES, en respuesta a las obligaciones contractuales contenidas en los convenios vigentes o en proceso de liquidación con el ICETEX. 
3.	Servir de enlace y hacer presencia institucional entre los aliados estratégicos de la entidad, comunidad en general y usuarios de interés y el ICETEX en el territorio asignado y las oficinas que lo integran. 
4.	Apoyar el proceso precontractual y contractual en la constitución de alianzas y/o convenios estratégicos a cargo de la territorial Centro. 
5.	Gestionar alianzas estratégicas y prestar asistencia técnica en las Instituciones de Educación Superior, entes territoriales y demás aliados estratégicos del ICETEX en el territorio asignado. 
6.	Formular propuestas e implementar estrategias para fortalecer la presencia y mejora del servicio al cliente con los aliados estratégicos y demás usuarios del portafolio de servicios en territorios apartados acorde al Plan Estratégico del ICETEX y asignados por su supervisor.
7.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macroprocesos de la Oficina de Comercial y de Mercadeo. 
8.	Realizar el debido proceso de gestión documental y envío al archivo único de la entidad de las actividades delegadas a su cargo.
9.	Desplazarse a las diferentes ciudades del país, en caso de ser necesario para la debida ejecución del contrato, previa coordinación con el supervisor. 
10.	Capacitar y asesorar a las comunidades en Región, respecto al portafolio de servicios de ICETEX. 
11.	Las demás que sean inherentes para el logro del objeto contratado, asignadas por el supervisor del contrato. 
</t>
  </si>
  <si>
    <t>20243030001622-I Id: 4156441</t>
  </si>
  <si>
    <t>4.9</t>
  </si>
  <si>
    <t>2024-0475</t>
  </si>
  <si>
    <t>CD-474-2024</t>
  </si>
  <si>
    <t>CARLOS ANDRES TIJO MARTINEZC</t>
  </si>
  <si>
    <t>PRESTAR SERVICIOS DE APOYO TÉCNICO, PARA LA EXTRACCIÓN, REVISIÓN, DEPURACIÓN, GENERACIÓN Y MANTENIMIENTO DE INFORMES, PARA EFECTOS DEL SEGUIMIENTO OPERATIVO, GENERACIÓN Y MEDICIÓN DE KPI, EN EL MARCO DE LAS ACTIVIDADES DEL SERVICIO DE ATENCIÓN AL USUARIO Y ACTIVIDADES DE GESTIÓN COMERCIAL, EN EL MARCO DE LAS ACTIVIDADES DEL EQUIPO DE GOBIERNO DE DATOS DE LA OFICINA COMERCIAL Y DE MERCADEO</t>
  </si>
  <si>
    <t>CDEF-0092-2024</t>
  </si>
  <si>
    <t>20243030001640-I Id: 4156761</t>
  </si>
  <si>
    <t>11.154</t>
  </si>
  <si>
    <t>2024-0476</t>
  </si>
  <si>
    <t>CD-475-2024</t>
  </si>
  <si>
    <t>JONATHAN STEVEN LOZANO GARCIA</t>
  </si>
  <si>
    <t>PRESTACIÓN DE SERVICIOS PROFESIONALES PARA LAS ACTIVIDADES RELACIONADAS CON GESTIÓN DE PETICIONES, QUEJAS, RECLAMOS Y SOLICITUDES AL ICETEX</t>
  </si>
  <si>
    <t>CDEF-0552-2024</t>
  </si>
  <si>
    <t xml:space="preserve">Gestionar las peticiones, quejas, reclamos y requerimientos radicados al Grupo de Operaciones relacionados con el Defensor del Consumidor Financiero, Requerimientos a entes de control u otros. 
2.	Responder a los requerimientos internos y externos en el tiempo establecido del Grupo de Operaciones. 
3.	Verificar y ajustar los créditos en los aplicativos de información de la cartera; así mismo aplicar novedades que se requieran. 
4.	Reportar situaciones evidenciadas en la cartera que estén generando inconsistencias y seguimiento a las obligaciones que presenten ajuste tecnológico hasta asegurar la estabilización de este. 
5.	Gestionar actividades de mejora para los procedimientos del Grupo de Operaciones y en los sistemas de información, cuando se requiera.    
6. Acudir a las reuniones citadas para la supervisión del contrato o que estén relacionadas con el objeto del mismo. 
</t>
  </si>
  <si>
    <t>20243030001626-I Id: 4156513</t>
  </si>
  <si>
    <t>11.129</t>
  </si>
  <si>
    <t>2024-0477</t>
  </si>
  <si>
    <t>CD-476-2024</t>
  </si>
  <si>
    <t>SINDY PAOLA ZORNOSA GAMEZ</t>
  </si>
  <si>
    <t>CDEF-0644-2024</t>
  </si>
  <si>
    <t>20243030001627-I Id: 4156516</t>
  </si>
  <si>
    <t>14.100</t>
  </si>
  <si>
    <t>2024-0478</t>
  </si>
  <si>
    <t>CD-477-2024</t>
  </si>
  <si>
    <t>ALBERTO FREDY SUAREZ CASTAÑEDA</t>
  </si>
  <si>
    <t>PRESTAR SERVICIOS PROFESIONALES ESPECIALIZADOS A LA SECRETARÍA GENERAL DEL ICETEX PARA EL DIRECCIONAMIENTO Y ACOMPAÑAMIENTO DE LAS ACTIVIDADES TENDIENTES AL AJUSTE Y PERFECCIONAMIENTO DEL REDISEÑO ORGANIZACIONAL E INSTITUCIONAL PROPUESTO, DE ACUERDO CON LA NORMATIVIDAD VIGENTE Y DEMÁS DISPOSICIONES DE OTROS ORGANISMOS COMPETENTES, HASTA SU MATERIALIZACIÓN</t>
  </si>
  <si>
    <t>CDEF-0363-2024</t>
  </si>
  <si>
    <t xml:space="preserve">1. Apoyar, direccionar e implementar el cronograma de trabajo para realizar las acciones encaminadas para la implementación del rediseño institucional del ICETEX, con base en la Guía de Rediseño Institucional de Entidades Públicas del orden nacional elaborado por el Departamento Administrativo de la Función Pública – DAFP y demás disposiciones de organismos competentes.
2. Establecer, acompañar y liderar el desarrollo de las actividades de cada una de las fases planificadas para el proceso de ajuste al rediseño institucional requeridas por los organismos competentes en el marco de la Guía de Rediseño Institucional de Entidades Públicas del Orden Nacional elaborado por el Departamento Administrativo de la Función Pública – DAFP que han de ser ejecutadas por el equipo de trabajo constituido para tal fin.
3. Realizar y perfeccionar las actividades de ajuste de la estructura organizacional propuesta de la entidad y las funciones de sus dependencias, en concordancia con la propuesta del modelo de operación por procesos (mapa de procesos), el Plan Estratégico Institucional vigente, y los requerimientos del Sistema Integrado de Gestión, Modelo Integrado de Planeación y Gestión -MIPG del ICETEX; así como las recomendaciones realizadas por el Departamento Administrativo de la Función Pública y demás organismos competentes.
4. Direccionar y realizar los ajustes requeridos a la planta de personal propuesta en el marco del rediseño institucional en concordancia con el marco del modelo de operación por procesos y dependencias de las áreas definidas para la entidad, de conformidad con los requisitos técnicos y normativos en la materia y como resultado del análisis de las cargas laborales determinadas.
5. Realizar los ajustes necesarios a los manuales de funciones, requisitos mínimos y competencias laborales en el marco de la nueva estructura organizacional para el ICETEX, dando cumplimiento a los requisitos técnicos y normativos en la materia.
6. Asesorar la construcción del estudio técnico propuesto de rediseño institucional que contenga la justificación técnica y jurídica del modelo operativo, según la guía de Rediseño Institucional de Entidades Públicas de Orden Nacional elaborada por el Departamento Administrativo de la Función Pública – DAFP y a la luz de las demás disposiciones de organismos competentes para tal fin, en observancia de los requisitos técnicos y normativos en la materia.
7. Apoyar la elaboración del análisis financiero de viabilidad e impacto, con comparativos de los escenarios de las plantas actual y propuestas para la entidad, observando los requisitos técnicos y normativos en la materia.
8. Proyectar los ajustes a los actos administrativos requeridos para la modificación y/o conciliación de la estructura organizacional, planta de personal, manual específico de funciones y competencias laborales del Icetex, observando los criterios establecidos por la entidad para tal fin y en armonía con lo requerido en la Guía de Rediseño Institucional de Entidades Públicas del orden nacional elaborado por el Departamento Administrativo de la Función Pública – DAFP y demás disposiciones de organismos competentes.
9. Apoyar y acompañar a la alta dirección del Icetex y/o equipo interno de trabajo que establezca la entidad para la difusión, socialización análisis y sustentación técnica de las actividades, los productos, los resultados y el proceso de rediseño institucional propuesto ante los servidores públicos, Junta Directiva, Departamento Administrativo de la Función Pública, Ministerio de Educación Nacional, Ministerio de Hacienda y demás instancias requeridas hasta la aprobación del proceso.
10. Estructurar y presentar los informes mensuales que dé cuenta del cumplimiento de todas obligaciones contractuales, así como la entrega de los documentos construidos durante la ejecución del contrato.
11. Acompañar la elaboración de la propuesta definitiva de estructura interna para el Icetex actualizada en consonancia con el mapa de procesos, el Plan Estratégico Institucional y las nuevas políticas y lineamientos del Gobierno Nacional.
12. Asesorar la actualización de la planta de personal definitiva y con los ajustes asociados a los procesos y dependencias de las áreas definidas para la entidad.
13. Asesorar la proyección de manual de funciones y competencias laborales de las dependencias aprobadas para el ICETEX.
14. Prestar asesoría profesional en la elaboración del estudio técnico de rediseño institucional del Icetex según la guía de Rediseño Institucional de Entidades Públicas del Orden Nacional elaborada por el Departamento Administrativo de la Función Pública – DAFP y demás disposiciones de organismos competentes.
15. Las demás obligaciones que sean acordes con el objeto contractual asignado por quien ejerza la función de la Supervisión del Contrato.
</t>
  </si>
  <si>
    <t>20243030001659-I Id: 4156944</t>
  </si>
  <si>
    <t>9.20</t>
  </si>
  <si>
    <t>2024-0479</t>
  </si>
  <si>
    <t>CD-478-2024</t>
  </si>
  <si>
    <t>TERESA DEL PILAR RUBIANO RODRIGUEZ</t>
  </si>
  <si>
    <t>PRESTAR LOS SERVICIOS PROFESIONALES ESPECIALIZADOS A LA VICEPRESIDENCIA DE CRÉDITO Y COBRANZA DESDE EL PUNTO DE VISTA JURÍDICO PARA ADELANTAR PROCESOS ADMINISTRATIVOS Y CONTRACTUALES DEL ÁREA EN CUANTO MODIFICACIÓN, ADICIÓN, PRORROGAS, LIQUIDACIÓN Y CONSTITUCIÓN DE LOS CONVENIOS DE ALIANZAS O DEL ÁREA QUE SE SUSCRIBEN CON LOS DISTINTOS TERCEROS</t>
  </si>
  <si>
    <t>CDEF-0450-2024</t>
  </si>
  <si>
    <t xml:space="preserve">.     Apoyar desde el punto de vista jurídico, la constitución de las nuevas alianzas que se suscriban con los distintos terceros (Entidades Públicas y/o Privadas), así como en la elaboración de documentos que se requieran para tal efecto.
2.     Proyectar y/o revisar los documentos que se requieran en el marco de las modificaciones que permitan la adecuada ejecución de los convenios de alianzas o del área que se suscriben con los distintos terceros.
3.     Proyectar y/o revisar las actas de liquidación de los convenios de alianzas o del área que se suscriben con los distintos terceros, de acuerdo con los tiempos y lineamientos fijados por las partes, generando las recomendaciones de orden legal para el cierre de los mismos.
4.     Revisar los proyectos de respuestas de peticiones internas y externas, desde el punto de vista jurídico, que le sean requeridos y que guarden relación con las modificaciones, adiciones, prorrogas, liquidaciones o constituciones de convenios de alianzas.
5.     Revisar los convenios y/o contratos y demás documentos concernientes con la ejecución, reglamentos operativos y demás documentos que garanticen la correcta ejecución de los convenios o acuerdos.
6.     Asistir y/o participar en los comités, mesas de trabajo y demás reuniones que se requieran para el cabal cumplimiento del objeto contractual.
7.     Elaborar y presentar los informes relacionadas con la ejecución del contrato.
8.     Cumplir con los indicadores establecidos.
9.  Las demás obligaciones que se requieran para el cumplimiento a cabalidad del objeto contractual y que sean inherentes a la naturaleza del contrato.
</t>
  </si>
  <si>
    <t>20243030001650-I Id: 41566898</t>
  </si>
  <si>
    <t>4.107</t>
  </si>
  <si>
    <t>2024-0480</t>
  </si>
  <si>
    <t>CD-479-2024</t>
  </si>
  <si>
    <t xml:space="preserve">FLOR ALEXANDRA PARRALES HERNANDEZ </t>
  </si>
  <si>
    <t>PRESTAR LOS SERVICIOS PROFESIONALES PARA EL DESARROLLO, SEGUIMIENTO, CONTROL Y MEJORA CONTINUA DE ESTRATEGIAS GRÁFICAS PARA LA PROMOCIÓN DEL PORTAFOLIO DE PRODUCTOS DE ICETEX Y PROGRAMAS O PROYECTOS DE LA OFICINA COMERCIAL Y DE MERCADEO</t>
  </si>
  <si>
    <t>CDEF-0076-2024</t>
  </si>
  <si>
    <t xml:space="preserve">1.	Elaborar y entregar plan de trabajo y cronograma de actividades para aprobación de la supervisión del contrato, de conformidad con las estipulaciones contractuales. 
2.	Proponer e implementar conceptos creativos, diseñar piezas gráficas y animaciones esenciales para la promoción y difusión del portafolio de productos del ICETEX, ajustándolos a las distintas campañas publicitarias y a los diversos canales de distribución de contenidos, según el plan comercial y de mercadeo establecido. 
3.	Colaborar en el diseño, ejecución y evaluación de propuestas visuales para las campañas que integran el portafolio de productos del ICETEX. 
4.	Proponer e implementar modelados en 3D innovadores y atractivos para espacios de ferias y eventos del ICETEX, destacando la identidad de la marca y asegurando una experiencia coherente y impactante durante su participación. 
5.	Encargarse del diseño gráfico de piezas, espacios o animaciones que demanden un nivel de complejidad superior, diseños especiales, propuestas de espacios, entre otros. 
6.	Participar operativamente en el diseño gráfico de piezas requeridas en el ámbito de la promoción del portafolio de productos del ICETEX. 
7.	Apoyar la producción audiovisual y fotográfica de la Entidad, así como el montaje y ejecución de los eventos para promover y difundir sus productos y servicios. 
8.	Realizar las labores de acompañamiento en reuniones o comités, de conformidad con las necesidades de la Entidad y la designación de supervisor del contrato. 
9.	Las demás que sean inherentes para el logro del objeto contratado, asignadas por el supervisor del contrato. Indicador de gestión 
</t>
  </si>
  <si>
    <t>20243030001666-I Id: 4157013</t>
  </si>
  <si>
    <t>4.108</t>
  </si>
  <si>
    <t>2024-0481</t>
  </si>
  <si>
    <t>CD-480-2024</t>
  </si>
  <si>
    <t>LUIS FELIPE HERNANDEZ</t>
  </si>
  <si>
    <t>PRESTAR LOS SERVICIOS PROFESIONALES PARA APOYAR EL DESARROLLO DE PRODUCCIONES AUDIOVISUALES O FOTOGRÁFICAS PARA LA PROMOCIÓN Y DIVULGACIÓN DEL PORTAFOLIO DE PRODUCTOS DE ICETEX Y PROGRAMAS O PROYECTOS DE LA OFICINA COMERCIAL Y DE MERCADEO</t>
  </si>
  <si>
    <t>CDEF-0077-2024</t>
  </si>
  <si>
    <t xml:space="preserve">1.	Elaborar y entregar plan de trabajo y cronograma de actividades para aprobación de la supervisión del contrato, de conformidad con las estipulaciones contractuales.
2.	Apoyar la construcción del plan de contenidos fotográficos y audiovisuales, articulado con el plan de promoción y divulgación de la Oficina Comercial y Mercadeo.
3.	Asesorar y apoyar las labores de pre-produción, producción y post producción a contenidos fotográficos y audiovisuales, de acuerdo con las necesidades del ICETEX y solicitadas por la supervisión del contrato o por quien éste designe.
4.	Proponer el diseño de piezas comunicativas gráficas necesarias para la promoción y divulgación del portafolio de productos y servicios del ICETEX cuándo se requiera.
5.	Suministrar los equipos audiovisuales, multimediales y fotográficos, así como de los equipos y softwares legales necesarios para la edición del producto; que permitan el cumplimiento y desarrollo del presente objeto contractual, en condiciones eficientes y oportunas.
6.	Realizar cubrimientos y acompañamientos a nivel fotográfico a actividades o eventos comerciales, en el marco de la ejecución de las estrategias comerciales y de mercadeo de la Oficina Comercial y de Mercadeo.
7.	Apoyar la actualización constante del banco de productos fotográficos y audiovisuales, según los lineamientos de la supervisión del contrato o por quien designe.
8.	Desplazarse a cualquier región del país, o disponer del personal idóneo en las regiones en caso de no poderse desplazar, en el marco del objeto contractual, según los cronogramas y planes de trabajo para la correcta realización de los productos o servicios solicitados por ICETEX, previa autorización del supervisor del contrato.
9.	Apoyar la preproducción, producción y post producción de material audiovisual, cuando sea requerido por la supervisión del contrato.
10.	Realizar las labores de acompañamiento en reuniones o comités, de conformidad con las necesidades de la entidad y la designación de supervisor del contrato.
11.	Las demás que sean inherentes para el logro del objeto contratado, asignadas por el supervisor del contrato.
</t>
  </si>
  <si>
    <t>20243030001644-I Id: 4156802</t>
  </si>
  <si>
    <t>10.60</t>
  </si>
  <si>
    <t>2024-0482</t>
  </si>
  <si>
    <t>CD-481-2024</t>
  </si>
  <si>
    <t>SANDRA LILIANA JEREZ ESPITIA</t>
  </si>
  <si>
    <t>CDEF-0415-2024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</si>
  <si>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</si>
  <si>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20243030001665-I Id: 4156987</t>
  </si>
  <si>
    <t>10.65</t>
  </si>
  <si>
    <t>2024-0483</t>
  </si>
  <si>
    <t>CD-482-2024</t>
  </si>
  <si>
    <t>DIANA PAOLA BELTRAN</t>
  </si>
  <si>
    <t>CDEF-0419-2024</t>
  </si>
  <si>
    <t>ZULLY ANGELICA ARDILA MUÑOZ</t>
  </si>
  <si>
    <t>CESIÓN DEL CONTRATO DE PRESTACIÓN DE SERVICIOS No. 2024-0483 SUSCRITO ENTRE EL INSTITUTO COLOMBIANO DE CRÉDITO EDUCATIVO Y ESTUDIOS TÉCNICOS EN EL EXTERIOR “MARIANO OSPINA PÉREZ” – ICETEX Y DIANA PAOLA BELTRANA ZULLY ANGÉLICA ARDILA MUÑOZ</t>
  </si>
  <si>
    <t>20243030001635-I Id: 4156669</t>
  </si>
  <si>
    <t>10.25</t>
  </si>
  <si>
    <t>2024-0484</t>
  </si>
  <si>
    <t>CD-483-2024</t>
  </si>
  <si>
    <t>RUBIELA DEL CARMEN GAMBOA BASTIDAS</t>
  </si>
  <si>
    <t>CDEF-0416-2024</t>
  </si>
  <si>
    <t xml:space="preserve">
1. Proyectar y/o revisar los oficios de respuesta internas y externas que le sean asignadas y guarden relación con el objeto contractual. 
2. Proyectar las certificaciones requeridas por la Oficina Jurídica del ICETEX relacionadas con los temas a cargo de la Vicepresidencia de Fondos en Administración. 
3. Suministrar el insumo para la elaboración de informes que le sean requeridos y guarden relación con el objeto contractual. 
4. Actualizar la información que reposa en las bases de datos que soporta la gestión de la atención de PQRSD, certificaciones derivadas de acciones judiciales, OPAS y demás trámites relacionados a cargo de la Vicepresidencia de Fondos en Administración. 
5. Efectuar seguimiento para el cumplimiento de las decisiones derivadas de las acciones judiciales que deban ser atendidas por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</si>
  <si>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NATALIA DEL PILAR MURILLO MARIN</t>
  </si>
  <si>
    <t>2.12</t>
  </si>
  <si>
    <t>2024-0485</t>
  </si>
  <si>
    <t>CD-484-2024</t>
  </si>
  <si>
    <t>DIEGO FERNANDO VARGAS PIÑEROS</t>
  </si>
  <si>
    <t>PRESTAR LOS SERVICIOS PROFESIONALES PARA EJECUTAR LAS ACTIVIDADES RELACIONADAS CON LA ELABORACIÓN, ACTUALIZACIÓN, MEJORA Y OPTIMIZACIÓN DE LOS DOCUMENTOS QUE HACEN PARTE DEL SISTEMA DE GESTIÓN DE LA CALIDAD DEL ICETEX.</t>
  </si>
  <si>
    <t>CDEF-0436-2024</t>
  </si>
  <si>
    <t xml:space="preserve">1.	Apoyar a los procesos de la entidad, en el levantamiento de información necesaria para la creación o actualización de los documentos que le sean asignadas a través del aplicativo que utiliza la entidad y realizar seguimiento respectivo de las revisiones y aprobaciones que se generen en el mismo, para su posterior publicación. 
2.	Orientar a los procesos sobre las mejoras o controles que se pueden implementar en los documentos que forman parte del Sistema de Gestión de Calidad. 
3.	Generar las copias controladas de las caracterizaciones de procesos y procedimientos actualizados durante el mes y solicitar la publicación en el portal web de la entidad y en los medios de comunicación internos de la entidad. 
4.	Apoyar a las áreas en el levantamiento de información y documentación de las actividades a automatizar.
5.	Presentar el informe de avance de las solicitudes y actividades asignadas, donde incluya las alertas sobre las solicitudes que no han presentado gestión para poder tomar las acciones oportunamente con el Líder de Proceso. 
6.	Apoyar en la elaboración de presentaciones o videos para capacitaciones, inducción y reinducción, academias ICETEX. 
7.	Las demás que sean indicadas por la supervisión del contrato y tengan relación con el objeto contractual.
</t>
  </si>
  <si>
    <t>20243030001698-I Id: 4157225</t>
  </si>
  <si>
    <t>4.170</t>
  </si>
  <si>
    <t>2024-0486</t>
  </si>
  <si>
    <t>CD-485-2024</t>
  </si>
  <si>
    <t>CRISTIAN CAMILO GUTIERREZ LAGUNA</t>
  </si>
  <si>
    <t>APOYAR LA GESTIÓN ADMINISTRATIVA, COMERCIAL Y OPERATIVA DE LA TERRITORIAL NORTE EN ARTICULACIÓN CON LA OFICINA COMERCIAL Y DE MERCADEO Y, LAS DEMÁS DEPENDENCIAS DEL NIVEL CENTRAL</t>
  </si>
  <si>
    <t>CDEF-0322-2024</t>
  </si>
  <si>
    <t>OTROS SERVICIOS OPERATIVOS - OCM</t>
  </si>
  <si>
    <t>IG312001020240100</t>
  </si>
  <si>
    <t xml:space="preserve">1.	Apoyar las actividades administrativas a cargo de la territorial que propenden con garantizar la debida operación y servicio de las oficinas en su proceso de atención personalizada a los usuarios de la entidad, entre las que se cuenta:
a.	Realizar seguimiento a las actividades desarrolladas por parte del personal de servicios generales y vigilancia, asignados a las oficinas de la territorial.
b.	Apoyar en la gestión de arreglos locativos requeridos para la óptima operación de las oficinas de la territorial.
c.	Apoyar el proceso de pago de servicios públicos, arrendamientos, administraciones y demás rubros correspondientes a la caja menor a cargo de la territorial.
d.	Apoyar la ejecución del proceso de control, manejo y actualización de inventarios de las oficinas a cargo de la territorial.
e.	Apoyar en la solución oportuna ante las diferentes entidades proveedoras de servicios de las oficinas (servicios públicos, operadores tecnológicos, entre otros) ante las fallas y /o situaciones que afecten la debida operación de la oficina y la continuidad en la atención a los usuarios.    
f.	Apoyar en la preparación y presentar de los informes requeridos por las diferentes áreas de la entidad a nivel central. 
g.	Gestionar la solución oportuna ante las diferentes entidades proveedoras de servicios de las oficinas (servicios públicos, operadores tecnológicos, entre otros) ante las fallas y /o situaciones que afecten la debida operación de la oficina y la continuidad en la atención a los usuarios.
h.	Atender las visitas de auditorías de control interno y presentación de informes requeridos a la territorial por las diferentes áreas de la entidad.
i.	Apoyar en la preparación y presentar de los informes requeridos por las diferentes áreas de la entidad a nivel central. 
2.	Apoyar y ejecutar desde el punto de vista técnico, las actividades propias de los procedimientos precontractuales, contractuales y poscontractuales requeridos en el marco de las contrataciones de bienes y servicios y/o convenios con entidades aliadas que se desarrollen en la territorial Suroccidente, y que sean asignados por la supervisión del contrato. 
3.	Apoyar, cuando sea requerido, la ejecución de las actividades comerciales, de servicio al cliente y/o propias del embudo de conversión comercial a cargo de la territorial en forma personalizada, o por contacto telefónico y/o virtual, entre otros.
4.	Consolidar, actualizar y registrar la información, envío de documentación soporte y presentación de informes de las gestiones administrativas y de la actividad comercial, requeridas por las diferentes dependencias del nivel central.
5.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6.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7.	Brindar apoyo a los contratistas y/o al personal de operadores logísticos de la territorial respecto a los diferentes procesos administrativos a su cargo y que son requeridos por las diferentes dependencias a nivel central.
8.	Realizar el proceso de gestión documental y envío al archivo único de la entidad de las actividades delegadas a su cargo.
9.	Colaborar con la ejecución de los distintos procedimientos administrativos a cargo de la territorial que hacen parte del Sistema de Gestión de calidad de la entidad.
10.	Desplazarse a las diferentes ciudades del país, en caso de ser necesario para la debida ejecución del contrato, previa coordinación con el supervisor.
11.	Las demás que sean inherentes para el logro del objeto contratado, asignadas por el supervisor del contrato.
</t>
  </si>
  <si>
    <t>20243030001614-I Id: 4156379</t>
  </si>
  <si>
    <t>2024-0487</t>
  </si>
  <si>
    <t>20243030001696-I Id: 4157216</t>
  </si>
  <si>
    <t>13.23</t>
  </si>
  <si>
    <t>2024-0488</t>
  </si>
  <si>
    <t>CD-487-2024</t>
  </si>
  <si>
    <t>901455820-4</t>
  </si>
  <si>
    <t>IVÁN DARÍO GÓMEZ LEE S.A.S</t>
  </si>
  <si>
    <t>PRESTACIÓN DE SERVICIOS DE ASESORÍA ESPECIALIZADA EN MATERIA JURÍDICA, CONTRACTUAL, ASUNTOS DE ESPECIAL COMPLEJIDAD Y DERECHO CORPORATIVO, ASÍ COMO EN LA ACTUALIZACIÓN E IMPLEMENTACIÓN DE LOS MISMOS DE CONFORMIDAD CON LA MISIONALIDAD DE LA ENTIDAD Y LA NORMATIVIDAD VIGENTE</t>
  </si>
  <si>
    <t>CDEF-0588-2024</t>
  </si>
  <si>
    <t>20243030001750-I Id: 4157975</t>
  </si>
  <si>
    <t>13.20</t>
  </si>
  <si>
    <t>2024-0489</t>
  </si>
  <si>
    <t>CD-488-2024</t>
  </si>
  <si>
    <t>JULIÁN FERNANDO TABARES SILVA</t>
  </si>
  <si>
    <t xml:space="preserve">PRESTAR LOS SERVICIOS PROFESIONALES EN LA SECRETARIA GENERAL EN LOS ASUNTOS DE CARÁCTER ECONÓMICO DE LA DEPENDENCIA. </t>
  </si>
  <si>
    <t>CDEF-0319-2024</t>
  </si>
  <si>
    <t xml:space="preserve">OBLIGACIONES ESPECÍFICAS DEL CONTRATISTA	1.	Elaborar los estudios de sector que le sean asignados, así como los distintos componentes necesarios para complementar los estudios previos de los procesos que le sean asignados.
2.	Organizar la documentación que soporta cada uno de los certámenes precontractuales de carácter financiero para ser entregados en custodia. 
3.	Apoyar y adelantar los trámites que le sean asignados, en el marco del proyecto de fortalecimiento organizacional y la implementación de la política de compras públicas y de contratación. 
4.	Apoyar en la elaboración de Ordenes de pago  y solicitud de Certificados de disponibilidad Presupuestal, cumplimientos financieros y demás documentos de orden financiero, económico y/o presupuestal que sean requeridos para dar continuidad con los procesos de gestión financiera para los procesos de Contratación por parte de la Secretaría General.
5.	Acatar las indicaciones y recomendaciones de quien lidere el grupo económico de la Secretaría General, atendiendo la celeridad y oportunidad en los procesos que sean solicitados sus servicios. 
6.	Realizar el seguimiento presupuestal mensual de las áreas que le hayan sido asignadas.
7.	Realizar el seguimiento a la ejecución presupuestal de gastos de las áreas que le sean asignadas, así como preparar los informes de ejecución con destino a la Oficina de Planeación, Vicepresidencia Financiera y Oficina de Control Interno.
8.	Participar en la revisión de la ejecución financiera de los contratos que le sean asignados.
9.	Apoyar los procesos de liquidación de los contratos de inversión que le sean asignados de vigencias anteriores.
10.	Asistir a las reuniones a las que sea citado o designado por parte del  Secretario General, Supervisor del Contrato o quien lidere el equipo económico del Despacho.
11.	Cumplir con los entregables e indicadores de gestión establecidos 
12.	Elaborar y presentar los informes que requieran los entes de control y demás autoridades, además de dar trámite a los requerimientos que le sean asignados por su competencia.
13.	Apoyar en la revisión de los documentos de entrega e informes de la Secretaria General saliente. 
14.	Las demás que se requieran de acuerdo con la naturaleza del objeto y las obligaciones del contrato.
</t>
  </si>
  <si>
    <t>20243030001745-I Id: 4157881</t>
  </si>
  <si>
    <t>12.45</t>
  </si>
  <si>
    <t>2024-0490</t>
  </si>
  <si>
    <t>CD-489-2024</t>
  </si>
  <si>
    <t>MILTON EMILIO MARTINEZ MORA</t>
  </si>
  <si>
    <t>PRESTAR LOS SERVICIOS PROFESIONALES PARA LA IMPLEMENTACIÓN DE INDICADORES, HERRAMIENTAS Y PROCEDIMIENTOS QUE PROPENDAN POR LA CONSOLIDACIÓN Y ANÁLISIS DE LA INFORMACIÓN FINANCIERA Y TRIBUTARIA, PARA EL OPORTUNO CUMPLIMIENTO DE LAS OBLIGACIONES DE LA ENTIDAD, A PARTIR DE LA OPTIMIZACIÓN DE LAS FUNCIONALIDADES DEL APLICATIVO FINANCIERO DISPUESTO PARA EL EFECTO, EN EL MARCO DE LA MEJORA CONTINUA DE LOS PROCESOS CONTABLES Y FISCALES DEL INSTITUTO.</t>
  </si>
  <si>
    <t>CDEF-0349-2024</t>
  </si>
  <si>
    <t>IG-312001020400012</t>
  </si>
  <si>
    <t> </t>
  </si>
  <si>
    <t>FREDY CÉSPEDES VILLA</t>
  </si>
  <si>
    <t>MARINA AZUCENA MEDINA SANDOVAL</t>
  </si>
  <si>
    <t xml:space="preserve">
1. Realizar la consulta y gestión de actualización de los aplicativos internos, de la normativa tributaria vigente de nivel nacional y territorial para garantizar el adecuado cumplimiento de las obligaciones tributarias a cargo de la entidad
2. Apoyar de forma oportuna la preparación, elaboración y presentación de las declaraciones tributarias nacionales, departamentales y municipales que le sean requeridas como y realizar gestión del proceso hasta el pago.
3. Apoyar la realización y presentación del seguimiento y control de la información exógena en medios magnéticos a nivel Municipal, que le sea asignada, cumpliendo los estándares técnicos indicados por las entidades para el año fiscal aplicable a estas entregas y propender por mantener consultas permanentes que anticipen la oportuna gestión en caso de rechazos o alerta de inconsistencia.
4. Verificar en las cuentas presentadas por los contratistas el cálculo de impuestos y adecuado registro contable para garantizar una revisión integral y adecuada con el fin de obtener las cifras exactas para el pago y para la gestión de liquidación de impuestos; igualmente en las demás transacciones asignadas y que hacen parte del proceso de causación para el cierre contable mensual que realiza la entidad, así como verificación de saldos y conciliación de cuentas.
5. Apoyar las actividades de archivo relacionados con los documentos de causación y declaraciones tramitadas en los aplicativos dispuestos, con el alcance y los tiempos definidos en cada caso y ser fuente de apoyo en los parámetros de terceros cuando le sea requerido.
6. Realizar tableros de control con los indicadores de gestión para medir y dar cumplimiento a las obligaciones tributarias del Instituto.
7. Realizar el proceso de reconocimiento contable de las obligaciones a cargo del ICETEX que le sean asignadas relativas a las cuentas por pagar generadas en la operación de la Entidad, siguiendo el ciclo de los procesos establecidos hasta el archivo, relacionados con órdenes de fondos en Administración y de recursos propios de Icetex.
8. Apoyar en el seguimiento y cumplimiento de los indicadores establecidos para el área y los procesos a cargo, con el fin de generar acciones de mejora en la gestión y operación financiera del ICETEX
9. Realizar el seguimiento, actualización de avances y reporte de las acciones contenidas en los planes de mejoramiento, que permitan el cierre de los hallazgos identificados dentro de los plazos que se indiquen para optimizar las mejoras del área y/o de la entidad como parte del flujo continuo de los procesos.
10. Cumplir con los indicadores de gestión establecidos en la Dirección de Contabilidad.
11. Las demás obligaciones que sean asignadas por el supervisor, que estén relacionadas con el objeto del contrato.</t>
  </si>
  <si>
    <t>VIGENTE</t>
  </si>
  <si>
    <t>20243030001634-I Id: 4156661</t>
  </si>
  <si>
    <t>12.46</t>
  </si>
  <si>
    <t>2024-0491</t>
  </si>
  <si>
    <t>CD-490-2024</t>
  </si>
  <si>
    <t>SANDRA PATRICIA SUANCHA QUIROGA</t>
  </si>
  <si>
    <t>CDEF-0350-2024</t>
  </si>
  <si>
    <t xml:space="preserve">
1.	Apoyar en la estabilización de los aplicativos que soportan la gestión contable y tributaria de la entidad, según la normativa vigente y aplicable de nivel nacional y territorial para garantizar el adecuado cumplimiento de las obligaciones tributarias a cargo de la entidad. 
2.	Estructurar la respuesta a requerimientos de entes externos relacionados con información tributaria y/o los requerimientos de áreas internas que se relacionen con el proceso de órdenes de pago. 
3.	Realizar de forma oportuna la preparación, elaboración y presentación de las declaraciones tributarias municipales, así como, realizar seguimiento hasta el pago. 
4.	Adelantar el proceso y gestión de actividades asociadas a la recepción de cuentas, a través de la optimización del proceso a partir del análisis y verificación del cálculo de impuestos y adecuado registro contable para garantizar una revisión integral y adecuada con el fin de obtener las cifras exactas para el pago y para la gestión de liquidación de impuestos. 
5.	Apoyar en el monitoreo e implementación de las actividades que hacen parte del proceso de causación para el cierre contable mensual que realiza la entidad, verificación de saldos y conciliación de cuentas que permitan obtener información fidedigna para la elaboración de los Estados Financieros de la entidad. 
6.	Registrar en el aplicativo financiero y demás herramientas de apoyo las facturas electrónicas, relativas a las cuentas por pagar generadas en la operación de la Entidad, siguiendo el ciclo de los procesos establecidos hasta el archivo y las mejores prácticas de banca abierta y transparente. 
7.	Actualizar los avances y/o reportes de las acciones contenidas en los planes de mejoramiento, para permitir el cierre de los hallazgos identificados dentro de los plazos que se indiquen para optimizar las mejoras del área y/o de la entidad como parte del flujo continuo de los procesos. 
8.	Realizar el seguimiento y cumplimiento de los indicadores establecidos para el área y los procesos a cargo, con el fin de generar acciones de mejora en la gestión y operación financiera del ICETEX. 
9.	Cumplir con los indicadores de gestión establecidos de manera particular y las que le corresponden como parte de la Dirección de Contabilidad. 
10.	Las demás obligaciones que sean asignadas por el supervisor, que estén relacionadas con el objeto del contrato. 
</t>
  </si>
  <si>
    <t>20243030001633-I Id: 4156653</t>
  </si>
  <si>
    <t>12.40</t>
  </si>
  <si>
    <t>2024-0492</t>
  </si>
  <si>
    <t>CD-491-2024</t>
  </si>
  <si>
    <t xml:space="preserve">ASTRID VANESSA TINJACÁ MARTÍNEZ </t>
  </si>
  <si>
    <t>PRESTAR LOS SERVICIOS PROFESIONALES JURÍDICOS ESPECIALIZADOS PARA APOYAR EN LA ESTRUCTURACIÓN, GESTIÓN Y SEGUIMIENTO DE LOS PROCESOS, Y PROCEDIMIENTOS LEGALES RELACIONADOS CON ASUNTOS TRIBUTARIOS O FISCALES APLICABLES AL INSTITUTO EN EL MARCO DEL PROCESO DE MODERNIZACIÓN DE LAS FUNCIONES FINANCIERAS Y DIVERSIFICACIÓN DE FUENTES DE FONDEO</t>
  </si>
  <si>
    <t>CDEF-0344-2024</t>
  </si>
  <si>
    <t xml:space="preserve">
1. Realizar asesorías al ICETEX en los aspectos tributarios que requiera en atención a solicitudes o consultas de las áreas internas, autoridades fiscales del nivel nacional y territorial, así como de entes de vigilancia y control que se gestionen ante la Vicepresidencia Financiera, incluye la emisión de conceptos verbales y escritos.
2. Apoyar la actualización permanente del equipo humano asignado por la Vicepresidencia Financiera en materia tributaria, mediante encuentros presenciales, medios virtuales y otros que faciliten la oportuna intervención, para garantizar el manejo y análisis adecuado
de las transacciones que se registran en la Dirección de Contabilidad.
3. Realizar la revisión de la declaración de ingresos y patrimonio, para realizar observaciones de valor agregado que optimicen la adecuada aplicación e interpretación de la información que se consigna ante la Dirección de Impuestos y la coherencia de cruce con la información
exógena.
4. Realizar la revisión y conceptos sobre situaciones particulares, tales como correcciones y/o sanciones de impuestos de industria y comercio, retenciones a título de renta, IVA, ICA, estampillas, y demás declaraciones o impuestos que así lo requieran, con alcance solicitudes de concepto ante las entidades competentes de nivel superior que lo requieran.
5. Realizar el acompañamiento al a las respuestas a los actos administrativos que emitan autoridades tributarias en vía gubernativa, haciendo seguimiento a que los mismos se reposan en los términos de Ley.
6. Hacer acompañamiento en las reuniones de seguimiento y asesoría tributaria programadas por la Vicepresidencia Financiara, como soporte para cubrir los aspectos que requieran profundidad en el tema fiscal.
7. Realizar el acompañamiento de la planeación tributaria de la Vicepresidencia Financiera, correspondiente a la vigencia 2024.
8. Realizar el seguimiento y cumplimiento de los indicadores establecidos para el área y los procesos a cargo, con el fin de generar acciones de mejora en la gestión y operación
financiera del ICETEX
9. Cumplir con el objeto del contrato, con plena autonomía técnica y administrativa bajo su propia responsabilidad.
10. Las demás obligaciones que se requieran para el cumplimiento a cabalidad del objeto contractual y que sean inherentes a la naturaleza del contrato y cumplimiento con los indicadores de gestión establecidos.
11. Cumplir con los indicadores de gestión.
</t>
  </si>
  <si>
    <t>20243030001636-I Id: 4156688</t>
  </si>
  <si>
    <t>11.50</t>
  </si>
  <si>
    <t>2024-0493</t>
  </si>
  <si>
    <t>CD-492-2024</t>
  </si>
  <si>
    <t>JUDITH EUGENIA ARANGO ARENAS</t>
  </si>
  <si>
    <t>PRESTACIÓN DE SERVICIOS PROFESIONALES ESPECIALIZADOS PARA ORIENTAR LA PLANEACIÓN, DEFINICIÓN Y PREPARACIÓN DE INSTRUMENTOS DE GESTIÓN MEDIANTE LA AUTOMATIZACIÓN DE PROCESOS PARA EL ICETEX.</t>
  </si>
  <si>
    <t>CDEF-0589-2024</t>
  </si>
  <si>
    <t xml:space="preserve">1.	Ejecutar la creación de los flujos del trabajo de automatización, análisis de requerimientos técnicos y de infraestructura en la implementación de soluciones de automatización al interior de la entidad.
2.	Preparar la información técnica de los procesos contractuales de bienes o servicios que requiera el área, así como realizar control y seguimiento de los mismos, de acuerdo con el manual de contratación de la Entidad.
3.	Crear las definiciones y mapas de proceso utilizados para la automatización.
4.	Construir historias de usuario y épicas asociadas a los procesos de automatización bajo esquemas agiles.
5.	Gestionar la evaluación, estandarización de procesos y unificar los procedimientos de la entidad para facilitar la toma de decisión de los procesos candidatos a automatización.
6.	Construir y aplicar un Modelo de Evaluación de procesos por niveles de madurez bajo los lineamientos de la automatización o tecnologías emergentes.
7.	Acompañar la supervisión de los contratos que soportan la automatización de procesos de la Entidad.
8.	Gestionar la atención de los reportes de error y/o solicitudes de servicio presentadas por los funcionarios del ICETEX sobre la automatización de procesos e integración de los sistemas de información. 
9.	Documentar los procesos que requieran realizar requerimientos sobre los ambientes de producción o preproducción de los sistemas de información del ICETEX relacionados con la automatización de procesos
</t>
  </si>
  <si>
    <t>20243030001702-I Id: 4157365</t>
  </si>
  <si>
    <t>11.82</t>
  </si>
  <si>
    <t>2024-0494</t>
  </si>
  <si>
    <t>CD-493-2024</t>
  </si>
  <si>
    <t>JEISSON FERNEY DELGADO CUENTAS</t>
  </si>
  <si>
    <t>CDEF-0517-2024</t>
  </si>
  <si>
    <t xml:space="preserve">1. Diseñar, desarrollar e implementar nuevas soluciones informáticas para soportar y/o mejorar la operación de los procesos misionales del ICETEX.
2.Implementar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aprobación en los órganos de gobierno de TI indicados por la DIRECCIÓN DE TECNOLOGÍA.
6.Tramitar los ambientes de contingencia que permitan dar continuidad a las actividades en los dominios de aplicaciones e información.
7.Tramitar el soporte requerido con los proveedores tecnológicos para atender los requerimientos solicitados por las áreas misionales del ICETEX.
8.Garantizar la aplicación de la metodología "agile" definida por el ICETEX en el desarrollo de los Sprint.
</t>
  </si>
  <si>
    <t>20243030001725-I Id: 4157594</t>
  </si>
  <si>
    <t>4.20</t>
  </si>
  <si>
    <t>2024-0495</t>
  </si>
  <si>
    <t>CD-494-2024</t>
  </si>
  <si>
    <t xml:space="preserve">BRALLAN JULIAN CALDERON VACA </t>
  </si>
  <si>
    <t>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t>
  </si>
  <si>
    <t>CDEF-0669-2024</t>
  </si>
  <si>
    <t xml:space="preserve"> 
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la correcta gestión de los procesos para la planificación, diseño y toma de decisiones encaminadas a la mejora continua y la correcta atención de los grupos de interés del ICETEX de forma rápida, eficiente y optimizando KPI´S operativos.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</si>
  <si>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20243030001740-I Id: 4157802</t>
  </si>
  <si>
    <t>4.22</t>
  </si>
  <si>
    <t>2024-0496</t>
  </si>
  <si>
    <t>CD-495-2024</t>
  </si>
  <si>
    <t xml:space="preserve">
JOHN ALBEIRO GIRALDO SABOGAL 
</t>
  </si>
  <si>
    <t>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t>
  </si>
  <si>
    <t>CDEF-0670-2024</t>
  </si>
  <si>
    <t>20243030001741-I Id: 4157818</t>
  </si>
  <si>
    <t>11.83</t>
  </si>
  <si>
    <t>2024-0497</t>
  </si>
  <si>
    <t>CD-496-2024</t>
  </si>
  <si>
    <t>JENNY ALEXANDRA MEZA QUIROGA</t>
  </si>
  <si>
    <t>PRESTACIÓN DE SERVICIOS PROFESIONALES ESPECIALIZADOS PARA EL ANÁLISIS, MODELAMIENTO Y EJECUCIÓN DE PRUEBAS FUNCIONALES Y NO FUNCIONALES PARA EL ASEGURAMIENTO DE CALIDAD DE SOFTWARE DE LAS SOLUCIONES INFORMÁTICAS REQUERIDAS EN EL ICETEX.</t>
  </si>
  <si>
    <t>CDEF-0594-2024</t>
  </si>
  <si>
    <t xml:space="preserve">1.	Estimar, diseñar y validar casos de pruebas requeridos para asegurar la calidad de nuevas soluciones y/o nuevos desarrollos de Software.
2.	Realizar la ejecución de las pruebas de aseguramiento de calidad de las iniciativas de desarrollo de nuevas soluciones y/o mantenimientos de software asignados.
3.	Controlar la calidad de los entregables de los sistemas de información asignados y la oportunidad de mejora de los mismos.
4.	Documentar las actividades ejecutadas de aseguramiento de calidad en la herramienta solicitada por la Dirección de Tecnología.
5.	Validar la aplicación de los procedimientos definidos por la dirección de tecnología para el desarrollo y/o mantenimiento de software
6.	Garantizar la aplicación de la metodología de desarrollo definida por el Icetex
7.	Respaldar la realización de pruebas de carga y stress para los desarrollos ejecutados y asignados
8.	Respaldar la ejecución de pruebas automatizadas para los desarrollos ejecutados y asignados.
</t>
  </si>
  <si>
    <t>20243030001707-I Id: 4157430</t>
  </si>
  <si>
    <t>11.62</t>
  </si>
  <si>
    <t>2024-0498</t>
  </si>
  <si>
    <t>CD-497-2024</t>
  </si>
  <si>
    <t>ANDRES FRANCISCO CARRILLO ALVARADO</t>
  </si>
  <si>
    <t>PRESTACIÓN DE SERVICIOS PROFESIONALES ESPECIALIZADOS EN INGENIERÍA PARA EL TRÁMITE DE SERVICIOS DE TI ORIENTADOS AL ANÁLISIS Y GESTIÓN DE REQUERIMIENTOS FUNCIONALES Y NO FUNCIONALES A CARGO DEL ICETEX</t>
  </si>
  <si>
    <t>CDEF-0590-2024</t>
  </si>
  <si>
    <t xml:space="preserve">1.	Apoyar en los comités o reuniones relacionadas con el análisis y levantamiento de nuevas necesidades tecnológicas requeridas por las áreas misionales.  
2.	Realizar el seguimiento y apoyo permanente en cada uno de los requerimientos encontrados con su, análisis, prototipado, verificación y pruebas en los componentes de software para el desarrollo de proyectos; con la firma del contrato se entienden cedidos todos los derechos patrimoniales derivados de ejecución de las actividades establecidas en el presente documento. 
3.	Guiar los análisis de viabilidad, costo, beneficio e impactos de alto nivel de las posibles soluciones tecnológicas alternativas con las que se pueden atender nuevas necesidades de negocio.  
4.	Entregar a corte mensual informes que contengan los avances realizados con la evidencia de los requerimientos entregados, requerimientos debidamente aprobados por los interesados, las actas de reunión de levantamiento de requerimientos, los documentos de historias de usuario, épicas y el porcentaje de cumplimiento de las actividades proyectadas. 
5.	Aplicar las mejores prácticas para el levantamiento y revisión de los requerimientos, cumpliendo con los estándares y lineamientos establecidos en la entidad 
6.	Cumplir con el cronograma establecido para la fase de levantamiento de requerimientos de los componentes entregados a su cargo, como parte de las estrategias para el desarrollo del proyecto de Transformación digital 
7.	Realizar las actualizaciones para los diferentes requerimientos en la herramienta de Azure DevOps o la solicitada por la supervisión del contrato.
8.	Documentar las necesidades tecnológicas con el fin de ser validadas por el equipo de arquitectura.
</t>
  </si>
  <si>
    <t>20243030001705-I Id: 4157408</t>
  </si>
  <si>
    <t>11.98</t>
  </si>
  <si>
    <t>2024-0499</t>
  </si>
  <si>
    <t>CD-498-2024</t>
  </si>
  <si>
    <t>MIGUEL ARTURO CRUZ</t>
  </si>
  <si>
    <t>PRESTACIÓN DE SERVICIOS PROFESIONALES ESPECIALIZADOS EN INGENIERÍA PARA ORIENTAR, MONITOREAR, CONTROLAR Y MEJORAR LA ATENCIÓN DE INCIDENTES, REQUERIMIENTOS Y SOLUCIÓN DE PROBLEMAS ASOCIADOS A SERVICIOS DE TI EN LOS SISTEMAS DE INFORMACIÓN Y OTROS COMPONENTES TECNOLÓGICOS DEL ICETEX</t>
  </si>
  <si>
    <t>CDEF-0595-2024</t>
  </si>
  <si>
    <t xml:space="preserve">1.	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Aplicar los procedimientos definidos por la dirección de tecnología para gestionar el desarrollo y/o mantenimiento de Software,
7.	Tramitar los ambientes de contingencia que permitan dar continuidad a las actividades a cargo,
8.	Tramitar el soporte requerido con los proveedores tecnológicos para atender los requerimientos solicitados por las áreas misionales del ICETEX,
9.	Tramitar el conocimiento generado mediante la documentación de código fuente, procedimientos manuales y actualización de artefactos en los repositorios de arquitectura acordados
10.	Registrar los avances realizados en Azure DevOps o la herramienta solicitada por la supervisión del contrato.
11.	Garantizar la aplicación de la metodología "agile" definida por el Icetex en el desarrollo de los Sprint.
12.	Proveer a sí mismo el equipo de cómputo adecuado para ejecutar las funciones encargadas.
13.	Gestionar y coadyuvar en actividades que contribuyan al control de ejecución de contratos   y que deban ser realizadas por el supervisor del mismo
</t>
  </si>
  <si>
    <t>20243030001754-I Id: 4157983</t>
  </si>
  <si>
    <t>6.11</t>
  </si>
  <si>
    <t>2024-0500</t>
  </si>
  <si>
    <t>CD-499-2024</t>
  </si>
  <si>
    <t>MIGUEL ANDRES BECERRA BUSTOS</t>
  </si>
  <si>
    <t>PRESTAR LOS SERVICIOS PROFESIONALES DE APOYO TRANSVERSAL EN LA GESTIÓN MISIONAL DE OFICINA DE RELACIONES INTERNACIONALES QUE PERMITAN VISIBILIZAR, DIFUNDIR Y POTENCIALIZAR LOS PROGRAMAS DEL PORTAFOLIO INTERNACIONAL E INTERINSTITUCIONAL DEL ICETEX.</t>
  </si>
  <si>
    <t>CDEF-0371-2024</t>
  </si>
  <si>
    <t xml:space="preserve">1. Apoyar el diseño e implementación de la estrategia de visibilización y socialización de los resultados de la Oficina de Relaciones Internacionales para medios de difusión institucionales y en articulación con la Oficina Asesora de Comunicaciones de la entidad.
2. Realizar seguimiento a los resultados del portafolio internacional de la ORI desde un enfoque de visibilizarían y comunicación de resultados con los públicos meta, y en estrecho relacionamiento con los profesionales a cargo de la ejecución de los programas del portafolio internacional y con la retroalimentación del / la Jefe de la Oficina. 
3. Servir como enlace de la ORI ante la Oficina Asesora de Comunicaciones de la entidad.
4. Servir como enlace de la ORI con el área de I3 para los proyectos de innovación transversales de la entidad.
5.Apoyar al equipo de innovación en el diseño, desarrollo, seguimiento, socialización e implementación de las iniciativas y proyectos de innovación dirigidos a la Oficina de Relaciones Internacionales. 
6.Asegurar la participación y entrega de resultados por parte de la Oficina de Relaciones Internacionales frente a las actividades de investigación, ideación, creación o gestión de conocimiento que se requieran desde el equipo de innovación para el desarrollo de iniciativas y proyectos.
7. Apoyar en la redacción y compilación de buenas prácticas técnicas y estratégicas en documentos en el marco de acción de la cooperación internacional.
8. Programar y organizar los eventos y reuniones que le sean requeridos por la Supervisión del contrato.
9. Elaborar y tramitar los documentos necesarios conforme al proceso de comisiones establecido por el ICETEX, cuando se requiera su desplazamiento a nivel nacional o internacional en consonancia con las funciones de la ORI y del ICETEX.
10. Las demás que sean inherentes a la naturaleza del contrato.
</t>
  </si>
  <si>
    <t>20243030001744-I Id: 4157871</t>
  </si>
  <si>
    <t>2024-0501</t>
  </si>
  <si>
    <t>CD-500-2024</t>
  </si>
  <si>
    <t>17 OTRO</t>
  </si>
  <si>
    <t>AGENCE FRANÇAISE DE DÉVELOPPEMENT</t>
  </si>
  <si>
    <t>LAMINE BAGGOURAISSY SOW</t>
  </si>
  <si>
    <t>I2022668</t>
  </si>
  <si>
    <t>LAS PARTES SE OBLIGAN A GUARDAR Y MANTENER LA CONFIDENCIALIDAD DE CUALQUIER INFORMACIÓN QUE SE ENVÍEN, SE PROPORCIONEN O HAGAN DEL CONOCIMIENTO UNA DE LA OTRA, RELACIONADA CON LOS DIVERSOS CONTRATOS, CONVENIOS, ACTOS, MANUALES, PEDIDOS, SOLICITUDES DE COTIZACIÓN, CONVERSACIONES, PLÁTICAS Y NEGOCIACIONES EN GENERAL, QUE SE LLEGUEN A ESTABLECER ENTRE LAS PARTES, A PARTIR DE LA FECHA DEL INICIO DEL PRESENTE ACUERDO DE CONFIDENCIALIDAD, POR LO QUE NO PODRÁN DIVULGAR ESA INFORMACIÓN, REPRODUCIRLA O TRANSMITIRLA POR NINGÚN MEDIO A CUALESQUIERA TERCEROS O AL PÚBLICO EN GENERAL; TAMPOCO PODRÁN RESUMIRLA, MODIFICARLA O ALTERARLA EN FORMA ALGUNA, NI DARLE UN USO COMERCIAL O DISTINTO AL AUTORIZADO, SIN EL PREVIO CONSENTIMIENTO POR ESCRITO DE LA PROPIETARIA DE DICHA INFORMACIÓN.</t>
  </si>
  <si>
    <t>NO TIENE VALOR AL SER UN ACUERDO DE CONFIDENCIALIDAD</t>
  </si>
  <si>
    <t>11.164</t>
  </si>
  <si>
    <t>2024-0502</t>
  </si>
  <si>
    <t>CD-501-2024</t>
  </si>
  <si>
    <t>JOHN ERICK RODRIGUEZ OROZCO</t>
  </si>
  <si>
    <t>CDEF-0648-2024</t>
  </si>
  <si>
    <t xml:space="preserve">1.	Contribuir en el análisis y gestión de giros a beneficiarios, IES, terceros y demás aliados estratégicos de los créditos otorgados o renovados con calidad y oportunidad. 
2.	Realizar el seguimiento a las novedades de giros para su trámite, a través de la generación y preparación de informes que se requieran en el desarrollo de las actividades a su cargo.
3.	Gestionar y/o responder a los requerimientos internos y externos de giros como; PQRS, SIC, TUTELAS, defensor del consumidor financiero, entre otros.
4.	Cumplir con los procesos y procedimientos adoptados por la Entidad en el Sistema de gestión de Calidad.
5.	Acudir a las reuniones citadas para la supervisión del contrato o que estén relacionadas con el objeto de este.
6.	Realizar las demás actividades que le sean asignadas por el supervisor designado para tal fin.
</t>
  </si>
  <si>
    <t>20243030001769-I Id: 4158244</t>
  </si>
  <si>
    <t>11.161</t>
  </si>
  <si>
    <t>2024-0503</t>
  </si>
  <si>
    <t>CD-502-2024</t>
  </si>
  <si>
    <t>MILENA YAZMIN ZAMBRANO PAEZ</t>
  </si>
  <si>
    <t>CDEF-0647-2024</t>
  </si>
  <si>
    <t>20243030001767-I Id: 4158236</t>
  </si>
  <si>
    <t>11.159</t>
  </si>
  <si>
    <t>2024-0504</t>
  </si>
  <si>
    <t>CD-503-2024</t>
  </si>
  <si>
    <t>SANDRA LORENA DIAZ GALVAN</t>
  </si>
  <si>
    <t>CDEF-0646-2024</t>
  </si>
  <si>
    <t>20243030001766-I Id: 4158231</t>
  </si>
  <si>
    <t>11.155</t>
  </si>
  <si>
    <t>2024-0505</t>
  </si>
  <si>
    <t>CD-504-2024</t>
  </si>
  <si>
    <t>JUAN CARLOS PEREZ LOZANO</t>
  </si>
  <si>
    <t>PRESTACIÓN DE SERVICIOS PROFESIONALES PARA LA DEFINICIÓN, PROGRAMACIÓN Y DOCUMENTACIÓN DE LA GESTIÓN DEL CONOCIMIENTO DE LA OPERACIÓN; ASÍ MISMO VALIDACIÓN DE LAS PRUEBAS DE MEJORA DE LAS SOLUCIONES TECNOLÓGICAS DEL ICETEX</t>
  </si>
  <si>
    <t>CDEF-0556-2024</t>
  </si>
  <si>
    <t xml:space="preserve">1.	Capacitar en los procedimientos del Grupo de Operaciones a las áreas que lo requieran. 
2.	Identificar las necesidades de los temas a capacitar, a las áreas que lo requieran.
3.	Generar material de capacitación y toma de asistencia de estas. 
4.	Generar pruebas funcionales y no funcionales de los requerimientos del Grupo de operaciones aplicando los lineamientos de la Dirección de Tecnología.
5.	Proponer y ejecutar actividades de mejora para la gestión del Grupo de Operaciones e identificar las necesidades de estructuración e implementación de cambios en la operación.
6.	Responder a los requerimientos internos y externos en el tiempo establecido de la gestión. 
7.	Acudir a las reuniones citadas para la supervisión del contrato o que estén relacionadas con el objeto del mismo. 
</t>
  </si>
  <si>
    <t>20243030001738-I Id: 4157778</t>
  </si>
  <si>
    <t>11.163</t>
  </si>
  <si>
    <t>2024-0506</t>
  </si>
  <si>
    <t>CD-505-2024</t>
  </si>
  <si>
    <t>JHOAN SEBASTIAN BAUTISTA DIAZ</t>
  </si>
  <si>
    <t>PRESTACIÓN DE SERVICIOS PROFESIONALES PARA LA DEFINICIÓN Y SEGUIMIENTO DE REQUERIMIENTOS DE MEJORA QUE PERMITAN LA OPTIMIZACIÓN Y SISTEMATIZACIÓN DE PROCEDIMIENTOS DEL ICETEX</t>
  </si>
  <si>
    <t>CDEF-0560-2024</t>
  </si>
  <si>
    <t xml:space="preserve">1.	Gestionar la generación de capacidades operativas a través de la extracción y procesamiento de datos que permitan identificar alertas y oportunidades de mejora que fortalezcan la integración de la planeación, ejecución y control para la gestión del Grupo de Operaciones.
2.	Realizar el seguimiento y monitoreo para la visualización de datos que permitan la validación de instrumentos de medición en tiempo real, y la generación de datos núcleo.
3.	Ejecutar lineamientos, estándares y metodologías estadísticas de minería de datos y computacionales para almacenar, procesar y analizar datos que permitan la adecuada toma de decisiones basadas en la evidencia.
4.	Gestionar y articular herramientas in house, que permitan la optimización, sistematización y simplificación de procedimientos manuales, disminuyendo la materialización de riesgos.
5.	Identificación, gestión, seguimiento de requerimientos funcionales y no funcionales para la gestión del Grupo de Operaciones.
6.	Responder a los requerimientos internos y externos del Grupo de Operaciones en el tiempo establecido. 
7.	Acudir a las reuniones citadas para la supervisión del contrato o que estén relacionadas con el objeto de este
</t>
  </si>
  <si>
    <t>20243030001768-I Id: 4158240</t>
  </si>
  <si>
    <t>4.25</t>
  </si>
  <si>
    <t>2024-0507</t>
  </si>
  <si>
    <t>CD-506-2024</t>
  </si>
  <si>
    <t>FERNANDO EMILIO VASQUEZ RAMIREZ</t>
  </si>
  <si>
    <t>CDEF-0671-2024</t>
  </si>
  <si>
    <t xml:space="preserve">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que, de acuerdo con sus funciones, tengan injerencia sobre los procesos desarrollados de manera integral a través de la ingeniería en los procesos y proyectos (rapidez, solución de problemas, control de ejecución presupuestal operativo, prevención del riesgo, disminución de PQRS, optimización de KPI´S operativos y las demás aplicables) a través de la planificación, diseño y toma de decisiones para la mejora continua y la correcta atención de los grupos de interés del ICETEX.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</si>
  <si>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20243030001772-I Id: 4158304</t>
  </si>
  <si>
    <t>4.23</t>
  </si>
  <si>
    <t>2024-0508</t>
  </si>
  <si>
    <t>CD-507-2024</t>
  </si>
  <si>
    <t xml:space="preserve">EDWIN ALEJANDRO NOVOA MORENO </t>
  </si>
  <si>
    <t>CDEF-0672-2024</t>
  </si>
  <si>
    <t xml:space="preserve">
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la correcta gestión de los procesos para la planificación, diseño y toma de decisiones encaminadas a la mejora continua y la correcta atención de los grupos de interés del ICETEX de forma rápida, eficiente y optimizando KPI´S operativos.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</si>
  <si>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20243030001776-I Id: 4158337</t>
  </si>
  <si>
    <t>6.8</t>
  </si>
  <si>
    <t>2024-0509</t>
  </si>
  <si>
    <t>CD-508-2024</t>
  </si>
  <si>
    <t>MARIA JOSÉ LUNA CUENCA</t>
  </si>
  <si>
    <t>PRESTAR SERVICIOS PROFESIONALES ESPECIALIZADOS EN GESTIÓN DE ALIANZAS A LA OFICINA DE RELACIONES INTERNACIONALES, PREPARANDO Y PLANIFICANDO LAS ESTRATEGIAS NECESARIAS PARA LA EJECUCIÓN ADECUADA DEL PORTAFOLIO DE SERVICIOS DE COOPERACIÓN ACADÉMICA INTERNACIONAL E INTERINSTITUCIONAL DEL ICETEX</t>
  </si>
  <si>
    <t>CDEF-0369-2024</t>
  </si>
  <si>
    <t>1.
Prestar el apoyo profesional, técnico y estratégico a los procesos y requerimientos de negociación de fondeo de recursos que adelante la Oficina de Relaciones Internacionales.
2.
Establecer estrategias que permitan realizar el seguimiento a los convenios existentes, identificar y gestionar propuestas para la constitución de nuevos acuerdos estratégicos, becas y oportunidades en el exterior para colombianos.
3.
Apoyar la implementación y ejecución del programa Asistentes de Idiomas en todas las fases de su ejecución.
4.
Apoyar el ejercicio de definición y consolidación de alianzas de cooperación nacional e internacional, asistiendo a las reuniones que se requieran, elaborando los documentos técnicos que correspondan, acompañando su implementación y reportando insumos sobre el avance de la gestión de los procesos de acuerdos estratégicos.
5.
Promover ante los actores de la cooperación internacional el portafolio de programas de la Oficina de Relaciones Internacionales.
6.
Asistir y/o participar en las capacitaciones, talleres y demás reuniones relacionadas con el objeto contractual.
7.
Proyectar para revisión, respuesta a derechos de petición asignados y suministrar los insumos requeridos para trámite de tutelas cuando le sea requerido.
8.
Apoyar la supervisión técnica de contratos, conforme a la solicitud del supervisor.
9.
Elaborar y tramitar los documentos necesarios conforme al proceso de comisiones establecido por el ICETEX, cuando se requiera su desplazamiento a nivel nacional o internacional en consonancia con las funciones de la ORI y del ICETEX.
10.
Las demás asignadas por el supervisor y que tengan relación con el objeto del presente contrato.</t>
  </si>
  <si>
    <t>20243030001755-I Id: 4157988</t>
  </si>
  <si>
    <t>11.76</t>
  </si>
  <si>
    <t>2024-0510</t>
  </si>
  <si>
    <t>CD-509-2024</t>
  </si>
  <si>
    <t>EDISON EDUARDO ORGANISTA MUÑOZ</t>
  </si>
  <si>
    <t>PRESTACIÓN DE SERVICIOS PROFESIONALES EN INGENIERÍA PARA ANÁLISIS Y GESTIÓN DE REQUERIMIENTOS FUNCIONALES Y NO FUNCIONALES Y SOPORTE A LA OPERACIÓN DE SERVICIOS TECNOLÓGICOS DEL ICETEX.</t>
  </si>
  <si>
    <t>CDEF-0593-2024</t>
  </si>
  <si>
    <t>20243030001795-I Id: 4158554</t>
  </si>
  <si>
    <t>1.14</t>
  </si>
  <si>
    <t>2024-0511</t>
  </si>
  <si>
    <t>CD-510-2024</t>
  </si>
  <si>
    <t>DAYRO GONZALEZ VARGAS</t>
  </si>
  <si>
    <t>PRESTAR LOS SERVICIOS PROFESIONALES ESPECIALIZADOS PARA LA GENERACIÓN DE CONTENIDOS GRÁFICOS PARA LA DIVULGACIÓN DE LA GESTIÓN E INFORMACIÓN DE LA ENTIDAD, DE ACUERDO A LOS LINEAMIENTOS DE LA OFICINA ASESORA DE COMUNICACIONES</t>
  </si>
  <si>
    <t>CDEF--2024</t>
  </si>
  <si>
    <t xml:space="preserve">1.	Elaborar conceptos visuales y líneas gráficas para campañas de comunicación interna y externa, según lo requiera la Oficina Asesora de Comunicaciones.
2.	Elaborar piezas gráficas, infografías e ilustraciones que requiera la Oficina Asesora de Comunicaciones para divulgar los servicios de la entidad.
3.	Generar productos gráficos y animaciones multimedia para la divulgación de los servicios de la entidad, según lineamiento de la Oficina Asesora de Comunicaciones.
4.	Proponer, crear y elaborar contenidos, piezas gráficas e infografías de comunicación visual que sean requeridas por la Oficina Asesora de Comunicaciones del ICETEX.
5.	Ceder los derechos patrimoniales de autor y conexos sobre las obras y documentos sometidos a registro, en cumplimiento de lo establecido en ley 23 de 1982 modificada por la ley 1450 de 2011 y 1520 de 2012.
6.	Asistir a las reuniones que le sean asignadas por el supervisor de la Oficina Asesora de Comunicaciones y las demás áreas que lo requieran.
7.	Cumplir con los indicadores de gestión establecidos.
8.	Las demás obligaciones que se requieran para el cumplimiento a cabalidad del objeto contractual y que sean inherentes a la naturaleza del contrato
</t>
  </si>
  <si>
    <t>20243030001793-I Id: 4158484</t>
  </si>
  <si>
    <t>13.22</t>
  </si>
  <si>
    <t>2024-0512</t>
  </si>
  <si>
    <t>CD-511-2024</t>
  </si>
  <si>
    <t>LIZETH DAHIANA HERNANDEZ TORRES</t>
  </si>
  <si>
    <t>PRESTAR LOS SERVICIOS PROFESIONALES EN LA ARTICULACIÓN DE LA SECRETARIA GENERAL CON LA OFICINA JURÍDICA DEL ICETEX Y EN LOS ASUNTOS RELACIONADOS CON LA GESTIÓN ESTRATÉGICA DE LA DEPENDENCIA.</t>
  </si>
  <si>
    <t>CDEF-0679-2024</t>
  </si>
  <si>
    <t xml:space="preserve">1.	Brindar apoyo jurídico a la Secretaría General en las distintas actuaciones de índole legal que surjan con ocasión de las funciones a cargo de dicha dependencia, con el propósito de coadyuvar en la prevención del daño antijuridico.
2.	Servir de enlace con la Oficina Jurídica y la Oficina de Planeación para la estructuración de los procedimientos y procesos de la Secretaría General, con el fin de promover la prevención del daño antijuridico, implementarlos y efectuar el respectivo seguimiento. 
3.	Estructurar, presentar y sustentar conceptos jurídicos solicitados por el Supervisor del contrato. 
4.	Preparar las respuestas y proveer los insumos requeridos tales como, información, documentación y demás necesarios, con el fin de dar respuesta oportuna y de fondo a los diferentes requerimientos de otras entidades, entes de control y dependencias de la entidad, relacionados con los asuntos de competencia de la Secretaría General. 
5.	Revisar los insumos y respuestas suministradas por los Grupos Internos de la Secretaria General y consolidarlas en relación con los requerimientos realizados por la Oficina Jurídica, entes de control y PQRS.
6.	Participar desde el ámbito de su competencia en la identificación y seguimiento de las acciones para abordar riesgos que mitiguen el daño antijuridico relacionados con los procesos de gestión de la Secretaría General. 
7.	Apoyar en la atención y respuesta de requerimientos de autoridades judiciales remitidos a la Secretaria General.
8.	Apoyar a la Secretaria General en la estructuración y seguimiento a planes de mejoramiento que deban realizarse como resultado de auditorías de entes de control y Oficina de Control Interno. 
9.	Proyectar actos administrativos, circulares, memorandos y documentos relacionados de competencia de la Secretaria General, conforme a los procedimientos y normas vigentes sobre la materia. 
10.	Apoyar la supervisión de los contratos que le sean asignados por el Secretario General.
11.	Desplazarse en caso de requerirse con el fin de dar cumplimiento al objeto contractual.
12.	Las demás obligaciones que sean acordes con el objeto contractual asignado por quien ejerza la función de la Supervisión del Contrato. 
</t>
  </si>
  <si>
    <t>20243030001803-I Id: 4158709</t>
  </si>
  <si>
    <t>6</t>
  </si>
  <si>
    <t>2024-0513</t>
  </si>
  <si>
    <t>CD-512-2024</t>
  </si>
  <si>
    <t>SERGIO ANDRÉS DIETES CALDERÓN</t>
  </si>
  <si>
    <t>PRESTAR LOS SERVICIOS PROFESIONALES PARA APOYAR A LA OFICINA DE CONTROL INTERNO EN LA GENERACIÓN Y ANÁLISIS DE INFORMACIÓN COMO SOPORTE A LAS AUDITORIAS, INDAGACIONES Y SEGUIMIENTOS A PROYECTOS DE CONFORMIDAD CON EL PLAN ANUAL DE AUDITORÍAS PARA LA VIGENCIA 2024, ADEMÁS DE ARTICULAR EL ROL DE LA OFICINA DE CONTROL INTERNO HACIA EL DISEÑO, DESARROLLO, SEGUIMIENTO, SOCIALIZACIÓN E IMPLEMENTACIÓN DE LAS INICIATIVAS Y PROYECTOS DE INNOVACIÓN DE ICETEX.</t>
  </si>
  <si>
    <t>CDEF-0616-2024</t>
  </si>
  <si>
    <t xml:space="preserve">Realizar y emitir informes y conceptos desde el rol normativo de la Oficina de Control Interno sobre las presuntas incidencias disciplinarias, fiscales, penales y de los impactos de los informes de las auditorías internas y externas.
2. Brindar apoyo jurídico y asesoría al equipo de la oficina de control interno como tercera línea de defensa sobre los asuntos generados de las indagaciones, auditorías internas y externas y conclusiones de las mismas que se adelanten en la dependencia.
3. Apoyar al equipo de innovación en el diseño, desarrollo, seguimiento, socialización e implementación de las iniciativas y proyectos de innovación de la Oficina de Control Interno.
4. Asistir y apoyar técnica y jurídicamente a la oficina de control interno en los comités, reuniones y mesas de trabajo que el supervisor del contrato le indique de acuerdo con el objeto de este.
5. Preparar y proyectar según corresponda los documentos de trabajo, actos administrativos, oficios, memorandos, manuales, peticiones, actas, circulares, consultas y demás que sean sometidos a su análisis y que estén relacionados con las funciones de la oficina de control interno.
6. Apoyar la revisión normativa de manuales de funciones de la Oficina de Control Interno con el objeto de actualizarlos y generar la propuesta para incluir dentro del proceso de rediseño institucional.
7. Realizar el análisis normativo y procedimental y emitir propuesta para la implementación de técnicas de auditoria forense con uso de nuevas tecnologías aplicables a los procesos de la Oficina de Control Interno de Icetex.
8. Desplazarse en oficinas institucionales ubicadas en ciudades o municipios distintos a Bogotá D.C., por solicitud del supervisor contractual, previo el otorgamiento de la correspondiente autorización de desplazamiento.
9. Cumplir las demás actividades relacionadas con el objeto del contrato que sean acordadas con el supervisor
</t>
  </si>
  <si>
    <t>20243030001799-I Id: 4158612</t>
  </si>
  <si>
    <t>2024-0514</t>
  </si>
  <si>
    <t>20242520001838-I Id: 4158901</t>
  </si>
  <si>
    <t>13.80</t>
  </si>
  <si>
    <t>2024-0515</t>
  </si>
  <si>
    <t>CD-514-2024</t>
  </si>
  <si>
    <t>ANA FERNANDA PUENTES ROBLES</t>
  </si>
  <si>
    <t>PRESTAR SERVICIOS PROFESIONALES EN EL DESARROLLO Y SEGUIMIENTO DE LOS PLANES Y PROYECTOS DE LA POLÍTICA DE GESTIÓN DOCUMENTAL, ASÍ COMO EL APOYO A LA SUPERVISIÓN DE LOS PROCESOS CONTRACTUALES DE GESTIÓN DOCUMENTAL QUE ADELANTE LA ENTIDAD</t>
  </si>
  <si>
    <t>CDEF-0657-2024</t>
  </si>
  <si>
    <t>IG 312001020300092</t>
  </si>
  <si>
    <t xml:space="preserve">1.	Apoyar en el fortalecimiento de la política de Gestión Documental de MIPG a partir de su componente documental en lo relacionado con el manejo y organización de los documentos.  
2.	Realizar las actividades necesarias para la atención de las peticiones, quejas y reclamos - PQR’S interpuestas por los usuarios, a través del sistema CRM COSMOS y que están relacionadas con el proceso de gestión documental, así como el control a los tiempos de respuesta de las PQR ́S. 
3.	Generar los informes sobre el estado, tiempos de respuesta y la gestión realizada para la respuesta a las peticiones, quejas y reclamos – PQR’S, de conformidad con la periodicidad establecida por el supervisor del contrato o que le sean requeridos por parte de la Secretaría General. 
4.	Realizar los informes y reportes que sean solicitados por el supervisor, en especial para atender requerimientos de organismos de control. 
5.	Reportar al supervisor del contrato las novedades encontradas frente a los criterios de calidad y oportunidad en el servicio del outsourcing de archivo, a partir de las gestiones desarrolladas en cumplimiento de las presentes obligaciones. 
6.	Realizar la creación y/o actualización de los expedientes físicos y electrónicos, acorde a las Tablas de Retención Documental (TRD), aprobadas en el ICETEX por el Archivo General de la Nación y los procedimientos establecidos por la entidad para el manejo documental. 
7.	Apoyar técnicamente en los procesos de organización, ordenación, restauración, inventario documental y descripción archivística de los expedientes pertenecientes al archivo histórico del ICETEX para su entrega al Archivo General de la Nación dentro del componente documental con el propósito de fortalecer la política de Gestión Documental de MIPG 
8.	Apoyar en la supervisión de los contratos que sean celebrados para atender las necesidades del Grupo de Gestión Documental. 
9.	Las demás obligaciones que sean acordes con el objeto contractual y que sean asignadas por quien ejerza la función de la supervisión del contrato. 
</t>
  </si>
  <si>
    <t>20243030001735-I Id: 4157703</t>
  </si>
  <si>
    <t>2024-0516</t>
  </si>
  <si>
    <t>CD-515-2024</t>
  </si>
  <si>
    <t>890002590-2</t>
  </si>
  <si>
    <t>INSTITUCIÓN UNIVERSITARIA EAM</t>
  </si>
  <si>
    <t>ANDREA CONCHA SALAZAR</t>
  </si>
  <si>
    <t>EL OBJETO DEL PRESENTE DOCUMENTO ES PRORROGAR EL PLAZO ESTABLECIDO EN LA CLÁUSULA QUINTA Y MODIFICAR EL ANEXO A - PORCENTAJE FIJO APORTE IES DEL ACUERDO ESTRATÉGICO No 2024-0516</t>
  </si>
  <si>
    <t>2024-0517</t>
  </si>
  <si>
    <t>CD-516-2024</t>
  </si>
  <si>
    <t>860507903-3</t>
  </si>
  <si>
    <t>FUNDACION UNIVERSITARIA LOS LIBERTADORES</t>
  </si>
  <si>
    <t>ANGELA MARIA MERCHAN BASABE</t>
  </si>
  <si>
    <t>EL OBJETO DEL PRESENTE DOCUMENTO ES PRORROGAR EL PLAZO ESTABLECIDO EN LA CLÁUSULA QUINTA Y MODIFICAR EL DEL ACUERDO ESTRATÉGICO NO. 2024-0517.</t>
  </si>
  <si>
    <t>2024-0518</t>
  </si>
  <si>
    <t>CD-517-2024</t>
  </si>
  <si>
    <t>860007386- 1</t>
  </si>
  <si>
    <t>UNIVERSIDAD DE LOS ANDES</t>
  </si>
  <si>
    <t>RAQUEL BERNAL SALAZAR</t>
  </si>
  <si>
    <t>EL OBJETO DEL PRESENTE DOCUMENTO ES PRORROGAR EL PLAZO ESTABLECIDO EN LA CLÁUSULA QUINTA Y MODIFICAR "ANEXO B FORMULA APORTE IES" EL DEL ACUERDO ESTRATÉGICO NO. 2024-0518.</t>
  </si>
  <si>
    <t>11.71</t>
  </si>
  <si>
    <t>2024-0519</t>
  </si>
  <si>
    <t>CD-518-2024</t>
  </si>
  <si>
    <t xml:space="preserve">DIANA BLANCA DÍAZ GRIJALBA </t>
  </si>
  <si>
    <t>PRESTACIÓN DE SERVICIOS PROFESIONALES ESPECIALIZADOS EN INGENIERÍA PARA LA REVISIÓN, ANÁLISIS, MODELAMIENTO, IMPLEMENTACIÓN, USO Y APROPIACIÓN DE LA ARQUITECTURA EMPRESARIAL DESDE EL DOMINIO DE SISTEMAS DE INFORMACIÓN PARA EL ICETEX</t>
  </si>
  <si>
    <t>CDEF-0628-2024</t>
  </si>
  <si>
    <t xml:space="preserve">1.	Alinear la arquitectura de solución diseñada con el plan estratégico de la Entidad, la Estrategia de transformación digital y los objetivos y políticas gubernamentales, asegurando la interoperabilidad y eficiencia de los sistemas; identificando oportunidades para mejorar la calidad, accesibilidad, seguridad y utilización de los datos. 
2.	Gestionar con stakeholders, interactuar con actores internos, comunicar efectivamente estrategias de sistemas de información y obtener apoyo para su implementación.
3.	Dirigir implementación de políticas, estándares y lineamientos para interoperabilidad interna y externa, asegurando flujo eficiente de información sobre soluciones tecnológicas según la ruta de transformación digital.
4.	Liderar/proveer apoyo en proyectos para implementar nuevos procesos y productos, tomando decisiones sobre evaluación de tecnologías y herramientas, y asegurando cumplimiento de lineamientos arquitecturales.
5.	Realizar vigilancia tecnológica enfocada en estándares y buenas prácticas en desarrollo de software para proyectos asignados
6.	Definir arquitecturas de referencia en colaboración con otros dominios y estrategia de divulgación y adopción.
7.	Liderar vigilancia tecnológica para definir estrategias de adopción de nuevas tecnologías y tecnologías emergentes.
8.	Colaborar con equipos de desarrollo, asegurando alineación con la estrategia, diseñar estrategias arquitectónicas en el dominio de Sistemas de Información/aplicaciones alineadas con objetivos estratégicos y necesidades de negocio.
</t>
  </si>
  <si>
    <t>20243030001847-I Id: 4158931</t>
  </si>
  <si>
    <t>13.59</t>
  </si>
  <si>
    <t>2024-0520</t>
  </si>
  <si>
    <t>CD-519-2024</t>
  </si>
  <si>
    <t>ANA BEATRIZ SANCHEZ VALDERRAMA</t>
  </si>
  <si>
    <t>PRESTAR SERVICIOS PROFESIONALES A LA SECRETARÍA GENERAL DEL ICETEX EN LA EJECUCIÓN DE LAS ACTIVIDADES TENDIENTES AL AJUSTE Y PERFECCIONAMIENTO DEL REDISEÑO INSTITUCIONAL PROPUESTO PARA LAS ÁREAS ESTRATÉGICAS, MISIONALES, DE APOYO Y/O CONTROL EN EL MARCO DE LA ACTUALIZACIÓN DE SU ESTRUCTURA ADMINISTRATIVA, DE ACUERDO CON LA NORMATIVIDAD VIGENTE Y DEMÁS DISPOSICIONES DE OTROS ORGANISMOS COMPETENTES</t>
  </si>
  <si>
    <t>CDEF-0585-2024</t>
  </si>
  <si>
    <t xml:space="preserve">1.	Elaborar el plan de trabajo para la ejecución del objeto contractual alineado con el plan general y cronograma para el ajuste de rediseño institucional del ICETEX; el cual será elaborado por el líder de dicho proceso y aprobado por la supervisión del contrato, enmarcado en los tiempos, responsabilidades y roles asignados por éstos para su cumplimiento.  
2.	Participar en el ajuste de la estructura organizacional propuesta y en la definición delas funciones de sus dependencias en consonancia con la propuesta del modelo de operación por procesos (mapa de procesos) y el Plan Estratégico Institucional vigente en el marco del Sistema Integrado de Gestión y el modelo integrado de planeación y gestión -MIPG; conforme la solicitud elevada por el supervisor contractual y el líder del proceso de rediseño institucional, en el marco del proyecto de fortalecimiento institucional. 
3.	Brindar acompañamiento en la proyección de los ajustes y la actualización a la planta de personal asociada al nuevo modelo de operación por procesos y las dependencias de las áreas definidas para la entidad; de conformidad con los requisitos técnicos y normativos en la materia, en virtud de las cargas laborales determinadas y bajo los lineamientos establecidos por el líder del proceso para tal fin. 
4.	Apoyar la elaboración de los informes, documentos de diagnóstico, cuadros resúmenes y estadísticas solicitadas por el supervisor del contrato y el líder del proceso de rediseño institucional del ICETEX. 
5.	Prestar apoyo en el perfeccionamiento del estudio técnico de rediseño institucional que contenga la justificación técnica y jurídica del modelo de operación por procesos, según la guía de Rediseño Institucional de Entidades Públicas de Orden Nacional elaborada por el Departamento Administrativo de la Función Pública – DAFP para tal fin y en observancia de los requisitos técnicos y normativos en la materia. 
6.	Contribuir al perfeccionamiento y ajuste del análisis financiero de viabilidad e impacto de la planta de personal propuesta, desarrollando los análisis comparativos pertinentes contra la planta de personal actual y en observancia de los requisitos técnicos y normativos en la materia. 
7.	Participar en la elaboración de los actos administrativos requeridos para la modificación de la estructura organizacional, planta de personal, sistema de nomenclatura, manual específico de funciones y competencias laborales del ICETEX, observando los criterios establecidos por la entidad para tal fin y en armonía con lo requerido en la Guía de Rediseño Institucional de Entidades Públicas del orden nacional elaborado por el Departamento Administrativo de la Función Pública – DAFP, así como de otros organismos competentes. 
8.	Participar en las tareas de revisión conjunta con los asesores del Departamento Administrativo de la Función Pública de los avances y productos correspondientes al proceso de rediseño institucional del ICETEX a las que sea convocado e implementar los ajustes, correcciones y sugerencias que surjan de dicha asesoría técnica. 
9.	Apoyar y acompañar a la alta dirección del ICETEX y/o equipo interno de trabajo que establezca la entidad para la difusión, socialización análisis y sustentación técnica de las actividades, los productos, los resultados y el proceso de rediseño institucional ante los servidores públicos y demás instancias a las que sea convocado-a hasta la aprobación del proceso. 
10.	Apoyar la elaboración del cronograma de trabajo para el desarrollo del ajuste y el perfeccionamiento de las acciones de rediseño institucional del ICETEX, con base en la Guía de Rediseño Institucional de Entidades Públicas del orden nacional elaborado por el Departamento Administrativo de la Función Pública – DAFP y demás organismos competentes
11.	Proyectar los actos administrativos para la implementación de la planta de personal resultantes del rediseño organizacional, en el marco del proyecto de fortalecimiento institucional.
12.	Apoyar la elaboración de la propuesta de estructura interna para el Icetex actualizada en consonancia con el mapa de procesos, el Plan Estratégico Institucional y las nuevas políticas y lineamientos del Gobierno Nacional.
13.	Acompañar profesionalmente la elaboración del manual de funciones y competencias laborales de las dependencias propuestas para el ICETEX
14.	Las demás asignadas por el supervisor, relacionadas con el objeto y la naturaleza del contrato.
</t>
  </si>
  <si>
    <t>20243030001854-I Id: 4158950</t>
  </si>
  <si>
    <t>9.3</t>
  </si>
  <si>
    <t>2024-0521</t>
  </si>
  <si>
    <t>CD-520-2024</t>
  </si>
  <si>
    <t>AURA PATRICIA BARRIOS PEÑA</t>
  </si>
  <si>
    <t>CDEF-0440-2024</t>
  </si>
  <si>
    <t xml:space="preserve">
1.	Gestionar las Solicitudes, Peticiones, Quejas, Reclamos y Denuncias en el aplicativo de CRM de ICETEX.
2.	Atender requerimientos externos, internos de los entes de control para los procesos y procedimientos del área por los medios que se determinen de acuerdo con los tiempos establecidos. 
3.	Apoyar las actualizaciones de los contenidos de la página web, creación de comunicados, campañas y demás instrumentos que se requieran para los procesos y procedimientos del área.
4.	Apoyar al proceso para la firma de las garantías desmaterializadas a través de los medios que se determinen. 
5.	Proyectar capacitaciones con el fin de informar y fortalecer los procedimientos del área.
6.	Realizar pruebas de los procesos y procedimientos del área con el fin de garantizar que se encuentren correctos.
7.	Apoyar la gestión administrativa en cuanto a las actividades de archivo de los documentos contractuales, así como entregarlos a la dependencia correspondiente.
8.	Asistir y participar a las reuniones programadas.
9.	Elaborar y presentar los informes de gestión que se requieran y se relacionen con el cumplimiento del objeto contractual.
10.	Cumplir con los indicadores de gestión establecidos.
11.	Las demás obligaciones que se requieran para el cumplimiento a cabalidad del objeto contractual y que sean inherentes a la naturaleza del contrato.
</t>
  </si>
  <si>
    <t>20243030001835-I Id: 4158865</t>
  </si>
  <si>
    <t>4.45</t>
  </si>
  <si>
    <t>2024-0522</t>
  </si>
  <si>
    <t>CD-521-2024</t>
  </si>
  <si>
    <t>JEREMIAS VIRACACHA MORENO</t>
  </si>
  <si>
    <t>PRESTAR SERVICIOS TÉCNICOS DE APOYO AL SEGUIMIENTO Y CONTROL DEL PROCESO CALIDAD OPERATIVA Y MEJORA CONTINUA EN LOS DISTINTOS CANALES DE ATENCIÓN Y GESTIÓN DE LA ENTIDAD CON EL FIN DE MEJORAR LA EXPERIENCIA Y SATISFACCIÓN DE LOS GRUPOS DE INTERÉS (BENEFICIARIOS, CIUDADANOS E IES</t>
  </si>
  <si>
    <t>CDEF-0395-2024</t>
  </si>
  <si>
    <t>REMUNERACIÓN DE SERVICIOS TÉCNICOS-OCM</t>
  </si>
  <si>
    <t xml:space="preserve">Elaborar y entregar plan de trabajo para aprobación del supervisor del contrato, de conformidad con las estipulaciones contractuales.
2.	Apoyar el proceso de monitoreo y auditoría de calidad a los canales de servicio y comerciales de la entidad, con el fin de identificar oportunidades de mejora y generar las alertas correspondientes de manera oportuna.
3.	Acompañar y proponer ajustes necesarios a los protocolos de servicio y atención al usuario, matrices de calidad, plantillas y guiones de los canales de servicio y comerciales, que contribuyan a mejorar la experiencia y satisfacción de los grupos de interés de la entidad.
4.	Participar en el fortalecimiento de la estrategia de atención de los canales de servicio y comerciales según el perfilamiento de los beneficiarios y ciudadanos, conforme a las características de la población y la caracterización de los ciudadanos establecida por el Departamento Nacional de Planeación.
5.	Acompañar desde el conocimiento técnico de los procesos y procedimientos de la entidad, la gestión y documentación de planes de acción, planes de mejoramiento, auditorías de calidad externas e internas, eventos de riesgos de los canales de servicio y comerciales y demás resultantes del ejercicio de control y autocontrol de los macroprocesos de la Oficina de Comercial y de Mercadeo.
6.	Participar activamente en los comités de seguimiento a los canales de servicio y comerciales de la entidad, con el fin de socializar oportunidades de mejora; estableciendo en conjunto con la operación y el proveedor de atención, planes de acción.
7.	Compartir alertas desde el conocimiento técnico de situaciones críticas en la atención al usuario a través de los canales de servicio y comerciales, que afecten la atención y la experiencia de los grupos de interés de la entidad. 
8.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9.	Participar en las diferentes capacitaciones, talleres, reuniones y sesiones que sean convocados por la entidad de los cuales se deriven los conocimientos y aprendizajes para el cumplimiento del objeto del contrato y que contribuyan al seguimiento de la mejora continua de la satisfacción y la experiencia de los grupos de interés de la Entidad.
10.	Las demás que sean inherentes para el logro del objeto contratado, asignadas por el supervisor del contrato
</t>
  </si>
  <si>
    <t>20243030001839-I Id: 4158908</t>
  </si>
  <si>
    <t>4.37</t>
  </si>
  <si>
    <t>2024-0523</t>
  </si>
  <si>
    <t>CD-522-2024</t>
  </si>
  <si>
    <t>ANGIE PAOLA FRESNEDA ARIAS</t>
  </si>
  <si>
    <t xml:space="preserve">PRESTAR SERVICIOS PROFESIONALES PARA LA IDENTIFICACIÓN DE OPORTUNIDADES DE MEJORA EN LOS PROCESOS Y PROCEDIMIENTOS DE LA ENTIDAD, ASÍ COMO ACOMPAÑAR OPERATIVA Y ADMINISTRATIVAMENTE EL SEGUIMIENTO Y EL CONTROL DE LOS CANALES DE ATENCIÓN Y GESTIÓN. </t>
  </si>
  <si>
    <t>CDEF-0399-2024</t>
  </si>
  <si>
    <t xml:space="preserve">1.	Elaborar y entregar plan de trabajo y cronograma de actividades para aprobación de la supervisión del contrato, de conformidad con las estipulaciones contractuales. 
2.	Brindar apoyo administrativo y operativo al interior de la Oficina Comercial y de Mercadeo, de acuerdo con instrucciones recibidas, y que conlleve a la mejora en temas de atención y servicio a los Grupos de Interés de la entidad.
3.	Brindar apoyo en el seguimiento y control al cumplimiento de acuerdos de servicio definidos en el contrato de atención al usuario 2022-0770 de los distintos canales de atención y gestión implementados por la entidad.
4.	Preparar, analizar y consolidar la información necesaria para la elaboración de informes de gestión relacionados con la ejecución del objeto del contrato. 
5.	Plantear alternativas de solución frente a situaciones que se presenten en el desarrollo de las funciones de la Oficina Comercial y de Mercadeo y que mejoren la percepción por parte de los Grupos de Interés en cuanto a la atención y el servicio de la entidad. 
6.	Participar en el fortalecimiento de la estrategia de atención según el perfilamiento de los beneficiarios y ciudadanos, conforme a las características de la población y la caracterización de los ciudadanos establecida por el Departamento Nacional de Planeación. 
7.	Contribuir por medio de conceptos técnicos a la documentación de los procesos y procedimientos de la entidad, asegurando el cumplimiento de indicadores, planes de acción, planes de mejora, informes, auditorías de calidad, auditorías externas e internas, eventos de riesgos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</si>
  <si>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20243030001841-I Id: 4158914</t>
  </si>
  <si>
    <t>4.154</t>
  </si>
  <si>
    <t>2024-0524</t>
  </si>
  <si>
    <t>CD-523-2024</t>
  </si>
  <si>
    <t>MATEO ALEJANDRO TORRES SIERRA</t>
  </si>
  <si>
    <t>APOYAR LA EJECUCIÓN DEL PLAN COMERCIAL DE LA TERRITORIAL CENTRO ASOCIADA AL PORTAFOLIO DE SERVICIOS DE LCETEX EN LA REGIÓN, EN ARTICULACIÓN CON LA OFICINA COMERCIAL Y DE MERCADEO DEL NIVEL CENTRAL.</t>
  </si>
  <si>
    <t>CDEF-0270-2024</t>
  </si>
  <si>
    <t xml:space="preserve">1.	Apoyar el proceso de seguimiento al debido cumplimiento de las obligaciones contractuales por parte de las Instituciones de Educación Superior y demás aliados estratégicos en los convenios vigentes o en proceso de liquidación con el Icetex. 
2.	Apoyar y asesorar a las Instituciones de Educación Superior y demás aliados estratégicos bajo supervisión de la Territorial Centro, en los debidos procesos y reportes de información a cargo de las IES, en respuesta a las obligaciones contractuales contenidas en los convenios vigentes o en proceso de liquidación con el ICETEX. 
3.	Apoyar la realización y publicación de los reportes de seguimiento de las obligaciones contractuales por parte de las Instituciones de Educación Superior y demás aliados estratégicos en los convenios vigentes o en proceso de liquidación con el Icetex, según los procedimientos internos y en cumplimiento de la normativa vigente establecida. 
4.	Apoyar la ejecución de las estrategias comerciales y de servicio al cliente a cargo de la territorial en la región asignada, para el cumplimiento de las metas comerciales y de servicio del portafolio de la entidad a través de cualquier medio empleado para el cumplimiento de los objetivos comerciales (personalizada, telefónico, virtual, entre otros). 
5.	Capacitar y asesorar a las comunidades en región, respecto al portafolio de servicios de ICETEX. 
6.	Desplazarse a las diferentes ciudades del país, en caso de ser necesario para la debida ejecución del contrato, previa coordinación con el supervisor. 
7.	Consolidar, actualizar y registrar la información, documentación soporte y presentación de informes de las gestiones administrativas de la actividad comercial. 
8.	Ejecutar los procedimientos operativos de las tareas asignadas a su cargo y adecuada gestión de los diferentes aplicativos de la entidad, tales como: a) correo electrónico, b) sistema mercurio, c) aplicativo cosmos, d) organización de archivo u otros asignados por su supervisor. 
9.	Realizar el debido proceso de gestión documental y envío al archivo único de la entidad de las actividades delegadas a su cargo. 
10.	Colaborar con la ejecución de los distintos procedimientos administrativos a cargo de la territorial que hacen parte del Sistema de Gestión de calidad de la entidad. 
11.	Las demás que sean inherentes para el logro del objeto contratado, asignadas por el supervisor del contrato.
</t>
  </si>
  <si>
    <t>20243030001833-I Id: 4158812</t>
  </si>
  <si>
    <t>13.156</t>
  </si>
  <si>
    <t>2024-0525</t>
  </si>
  <si>
    <t>CD-524-2024</t>
  </si>
  <si>
    <t>JENNY ANGELICA HERNANDEZ</t>
  </si>
  <si>
    <t>PRESTAR SERVICIOS PROFESIONALES RELACIONADAS CON EL SEGUIMIENTO A LAS ACTIVIDADES PLANTEADAS PARA LA IMPLEMENTACIÓN, FORTALECIMIENTO Y MEJORAMIENTO CONTINUO DEL SISTEMA DE SEGURIDAD Y SALUD EN EL TRABAJO EN EL MARCO DE LA POLÍTICA DE “GESTIÓN DEL TALENTO HUMANO”, ASÍ COMO CONTRIBUIR A MEJORAR LA OPORTUNIDAD DE LOS SERVICIOS QUE PRESTA LA ENTIDAD.</t>
  </si>
  <si>
    <t>CDEF-0624-2024</t>
  </si>
  <si>
    <t>IG 312001020300012</t>
  </si>
  <si>
    <t xml:space="preserve">1.	Gestionar y apoyar las actividades de implementación, evaluación y seguimiento del Sistema de Gestión de la Seguridad y Salud en el Trabajo, de acuerdo con los lineamientos establecidos por la entidad y acorde con el objeto contractual. 
2.	Organizar y acompañar técnicamente el desarrollo de las actividades relacionadas con Medicina preventiva y del trabajo, los planes de promoción y prevención, programas de vigilancia epidemiológica, seguridad e higiene industrial, programas de gestión de riesgos, planes de emergencia, apoyo a comités (convivencia, copasst, COE, Brigadas de emergencia, etc.) y todas las demás que se relacionen y sean requeridas en el marco del SGSST 
3.	Actualizar la documentación necesaria del Sistema y cumplir con los lineamientos de gestión documental necesarios para el manejo de los documentos del Sistema General de la seguridad y salud en el trabajo de conformidad con lo establecido en el Decreto 1072 de 2015 (libro 2, parte 2, titulo 4, capitulo 6) y tomar las medidas necesarias para la conservación de los documentos de conformidad con la tabla de retención documental que expida la dirección General. 
4.	Apoyar en la elaboración, verificación, evaluación y remisión de la documentación e informes ordinarios u extraordinarios que se requieran en el marco del SGSST, en el marco del objeto contractual. 
5.	Gestionar y apoyar técnicamente la verificación de los requerimientos técnicos de los elementos adquiridos por la entidad y que correspondan a la seguridad y salud en el trabajo (EPPS, señalización, elementos de dotación de brigadas, elementos ergonómicos, mobiliario y demás requeridos por el equipo de seguridad y salud en el trabajo para el funcionamiento de SG-SST.), llevando un adecuado control de los registros y evidencias de su entrega. 
6.	Apoyar la divulgación de las políticas del sistema de seguridad y salud en el trabajo, inducción y reinducción a todos los trabajadores de la entidad y capacitaciones independientemente del tipo de vinculación (funcionarios, contratistas), de acuerdo con los lineamientos y el objeto contractual. 
7.	Realizar el análisis de los ausentismos generados con ocasión de enfermedad laboral, accidente de trabajo de los funcionarios de la entidad, acorde con el objeto contractual. 
8.	Realizar propuestas para la mejora de los procedimientos, programas, planes y demás relacionados con la seguridad y salud en el trabajo que produzcan impacto positivo en la disminución de los riesgos y como parte de la mejora continua, en el marco del objeto contractual. 
9.	Registrar evidencias de todas las actividades, procesos y/o procedimientos efectuados y que hacen parte del desarrollo del objeto del contrato y los lineamientos emitidos por la entidad, como son las listas de asistencia, actas de reunión, informes, fotografías, videos, etc. 
10.	Asistir y participar en los comités, reuniones, talleres, juntas y demás eventos que le indique el supervisor y se relacionen con el objeto del contrato. 
11.	Apoyar en la preparación y consolidación de informes de actividades relacionadas con su objeto contractual. 
12.	Apoyar en la supervisión de contratos y/o convenio del Grupo De Talento Humano.
13.	Apoyar las actividades que le sean requeridas desde la Secretaría General y la Coordinación de Talento Humano, acorde con el objeto contractual y previa coordinación con el supervisor del contrato.
</t>
  </si>
  <si>
    <t>20243030001885-I Id: 4159254</t>
  </si>
  <si>
    <t>10.34</t>
  </si>
  <si>
    <t>2024-0526</t>
  </si>
  <si>
    <t>CD-525-2024</t>
  </si>
  <si>
    <t>LAURA CAMILA SIERRA LEON</t>
  </si>
  <si>
    <t>PRESTAR SUS SERVICIOS PROFESIONALES GESTIONANDO Y ORIENTANDO JURÍDICAMENTE LA LIQUIDACIÓN Y/O CIERRE DE LOS CONTRATOS Y CONVENIOS A CARGO DE LA VICEPRESIDENCIA DE FONDOS EN ADMINISTRACIÓN</t>
  </si>
  <si>
    <t>CDEF-0408-2024</t>
  </si>
  <si>
    <t xml:space="preserve">
1.	Identificar la gestión a adelantar en cada uno de los fondos, convenio y contratos asignados para liquidar y proponer un plan de trabajo. 
2. Desarrollar las actividades establecidas en el plan de trabajo a gestionar con ocasión de la liquidación de los fondos en administración. 
3. Efectuar mesas de trabajo con los constituyentes y establecer las acciones a adelantar para la liquidación de los fondos, convenios y contratos a cargo de la Vicepresidencia de Fondos en Administración 
4. Realizar la validación de la información contable y de cartera de los fondos en administración asignados, para cada cierre mensual y efectuar la gestión con las áreas respectivas para mantener conciliados los fondos. 
5. Proyectar y/o revisar los actos administrativos y las actas de liquidación o cierre relacionados con el proceso de liquidación de los fondos administrados por la Vicepresidencia de Fondos en Administración. 
6. Proyectar y/o revisar las respuestas de peticiones internas y externas, que le sean requeridos en el término legal establecido y que guarden relación con el objeto del contrato. 
7. Proyectar los conceptos jurídicos que le sean solicitados y guarden relación con los procesos a cargo de la Vicepresidencia de Fondos en Administración. 
8. Apoyar la elaboración de la estrategia que permita la liquidación de los fondos en administración a cargo de la Vicepresidencia de Fondos en Administración. 
9. Apoyar la elaboración y/o actualización de los procedimientos e instrumentos internos a cargo de la Vicepresidencia de Fondos en Administración. 
10. Actualizar los expedientes de los fondos en los repositorios de información de la Vicepresidencia de Fondos en Administración y los demás sistemas que lo requieran y hacer correcto uso de las mismas. 
11. Garantizar la confidencialidad, reserva y privacidad de la información que por razón de sus actividades deba manejar en desarrollo del contrato. 
12. Asistir y/o participar en los comités, mesas de trabajo y demás reuniones relacionadas con el objeto contractual. 
13. Desplazarse en oficinas institucionales ubicadas en ciudades o municipios distintos a Bogotá D.C, por solicitud del supervisor, previo el otorgamiento de la correspondiente autorización de desplazamiento. 
14. Las demás asignadas por el supervisor y que tengan relación con el objeto del presente contrato.
</t>
  </si>
  <si>
    <t>10.50</t>
  </si>
  <si>
    <t>2024-0527</t>
  </si>
  <si>
    <t>CD-526-2024</t>
  </si>
  <si>
    <t xml:space="preserve">
MIGUEL COLLAZOS COLLAZOS
</t>
  </si>
  <si>
    <t>CDEF-0430-2024</t>
  </si>
  <si>
    <t>JAVIER FERREIRA PLATA</t>
  </si>
  <si>
    <t>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t>
  </si>
  <si>
    <t>20243030001736-I Id: 4157758</t>
  </si>
  <si>
    <t>10.45</t>
  </si>
  <si>
    <t>2024-0528</t>
  </si>
  <si>
    <t>CD-527-2024</t>
  </si>
  <si>
    <t>DIANA MARCELA VILLAMIL MORENO</t>
  </si>
  <si>
    <t>PRESTAR SUS SERVICIOS PROFESIONALES ESPECIALIZADOS APOYANDO LA ELABORACIÓN Y SEGUIMIENTO DE LAS ESTRATEGIAS PARA LA GESTIÓN DEL CAMBIO EN LA ADMINISTRACIÓN, SEGUIMIENTO Y CONTROL DE LOS CONVENIOS, CONTRATOS, FONDOS, ALIANZAS Y/O PROYECTOS A CARGO DE LA VICEPRESIDENCIA DE FONDOS EN ADMINISTRACIÓN</t>
  </si>
  <si>
    <t>CDEF-0211-2024</t>
  </si>
  <si>
    <t>20243030001780-I Id: 4158382</t>
  </si>
  <si>
    <t>10.74</t>
  </si>
  <si>
    <t>2024-0529</t>
  </si>
  <si>
    <t>CD-528-2024</t>
  </si>
  <si>
    <t>CARLOS MARIO ALMARIO SCALANTE</t>
  </si>
  <si>
    <t>NEIVA</t>
  </si>
  <si>
    <t>CDEF-0417-2024</t>
  </si>
  <si>
    <t>2 NO</t>
  </si>
  <si>
    <t>20243030001792-I Id: 4158480</t>
  </si>
  <si>
    <t>11.73</t>
  </si>
  <si>
    <t>2024-0530</t>
  </si>
  <si>
    <t>CD-529-2024</t>
  </si>
  <si>
    <t>DIANA MARCELA BAUTISTA VARGAS</t>
  </si>
  <si>
    <t>PRESTACIÓN DE SERVICIOS PROFESIONALES ESPECIALIZADOS EN INGENIERÍA DE PROCESOS PARA LA ARTICULACIÓN DE LAS ÁREAS DE NEGOCIO Y EL EQUIPO DE ARQUITECTURA EMPRESARIAL PARA EL ICETEX</t>
  </si>
  <si>
    <t>CDEF-0630-2024</t>
  </si>
  <si>
    <t>MODERNIZACIÓN DIGITAL Y
ARQUITECTURA TEC</t>
  </si>
  <si>
    <t xml:space="preserve">IG 332903001 </t>
  </si>
  <si>
    <t xml:space="preserve">1.	Alinear la estrategia de la entidad con la estrategia de sistemas de información y con los objetivos y políticas gubernamentales, asegurando la interoperabilidad y eficiencia de los sistemas; identificando oportunidades para optimizar y mejorar continuamente los procesos internos de la organización.
2.	Realizar gestión con Stakeholders mediante la interacción con los diferentes actores dentro la entidad, involucrados con la necesidad de negocio a atender y/o seguimiento y definición de los planes de acción para la solución, corrección o atención a hallazgos de auditoría, oportunidades de mejora priorizados o proyectos y requerimientos enfocados a su solución, comunicando de manera efectiva las estrategias y ganando apoyo para su implementación.
3.	Participar en la implementación de políticas, estándares y lineamientos para la alineación de la estrategia de negocio con las actividades de definición, diseño e implementación de soluciones tecnológicas, asegurando la articulación con los procesos y procedimientos de negocio de la entidad, acorde a la ruta de transformación digital definida.
4.	Liderar y/o acompañar proyectos enfocados a la implementación, actualización o modificación de nuevos procesos, procedimiento y productos, enfocado en la toma de decisiones relacionadas con la implementación, construcción y/o implementación de planes de acción para la solución a hallazgos y/o oportunidades de mejora identificadas y para la generación de los correspondientes informes a entes de control, asegurando del cumplimiento de los lineamientos arquitecturales definidos.
5.	Realizar la vigilancia tecnológica enfocada al aseguramiento de la constante actualización de los procesos de negocio, conforme las acciones de mejora y actualización tecnológica realizadas por la VOT mediante el análisis del rendimiento actual de los procesos y la propuesta de mejoras para aumentar la eficiencia, reducir costos y articular eficientemente la estrategia de transformación digital en torno a la atención de las necesidades de negocio identificadas.
6.	Diseñar y desarrollar estrategias arquitectónicas en el dominio misional/estratégico, alineadas con los objetivos estratégicos de la entidad y las necesidades de negocio definidas y el aseguramiento de la actualización permanente de los procesos y procedimientos de la entidad.
7.	Participar en la definición de capacidades tecnológicas de la entidad, su roadmap y la estrategia de implementación y evolución de la misma y relacionarlas con los procesos y procedimientos de negocio de la Entidad y con las áreas misionales involucradas, mediante la documentación de los procesos de negocio dentro del modelo de arquitectura empresarial de la entidad, haciendo uso de los estándares y lineamientos establecidos, el lenguaje de modelado ARCHIMATE y el framework TOGAF.
8.	Diseñar, documentar, socializar y acompañar las arquitecturas de solución para la atención de necesidades de negocio que le sean asignadas, de acuerdo a lo definido para cada uno de los ejercicios de arquitectura en la entidad, alineada a las arquitecturas de referencia correspondiente.
</t>
  </si>
  <si>
    <t>20243030001901-I Id: 4159484</t>
  </si>
  <si>
    <t>4.27</t>
  </si>
  <si>
    <t>2024-0531</t>
  </si>
  <si>
    <t>CD-530-2024</t>
  </si>
  <si>
    <t xml:space="preserve">
1012347806
</t>
  </si>
  <si>
    <t xml:space="preserve">ALEXA LISETH SANCHEZ GONGORA </t>
  </si>
  <si>
    <t>CDEF-0674-2024</t>
  </si>
  <si>
    <t xml:space="preserve">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Articular con las dependencias del ICETEX la correcta gestión de los procesos para la planificación, diseño y toma de decisiones encaminadas a la mejora continua y la correcta atención de los grupos de interés del ICETEX de forma rápida, eficiente y optimizando KPI´S operativos. 
4.	Atender de manera oportuna la gestión de planes y proyectos públicos normativos emitidos por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</si>
  <si>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20243030001889-I Id: 4159315</t>
  </si>
  <si>
    <t>4.105</t>
  </si>
  <si>
    <t>2024-0532</t>
  </si>
  <si>
    <t>CD-531-2024</t>
  </si>
  <si>
    <t xml:space="preserve">
LIBEY SERAFINA MERCADO MAURIS 
</t>
  </si>
  <si>
    <t>PRESTAR LOS SERVICIOS PROFESIONALES DE APOYO AL EQUIPO COMERCIAL EN LA EJECUCIÓN, SUPERVISIÓN, CONTROL Y MEJORA CONTINUA A LAS ESTRATEGIAS ORIENTADAS A LA PROMOCIÓN Y OTORGAMIENTO DEL PORTAFOLIO DE PRODUCTOS DEL ICETEX.</t>
  </si>
  <si>
    <t>CDEF-0074-2024</t>
  </si>
  <si>
    <t xml:space="preserve">1.	Elaborar y entregar plan de trabajo y cronograma de actividades para aprobación de la supervisión del contrato, de conformidad con las estipulaciones contractuales.  
2.	Apoyar la implementación y mejoramiento continuo del proceso de comercialización del portafolio de producto asignado de ICETEX y de otros productos según demanda. 
3.	Gestionar la implementación de acciones correctivas o de mejoramiento con las áreas correspondientes, tendientes al mejoramiento del otorgamiento de los productos y servicios que ofrece el ICETEX y el cumplimiento de las estrategias comerciales. 
4.	Apoyar la gestión de los canales asignados y realizar el monitoreo a la eficiencia y efectividad de los mismos, proponiendo acciones de mejora en pro del mejoramiento continuo. 
5.	Acompañar el seguimiento y control semanal con cada territorial, en lo que respecta a las metas comerciales y los planes de mejoramiento que sean necesarios para el cumplimiento de la meta conforme a las proyecciones semanales, mensuales y globales. 
6.	Apoyar la supervisión de los contratos, en caso de ser requerido por la supervisión del contrato, desde el punto de vista técnico, administrativo, financiero y contable, de conformidad con lo establecido en el Manual de Contratación de la Entidad. 
7.	Consolidar y entregar las bases de datos necesarias para ejecutar las campañas que se requieren en el acompañamiento al proceso de otorgamiento de los solicitantes de productos o servicios del ICETEX. 
8.	Realizar las labores de acompañamiento en reuniones o comités, de conformidad con las necesidades de la entidad y la designación de supervisor del contrato. 
9.	Las demás que sean inherentes para el logro del objeto contratado, asignadas por el supervisor del contrato. 
</t>
  </si>
  <si>
    <t>20243030001896-I Id: 4159419</t>
  </si>
  <si>
    <t>4.109</t>
  </si>
  <si>
    <t>2024-0533</t>
  </si>
  <si>
    <t>CD-532-2024</t>
  </si>
  <si>
    <t xml:space="preserve">DIANA PATRICIA GARZON SUAREZ </t>
  </si>
  <si>
    <t>PRESTAR LOS SERVICIOS PROFESIONALES PARA LA ACTUALIZACIÓN Y PUBLICACIÓN DE CONTENIDOS DENTRO DEL PORTAL WEB DE ICETEX, ASÍ COMO EL APOYO A LA ESTRATEGIA DE MARKETING DIGITAL DE LA ENTIDAD.</t>
  </si>
  <si>
    <t>CDEF-0242-2024</t>
  </si>
  <si>
    <t xml:space="preserve">Realizar la actualización y difusión de contenidos en las diferentes estructuras del portal web institucional del ICETEX, apoyando esta divulgación en otros canales requeridos por la supervisión del contrato, y que este dentro de los tiempos establecidos dentro de los procesos del sistema de gestión de calidad.  
2. Apoyar el diseño de piezas publicitarias que se requieran para ser divulgadas a través de canales (impresos o digitales), cuando sea requerido por la supervisión del contrato.  
3. Apoyo a las estrategias de marketing digital para el cumplimiento de la meta comercial. 
4. Proponer y/o diseñar y desarrollar landing page, secciones y módulos del portal web institucional, conforme al plan comercial y de mercadeo y las solicitudes radicadas en Aranda por las distintas áreas de la entidad. 
5. Apoyar y/o implementar maquetaciones y diseños web en HTML, CSS, Bootstrap para correos institucionales y páginas de aterrizaje. 
6. Mantener la accesibilidad web del portal web durante las actualizaciones de conformidad con la normatividad vigente sobre la materia (Resolución 1519 de 2020). 
7. Aplicar mejoras de usabilidad para la experiencia de usuario, según secciones escogidas para el apoyo a las estrategias digitales del portal web institucional. 
8. Realizar las labores de acompañamiento en reuniones o comités, de conformidad con las necesidades de la entidad y la designación de supervisor del contrato. 
9. Las demás que sean inherentes para el logro del objeto contratado, asignadas por el supervisor del contrato.  
</t>
  </si>
  <si>
    <t>20243030001842-I Id: 4158916</t>
  </si>
  <si>
    <t>2024-0534</t>
  </si>
  <si>
    <t>4.38</t>
  </si>
  <si>
    <t>2024-0535</t>
  </si>
  <si>
    <t>CD-534-2024</t>
  </si>
  <si>
    <t>FRANCISCO JAVIER DELGADO GONZALEZ</t>
  </si>
  <si>
    <t>PRESTAR SERVICIOS PROFESIONALES PARA LA IDENTIFICACIÓN DE OPORTUNIDADES DE MEJORA EN LOS PROCESOS Y PROCEDIMIENTOS DE LA ENTIDAD, ASÍ COMO ACOMPAÑAR OPERATIVA Y ADMINISTRATIVAMENTE EL SEGUIMIENTO Y EL CONTROL DE LOS CANALES DE ATENCIÓN Y GESTIÓN</t>
  </si>
  <si>
    <t>CDEF-0400-2024</t>
  </si>
  <si>
    <t xml:space="preserve">1.	Elaborar y entregar plan de trabajo y cronograma de actividades para aprobación de la supervisión del contrato, de conformidad con las estipulaciones contractuales. 
2.	Brindar apoyo administrativo y operativo al interior de la Oficina Comercial y de Mercadeo, de acuerdo con instrucciones recibidas, y que conlleve a la mejora en temas de atención y servicio a los Grupos de Interés de la entidad.
3.	Brindar apoyo en el seguimiento y control al cumplimiento de acuerdos de servicio definidos en el contrato de atención al usuario 2022-0770 de los distintos canales de atención y gestión implementados por la entidad.
4.	Preparar, analizar y consolidar la información necesaria para la elaboración de informes de gestión relacionados con la ejecución del objeto del contrato. 
5.	Plantear alternativas de solución frente a situaciones que se presenten en el desarrollo de las funciones de la Oficina Comercial y de Mercadeo y que mejoren la percepción por parte de los Grupos de Interés en cuanto a la atención y el servicio de la entidad. 
6.	Participar en el fortalecimiento de la estrategia de atención según el perfilamiento de los beneficiarios y ciudadanos, conforme a las características de la población y la caracterización de los ciudadanos establecida por el Departamento Nacional de Planeación. 
7.	Contribuir por medio de conceptos técnicos a la documentación de los procesos y procedimientos de la entidad, asegurando el cumplimiento de indicadores, planes de acción, planes de mejora, informes, auditorías de calidad, auditorías externas e internas, eventos de riesgos y demás aspectos derivados del ejercicio de control y autocontrol de los macroprocesos de la Oficina Comercial y de Mercadeo.
8.	Participar en las diferentes capacitaciones, talleres, reuniones y sesiones que sean convocados por la entidad, de los cuales se deriven los conocimientos y aprendizajes para el cumplimiento del objeto del contrato o donde se requieran los conocimientos técnicos, operativos y/o especializados para el seguimiento de la mejora continua, automatización, innovación, satisfacción y experiencia de los grupos de interés de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</si>
  <si>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20243030001898-I Id: 4159423</t>
  </si>
  <si>
    <t>4.175</t>
  </si>
  <si>
    <t>2024-0536</t>
  </si>
  <si>
    <t>CD-535-2024</t>
  </si>
  <si>
    <t>ALEXANDRA MARIA GOMEZ BETTIN </t>
  </si>
  <si>
    <t>PRESTAR LOS SERVICIOS PROFESIONALES ESPECIALIZADOS PARA ACOMPAÑAMIENTO Y APOYO EN EL DISEÑO, IMPLEMENTACIÓN, EJECUCIÓN, Y DEFINICIÓN DE ESTRATEGIAS COMERCIALES A PARTIR DE LOS RESULTADOS OBTENIDOS EN LA INVESTIGACIÓN DE MERCADOS</t>
  </si>
  <si>
    <t>CDEF-0248-2024</t>
  </si>
  <si>
    <t xml:space="preserve">1.	Elaborar y entregar plan de trabajo y cronograma de actividades para aprobación de la supervisión del contrato, de conformidad con las estipulaciones contractuales. 
2.	Proponer y ejecutar estrategias comerciales del producto asignado, en el marco del proceso de comercialización del portafolio de productos de ICETEX, las cuales deben ser avaladas por quien realice las labores de dirección comercial y por la supervisión del contrato. 
3.	Proponer procedimientos, estrategias y mecanismos para la optimización y mejora de la etapa asignada en el funnel de ventas o marketing del ICETEX. 
4.	Realizar el análisis, medición y seguimiento a los resultados obtenidos en la etapa asignada en el funnel de ventas o marketing de la Entidad, identificando novedades y oportunidades de mejora. 
5.	Gestionar la implementación de acciones correctivas o de mejora a la etapa asignada en el funnel de ventas o marketing de la Entidad.  
6.	Apoyar el seguimiento y control a la incorporación de la información y actividades comerciales realizadas por las territoriales en el Costumer Relationship Management (CRM) de la Entidad, generando un informe mensual de las actividades realizadas y los resultados obtenidos. 
7.	Realizar el acompañamiento en eventos comerciales cuando sea requerido por la dirección comercial o el supervisor del contrato. 
8.	Apoyar la supervisión de los contratos, en caso de ser requerido por la supervisión del contrato, desde el punto de vista técnico, administrativo, financiero y contable, de conformidad con lo establecido en el Manual de Contratación de la Entidad.  
9.	Realizar las labores de acompañamiento en reuniones o comités, de conformidad con las necesidades de la entidad y la designación de supervisor del contrato. 
10.	Las demás que sean inherentes para el logro del objeto contratado, asignadas por la supervisión del contrato.
</t>
  </si>
  <si>
    <t>20243030001902-I Id: 4159521</t>
  </si>
  <si>
    <t>11.77</t>
  </si>
  <si>
    <t>2024-0537</t>
  </si>
  <si>
    <t>CD-536-2024</t>
  </si>
  <si>
    <t>EDUARDO ANDRES VARGAS TIRADO</t>
  </si>
  <si>
    <t xml:space="preserve">PRESTACIÓN DE SERVICIOS PROFESIONALES ESPECIALIZADOS EN INGENIERÍA PARA LA GESTIÓN, CONFIGURACIÓN Y SOPORTE FUNCIONAL Y TÉCNICO DEL SERVICIO CORE BANCARIO DE ICETEX
</t>
  </si>
  <si>
    <t>CDEF-0684-2024</t>
  </si>
  <si>
    <t xml:space="preserve">1.	Apoyar en el desarrollo, parametrización, pruebas, implementación y mantenimiento del sistema CORE Bancario de ICETEX, asegurando su funcionalidad, seguridad y rendimiento óptimo durante todo el ciclo de vida del software.
2.	Proporcionar soporte técnico y funcional continuo a los usuarios internos y externos del CORE Bancario, resolviendo problemas, brindando asistencia en el uso del sistema y garantizando la satisfacción del cliente.
3.	Identificar oportunidades de mejora en los procesos relacionados con el CORE Bancario y proponer soluciones innovadoras para optimizar la eficiencia operativa y la calidad del servicio
4.	Implementar y mantener medidas de seguridad robustas para proteger la integridad, confidencialidad y disponibilidad de los datos del CORE Bancario, cumpliendo con los estándares de seguridad de la industria, los lineamientos de arquitectura de la entidad, las políticas, principios, estándares y buenas prácticas establecidas en la Entidad y MinTic pertinentes.
5.	Apoyar la gestión del ciclo de vida de los cambios y configuraciones en el CORE Bancario, asegurando el cumplimiento de los procesos adecuados de autorización, prueba y documentación para minimizar el impacto en el servicio
6.	Colaborar en el diseño y ejecución de una estrategia integral de gestión del conocimiento, orientada a preparar y capacitar al personal involucrado en el uso, administración y soporte del CORE Bancario que asegure la divulgación constante de las actualizaciones que se realizan sobre la solución tecnológica y garantizar la actualización constante de la documentación pertinente, incluyendo manuales de administración, usuario y técnico del sistema CORE Bancario.
7.	Colaborar en la identificación de tendencias, áreas de mejora y oportunidades de optimización de la solución CORE BANCARIO, mediante la recolección, análisis y presentación de métricas de desempeño claves relacionadas, incluyendo la disponibilidad del sistema, tiempos de respuesta, incidencias resueltas y satisfacción del usuario.
8.	Facilitar la colaboración integral entre las diversas áreas de negocio de ICETEX y establecer relaciones sólidas con proveedores externos de servicios relacionados con el CORE Bancario, con el fin de garantizar una ejecución precisa de las etapas de entendimiento y definición de las necesidades empresariales definidas por las áreas misionales y/o de apoyo enfocadas en asegurar la continuidad operativa.
</t>
  </si>
  <si>
    <t>20243030001909-I Id: 4159670</t>
  </si>
  <si>
    <t>2024-0538</t>
  </si>
  <si>
    <t>11.123</t>
  </si>
  <si>
    <t>2024-0539</t>
  </si>
  <si>
    <t>CD-538-2024</t>
  </si>
  <si>
    <t>ELIANA KATHERINE CHACON BARRERA</t>
  </si>
  <si>
    <t>CDEF-0649-2024</t>
  </si>
  <si>
    <t xml:space="preserve">. Realizar las conciliaciones de la cartera del ICETEX, según las necesidades y actividades tendientes al cumplimiento de los procedimientos de Administración de la Cartera. 
2.	Asegurar el cierre de la conciliación asignada, con el mínimo de diferencias; así mismo que se vea reflejado en la cartera como en la contabilidad cuando este se requiera o según lo establecido en los convenios del ICETEX. 
3.	Gestionar actividades de mejora para la conciliación de la cartera e IES e identificar las necesidades de estructuración e implementación de cambios en la operación. 
4.	Reportar situaciones evidenciadas en la cartera que estén generando inconsistencias y realizar seguimiento a los requerimientos tecnológicos u otros, hasta su solución requerida. 
5.	Responder a los requerimientos internos y externos en el tiempo establecido de la gestión del grupo de operaciones. 
6.	Acudir a las reuniones citadas para la supervisión del contrato o que estén relacionadas con el objeto de este.
</t>
  </si>
  <si>
    <t>20243030001927-I Id: 4159976</t>
  </si>
  <si>
    <t>11.145</t>
  </si>
  <si>
    <t>2024-0540</t>
  </si>
  <si>
    <t>CD-539-2024</t>
  </si>
  <si>
    <t>BRENDA CAROLINA JIMENEZ HOYOS</t>
  </si>
  <si>
    <t>PRESTACIÓN DE SERVICIOS PROFESIONALES ESPECIALIZADOS PARA LA CONCILIACIÓN, DEPURACIÓN, INTEGRACIÓN DE INFORMACIÓN DE LA CARTERA, PARA LA CONSOLIDACIÓN DE LA INFORMACIÓN CONTABLE Y FINANCIERA DE ALIADOS ESTRATÉGICOS, DE ACUERDO CON LAS NORMAS Y REGULACIONES EN EL ICETEX</t>
  </si>
  <si>
    <t>CDEF-0645-2024</t>
  </si>
  <si>
    <t xml:space="preserve">1. Ejecutar las actividades tendientes al cumplimiento de la conciliación IES Largo Plazo de la cartera de la Entidad, atendiendo los procedimientos adoptados en el sistema de gestión de calidad del ICETEX o lo establecido por la misma. 
2.	Asegurar la conciliación IES Largo Plazo  de las cuentas asignadas, con el fin de que el ajuste este reflejado tanto en la cartera como en la contabilidad. 
3.	Proponer y ejecutar actividades de mejora al Grupo de Operaciones e identificar las necesidades de estructuración e implementación de cambios en la operación. 
4. 	Generar informe ejecutivo mensual con el resultado de la conciliación IES Largo Plazo  del mes vencido, el cual debe ser presentado al supervisor indicando mejoras y avances del procedimiento de conciliación.  
5.	Responder a los requerimientos internos y externos del Grupo de Operaciones en el tiempo establecido. 
6.  Acudir a las reuniones citadas para la supervisión del contrato o que estén relacionadas con el objeto del mismo.
</t>
  </si>
  <si>
    <t>20243030001925-I Id: 4159964</t>
  </si>
  <si>
    <t>2024-0541</t>
  </si>
  <si>
    <t>4.127</t>
  </si>
  <si>
    <t>2024-0542</t>
  </si>
  <si>
    <t>CD-541-2024</t>
  </si>
  <si>
    <t>LEIDY JOHANNA ECHEVERRY LEDESMA</t>
  </si>
  <si>
    <t>BUENAVENTURA</t>
  </si>
  <si>
    <t>CDEF-0110-2024</t>
  </si>
  <si>
    <t>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t>
  </si>
  <si>
    <t>20243030001912-I Id: 4159756</t>
  </si>
  <si>
    <t>11.166</t>
  </si>
  <si>
    <t>2024-0543</t>
  </si>
  <si>
    <t>CD-542-2024</t>
  </si>
  <si>
    <t>CARLOS JAVIER LINDO HERNANDEZ</t>
  </si>
  <si>
    <t>CDEF-0650-2024</t>
  </si>
  <si>
    <t>20243030001986-I Id: 4160657</t>
  </si>
  <si>
    <t>11.185</t>
  </si>
  <si>
    <t>2024-0544</t>
  </si>
  <si>
    <t>CD-543-2024</t>
  </si>
  <si>
    <t>JUANA GARCIA POVEDA</t>
  </si>
  <si>
    <t xml:space="preserve">PRESTACIÓN DE SERVICIOS PROFESIONALES ESPECIALIZADOS PARA LA GESTIÓN DE PROYECTOS EN EL ÁMBITO TECNOLÓGICO CON ALINEACIÓN AL CICLO DE MEJORA CONTINUA PARA EL ICETEX. </t>
  </si>
  <si>
    <t>CDEF-0696-2024</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</si>
  <si>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de los compromisos establecidos y la gestión de recursos asignados a cada uno de los proyectos, por medio de las herramientas definidas y el debido proceso establecido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Generar las alertas que afecten los proyectos asignados oportunamente e implementar el respectivo plan de mitigación que busque el cumplimiento de los planes establecidos., 
8.	Realizar apoyo a la supervisión a través del seguimiento y control de la ejecución contractual, la gestión financiera y el cumplimiento de la aplicación de los Acuerdos de Niveles de Servicio definidos en los contratos asignados.
</t>
  </si>
  <si>
    <t>20243030001993-I Id: 4160801</t>
  </si>
  <si>
    <t>2024-0545</t>
  </si>
  <si>
    <t>2024-0546</t>
  </si>
  <si>
    <t>9.37</t>
  </si>
  <si>
    <t>2024-0547</t>
  </si>
  <si>
    <t>CD-546-2024</t>
  </si>
  <si>
    <t>ANA MARIA GONZALEZ BORRERO</t>
  </si>
  <si>
    <t>PRESTAR LOS SERVICIOS PROFESIONALES ESPECIALIZADOS PARA EL RELACIONAMIENTO E INCLUSIÓN SOCIAL DEL ICETEX, CON LAS DIFERENTES PARTES INTERESADAS (IES, ALIADOS ESTRATÉGICOS, SECTOR PÚBLICO, SECTOR PRIVADO Y AGREMIACIONES), CORRESPONDIENTES A TEMAS DE LA VICEPRESIDENCIA DE CRÉDITO Y COBRANZA.</t>
  </si>
  <si>
    <t>CDEF-0136-2024</t>
  </si>
  <si>
    <t>IG 2001020600012</t>
  </si>
  <si>
    <t xml:space="preserve">1.	Implementar y ejecutar plan de trabajo mensual detallando las partes interesadas a trabajar, fechas, ciudades y las actividades a realizar, metodología y cronograma.
2.	Realizar el seguimiento y control de las actividades a desarrollar con Instituciones de Educación Superior, sector público, sector privado y agremiaciones, en los temas competencia de la Vicepresidencia de Crédito y Cobranza. 
3.	Realizar planes estratégicos comerciales y de relacionamiento con Instituciones de Educación Superior, sector público, sector privado y agremiaciones, desarrollando los correspondientes documentos de planeación y estrategia que requiera el área para ampliar la cobertura. 
4.	Acompañar al vicepresidente o su delegado a las mesas de trabajo que se realicen con los Instituciones de Educación Superior, sector público, sector privado y agremiaciones, en los temas competencia de la Vicepresidencia de Crédito y Cobranza, preparando la información que se requiera en los temas competencia del área.
5.	Revisar, analizar y proponer planes de acción y actividades a seguir en los casos en que se requiera transición o renovación de los convenios vigentes del ICETEX con Instituciones de Educación Superior, sector público, sector privado y agremiaciones, en temas correspondientes a la Vicepresidencia de Crédito y Cobranza.
6.	Propender por el cumplimiento de la meta establecida por el área en el indicador operativo para el proceso de constitución de nuevas alianzas, nuevos convenios, nuevos acuerdos estratégicos.
7.	Presentar mensualmente al Vicepresidente el avance del proceso de Relacionamiento con Instituciones de Educación Superior, sector público, sector privado y agremiaciones.
8.	Asesorar en todo el tema de relacionamiento y comercialización, y /o todas las requeridas por el Vicepresidente de Crédito y Cobranza en asuntos que le sean asignados para apoyar la toma de decisiones.
9.	Conceptuar sobre la aplicación de normas y posicionamiento regional, local, central e internacional que competan a diferentes temas a cargo de la Vicepresidencia de Crédito y Cobranza.
10.	Asistir a las reuniones de seguimiento que requiera el vicepresidente, realizando el procedimiento establecido por la entidad y cumpliendo con el protocolo de bioseguridad.
11.	Concertar y realizar el análisis técnico para la constitución de nuevas alianzas de la VCC, que se suscriban con los distintos terceros (entidades Publicas y/o Privadas).
12.	Las demás que sean inherentes a la naturaleza del contrato, así como observar las recomendaciones dadas por el Supervisor del mismo para asegurar el cumplimiento de la finalidad del contrato.
</t>
  </si>
  <si>
    <t>MARÍA ALEJANDRA GARCÍA OSPINA</t>
  </si>
  <si>
    <t>20243030001983-I Id: 4160408</t>
  </si>
  <si>
    <t>13.47</t>
  </si>
  <si>
    <t>2024-0548</t>
  </si>
  <si>
    <t>CD-547-2024</t>
  </si>
  <si>
    <t>ERIC JAVIER HERNANDEZ VILLARRAGA</t>
  </si>
  <si>
    <t>PRESTAR SERVICIOS DE APOYO A LA GESTIÓN AL GRUPO DE DESARROLLO Y TRANSFORMACIÓN ORGANIZACIONAL DE LA SECRETARÍA GENERAL PARA LA ORGANIZACIÓN Y REALIZACIÓN DE LAS ACTIVIDADES PREVISTAS EN PROCESO DE FORTALECIMIENTO DE LA CULTURA ORGANIZACIONAL Y EL PLAN DE BIENESTAR E INCENTIVOS DE LE ENTIDAD EN EL MARCO DE LA POLÍTICA DE “GESTIÓN DEL TALENTO HUMANO"</t>
  </si>
  <si>
    <t>CDEF-0586-2024</t>
  </si>
  <si>
    <t xml:space="preserve"> TRANSFORMACION DE LA
ARQUITECTURA Y LA CULTURA ORGANIZACIONAL</t>
  </si>
  <si>
    <t xml:space="preserve">. Apoyar al Grupo de Desarrollo y Transformación Organizacional de la Secretaría General en la implementación de estrategias para la apropiación del Plan Estratégico Institucional mediante el uso de la lúdica. 
2. Apoyar al Grupo de Desarrollo y Transformación Organizacional de la Secretaría General del ICETEX en la implementación de estrategias para la apropiación del modelo de cultura del ICETEX. 
3. Brindar el Apoyo necesario al Grupo de Desarrollo y Transformación Organizacional de la Secretaría General del ICETEX en la implementación de estrategias de sensibilización y apropiación del modelo de Responsabilidad Social Institucional del ICETEX de manera articulada con el Modelo Institucional de Planeación y Gestión - MIPG de la entidad. 
4. Realizar el acompañamiento necesario para la gestión de las campañas de sensibilización para la apropiación del modelo de liderazgo propuesto para el ICETEX mediante la lúdica. 
5. Apoyar al Grupo de Desarrollo y Transformación Organizacional en la implementación de estrategias de sensibilización y apropiación del Código de Integridad y Código de Buen Gobierno de la entidad mediante el uso de la lúdica. 
6. Asistir y participar en reuniones técnicas y de comités que se requieran a lo largo de la ejecución del contrato.
7. Las demás asignadas por el Supervisor, relacionadas con el objeto y la naturaleza del contrato.
</t>
  </si>
  <si>
    <t>20243030002012-I Id: 4160982</t>
  </si>
  <si>
    <t>12.10</t>
  </si>
  <si>
    <t>2024-0549</t>
  </si>
  <si>
    <t>CD-548-2024</t>
  </si>
  <si>
    <t>RODRIGO IVÁN SEPULVEDA LÓPEZ</t>
  </si>
  <si>
    <t>PRESTAR LOS SERVICIOS PROFESIONALES ESPECIALIZADOS PARA EL MONITOREO DE LA EJECUCIÓN DEL PLAN SALVAGUARDAS PERTENECIENTE A LA LÍNEA DE CRÉDITO PACES Y NUEVAS FUENTES DE FINANCIACIÓN CON EL FIN DE GENERAR RECOMENDACIONES PARA LA TOMA DE DECISIONES EN EL MARCO DEL PROYECTO DE INVERSIÓN PARA LA DIVERSIFICACIÓN DE LAS FUENTES DE FONDEO</t>
  </si>
  <si>
    <t>CDEF-0312-2024</t>
  </si>
  <si>
    <t xml:space="preserve">
1.	Realizar la estructuración del marco conceptual que permita integrar el plan, de seguimiento y monitoreo de las Salvaguardas Sociales del proyecto PACES, los principios sociales y/o temáticos para el uso nuevas fuentes de fondeo, y todas aquellas iniciativas acordes a la normatividad y buenas prácticas aplicables. 
2.	Adelantar la articulación de las instancias internas y externas para elaboración de los insumos técnicos para el despliegue del plan de salvaguardas y plan estratégico, que permita la implementación de estándares, lineamientos y buenas prácticas en el marco del proyecto de diversificación de fuentes de fondeo. 
3.	Realizar la gestión de misiones y/o visitas de seguimiento, reportes e informes con organismos de cooperación internacional y/o banca multilateral con el fin de analizar los requerimientos, acciones afirmativas para el cumplimiento de salvaguardas y/o marcos conceptuales aplicables en el marco del proyecto de diversificación de fuentes de fondeo. 
4.	Apoyar en el desarrollo de grupos focales, entrevistas y demás instrumentos de recolección de información requeridos para el cumplimiento de los objetivos del estudio y de los lineamientos de la entidad, organismos de cooperación y/o banca multilateral, entre la temática se destacan finanzas sostenibles e inclusivas, equidad de género, banca abierta y transparente, entre otros. 
5.	Estructurar los documentos y presentaciones que evidencien el procesamiento de información, análisis, gráficas, estadísticas y metodologías necesarias para dar cumplimiento al plan de salvaguardas sociales y/ marcos conceptuales acordado con organismos de cooperación y/o banca multilateral. 
6.	Realizar el seguimiento, gestión y control al impacto de los recursos de los bonos colocados en el mercado de capitales por el ICETEX, del plan de salvaguardas y/ marcos conceptuales de organismos de cooperación y/o banca multilateral en el marco del proyecto de diversificación de fuentes de fondeo. 
7.	Realizar la socialización de los resultados, compromisos y lineamiento del plan de salvaguardas a través de la capacitación de funcionarios y colaboradores en materia de atención a poblaciones especiales. 
8.	Participar en las sesiones de los comités y/o mesas de trabajo que se realicen en el desarrollo de los proyectos de inversión para la diversificación de Fuentes de Fondeo de ICETEX. 
9.	Cumplir con los indicadores de gestión establecidos. 
10.	Las demás obligaciones que se requieran para el cumplimiento a cabalidad del objeto del contrato y que sean inherentes a la naturaleza del contrato. 
</t>
  </si>
  <si>
    <t>20243030002028-I Id: 4161081</t>
  </si>
  <si>
    <t>11.89</t>
  </si>
  <si>
    <t>2024-0550</t>
  </si>
  <si>
    <t>CD-549-2024</t>
  </si>
  <si>
    <t>LIZETH KARINA QUIROGA GARZON</t>
  </si>
  <si>
    <t>PRESTACIÓN DE SERVICIOS PROFESIONALES PARA ORIENTAR, MONITOREAR, CONTROLAR Y MEJORAR LA ATENCIÓN DE NECESIDADES DE CUMPLIMIENTO NORMATIVO A CARGO DEL ICETEX</t>
  </si>
  <si>
    <t>CDEF-0634-2024</t>
  </si>
  <si>
    <t xml:space="preserve">. Asistir a comités o reuniones relacionadas con el análisis y levantamiento de nuevas necesidades tecnológicas requeridas por las áreas misionales
2. Realizar el seguimiento y apoyo permanente en cada uno de los requerimientos levantamiento, análisis, prototipado, verificación y pruebas en los componentes de software para el desarrollo de proyectos; con la firma del contrato se entienden cedidos todos los derechos patrimoniales derivados de ejecución de las actividades establecidas en el presente documento
3. Guiar los análisis de viabilidad, costo, beneficio e impactos de alto nivel de las posibles soluciones tecnológicas alternativas con las que se pueden atender nuevas necesidades de negocio.
4. Entregar a corte mensual informes que contengan los avances realizados con la  evidencia de los requerimientos entregados, requerimientos debidamente aprobados por los interesados, las actas de reunión de levantamiento de requerimientos, los documentos de historias de usuario, épicas y el porcentaje de cumplimiento de las actividades proyectadas
5. Aplicar las mejores prácticas para el levantamiento y revisión de los requerimientos, cumpliendo con los estándares y lineamientos establecidos en la entidad
6. Cumplir con el cronograma establecido para la fase de levantamiento de requerimientos de los componentes entregados a su cargo, como parte de las estrategias para el desarrollo del proyecto de Transformación digital
7. Realizar las actualizaciones para los diferentes requerimientos en la herramienta de Azure DevOps o la solicitada por la supervisión del contrato. 
8. Documentar las necesidades tecnológicas con el fin de ser validadas por el equipo de arquitectura.
</t>
  </si>
  <si>
    <t>20243030002049-I Id: 4161402</t>
  </si>
  <si>
    <t>11.74</t>
  </si>
  <si>
    <t>2024-0551</t>
  </si>
  <si>
    <t>CD-550-2024</t>
  </si>
  <si>
    <t>DIANA MARIA GOMEZ REY</t>
  </si>
  <si>
    <t>"PRESTACIÓN DE SERVICIOS PROFESIONALES PARA EL ANÁLISIS, MODELAMIENTO, GESTIÓN Y SEGUIMIENTOS DE REQUERIMIENTOS FUNCIONALES NO FUNCIONALES, E INICIATIVAS PARA EL GRUPO DE DATOS E INFORMACIÓN."</t>
  </si>
  <si>
    <t>CDEF-0663-2024</t>
  </si>
  <si>
    <t>COORDINADOR(A) GRUPO DE DATOS E INFORMACIÓN</t>
  </si>
  <si>
    <t xml:space="preserve">1. Apoyar al equipo de la Coordinación de Datos e Información, en la identificación de necesidades, el diseño y el seguimiento de los procedimientos para la gestión de datos.
2. Desarrollar, acompañar y realizar mesas de trabajo con los diferentes interesados para asegurar el alcance de los requerimientos e iniciativas a cargo de la Coordinación de Datos e Información orientadas a las necesidades definidas por las áreas funcionales, como su definición de especificación, alcance, aprobación e implementación de las mismas. 
3. Administrar, gestionar y realizar seguimiento continuo a la aplicación dispuesta para la consulta de reportes de información definido Coordinación de Datos e Información, garantizado el cumplimiento de acceso a datos y los estándares definidos.
4. Elaborar los informes técnicos necesarios para sustentar la toma de decisiones que deba adoptar la entidad, en el cumplimiento de las metas a cargo de la Coordinación de Datos e Información.
5. Apoyar a la Coordinación de Datos e Información en la mejora continua mediante la formulación de iniciativas que tengan como objetivo resolver problemas asociados a incidentes de servicio recurrentes.
6. Garantizar la gestión para realizar el análisis, definición, diseño y seguimiento de la publicación de los conjuntos de datos en Datos abiertos, así como el desarrollo de todas las actividades relacionadas al mismo que correspondan a la Coordinación de Datos e Información.
7. Apoyar las actividades de levantamiento de información que se realiza a través de los roles de análisis de negocio.
8. Las demás actividades definidas por la Coordinación de Datos e Información, inherentes al objeto y la naturaleza del Contrato, que resulten necesarias e indispensables para el cabal cumplimiento de las funciones de la coordinación, así como proveer a sí mismo el equipo de cómputo adecuado para ejecutar las funciones encargadas.
</t>
  </si>
  <si>
    <t>20243030002044-I Id: 4161382</t>
  </si>
  <si>
    <t>2024-0552</t>
  </si>
  <si>
    <t>CD-551-2024</t>
  </si>
  <si>
    <t>901167074-0</t>
  </si>
  <si>
    <t>UNIDAD TECNOLOGICA DEL MAGDALENA MEDIO-UTEM</t>
  </si>
  <si>
    <t>ANGELICA YANETH VIDAL HERNANDEZ</t>
  </si>
  <si>
    <t>2024-0553</t>
  </si>
  <si>
    <t>CD-552-2024</t>
  </si>
  <si>
    <t>890104633-9</t>
  </si>
  <si>
    <t>UNIVERSIDAD SIMÓN BOLÍVAR</t>
  </si>
  <si>
    <t>JOSE RAFAEL CONSUEGRA MACHADO</t>
  </si>
  <si>
    <t>MARTHA BARRERO</t>
  </si>
  <si>
    <t>EL OBJETO DEL PRESENTE DOCUMENTO ES PRORROGAR EL PLAZO ESTABLECIDO EN LA CLÁUSULA QUINTA Y MODIFICAR EL “ANEXO B FÓRMULA APORTE IES” DEL ACUERDO ESTRATÉGICO NO. N.º 2024-0553, Y EXCLUIR DE LOS BENEFICIOS A LOS ASPIRANTES Y ESTUDIANTES DE LOS PROGRAMAS ESPECIALIZACIONES MÉDICOS QUIRÚRGICAS.</t>
  </si>
  <si>
    <t>11.37</t>
  </si>
  <si>
    <t>2024-0554</t>
  </si>
  <si>
    <t>CD-553-2024</t>
  </si>
  <si>
    <t>830099766-1</t>
  </si>
  <si>
    <t>ARANDA SOFTWARE ANDINA S.A.S.</t>
  </si>
  <si>
    <t>LYDA BEATRIZ BUITRAGO TELLEZ</t>
  </si>
  <si>
    <t xml:space="preserve">RENOVACIÓN DE SOPORTE DE LICENCIAMIENTO DE LA SUITE HERRAMIENTA DE GESTIÓN T.I ARANDA DEL ICETEX. </t>
  </si>
  <si>
    <t>CDEF-0571-2024</t>
  </si>
  <si>
    <t>MANTENIMIENTO DE SOFTWARE Y SUMINISTRO DE I</t>
  </si>
  <si>
    <t>20243030001938-I Id: 4160090</t>
  </si>
  <si>
    <t>11.158</t>
  </si>
  <si>
    <t>2024-0555</t>
  </si>
  <si>
    <t>CD-554-2024</t>
  </si>
  <si>
    <t>NIDIA DEL PILAR NUÑEZ RODRIGUEZ</t>
  </si>
  <si>
    <t>PRESTACIÓN DE SERVICIOS TÉCNICOS QUE BRINDE APOYO INTEGRAL EN EL PROCESO DE ADMINISTRACIÓN DE CARTERA Y TERMINACIÓN Y CUMPLIMIENTO DE LAS OBLIGACIONES CREDITICIAS CORRESPONDIENTES AL GRUPO DE OPERACIONES, CONTRIBUYENDO AL CUMPLIMIENTO DE LOS OBJETIVOS DEL ÁREA</t>
  </si>
  <si>
    <t>CDEF-0681-2024</t>
  </si>
  <si>
    <t xml:space="preserve">Apoyar en el análisis y gestión de las peticiones, quejas, reclamos y solicitudes, radicados al Grupo de Operaciones, de acuerdo con los procesos de Administración de Cartera, y Terminación o Cumplimiento de las Obligaciones Crediticias. 
2. Apoyar la atención de los requerimientos internos y externos en el tiempo establecido correspondientes al Grupo de Operaciones; así como PQRS, SIC, defensor del consumidor financiero u otros.
 3. Apoyar en las actividades de ajuste de los créditos en los aplicativos de información de la cartera y aplicación de novedades que se requieran, durante el plazo del contrato. 
4. Brindar apoyo operativo en el seguimiento del crédito que presenten ajuste tecnológico hasta asegurar la estabilización de este. 
5. Acudir a las reuniones citados para la supervisión del contrato o que estén relacionadas con el objeto de este.
</t>
  </si>
  <si>
    <t>20243030002042-I Id: 4161362</t>
  </si>
  <si>
    <t>11.75</t>
  </si>
  <si>
    <t>2024-0556</t>
  </si>
  <si>
    <t>CD-555-2024</t>
  </si>
  <si>
    <t>DONALDO JOSE LACERA DIAZ</t>
  </si>
  <si>
    <t>PRESTACIÓN DE SERVICIOS PROFESIONALES ESPECIALIZADOS EN INGENIERÍA PARA LA ADMINISTRACIÓN Y GESTIÓN DE LA LIBERACIÓN Y ENTREGA DE LOS PROYECTOS INFORMÁTICOS DEL GRUPO DE DATOS E INFORMACIÓN, GARANTIZANDO LOS LINEAMIENTOS DE ARQUITECTURA Y GOBIERNO DE DATOS</t>
  </si>
  <si>
    <t>CDEF-0665-2024</t>
  </si>
  <si>
    <t xml:space="preserve">1. Apoyar la Identificación de roles de Gobierno de Datos requeridos para garantizar los lineamientos de este.
2. Acompañar las definiciones e implementar indicadores para realizar seguimiento a las actividades de Gobierno de Datos.
3. Apoyar el desarrollo el marco objetivo, principios, políticas y procesos de gestión de datos verificando, monitoreando y asegurando que los desarrollos que pasen a producción cuenten con los lineamientos de gobierno de datos. 
4. Apoyar la definición e implementación de indicadores para realizar seguimiento a las actividades de Gobierno de Datos.
5. Apoyar la divulgación del mecanismo para la gestión de problemas relacionados con los datos.
6. Identificar las necesidades de recursos para la ejecución de los proyectos y apoyar a la dirección de tecnología en las gestiones requeridas para su consecución en lo relacionado a Gobierno de datos.
7. Presentar los informes técnicos necesarios para sustentar la toma de decisiones que deba adoptar la entidad en el gobierno de datos.
8. Las demás actividades definidas por la Coordinación de Datos e Información, inherentes al objeto y la naturaleza del Contrato, que resulten necesarias e indispensables para el cabal cumplimiento de las funciones de la coordinación, así como proveer a sí mismo el equipo de cómputo adecuado para ejecutar las funciones encargadas.
</t>
  </si>
  <si>
    <t>20243030002040-I Id: 4161351</t>
  </si>
  <si>
    <t>11.64</t>
  </si>
  <si>
    <t>2024-0557</t>
  </si>
  <si>
    <t>CD-556-2024</t>
  </si>
  <si>
    <t>EDNA LILIANA HERNANDEZ TRUJILLO.</t>
  </si>
  <si>
    <t>CDEF-0639-2024</t>
  </si>
  <si>
    <t xml:space="preserve">1.	Estimar, diseñar y validar casos de pruebas requeridos para asegurar la calidad de nuevas soluciones y/o nuevos desarrollos de Software.
2.	Realizar pruebas de aseguramiento de calidad de las iniciativas de desarrollo de nuevas soluciones y/o mantenimientos de software asignados, 
3.	Controlar la calidad de los entregables de los sistemas de información asignados y la oportunidad de los mismos, 
4.	Documentar las tareas de aseguramiento de calidad en la herramienta solicitada por la Dirección de Tecnología.
5.	Validar la aplicación de los procedimientos definidos por la dirección de tecnología para el desarrollo y/o mantenimiento de software, 
6.	Garantizar la aplicación de la metodología de desarrollo definida por el Icetex.
7.	Respaldar la realización de pruebas de carga y stress para los desarrollos ejecutados y asignados.
8.	Respaldar la ejecución de pruebas automatizadas para los desarrollos ejecutados y asignados.
</t>
  </si>
  <si>
    <t>20243030002035-I Id: 4161259</t>
  </si>
  <si>
    <t>11.96</t>
  </si>
  <si>
    <t>2024-0558</t>
  </si>
  <si>
    <t>CD-557-2024</t>
  </si>
  <si>
    <t>MARIO ALEJANDRO BOHORQUEZ BARRETO</t>
  </si>
  <si>
    <t>PRESTACIÓN DE SERVICIOS PROFESIONALES ESPECIALIZADOS EN INGENIERÍA PARA TRAMITAR SERVICIOS DE TI EN LA ESTRUCTURACIÓN Y PUESTA EN MARCHA DE MEJORAS A LOS SISTEMAS DE INFORMACIÓN Y OTROS COMPONENTES DE SOFTWARE DEL ICETEX</t>
  </si>
  <si>
    <t>CDEF-0632-2024</t>
  </si>
  <si>
    <t xml:space="preserve">1. Parametrizar, configurar y desarrollar ajustes de los sistemas de información asignados.
2. Verificar los criterios de calidad establecidos para los entregables de los Sistemas de Información asignados.
3. Documentar las tareas de migración de información en los sistemas de información asignados.
4. Realizar las actividades de soporte a usuarios funcionales de los sistemas de información y otros compontes de software de la Dirección de Tecnología.
5. Garantizar los ambientes de contingencia que permitan dar continuidad a las actividades a su cargo.
6. Hacer el seguimiento al soporte y soluciones de los proveedores tecnológicos para atender las solicitudes de las áreas misionales del ICETEX.
7. Elaborar y mantener actualizados los procedimientos y manuales de operación asignados.
8. Seguir los lineamientos para la gestión de servicios de TI establecidos por la Dirección de Tecnología.
9. Gestionar y coadyuvar en actividades que contribuyan al control de ejecución de contratos y que deban ser realizadas por el supervisor del mismo.
</t>
  </si>
  <si>
    <t>20243030002039-I Id: 4161341</t>
  </si>
  <si>
    <t>2024-0559</t>
  </si>
  <si>
    <t>CD-558-2024</t>
  </si>
  <si>
    <t>890901389-5</t>
  </si>
  <si>
    <t>UNIVERSIDAD EAFIT</t>
  </si>
  <si>
    <t>MARÍA PAOLA PODESTÁ
CORREA</t>
  </si>
  <si>
    <t>EL OBJETO DEL PRESENTE DOCUMENTO ES PRORROGAR EL PLAZO ESTABLECIDO EN LA CLÁUSULA QUINTA Y MODIFICAR EL "ANEXO B FÓRMULA APORTE IES" DEL ACUERDO ESTRATÉGICO No 2024-0559</t>
  </si>
  <si>
    <t>13.134</t>
  </si>
  <si>
    <t>2024-0560</t>
  </si>
  <si>
    <t>CD-559-2024</t>
  </si>
  <si>
    <t>LOUIS AMADEUS ARTEAGA BENAVIDES</t>
  </si>
  <si>
    <t>PRESTAR SERVICIOS PROFESIONALES PARA APOYAR LAS ACTIVIDADES REQUERIDAS PARA LA ADQUISICIÓN, ADECUACIÓN Y MANTENIMIENTO DE SEDES DEL ICETEX A NIVEL NACIONAL.</t>
  </si>
  <si>
    <t>CDEF-0615-2024</t>
  </si>
  <si>
    <t>ADECUACIÓN E INTERVENTORÍA PUNTOS DE ATENCIÓN</t>
  </si>
  <si>
    <t xml:space="preserve">
1.	Formular propuestas para el mantenimiento preventivo y correctivo relacionados con adecuaciones locativas y remodelaciones. 
2.	Apoyar la proyección de diseños arquitectónicos, requeridos para las obras de adecuación parcial o total de la infraestructura física de ICETEX. 
3.	Proponer el detallado de (renders), dibujos, bocetos, planos, especificaciones técnicas necesarias de los proyectos que se requieran. 
4.	Apoyar en el seguimiento en la ejecución, avance y adecuación de actividades de obra de la infraestructura física del ICETEX. 
5.	Proyectar informes y/o atención de PQRS o requerimientos de entes de control, relacionados con su objeto contractual. 
6.	Realizar informes semanales de ejecución, avance y adecuación de actividades de obra de la infraestructura física de la Entidad, que sean requeridos por parte del Coordinador del Grupo de Administración de Recursos Físicos, mediante la utilización de herramientas gráficas y que permitan tabular la información parcial y general para el debido seguimiento y control. 
7.	Apoyar en la revisión de las cuentas de cobro y/o facturas presentadas por los contratistas y/o proveedores, observando el cumplimiento previo de obligaciones establecidas desde su etapa precontractual, durante su ejecución y requeridas hasta la debida etapa de liquidación. 8. Participar activamente y desarrollar los apoyos en el seguimiento administrativo y técnico mediante la utilización de herramientas gráficas y programas de control y edición, de todos y cada uno de los proyectos de infraestructura que lidera el Grupo de Administración de Recursos Físicos, que sean requeridos por parte del supervisor del contrato. 
8.	Participar y asistir a todas las reuniones convocadas y relacionadas con la ejecución del contrato. 
9.	Apoyar en la elaboración de actas de inicio, actas de terminación y actas de liquidación de contratos que le sean asignados. 
10.	Adelantar el cargue en la herramienta documental de la entidad, de todos los documentos e insumos que se generen en su contrato y en todos aquellos en los que apoye a la supervisión. 
11.	Las demás obligaciones que sean acordes con el objeto contractual asignado por quien ejerza la función de la Supervisión del Contrato. 
</t>
  </si>
  <si>
    <t>20243030001991-I Id: 4160736</t>
  </si>
  <si>
    <t>11.105</t>
  </si>
  <si>
    <t>2024-0561</t>
  </si>
  <si>
    <t>CD-560-2024</t>
  </si>
  <si>
    <t>SALLY MERCEDES CARCAMO SOTO</t>
  </si>
  <si>
    <t>PRESTACIÓN DE SERVICIOS PROFESIONALES ESPECIALIZADOS EN INGENIERÍA PARA EL ANÁLISIS DE TENDENCIAS, TRASFORMACIÓN Y PUBLICACIÓN DE DATOS, PARA EL GRUPO DE DATOS E INFORMACIÓN.</t>
  </si>
  <si>
    <t xml:space="preserve">1.	Apoyar las actividades de levantamiento de información que se realiza a través de los roles de análisis de negocio.	
2.	Analizar, definir y realizar la definición de las nuevas necesidades que permita visualizar información de forma interactiva en tableros BI/BA, requeridos por las áreas misionales.	
3.	Realizar el seguimiento y apoyo permanente en cada uno de los tableros en construcción, garantizando el levantamiento de la documentación y cumpliendo con el proceso definido en la Dirección de Tecnología con relación la gestión de requerimientos.	
4.	Entregar a corte mensual informes que contengan los avances realizados con la evidencia de los requerimientos entregados y alineados con los lineamientos de Gobierno de datos donde se incluya la documentación, historias de usuario, épicas y el porcentaje de cumplimiento de las actividades proyectadas para cada uno de los tableros en construcción. 	
5.	Apoyar al equipo de la Coordinación de Datos e Información, en la divulgación, la capacitación y atención de inquietudes con relación a los tableros BI/BA construidos para las diferentes áreas de la entidad garantizando el uso de los mismo para los procesos de la entidad.	
6.	Llevar control de los datos estadísticos y de resultados de la entidad, elaboración de presentaciones, cuadros, gráficos y demás materiales con capacidades de inteligencia empresarial que permitan exponer los resultados y que sirvan como herramienta de información, gestión y control, de conformidad con los procedimientos establecidos.
7.	Garantizar la gestión de procesos de BIG DATA demandados por la Coordinación de Datos e Información para la calidad de los datos, el acceso a procesos de inteligencia de negocio y aplicaciones de análisis de datos, localización y disponibilidad de los datos que apoyen al mejoramiento de los procesos funcionales de la entidad.
</t>
  </si>
  <si>
    <t>20243030002043-I Id: 4161376</t>
  </si>
  <si>
    <t>4.155</t>
  </si>
  <si>
    <t>2024-0562</t>
  </si>
  <si>
    <t>CD-561-2024</t>
  </si>
  <si>
    <t>NOHORA LIGIA CARDOZO RODRIGUEZ</t>
  </si>
  <si>
    <t>CDEF-0269-2024</t>
  </si>
  <si>
    <t xml:space="preserve">1.	Apoyar el proceso de seguimiento al debido cumplimiento de las obligaciones contractuales por parte de las Instituciones de Educación Superior y demás aliados estratégicos en los convenios vigentes o en proceso de liquidación con el Icetex.
2.	Apoyar y asesorar a las Instituciones de Educación Superior y demás aliados estratégicos bajo supervisión de la Territorial Centro, en los debidos procesos y reportes de información a cargo de las IES, en respuesta a las obligaciones contractuales contenidas en los convenios vigentes o en proceso de liquidación con el ICETEX.
3.	Apoyar la realización y publicación de los reportes de seguimiento de las obligaciones contractuales por parte de las Instituciones de Educación Superior y demás aliados estratégicos en los convenios vigentes o en proceso de liquidación con el Icetex, según los procedimientos internos y en cumplimiento de la normativa vigente establecida. 
4.	Apoyar la ejecución de las estrategias comerciales y de servicio al cliente a cargo de la territorial en la región asignada, para el cumplimiento de las metas comerciales y de servicio del portafolio de la entidad a través de cualquier medio empleado para el cumplimiento de los objetivos comerciales (personalizada, telefónico, virtual, entre otros).
5.	Capacitar y asesorar a las comunidades en región, respecto al portafolio de servicios de ICETEX.
6.	Desplazarse a las diferentes ciudades del país, en caso de ser necesario para la debida ejecución del contrato, previa coordinación con el supervisor. 
7.	Consolidar, actualizar y registrar la información, documentación soporte y presentación de informes de las gestiones administrativas de la actividad comercial.
8.	Ejecutar los procedimientos operativos de las tareas asignadas a su cargo y adecuada gestión de los diferentes aplicativos de la entidad, tales como: a) correo electrónico, b) sistema mercurio, c) aplicativo cosmos, d) organización de archivo u otros asignados por su supervisor. 
9.	Realizar el debido proceso de gestión documental y envío al archivo único de la entidad de las actividades delegadas a su cargo.
10.	Colaborar con la ejecución de los distintos procedimientos administrativos a cargo de la territorial que hacen parte del Sistema de Gestión de calidad de la entidad. 
11.	Las demás que sean inherentes para el logro del objeto contratado, asignadas por el supervisor del contrato. 
</t>
  </si>
  <si>
    <t>20243030002060-I Id: 4161552</t>
  </si>
  <si>
    <t>11.148</t>
  </si>
  <si>
    <t>2024-0563</t>
  </si>
  <si>
    <t>CD-562-2024</t>
  </si>
  <si>
    <t>JOSE WILFRAN CASTILLO CUBILLOS</t>
  </si>
  <si>
    <t>CDEF-0680-2024</t>
  </si>
  <si>
    <t xml:space="preserve">1. Apoyar en el análisis y gestión de las peticiones, quejas, reclamos y solicitudes, radicados al Grupo de Operaciones, de acuerdo con los procesos de Administración de Cartera, y Terminación o Cumplimiento de las Obligaciones Crediticias. 
2. Apoyar la atención de los requerimientos internos y externos en el tiempo establecido correspondientes al Grupo de Operaciones; así como PQRS, SIC, defensor del consumidor financiero u otros.
 3. Apoyar en las actividades de ajuste de los créditos en los aplicativos de información de la cartera y aplicación de novedades que se requieran, durante el plazo del contrato. 
4. Brindar apoyo operativo en el seguimiento del crédito que presenten ajuste tecnológico hasta asegurar la estabilización de este. 
5. Acudir a las reuniones citados para la supervisión del contrato o que estén relacionadas con el objeto de este.
</t>
  </si>
  <si>
    <t>20243030002063-I Id: 4161620</t>
  </si>
  <si>
    <t>10.79</t>
  </si>
  <si>
    <t>2024-0564</t>
  </si>
  <si>
    <t>CD-563-2024</t>
  </si>
  <si>
    <t>JESSICA TATIANA DAVILA BARON</t>
  </si>
  <si>
    <t>CDEF-0426-2024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</si>
  <si>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</si>
  <si>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20243030002052-I Id: 4161428</t>
  </si>
  <si>
    <t>11.177</t>
  </si>
  <si>
    <t>2024-0565</t>
  </si>
  <si>
    <t>CD-564-2024</t>
  </si>
  <si>
    <t>ANDRES MAURICIO VALBUENA SALDAÑA</t>
  </si>
  <si>
    <t>CDEF-0688-2024</t>
  </si>
  <si>
    <t xml:space="preserve">Diseñar, desarrollar e implementar nuevas soluciones informáticas para soporta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metodología "agile" definida por el Icetex en el desarrollo de los Sprin
</t>
  </si>
  <si>
    <t>20243030002081-I Id: 4161913</t>
  </si>
  <si>
    <t>4.126</t>
  </si>
  <si>
    <t>2024-0566</t>
  </si>
  <si>
    <t>CD-565-2024</t>
  </si>
  <si>
    <t>YESSIKA ADRIANA BELTRAN ZAMBRANO</t>
  </si>
  <si>
    <t>MOCOA</t>
  </si>
  <si>
    <t>CDEF-0109-2024</t>
  </si>
  <si>
    <t>20243030002096-I Id: 4216372</t>
  </si>
  <si>
    <t>2024-0567</t>
  </si>
  <si>
    <t>CD-566-2024</t>
  </si>
  <si>
    <t>860015542-6</t>
  </si>
  <si>
    <t>UNIVERSIDAD DE LA SALLE</t>
  </si>
  <si>
    <t>NIKY ALEXANDER MURCIA SUAREZ</t>
  </si>
  <si>
    <t>EL OBJETO DEL PRESENTE DOCUMENTO ES PRORROGAR EL PLAZO ESTABLECIDO EN LA CLÁUSULA QUINTA, MODIFICAR EL ANEXO Y LA CLÁUSULA CUARTA “DESCUENTO Y APLICACIÓN DEL APORTE” DEL ACUERDO ESTRATÉGICO NO. 2024-0567</t>
  </si>
  <si>
    <t>13.127</t>
  </si>
  <si>
    <t>2024-0568</t>
  </si>
  <si>
    <t>CD-567-2024</t>
  </si>
  <si>
    <t>ANDREA LISETH VASCO CHIVATA</t>
  </si>
  <si>
    <t>PRESTAR LOS SERVICIOS PROFESIONALES ESPECIALIZADOS EN EL DESARROLLO Y EJECUCIÓN TÉCNICA DEL PROYECTO DE INVERSIÓN DENOMINADO MEJORAMIENTO DE SEDES CORRESPONDIENTE A LA GESTIÓN DEL GRUPO DE ADMINISTRACIÓN DE RECURSOS FÍSICOS PARA EL MANTENIMIENTO Y MEJORA DE LA INFRAESTRUCTURA TENDIENTE A CONTRIBUIR Y MEJORAR LA OPORTUNIDAD DE LOS SERVICIOS QUE PRESTA LA ENTIDAD.</t>
  </si>
  <si>
    <t>CDEF-0178-2024</t>
  </si>
  <si>
    <t>ADECUACIÓN E INTERVENTORÍA PUNTOS DE ATE</t>
  </si>
  <si>
    <t>IG 332113022001</t>
  </si>
  <si>
    <t xml:space="preserve">1.	Prestar asesoría técnica al Grupo de Administración de Recursos Físicos y las demás áreas y/o dependencias adscritas al ICETEX, en los asuntos designados por la Secretaría General. 2. Participar en reuniones y/o comités técnicos en apoyo al Grupo Administración de Recursos Físicos, en los asuntos designados por la Secretaría General. 
2.	Brindar apoyo a la coordinación en la gestión técnica adelantada por el Grupo de Administración de Recursos Físicos. 4. Apoyar en el seguimiento y trámites pertinentes relacionados con licencias y/o permisos de construcción según requiera el ICETEX en sus sedes a nivel nacional, velando por el cumplimiento de las obligaciones técnicas de los contratos, convenios y consultorías de obras civil que se deriven según requiera la infraestructura de la entidad. 
3.	Coadyuvar en la definición técnica que permita soportar la adquisición, venta, arrendamiento y/o comodato de bienes inmuebles para las sedes del ICETEX a nivel nacional. 
4.	Apoyar la ejecución y desarrollo de las actividades inherentes a los procesos de reparaciones locativas y mantenimientos de las diferentes sedes a nivel nacional. 
5.	Apoyar en la estructuración, elaboración de los documentos técnicos, planes de ejecución presupuestal y estudios previos para los procesos de contratación que deba adelantar el Grupo de Administración de Recursos Físicos, de conformidad con las normas de contratación aplicables al ICETEX. 
6.	Acompañar y apoyar al Grupo de Administración de Recursos Físicos en el control y seguimiento de proyectos en ejecución o ya ejecutados, prestando asesoría técnica objetiva ante potenciales reclamaciones que afecten los intereses de la entidad. 
7.	Realizar las visitas de inspección, así como la evaluación del estado físico de las instalaciones arquitectónicas y civiles de los Puntos de Atención del ICETEX a nivel nacional cuando el supervisor lo solicite. 
8.	Apoyar en la elaboración de actas de inicio, actas de terminación y actas de liquidación de contratos que le sean asignados. 
9.	Cumplir con los indicadores de gestión establecidos. 
10.	 Analizar, revisar y liderar los Estudios de los predios existentes de la Entidad a nivel Nacional 
11.	Las demás obligaciones que se requieran para el cumplimiento a cabalidad del objeto contractual y que sean inherentes a la naturaleza del contrato.
</t>
  </si>
  <si>
    <t>20243030002104-I Id: 4216510</t>
  </si>
  <si>
    <t>13.154</t>
  </si>
  <si>
    <t>2024-0569</t>
  </si>
  <si>
    <t>CD-568-2024</t>
  </si>
  <si>
    <t>CINDY JOHANA GONZÁLEZ LUQUE</t>
  </si>
  <si>
    <t>PRESTAR SERVICIOS PROFESIONALES PARA APOYAR TÉCNICAMENTE EL PROCESO ADMINISTRACIÓN DE PERSONAL Y PROCESO DE RECONOCIMIENTO Y PAGO DE GASTOS DE VIAJE Y DESPLAZAMIENTO DE LOS COLABORADORES DE LA ENTIDAD EN EL MARCO DE LAS COMISIONES DE SERVICIO, ASÍ COMO REALIZAR EL RESPECTIVO SEGUIMIENTO A LA EJECUCIÓN PRESUPUESTAL</t>
  </si>
  <si>
    <t>CDEF-0622-2024</t>
  </si>
  <si>
    <t xml:space="preserve">IG312001020300012 </t>
  </si>
  <si>
    <t xml:space="preserve">1. Realizar el proceso de reconocimiento y pago de gastos de viaje y desplazamiento para los colaboradores del ICETEX, de acuerdo con la normativa vigente y los procedimientos establecidos y disponer la organización de los archivos para iniciar el proceso de gestión documental.
2. Generar la liquidación de viáticos y gastos de viaje acorde con la normatividad vigente, los procedimientos y lineamientos de la entidad, así como proyectar los correspondientes actos administrativos.
3. Realizar la generación de órdenes de pago correspondientes a los viáticos que se deben reconocer a los colaboradores que en el marco de sus funciones les fue autorizadas comisiones de servicio y llevar el control de los pagos realizados.
4. Parametrizar, cuando sea el caso, y alimentar permanentemente la base de datos de comisiones de servicio acorde con los lineamientos impartidos.
5. Resolver las consultas, peticiones, quejas y reclamos que formulen los colaboradores de la entidad sobre el proceso reconocimiento y pago de gastos de viaje y desplazamiento.
6. Realizar el seguimiento de la legalización del informe de comisión de acuerdo con los procedimientos establecidos y disponer la organización de los archivos para iniciar el proceso de gestión documental.
7. Realizar el seguimiento presupuestal de la ejecución de los rubros relacionados con viáticos y pasajes y presentar periódicamente los informes que le sean requeridos, alertando sobre agotamiento de los recursos.
8. Apoyar en las actividades inherentes a la ejecución del contrato suscrito por la entidad para la adquisición de tiquetes aéreos. 
9. Generar los informes en el marco de proceso de reconocimiento y pago de gastos de viaje y desplazamiento sean requeridos por la secretaría General, Control Interno y demás entes.
10. Apoyar en la preparación y consolidación de informes de actividades relacionadas con su objeto contractual.
11. Apoyar las actividades relacionadas con su objeto y que le sean requeridas por su supervisor.
</t>
  </si>
  <si>
    <t>20243030002083-I Id: 4216182</t>
  </si>
  <si>
    <t>11.184</t>
  </si>
  <si>
    <t>2024-0570</t>
  </si>
  <si>
    <t>CD-569-2024</t>
  </si>
  <si>
    <t>LUIS FERNANDO BARAJAS DUARTE</t>
  </si>
  <si>
    <t>"PRESTAR LOS SERVICIOS PROFESIONALES PARA APOYAR A LA VICEPRESIDENCIA DE OPERACIÓN Y TECNOLOGÍA EN LA DEFINICIÓN, ARTICULACIÓN, DISEÑO E IMPLEMENTACIÓN DE LOS SERVICIOS DE INTEROPERABILIDAD, SIGUIENDO LOS LINEAMIENTOS ESTABLECIDOS POR MINTIC Y EL ICETEX PARA LA INTEGRACIÓN CON LOS SISTEMAS INTERNOS Y LAS ENTIDADES EXTERNAS GARANTIZANDO LA OPERACIÓN DE LOS PROCESOS MISIONALES Y NO MISIONALES.
"</t>
  </si>
  <si>
    <t>CDEF-0695-2024</t>
  </si>
  <si>
    <t xml:space="preserve">1.	Garantizar la implementación del Marco de Interoperabilidad del Estado Colombiano en el ICETEX, a través del modelo de madurez de MinTIC, incluyendo la prestación del Servicio Ciudadano Digital de Interoperabilidad, usando la capa de seguridad de X-ROAD.
2.	Apoyar técnicamente a la Vicepresidencia de Operación y Tecnología en la definición de estándares y protocolos de interoperabilidad, asegurando que los diferentes sistemas puedan interoperar de manera eficaz para el ICETEX.
3.	Realizar el levantamiento de requerimientos y artefactos asociados al marco de interoperabilidad para las necesidades de negocio internas y externas.
4.	Brindar apoyo para la creación de estructuras de datos de los sistemas de información del ICETEX, incluyendo diseño, desarrollo, pruebas e implementación en el intercambio de información entre los sistemas, teniendo en cuenta los lineamientos de interoperabilidad, de arquitectura TI y gobierno de datos.
5.	Apoyar la elaboración de la documentación completa y detallada de las soluciones de interoperabilidad implementadas, incluyendo manuales de usuario, registros de configuración para facilitar la gestión y el mantenimiento continuo y los artefactos pertenecientes a la Arquitectura de solución de cada uno de los sistemas de información del ICETEX.
6.	Garantizar la adecuada ejecución de los procedimientos de gestión de servicios tecnológicos, lineamientos de arquitectura y tecnología para la implementación de servicios de interoperabilidad.
7.	Apoyar en el desarrollo y configuración de los servicios de intercambio de información que permitan la interoperabilidad entre sistemas internos y externos, por medio de la plataforma X-ROAD.
8.	Garantizar que todas las soluciones de interoperabilidad cumplan con los requisitos normativos y de seguridad pertinentes, protegiendo la integridad de los datos y la privacidad de la información.
</t>
  </si>
  <si>
    <t>20243030002107-I Id: 4216646</t>
  </si>
  <si>
    <t>2.10</t>
  </si>
  <si>
    <t>2024-0571</t>
  </si>
  <si>
    <t>CD-570-2024</t>
  </si>
  <si>
    <t>ANGELA PAOLA SIERRA CARDENAS</t>
  </si>
  <si>
    <t>PRESTAR SERVICIOS PROFESIONALES ESPECIALIZADOS PARA DESARROLLAR EL ACOMPAÑAMIENTO A LA IMPLEMENTACIÓN, SEGUIMIENTO Y FORTALECIMIENTO DE LAS POLÍTICAS QUE CONFORMAN EL MODELO INTEGRADO DE PLANEACIÓN Y GESTIÓN- MIPG.</t>
  </si>
  <si>
    <t>CDEF-0435-2024</t>
  </si>
  <si>
    <t xml:space="preserve">1.	Realizar la construcción y seguimiento del Programa de Transparencia y Ética Pública (antes Plan Anticorrupción y de Atención al Ciudadano) de la entidad de acuerdo con la normatividad vigente. 
2.	Elaborar, realizar seguimiento y control al cumplimiento de la política de participación ciudadana y a la gestión relacionada con rendiciones de cuentas regionales y audiencia pública de acuerdo con la normatividad vigente 
3.	Solicitar a las áreas mensualmente la actualización de los eventos que se realizarán de participación ciudadana y solicitar la publicación del calendario consolidado en el portal web de la entidad. 
4.	Realizar los seguimientos de las acciones que le sean asignadas de los planes sectoriales en los que participe la entidad y asistir a los eventos o actividades que se presenten. 
5.	Apoyar en la construcción, seguimientos y mesas de trabajo relacionada con racionalización de trámites y los datos de operación. 
6.	Asistir a las reuniones, actividades y acciones relacionadas con el Modelo Integrado de Planeación y Gestión-MIPG. 
7.	Realizar el monitoreo y solicitar ajustes al menú participante (6 secciones) en el portal web de la entidad. 
8.	Apoyar la elaboración del material y presentaciones para capacitaciones, academia Icetex, sensibilizaciones, inducciones y reinducciones del Modelo Integrado de Planeación y Gestión-MIPG. 
9.	Acompañar a las dependencias asignadas en las respuestas y evidencias de FURAG, contestarlas en el aplicativo y posteriormente generar el plan de cierre de brechas producto de los resultados del FURAG y hacer seguimiento. 
10.	Las demás que sean indicadas por la supervisión del contrato y tengan relación con el objeto contractual. 
</t>
  </si>
  <si>
    <t>20243030002102-I Id: 4216473</t>
  </si>
  <si>
    <t>11.179</t>
  </si>
  <si>
    <t>2024-0572</t>
  </si>
  <si>
    <t>CD-571-2024</t>
  </si>
  <si>
    <t>HECTOR ALBERTO DUSSAN MONTOYA</t>
  </si>
  <si>
    <t xml:space="preserve">PRESTACIÓN DE SERVICIOS PROFESIONALES ESPECIALIZADOS EN ANÁLISIS Y GESTIÓN DE REQUERIMIENTOS FUNCIONALES Y NO FUNCIONALES EN EL MARCO DE LA DIRECCIÓN DE TECNOLOGÍA.
</t>
  </si>
  <si>
    <t>CDEF-0690-2024</t>
  </si>
  <si>
    <t xml:space="preserve">1.	Realizar análisis de vulnerabilidades de seguridad informática a los sistemas de información y aplicaciones propias y de terceros que sustentante la prestación de los servicios institucionales del ICETEX.
2.	Realizar descubrimiento de vulnerabilidades de seguridad informática de la infraestructura tecnológica que soporta la prestación de los servicios institucionales del ICETEX.
3.	Realizar pruebas de seguridad informática a las aplicaciones productivas y preproductivas del ICETEX.
4.	Realizar descubrimiento de vulnerabilidades de seguridad en las redes informáticas del ICETEX y los dispositivos de comunicación conectados a estas redes.
5.	Realizar análisis de seguridad informática a los portales web y aplicaciones web del ICETEX utilizando la metodología del Open Worldwide Application Security Project (OWASP).
6.	Realizar análisis de vulnerabilidades de seguridad informática a los equipos de cómputo, endpoint y servidores del ICETEX.
7.	Prestar apoyo con el fin de mejorar la postura de seguridad y cerrar brechas de seguridad informática de los activos de información del ICETEX. 
8.	Realizar pruebas de penetración y explotación controladas a los sistemas de información del ICETEX, con el objetivo de identificar fallas en el diseño, configuración o implementación de los activos de información.
9.	Verificar que los controles de seguridad informática implementados en los activos de información garantizan la confidencialidad, integridad y disponibilidad de la información del ICETEX
10.	Implementar herramientas de seguridad informática de código abierto que permitan automatizar la realización de pruebas de seguridad informática en el ICETEX
</t>
  </si>
  <si>
    <t>20243030002111-I Id: 4216749</t>
  </si>
  <si>
    <t>2024-0573</t>
  </si>
  <si>
    <t>CD-572-2024</t>
  </si>
  <si>
    <t>800116217-2</t>
  </si>
  <si>
    <t>CORPORACION UNIVERSITARIA MINUTO DE DIOS</t>
  </si>
  <si>
    <t>HAROLD DE JESUS CASTILLA DEVOZ</t>
  </si>
  <si>
    <t>TERRITORIAL_CENTRO
TERRITORIAL_NOROCCIDENTE</t>
  </si>
  <si>
    <t>ASESOR TERRITORIAL ZONA CENTRO
ASESOR TERRITORIAL ZONA NOROCCIDENTE</t>
  </si>
  <si>
    <t>ESTEBAN GUERRERO ALVAREZ
DANIEL ALBERTO CASTAÑO LOPEZ</t>
  </si>
  <si>
    <t>1032460552
7544385</t>
  </si>
  <si>
    <t>El objeto del presente documento es prorrogar el plazo establecido en la cláusula quinta y  modificar el “ANEXO B Fórmula aporte IES” del Acuerdo Estratégico No. 2024-0573.</t>
  </si>
  <si>
    <t>13.162</t>
  </si>
  <si>
    <t>2024-0574</t>
  </si>
  <si>
    <t>CD-573-2025</t>
  </si>
  <si>
    <t>JUAN PABLO MORENO BUITRAGO</t>
  </si>
  <si>
    <t>PRESTAR SERVICIOS DE APOYO A LA GESTIÓN EN LAS ACTIVIDADES OPERATIVAS Y DE ARCHIVO EN LA POLÍTICA DE GESTIÓN DEL TALENTO HUMANO</t>
  </si>
  <si>
    <t>CDEF-0626-2024</t>
  </si>
  <si>
    <t>REMUNERACIÓN DE  SERVICIOS TECNICOS -SGN</t>
  </si>
  <si>
    <t xml:space="preserve">1.	Apoyar el proceso de clasificación de la documentación del grupo de talento humano y de Control disciplinario de la Secretaría General de la entidad, de acuerdo con los principios archivísticos de procedencia y orden original, el servicio de consulta y la conservación de documentos, con sujeción a las pautas y principios establecidos en la Ley, normas internas y pautas fijadas por el Archivo General de la Nación. 
2.	Apoyar la realización y seguimiento de la base de datos de viáticos. 
3.	Participar en la elaboración de informes, planillas y/o registros de constancia de entrega y salida de archivos, así mismo guardar estricta reserva sobre los documentos, la información a la cual se tiene acceso y los asuntos de su competencia. 
4.	Apoyar en el proceso de nómina cuando sea requerido. 
5.	Participar activamente en los métodos, procedimientos y propender por la incorporación y uso de nuevas tecnologías, que permitan modernizar y agilizar los procesos documentales y administrativos derivados de las acciones de transformación organizacional. 
6.	Apoyar en la realización y seguimiento de diferentes bases de datos del grupo de Talento Humano. 
7.	Desarrollar el proceso de levantamiento del inventario sintético esquemático base para la valoración documental, así como los descriptivos y/o analíticos que se requieran de acuerdo con la metodología y formatos definidos por el ICETEX.
8.	Apoyar el manejo y trámite administrativo de las solicitudes y requerimientos a cargo del Grupo de Talento Humano y de Control disciplinario a través de las diferentes herramientas y aplicativos de gestión dispuestos por la entidad para tal fin. 
9.	Apoyar el proceso de generación de las órdenes de pago que son competencia del Grupo de Talento Humano y realizar el seguimiento correspondiente. 
10.	Apoyar en la realización de contratos cuando sea requerido. 
11.	Asistir a las reuniones que estén relacionadas con el objeto del presente contrato, cuando así lo determine el supervisor y/o el-la secretario-a general de la entidad. 
12.	Las demás asignadas por el Supervisor, relacionadas con el objeto y la naturaleza del contrato.
</t>
  </si>
  <si>
    <t>20243030002094-I Id: 4216339</t>
  </si>
  <si>
    <t>6.17</t>
  </si>
  <si>
    <t>2024-0575</t>
  </si>
  <si>
    <t>CD-574-2024</t>
  </si>
  <si>
    <t>JUAN PABLO RODRÍGUEZ RODRÍGUEZ</t>
  </si>
  <si>
    <t>PRESTAR LOS SERVICIOS DE APOYO TÉCNICO PARA LA REALIZACIÓN DEL SEGUIMIENTO Y MONITOREO DE LOS BENEFICIARIOS Y PROGRAMAS DEL PORTAFOLIO INTERNACIONAL DESCRITOS EN LA POLÍTICA DE COOPERACIÓN ACADÉMICA INTERNACIONAL E INTERINSTITUCIONAL DEL ICETEX</t>
  </si>
  <si>
    <t>CDEF-0375-2024</t>
  </si>
  <si>
    <t>REMUNERACIÓN SERVICIOS
TÉCNICOS ORI</t>
  </si>
  <si>
    <t>IG3120010270014</t>
  </si>
  <si>
    <t xml:space="preserve">
1.	Apoyar a la Jefe de la Oficina de Relaciones Internacionales en el diseño de una estrategia de seguimiento a los beneficiarios del portafolio Internacional de la ORI con el enlace de seguimiento a indicadores y los profesionales que tienen a cargo la implementación y ejecución de los programas que conforman el portafolio de servicios de la ORI, y dar cuenta periódicamente de su implementación.  
2.	Realizar seguimiento geográfico y académico, periódicamente a los beneficiarios de los programas del portafolio internacional de la ORI.
3.	Prestar apoyo a los profesionales que tienen a cargo la implementación de los programas del portafolio, en la consolidación y reporte de las novedades, actualizaciones y progresos de los beneficiarios del portafolio internacional a la Jefe de Oficina de Relaciones Internacionales. 
4.	Convocar y asistir a las reuniones y mesas de trabajo con el fin de gestionar información sobre los beneficiarios activos, dando cuenta de los compromisos y avances de cada programa.  
5.	Consolidar la información que remitan mensualmente los profesionales ejecutores de la estrategia de reciprocidad para extranjeros, en relación con el registro y reporte de novedades de los beneficiarios de la póliza de salud contratada por el ICETEX.
6.	 Revisar trimestralmente en la literatura existente, modelos e instrumentos de seguimiento que puedan aplicarse a la gestión y acompañamiento de beneficiarios de la ORI.   
7.	Apoyar en la elaboración y tramite los documentos necesarios conforme al proceso de comisiones establecido por el ICETEX, cuando se requiera su desplazamiento a nivel nacional o internacional en consonancia con las funciones de la ORI y del ICETEX. 
8.	8. Las demás asignadas por el supervisor y que tengan relación con el objeto del presente contrato.
</t>
  </si>
  <si>
    <t>20243030002045-I Id: 4161385</t>
  </si>
  <si>
    <t>13.164</t>
  </si>
  <si>
    <t>2024-0576</t>
  </si>
  <si>
    <t>CD-575-2024</t>
  </si>
  <si>
    <t>SANTIAGO RÍOS VILLALBA</t>
  </si>
  <si>
    <t>PRESTAR SUS SERVICIOS PROFESIONALES A LA SECRETARIA GENERAL EN LA ORIENTACIÓN, ARTICULACIÓN Y OPTIMIZACIÓN DE LOS ASUNTOS RELACIONADOS CON LAS DIFERENTES COORDINACIONES A CARGO DE ESTA</t>
  </si>
  <si>
    <t>CDEF-0705-2024</t>
  </si>
  <si>
    <t xml:space="preserve">1. Apoyar técnicamente al Grupo de Gestión Estratégica en la obtención de la información, diagnóstico, elaboración, consolidación y seguimiento de los planes de acción, indicadores, planes institucionales y planes de mejoramiento de la Secretaría General, conforme al Modelo Integrado de Planeación y Gestión.
2. Realizar la identificación y seguimiento de los riesgos asociados a la gestión de la Secretaría General, así como acompañar la implementación de los controles que se consideren pertinentes.
3. Acompañar en la formulación y seguimiento a la ejecución de los proyectos e indicadores asociados al plan estratégico de la entidad y que se encuentren a cargo de los grupos de trabajo de la Secretaría General.
4. Realizar el análisis y preparación de respuestas a solicitudes de competencia del Grupo de Gestión Estratégica de acuerdo con los requerimientos efectuados por lo entes de control, así como otras dependencias del ICETEX.
5. Realizar en la revisión y actualización de los procesos y procedimientos a cargo de la Secretaría General en el marco del mejoramiento institucional, de acuerdo con los lineamientos establecidos y la normatividad vigente.
6. Realizar en el seguimiento de los planes de acción y de mejoramiento inherentes a los procesos de competencia de la Secretaría General, alertando sobre posibles retrasos e incumplimientos que se puedan presentar.
7. Acompaña a los grupos de trabajo de la Secretaría General, en lo relacionado con los planes sectoriales definidos de acuerdo con la competencia de la dependencia.
8. Realizar el acompañamiento en la revisión, reporte y seguimiento de lo relacionado con el FURAG y demás seguimientos de cumplimiento establecidos por entidades externas.
9. Apoyar al Grupo de Gestión Estratégica en la medición, documentación y seguimiento a los indicadores de la Secretaría General.
10. Apoyar a la Coordinación de Gestión Estratégica en la formulación y seguimiento de lo relacionado con el Plan Anticorrupción y Atención al Ciudadano en lo que sea competencia de la Secretaría General.
11. Apoyar las actividades que le sean requeridas desde la Secretaría Genera y la Coordinación de Gestión Estratégica, relacionadas con el objeto contractual y previa coordinación con el supervisor del contrato.
12. Apoyar la revisión de las actas e informes de entrega del contrato de obra Nro. 2023-0578.
13. Cumplir las demás actividades relacionadas con el objeto del contrato que sean acordadas con el Supervisor del Contrato.
</t>
  </si>
  <si>
    <t>20243030002137-I Id: 4216904</t>
  </si>
  <si>
    <t>13.21</t>
  </si>
  <si>
    <t>2024-0577</t>
  </si>
  <si>
    <t>CD-576-2024</t>
  </si>
  <si>
    <t>SANTIAGO ENRIQUE LARROTA ORTIZ</t>
  </si>
  <si>
    <t>PRESTAR LOS SERVICIOS PROFESIONALES EN LA SECRETARIA GENERAL EN ASUNTOS RELACIONADOS CON LA GESTIÓN ESTRATÉGICA DE LA DEPENDENCIA.</t>
  </si>
  <si>
    <t>CDEF-0704-2024</t>
  </si>
  <si>
    <t xml:space="preserve">1.	Apoyar técnicamente al Grupo de Gestión Estratégica en la obtención de la información, diagnóstico, elaboración, consolidación y seguimiento de los planes de acción, indicadores, planes institucionales y planes de mejoramiento de la Secretaría General, conforme al Modelo Integrado de Planeación y Gestión.
2.	Realizar la identificación y seguimiento de los riesgos asociados a la gestión de la Secretaría General, así como acompañar la implementación de los controles que se consideren pertinentes.
3.	Acompañar en la formulación y seguimiento a la ejecución de los proyectos e indicadores asociados al plan estratégico de la entidad y que se encuentren a cargo de los grupos de trabajo de la Secretaría General.
4.	Realizar el análisis y preparación de respuestas a solicitudes de competencia del Grupo de Gestión Estratégica de acuerdo con los requerimientos efectuados por lo entes de control, así como otras dependencias del ICETEX.
5.	Realizar la revisión y actualización de los procesos y procedimientos a cargo de la Secretaría General en el marco del mejoramiento institucional, de acuerdo con los lineamientos establecidos y la normatividad vigente.
6.	Realizar  el seguimiento de los planes de acción y de mejoramiento inherentes a los procesos de competencia de la Secretaría General, alertando sobre posibles retrasos e incumplimientos que se puedan presentar.
7.	Acompaña a los grupos de trabajo de la Secretaría General, en lo relacionado con los planes sectoriales definidos de acuerdo con la competencia de la dependencia.
8.	Realizar el acompañamiento en la revisión, reporte y seguimiento de lo relacionado con el FURAG y demás seguimientos de cumplimiento establecidos por entidades externas.
9.	Apoyar al Grupo de Gestión Estratégica en la medición, documentación y seguimiento a los indicadores de la Secretaría General.
10.	Apoyar a la Coordinación de Gestión Estratégica en la formulación y seguimiento de lo relacionado con el Plan Anticorrupción y Atención al Ciudadano en lo que sea competencia de la Secretaría General.
11.	Apoyar las actividades que le sean requeridas desde la Secretaría Genera y la Coordinación de Gestión Estratégica, relacionadas con el objeto contractual y previa coordinación con el supervisor del contrato.
12.	Cumplir las demás actividades relacionadas con el objeto del contrato que sean acordadas con el Supervisor del Contrato.
</t>
  </si>
  <si>
    <t>20243030002138-I Id: 4216909</t>
  </si>
  <si>
    <t>13.15</t>
  </si>
  <si>
    <t>2024-0578</t>
  </si>
  <si>
    <t>CD-577-2024</t>
  </si>
  <si>
    <t>LORENA AZUERO VALLEJO</t>
  </si>
  <si>
    <t>: 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t>
  </si>
  <si>
    <t>CDEF-0702-2024</t>
  </si>
  <si>
    <t xml:space="preserve">1.	Elaborar y acompañar la estructuración de los estudios previos de los certámenes o trámites contractuales, que le sean asignados, estableciendo factores de selección que permitan identificar la oferta más favorable desde el punto de vista económico y financiero de las actividades planeadas en el Plan Anual de Adquisiciones. 
2.	Elaborar los estudios de sector que le sean asignados, así como los distintos componentes necesarios para complementar los estudios previos de los procesos que le sean asignados.
3.	Organizar la documentación que soporta cada uno de los certámenes precontractuales de carácter financiero para ser entregados en custodia. 
4.	Adelantar los tramites a cargo, en el marco del proyecto de fortalecimiento organizacional y la implementación de la política de compras públicas y de contratación, promoviendo el cierre de brechas que se presenten. 
5.	Apoyar en la elaboración de Certificados de pagos, Certificados de disponibilidad Presupuestal, cumplimientos financieros y demás documentos de orden financiero, económico y/o presupuestal que sean requeridos para dar continuidad con los procesos de gestión financiera para los procesos de Contratación por parte de la Secretaria General.
6.	Tener presente durante la ejecución del contrato, las recomendaciones o indicaciones del líder del grupo económico de la Secretaría General, atendiendo la celeridad y oportunidad en los procesos que le sean asignados
7.	Realizar el seguimiento presupuestal mensual de las áreas que le hayan sido asignadas.
8.	Realizar el seguimiento a la ejecución presupuestal de gastos de las áreas que le sean asignadas, así como preparar los informes de ejecución con destino a la Oficina de Planeación, Vicepresidencia Financiera y Oficina de Control Interno.
9.	Participar en la revisión de la ejecución financiera de los contratos que le sean asignados.
10.	Apoyar los procesos de liquidación de los contratos de inversión que le sean asignados de vigencias anteriores.
11.	Asistir a las reuniones a las que sea citado o designado por parte de la Secretaria General, Supervisor del Contrato o quien lidere el equipo económico del Despacho.
12.	Cumplir con los entregables e indicadores de gestión establecidos 
13.	Elaborar y presentar los informes que requieran los entes de control y demás autoridades, además de dar trámite a los requerimientos que le sean asignados por su competencia.
14.	Las demás que se requieran de acuerdo con la naturaleza del objeto y las obligaciones del contrato
</t>
  </si>
  <si>
    <t>20243030002140-I Id: 4216911</t>
  </si>
  <si>
    <t>13.5</t>
  </si>
  <si>
    <t>2024-0579</t>
  </si>
  <si>
    <t>CD-578-2024</t>
  </si>
  <si>
    <t>VIVIANA ANDREA BRAVO RIVAS</t>
  </si>
  <si>
    <t>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t>
  </si>
  <si>
    <t>CDEF-0701-2024</t>
  </si>
  <si>
    <t xml:space="preserve">
EL ICETEX pagará al CONTRATISTA el valor del contrato mediante PAGOS MENSUALES por valor de hasta por OCHO MILLONES QUINIENTOS NOVENTA Y CINCO MIL CUATROCIENTOS OCHENTA PESOS MCTE ($8.595.480), por concepto de honorarios y demás impuestos y retenciones a cargo del Contratista o en forma proporcional por el tiempo que efectivamente EL CONTRATISTA preste sus servicios profesionales, según corresponda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el Manual de Contratación del ICETEX y acorde con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personales naturales, deberán presentar junto con el informe final como requisito para el último pago, el respectivo paz y salvo de conformidad con el formato dispuesto por la entidad. F509 Formato Paz y Salvo Contratistas prestación de servicios profesionales o apoyo a la gestión, cuyo diligenciamiento se realizará conforme al Instructivo I509.
1.	Elaborar y acompañar la estructuración de los estudios previos de los certámenes o trámites contractuales, que le sean asignados, estableciendo factores de selección que permitan identificar la oferta más favorable desde el punto de vista económico y financiero de las actividades planeadas en el Plan Anual de Adquisiciones. 
2.	Elaborar los estudios de sector que le sean asignados, así como los distintos componentes necesarios para complementar los estudios previos de los procesos que le sean asignados.
3.	Organizar la documentación que soporta cada uno de los certámenes precontractuales de carácter financiero para ser entregados en custodia. 
4.	Adelantar los tramites a cargo, en el marco del proyecto de fortalecimiento organizacional y la implementación de la política de compras públicas y de contratación, promoviendo el cierre de brechas que se presenten. 
5.	Apoyar en la elaboración de Certificados de pagos, Certificados de disponibilidad Presupuestal, cumplimientos financieros y demás documentos de orden financiero, económico y/o presupuestal que sean requeridos para dar continuidad con los procesos de gestión financiera para los procesos de Contratación por parte de la Secretaria General.
6.	Tener presente durante la ejecución del contrato, las recomendaciones o indicaciones del líder del grupo económico de la Secretaría General, atendiendo la celeridad y oportunidad en los procesos que le sean asignados
7.	Realizar el seguimiento presupuestal mensual de las áreas que le hayan sido asignadas.
8.	Realizar el seguimiento a la ejecución presupuestal de gastos de las áreas que le sean asignadas, así como preparar los informes de ejecución con destino a la Oficina de Planeación, Vicepresidencia Financiera y Oficina de Control Interno.
9.	Participar en la revisión de la ejecución financiera de los contratos que le sean asignados.
10.	Apoyar los procesos de liquidación de los contratos de inversión que le sean asignados de vigencias anteriores.
11.	Asistir a las reuniones a las que sea citado o designado por parte de la Secretaria General, Supervisor del Contrato o quien lidere el equipo económico del Despacho.
12.	Cumplir con los entregables e indicadores de gestión establecidos 
13.	Elaborar y presentar los informes que requieran los entes de control y demás autoridades, además de dar trámite a los requerimientos que le sean asignados por su competencia.
14.	Las demás que se requieran de acuerdo con la naturaleza del objeto y las obligaciones del contrato
</t>
  </si>
  <si>
    <t>20243030002141-I Id: 4216912</t>
  </si>
  <si>
    <t>13.4</t>
  </si>
  <si>
    <t>2024-0580</t>
  </si>
  <si>
    <t>CD-579-2024</t>
  </si>
  <si>
    <t>ANDRÉS DAVID ORJUELA GALEANO</t>
  </si>
  <si>
    <t>PRESTAR SERVICIOS PROFESIONALES A LA SECRETARIA GENERAL EN LAS ACTIVIDADES EN ECONÓMICAS Y FINANCIERAS DE LOS PROCESOS CONTRACTUALES ATENDIENDO LOS LINEAMIENTOS INTERNOS, NORMAS DE AUSTERIDAD DEL GASTO Y DEMÁS CONCORDANTES</t>
  </si>
  <si>
    <t>CDEF-0708-2024</t>
  </si>
  <si>
    <t xml:space="preserve">1.Verificar la documentación allegada por las áreas para emitir la viabilidad económica y/o financiera de los acuerdos por parte del Grupo de Acuerdos Estratégicos y Vicepresidencias en el marco del proyecto de fortalecimiento organizacional. 
2.Elaborar y acompañar la estructuración de los estudios previos, certámenes o trámites contractuales, que le sean asignados, estableciendo factores de selección que permitan identificar la oferta más favorable desde el punto de vista económico y financiero de las actividades planeadas en el Plan Anual de Adquisiciones. 
3.Proyectar estudios de sector que le sean asignados, así como los distintos componentes necesarios para complementar los estudios previos de los procesos que le sean asignados. 
4.Organizar la documentación que soporta cada uno de los acuerdos estratégicos y/o certámenes precontractuales de carácter económico y/o financiero para ser entregados en custodia. 
5.Orientar y acompañarlos procesos de liquidación de los acuerdos estratégicos y/ convenios y/o contratos que le sean asignados. 
6.Monitorear la programación presupuestal de la vigencia 2024-2025, en el marco de la Planeación estratégica de la Entidad. 
7.Orientar y adelantar las gestiones pertinentes para la formulación y seguimiento del Plan Anual de Caja –PAC, de los recursos a cargo de la Secretaria General.
8.Acompañar a la Secretaria General en la gestión, construcción y actualización del Plan Anual de Adquisiciones. 
9.Asistir a las reuniones a las que sea citado o designado por parte de la Secretaria General, Supervisor del Contrato o quien lidere el equipo económico del Despacho. 
10.Elaborar y presentar los informes que requieran los entes de control y demás autoridades, además de dar trámite a los requerimientos que le sean asignados por su competencia. 
11.Las demás que se requieran de acuerdo con la naturaleza del objeto y las obligaciones del contrato 
</t>
  </si>
  <si>
    <t>20243030002139-I Id: 4216910</t>
  </si>
  <si>
    <t>2024-0581</t>
  </si>
  <si>
    <t>2024-0582</t>
  </si>
  <si>
    <t>10.29</t>
  </si>
  <si>
    <t>2024-0583</t>
  </si>
  <si>
    <t>CD-582-2024</t>
  </si>
  <si>
    <t>DIEGO FERNANDO LEON OTALORA</t>
  </si>
  <si>
    <t>PRESTAR SUS SERVICIOS PROFESIONALES PARA LA ATENCIÓN DE PQRSD, CONDONACIONES Y DEMÁS TRÁMITES RELACIONADOS A CARGO DE LA VICEPRESIDENCIA DE FONDOS EN ADMINISTRACIÓN</t>
  </si>
  <si>
    <t>CDEF-0410-2024</t>
  </si>
  <si>
    <t xml:space="preserve">IG312001020700012 </t>
  </si>
  <si>
    <t xml:space="preserve">1.	Proyectar y/o revisar los oficios de respuesta a las PQRSD asignadas y que sean competencia de la Vicepresidencia de Fondos en Administración, dentro del término legal establecidos en la normatividad vigente. 
2.	Proyectar los actos administrativos que se le asignen y sean de competencia de la Vicepresidencia de Fondos en Administración
3.	Realizar la verificación de la documentación requerida para el trámite de condonación de los créditos otorgados a través de los fondos administrados por la Vicepresidencia de Fondos en Administración, conforme lo establecido en los contratos, convenios, reglamentos operativos y el procedimiento establecido por el ICETEX.
4.	Reportar las condonaciones atendidas a las áreas correspondientes 
5.	Validar la aplicación de la condonación en la cartera de los beneficiarios por parte de la dependencia competente. 
6.	Diligenciar las bases de datos que le sean requeridas y guarden relación con el objeto contractual. 
7.	Suministrar el insumo para la elaboración de informes que le sean requeridos y guarden relación con el objeto contractual.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</si>
  <si>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20243030002142-I Id: 4216913</t>
  </si>
  <si>
    <t>2024-0584</t>
  </si>
  <si>
    <t>CD-583-2024</t>
  </si>
  <si>
    <t>860007759-3</t>
  </si>
  <si>
    <t>COLEGIO MAYOR DE NUESTRA SEÑORA DE ROSARIO</t>
  </si>
  <si>
    <t>JOSÉ ALEJANDRO CHEYNE GARCÍA</t>
  </si>
  <si>
    <t>EL OBJETO DEL PRESENTE DOCUMENTO ES PRORROGAR EL PLAZO ESTABLECIDO EN LA CLÁUSULA QUINTA Y MODIFICAR EL “ANEXO B FÓRMULA APORTE IES” DEL ACUERDO ESTRATÉGICO NO. 2024-0584.</t>
  </si>
  <si>
    <t>9.43</t>
  </si>
  <si>
    <t>2024-0585</t>
  </si>
  <si>
    <t>CD-584-2024</t>
  </si>
  <si>
    <t>NOEL ALBERTO CALDERON HUERTAS</t>
  </si>
  <si>
    <t>PRESTAR LOS SERVICIOS PROFESIONALES ESPECIALIZADOS PARA LA REPRESENTACIÓN EN LIQUIDACIONES PATRIMONIALES Y PROCESOS DE INSOLVENCIA ECONÓMICA DE PERSONA NATURAL NO COMERCIANTE QUE SE NOTIFIQUE AL ICETEX.</t>
  </si>
  <si>
    <t>CDEF-0667-2024</t>
  </si>
  <si>
    <t xml:space="preserve">1.	Asistir o participar en las audiencias de liquidación patrimonial que sean notificadas al ICETEX. 
2.	Asistir o participar en las audiencias de insolvencia económica de persona natural no comerciante que sean notificadas al ICETEX que indique el Supervisor del Contrato. 
3.	Realizar seguimiento a los procesos de liquidación patrimonial e insolvencia económica, de acuerdo con las audiencias en las que participa o asiste, hasta su finalización. 
4.	Solicitar a las áreas correspondientes en el ICETEX, la información de los créditos y estado de estos para participar en las audiencias a su cargo. 
5.	Analizar y realizar seguimiento a los acuerdos de pago correspondientes a los procesos de insolvencia económica de persona natural no comerciante y liquidación patrimonial. 
6.	Diligenciar, administrar y controlar base de datos con la información de los procesos de liquidación patrimonial. 
7.	Proyectar los documentos que sean requeridos para los procesos de liquidación patrimonial e insolvencia económica. 
8.	Conceptuar jurídicamente por escrito en todos los asuntos de carácter de derecho privado que se le consulten por parte de la supervisión, así como colaborar en la formulación y aplicación de normas en los asuntos que tenga injerencia la Dirección de Cobranza. 
9.	Las demás obligaciones que se requieran para el cumplimiento a cabalidad del objeto contractual y que sean inherentes a la naturaleza del contrato. 
10.	Cumplir con los indicadores de gestión establecidos.
</t>
  </si>
  <si>
    <t>20243030002133-I Id: 4216899</t>
  </si>
  <si>
    <t>11.85</t>
  </si>
  <si>
    <t>2024-0586</t>
  </si>
  <si>
    <t>CD-585-2024</t>
  </si>
  <si>
    <t>JOSE IGNACIO CASTILLO MONTES</t>
  </si>
  <si>
    <t>PRESTACIÓN DE SERVICIOS PROFESIONALES ESPECIALIZADOS EN INGENIERÍA PARA GESTIÓN DE SERVICIOS DE TI EN EL ANÁLISIS, MODELAMIENTO, DESARROLLO, IMPLEMENTACIÓN Y MEJORAMIENTO CONTINUO DE SOLUCIONES INFORMÁTICAS PARA LAS INICIATIVAS PARA EL GRUPO DE DATOS E INFORMACIÓN.</t>
  </si>
  <si>
    <t>CDEF-0683-2024</t>
  </si>
  <si>
    <t xml:space="preserve">1. Analizar e identificar problemas detectados en los sistemas de información propios del ICETEX, a partir de diferentes validaciones, seguimientos y verificaciones mediante componentes tecnológicos (api rest, script, etc..) que permitan e implementar acciones que garanticen la calidad de los datos.
2. Diseño, Desarrollo e implementación de nuevas soluciones de ETL para la Extracción, Transformación y Cargue de Información para soportar y/o mejorar los procesos misionales a nivel de interoperabilidad
3. Aplicar los lineamientos, estándares y patrones para la implementación de soluciones informáticas en reportes, base de datos o aplicativos propios del ICETEX de acuerdo con las necesidades de la Coordinación de Datos e Información.
4. Desarrollar e integrar ambientes que permitan dar continuidad a las actividades o necesidades de la Coordinación de Datos e Información y la Dirección de tecnología.
5. Dar seguimiento, apoyo y gestión que garanticen el cumplimiento contractual por parte de los proveedores supervisados por la Coordinación de Datos e Información para atender los requerimientos solicitados por las áreas misionales en temas de migración de información dentro de la base de datos.
6. Registrar los avances realizados en Azure DevOps o la herramienta solicitada por la Coordinación de Datos e Información.
7. Garantizar la gestión de procesos de BIG DATA demandados por la Coordinación de Datos e Información para la calidad de los datos, el acceso a procesos de inteligencia de negocio y aplicaciones de análisis de datos, localización y disponibilidad de los datos que apoyen al mejoramiento de los procesos funcionales de la entidad.
8. Las demás actividades definidas por la Coordinación de Datos e Información, inherentes al objeto y la naturaleza del Contrato, que resulten necesarias e indispensables para el cabal cumplimiento de las funciones de la coordinación, así como proveer a sí mismo el equipo de cómputo adecuado para ejecutar las funciones encargadas.
</t>
  </si>
  <si>
    <t>20243030002125-I Id: 4216880</t>
  </si>
  <si>
    <t>11.107</t>
  </si>
  <si>
    <t>2024-0587</t>
  </si>
  <si>
    <t>CD-586-2024</t>
  </si>
  <si>
    <t>VICTOR HUGO RAMOS RAMOS</t>
  </si>
  <si>
    <t>PRESTACIÓN DE SERVICIOS PROFESIONALES ESPECIALIZADOS EN INGENIERÍA PARA LA DEFINICIÓN E IMPLEMENTACIÓN DE METODOLOGÍAS PARA LA SOLUCIÓN DE PROBLEMAS COMPLEJOS ASOCIADOS A LOS DATOS DE LA ENTIDAD Y SIGUIENDO LOS LINEAMIENTOS DE ARQUITECTURA Y EL GRUPO DE DATOS E INFORMACIÓN.</t>
  </si>
  <si>
    <t>CDEF-0685-2024</t>
  </si>
  <si>
    <t xml:space="preserve">1. Identificar, recoger y enriquecer mediante el análisis de los datos, una amplia variedad de datos, estructurados o no, para transformarlos en datasets.
2. Desarrollar los algoritmos necesarios, optimizarlos, ponerlos en producción y aplicar técnicas avanzadas de estadísticas y predicción.
3. Entregar todos los productos e informes dando cumplimiento a todas las características técnicas exigidas por el área funcional y las necesidades de la Coordinación de datos e información.
4. Construcción de tableros de control, de acuerdo con historias de usuario presentadas por las áreas funcionales, garantizando el análisis de datos, ingesta de datos de forma eficiente y libre de procesos manuales. Así mismo, realizar seguimiento a los tableros y ajustes a los algoritmos de ser necesario.
5. Dar seguimiento, apoyo y gestión que garanticen el cumplimiento contractual por parte de los proveedores supervisados y administrar las herramientas para la extracción, automatización y uso de las fuentes de datos dispuestas desde el Datalake.
6. Apoyar al equipo de la Coordinación de Datos e Información, en la en el análisis de datos que permita la construcción de indicadores definidos de avance a la analítica de la entidad.
7. Recopilar y analizar información para el proceso de análisis del 
entorno de la entidad que permita proponer, recomendar y orientar 
la elaboración de planes de acción que permitan la creación de nuevos productos y servicios
8. Las demás actividades definidas por la Coordinación de Datos e Información, inherentes al objeto y la naturaleza del Contrato, que resulten necesarias e indispensables para el cabal cumplimiento de las funciones de la coordinación, así como proveer a sí mismo el equipo de cómputo adecuado para ejecutar las funciones encargadas.
</t>
  </si>
  <si>
    <t>20243030002126-I Id: 4216884</t>
  </si>
  <si>
    <t>11.90</t>
  </si>
  <si>
    <t>2024-0588</t>
  </si>
  <si>
    <t>CD-587-2024</t>
  </si>
  <si>
    <t>LUIS ALBERTO JARABA HERAZO</t>
  </si>
  <si>
    <t>CDEF-0638-2024</t>
  </si>
  <si>
    <t xml:space="preserve">. Estimar, diseñar y validar casos de pruebas requeridos para asegurar la calidad de nuevas 
soluciones y/o nuevos desarrollos de Software.
2. Realizar pruebas de aseguramiento de calidad de las iniciativas de desarrollo de nuevas soluciones y/o mantenimientos de software asignados.
3. Controlar la calidad de los entregables de los sistemas de información asignados y la oportunidad de los mismos.
4. Documentar las tareas de aseguramiento de calidad en la herramienta solicitada por la Dirección de Tecnología.
5. Validar la aplicación de los procedimientos definidos por la dirección de tecnología para el desarrollo y/o mantenimiento de software.
6. Garantizar la aplicación de la metodología de desarrollo definida por el Icetex.
7.  Respaldar la realización de pruebas de carga y stress para los desarrollos ejecutados y asignados.
8. Respaldar la ejecución de pruebas automatizadas para los desarrollos ejecutados y asig
</t>
  </si>
  <si>
    <t>20243030002127-I Id: 4216887</t>
  </si>
  <si>
    <t>4.169</t>
  </si>
  <si>
    <t>2024-0589</t>
  </si>
  <si>
    <t>CD-588-2024</t>
  </si>
  <si>
    <t>REYNALDO JOSE TORRES AGUAS</t>
  </si>
  <si>
    <t>APOYAR LA EJECUCIÓN DEL PLAN COMERCIAL DE LA TERRITORIAL NORTE ASOCIADA AL PORTAFOLIO DE SERVICIOS DE LCETEX EN LA REGIÓN, EN ARTICULACIÓN CON LA OFICINA COMERCIAL Y DE MERCADEO DEL NIVEL CENTRAL</t>
  </si>
  <si>
    <t>CDEF-0323-2024</t>
  </si>
  <si>
    <t>OTROS SERVICIOS OPERATIVOS OCM</t>
  </si>
  <si>
    <t>20243030002178-I Id: 4217465</t>
  </si>
  <si>
    <t>11.88</t>
  </si>
  <si>
    <t>2024-0590</t>
  </si>
  <si>
    <t>CD-589-2024</t>
  </si>
  <si>
    <t>LEONARDO FARYD CORTES MONTOYA</t>
  </si>
  <si>
    <t>PRESTACIÓN DE SERVICIOS PROFESIONALES PARA EL TRÁMITE DE SERVICIOS TI EN LA CONFIGURACIÓN Y SOPORTE TÉCNICO Y GESTIONES DE HABILITACIÓN DE RECURSOS DEL ICETEX.</t>
  </si>
  <si>
    <t>CDEF-0637-2024</t>
  </si>
  <si>
    <t xml:space="preserve">1.	Evaluar y gestionar los requerimientos tecnológicos de la entidad relacionados con los servicios definidos en el contrato 2016-0402 (o el que aplique) y las necesidades de la entidad que se relacionen con el Proyecto Core Bancario, en coordinación con el gerente de proyecto designado.
2.	Gestionar y promover sesiones de entendimiento técnico necesarias para la definición del plan de trabajo y sus respectivos entregables con todos los stakeholders del proyecto, conforme con los tiempos de cumplimiento definidos por la Gerencia de proyecto.
3.	Realizar actividades técnicas de la operación, alcances y modificaciones solicitadas en el marco del contrato 2016-0402 (o el que aplique), conforme las decisiones y definiciones que realiza la Gerencia del Proyecto.
4.	Garantizar la aplicación de mejores prácticas y metodologías que permitan la evaluación y control de los servicios brindado por el proveedor de la plataforma Core Bancario en el marco del contrato 2016-0402 (o el que aplique) y demás lineamientos de la Dirección de Tecnología de la entidad, conforme recomendaciones de la Gerencia del Proyecto.
5.	Realizar actividades que promuevan el cumplimiento de los entregables y cronogramas del proyecto Core Bancario conforme el Plan de Acción definido para el contrato 2016-0402 (o el que aplique).
6.	Desarrollar actividades para la puesta en marcha de las recomendaciones y alternativas técnicas que emita la Gerencia de Core Bancario para la correcta operación de la solución.
7.	Garantizar las actividades necesarias entre los equipos de la Dirección de Tecnología y la operación del contrato 2016- 0402 (o el que aplique) para la ejecución, operación e implementaciones que garanticen la migración y replicación de la data y que esta sea operativa.
8.	Realizar y garantizar las actividades y documentación asociadas al cierre contractual del contrato 2016-0402 (o el que aplique).
</t>
  </si>
  <si>
    <t>20243030002177-I Id: 4217461</t>
  </si>
  <si>
    <t>11.182</t>
  </si>
  <si>
    <t>2024-0591</t>
  </si>
  <si>
    <t>CD-590-2024</t>
  </si>
  <si>
    <t>SANDRA MILENA GARCÍA HERNÁNDEZ</t>
  </si>
  <si>
    <t>PRESTACIÓN DE SERVICIOS PROFESIONALES ESPECIALIZADOS EN LA GESTIÓN ADMINISTRACIÓN, SOPORTE Y MANTENIMIENTO EN PROYECTOS Y SERVICIOS DE INFRAESTRUCTURA, QUE SOPORTAN LA OPERACIÓN DEL INSTITUTO, EJECUTANDO ACTIVIDADES EN PLATAFORMAS TI PARA LA EJECUCIÓN DE PROCEDIMIENTOS Y RESOLUCIÓN DE INCIDENTES DEL ICETEX</t>
  </si>
  <si>
    <t>CDEF-0693-2024</t>
  </si>
  <si>
    <t xml:space="preserve">1	Brindar soporte al funcionamiento de las aplicaciones de la entidad a nivel de infraestructura, validación de la funcionalidad, lectura de bases de datos y/o cualquier componente que este establecido en la arquitectura de aplicaciones.
2	Guiar y tramitar las actividades de soporte funcional y técnico de la infraestructura. 
3	Realizar el seguimiento de los servicios prestados y cumplimiento de los ANS pactados con los proveedores. 
4	Velar por la organización y estructuración de los ambientes de aplicación de la entidad 
5	Respaldar las actividades técnicas relacionadas con los proyectos de infraestructura asignados.
6	Administrar herramientas tecnológicas que le sean asignadas, orientadas al correcto funcionamiento de la operación del ICETEX.
7	Monitorear y administrar los equipos de cómputo del ICETEX en cuanto a actualizaciones y seguridad.
8	Monitorear los recursos IAAS que tiene el ICETEX 
9	Participar en la realización de los informes técnicos necesarios para sustentar la toma de decisiones que deba adoptar la entidad en la Arquitectura de Infraestructura 
10	Guiar proyectos asignados por la dirección que tengan como alcance desarrollar o ampliar las capacidades de gestión de servicios de TI aplicables al dominio de Infraestructura y/o Tecnología base para la Operación, 
11	Validación de las arquitecturas de referencia para las soluciones tecnológicas implementadas
12	Realizar el apoyo en las actividades de despliegue en los diferentes ambientes requeridos
</t>
  </si>
  <si>
    <t>20243030002161-I Id: 4217235</t>
  </si>
  <si>
    <t>11.91</t>
  </si>
  <si>
    <t>2024-0592</t>
  </si>
  <si>
    <t>CD-591-2024</t>
  </si>
  <si>
    <t>RAFAEL HUMBERTO BOSIGA NUMPAQUE</t>
  </si>
  <si>
    <t>PRESTACIÓN DE SERVICIOS PROFESIONALES ESPECIALIZADOS EN INGENIERÍA EN LA ADECUACIÓN DE NUEVOS SERVICIOS DE SISTEMAS DE INFORMACIÓN FINANCIEROS, SOPORTE FUNCIONAL, SOPORTE TÉCNICO, Y MANTENIMIENTO CORRECTIVO EN EL MARCO DE LAS FUNCIONES DEL ICETEX.</t>
  </si>
  <si>
    <t>CDEF-0629-2024</t>
  </si>
  <si>
    <t xml:space="preserve">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organos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metodología "agile" definida por el Icetex en el desarrollo de los Sprint
</t>
  </si>
  <si>
    <t>20243030002190-I Id: 4217586</t>
  </si>
  <si>
    <t>6.20
13.90</t>
  </si>
  <si>
    <t>2024-0593</t>
  </si>
  <si>
    <t>IMC-098-2024</t>
  </si>
  <si>
    <t>900069323-6</t>
  </si>
  <si>
    <t>VIAJA POR EL MUNDO WEB/NICKISIX360 SAS</t>
  </si>
  <si>
    <t>HANS NAIHANS ESPINEL</t>
  </si>
  <si>
    <t>SUMINISTRO DE TIQUETES AÉREOS EN RUTAS NACIONALES E INTERNACIONALES PARA LOS FUNCIONARIOS Y CONTRATISTAS DEL ICETEX, CUANDO EL EJERCICIO DE SUS FUNCIONES U OBLIGACIONES ASÍ LO EXIJA Y SUMINISTRO DE TIQUETES AÉREOS EN RUTAS NACIONALES E INTERNACIONALES PARA LOS BENEFICIARIOS DE LOS PROGRAMAS DEL PORTAFOLIO INTERNACIONAL DEL ICETEX</t>
  </si>
  <si>
    <t>CDEF-0492-2024
CDEF-0491-2024</t>
  </si>
  <si>
    <t>RECIP.EXTRANJ.- POSTGRADOS EXTRANJEROS
PASAJES</t>
  </si>
  <si>
    <t xml:space="preserve">IG 331620001001001
IG 311002004011003 </t>
  </si>
  <si>
    <t>LA SUPERVISION ES COMPARTIDA CON LA COORDINADORA DEL AREA DE TALENTO HUMANO</t>
  </si>
  <si>
    <t>2024-0594</t>
  </si>
  <si>
    <t>CD-592-2024</t>
  </si>
  <si>
    <t>890200499-9</t>
  </si>
  <si>
    <t>UNIVERSIDAD AUTÓNOMA DE BUCARAMANGA</t>
  </si>
  <si>
    <t>JUAN CAMILO MONTOYA BOZZI</t>
  </si>
  <si>
    <t>EL OBJETO DEL PRESENTE DOCUMENTO ES PRORROGAR EL PLAZO ESTABLECIDO EN LA CLÁUSULA QUINTA Y MODIFICAR EL “ANEXO B FÓRMULA APORTE IES” DEL ACUERDO ESTRATÉGICO NO. 2024-0594.</t>
  </si>
  <si>
    <t>2024-0595</t>
  </si>
  <si>
    <t>CD-593-2024</t>
  </si>
  <si>
    <t>890307400-1</t>
  </si>
  <si>
    <t>UNIVERSIDAD DE SAN BUENAVENTURA</t>
  </si>
  <si>
    <t>FRAY ERNESTO LONDOÑO OROZCO</t>
  </si>
  <si>
    <t>TERRITORIAL_CENTRO
TERRITORIAL_NORTE
TERRITORIAL_NOROCCIDENTE
TERRITORIAL_SUROCCIDENTE</t>
  </si>
  <si>
    <t>ASESOR TERRITORIAL ZONA CENTRO
ASESOR TERRITORIAL ZONA NORTE
ASESOR TERRITORIAL ZONA NOROCCIDENTE
ASESOR TERRITORIAL ZONA SUROCCIDENTE</t>
  </si>
  <si>
    <t>ESTEBAN GUERRERO ALVAREZ
VIVIANA MARGARITA ROMERO
DANIEL ALBERTO CASTAÑO LOPEZ
CESAR AUGUSTO LÓPEZ LÓPEZ</t>
  </si>
  <si>
    <t>1032460552
32794946
7544385
6103856</t>
  </si>
  <si>
    <t>EL OBJETO DEL PRESENTE DOCUMENTO ES PRORROGAR EL PLAZO ESTABLECIDO EN LA CLÁUSULA QUINTA Y MODIFICAR EL “ANEXO B – FÓRMULA APORTE IES” DEL ACUERDO ESTRATÉGICO NO. 2024-0595.</t>
  </si>
  <si>
    <t>1.17</t>
  </si>
  <si>
    <t>2024-0596</t>
  </si>
  <si>
    <t>CD-594-2024</t>
  </si>
  <si>
    <t>CARLOS FELIPE PUENTES MONTAÑEZ</t>
  </si>
  <si>
    <t>PRESTAR SERVICIOS TÉCNICOS PARA EL DISEÑO DE CONTENIDOS GRÁFICOS PARA LOS ENTORNOS DIGITALES QUE MANEJA LA OFICINA ASESORA DE COMUNICACIÓN</t>
  </si>
  <si>
    <t>CDEF-0160-2024</t>
  </si>
  <si>
    <t>IG312001020230014</t>
  </si>
  <si>
    <t xml:space="preserve">1.	Apoyar en el cubrimiento de las actividades, eventos del ICETEX para realizar difusión a través de redes sociales. 
2.	Apoyar en la atención de los requerimientos y solicitudes realizadas por los usuarios a través de redes sociales, creando espacios de interacción con los grupos de interés. 
3.	Apoyar en la gestión de las diferentes plataformas de redes sociales en las que tenga presencia el ICETEX, las peticiones que éste requiera. 
4.	Apoyar en la gestión del monitoreo de las redes sociales de la entidad, identificando diversos espacios online para ampliar la cobertura digital en los distintos espacios digitales donde mencionen al ICETEX. 
5.	Apoyar en la gestión del seguimiento, medición y escucha activa de las estrategias de comunicación digital en redes sociales de la entidad. 
6.	Asistir a reuniones y/o comités de conformidad con las necesidades de la entidad y la designación del supervisor del contrato. 
7.	Cumplir con los indicadores de gestión establecidos. 
8.	Las demás obligaciones que se requieran para el cumplimiento a cabalidad del objeto contractual y que sean inherentes a la naturaleza del contrato.
</t>
  </si>
  <si>
    <t>20243030002217-I Id: 4218002</t>
  </si>
  <si>
    <t>12.30</t>
  </si>
  <si>
    <t>2024-0597</t>
  </si>
  <si>
    <t>CD-595-2024</t>
  </si>
  <si>
    <t xml:space="preserve">ELADIO AUGUSTO SIERRA BECERRA </t>
  </si>
  <si>
    <t>CDEF-0335-2024</t>
  </si>
  <si>
    <t xml:space="preserve"> BANCA ABIERTA Y TRANSPARENTE E
INHOUSE</t>
  </si>
  <si>
    <t xml:space="preserve">
1. Apoyar en la apropiación de lineamientos, estándares e informes que permitan la implementación del extracto y/o estado de cuenta, que soporte el proceso de regularización
de partidas conciliatorias de los Fondos y Alianzas en administración.
2. Realizar la integración y sistematización de información entre las áreas que intervienen en el desarrollo y elaboración del extracto y/o estados de cuenta que contiene la información
contable y financiera de los recursos en administración.
3. Ejecutar en el seguimiento y control para la integración de información contable y financiera entre las herramientas tecnológicas dispuestas por la Entidad para la toma de decisiones en el marco del proyecto de inversión banca abierta y transparente e in house banking.
4. Apoyar la articulación entre las áreas que intervienen en el proceso de regularización de partidas conciliatorias y las áreas Administradoras en busca de los mecanismos e instrumentos que garanticen la toma de decisiones oportuna.
5. Realizar el seguimiento, soporte y gestión de los objetivos y resultados de las jornadas de ajustes con el Grupo de Cartera, con el fin de evaluar oportunamente las partidas conciliatorias y su debido ajuste antes de cada cierre, garantizando la razonabilidad de los estados de cuenta.
6. Apoyar en la apropiación de estándares, buenas prácticas e indicadores para la estabilización del proceso de reconocimiento contable de las obligaciones a cargo del Icetex relativas a las cuentas por pagar generadas en la operación de la Entidad.
7. Estructurar la producción de los insumos técnicos para la optimización del proceso de actualización y regularización de la información contable y de cartera de los recursos en administración al cierre de cada periodo.
8. Ejecutar elseguimiento y cumplimiento de los indicadores establecidos para el área y los procesos a cargo, con el fin de generar acciones de mejora en la gestión y operación financiera del ICETEX
9. Las demás obligaciones que se requieran para el cumplimiento a cabalidad del objeto contractual y que sean inherentes a la naturaleza del contrato.
10. Cumplir con los indicadores de gestión establecidos.
</t>
  </si>
  <si>
    <t xml:space="preserve">RUTH PATRICIA GÓMEZ MEDINA  </t>
  </si>
  <si>
    <t>CESIÓN DEL CONTRATO DE PRESTACIÓN DE SERVICIOS No. 2024-0597 SUSCRITO ENTRE
EL INSTITUTO COLOMBIANO DE CRÉDITO EDUCATIVO Y ESTUDIOS TÉCNICOS EN EL
EXTERIOR “MARIANO OSPINA PÉREZ” – ICETEX Y ELADIO AUGUSTO SIERRA BECERRA A
RUTH PATRICIA GÓMEZ MEDINA</t>
  </si>
  <si>
    <t>20243030002215-I Id: 4217967</t>
  </si>
  <si>
    <t>2024-0598</t>
  </si>
  <si>
    <t>CD-596-2024</t>
  </si>
  <si>
    <t>860066789-6</t>
  </si>
  <si>
    <t>UNIVERSIDAD EL BOSQUE</t>
  </si>
  <si>
    <t>MARÍA CLARA RANGEL GALVIS</t>
  </si>
  <si>
    <t>EL OBJETO DEL PRESENTE DOCUMENO ES PRORROGAR EL PLAZO ESTABLECIDO EN LA CLÁUSULA QUINTA Y MODIFICAR EL ANEXO B - FÓRMULA APORTE IES DEL ACUERDO ESTRATÉGICO No 2024-0598</t>
  </si>
  <si>
    <t>2024-0599</t>
  </si>
  <si>
    <t>CD-597-2024</t>
  </si>
  <si>
    <t>890481183-1</t>
  </si>
  <si>
    <t>FUNDACIÓN UNIVERSITARIA TECNOLÓGICO COMFENALCO CARTAGENA</t>
  </si>
  <si>
    <t>CLAUDIO AQUILES OSORIO LENTINO</t>
  </si>
  <si>
    <t>EL OBJETO DEL PRESENTE DOCUMENTO ES PRORROGAR EL PLAZO ESTABLECIDO EN LA CLÁUSULA QUINTA Y MODIFICAR EL "ANEXO A -  PORCENTAJE FIJO APORTE IES" DEL ACUERDO ESTRATÉGICO NO. 2024-0599.</t>
  </si>
  <si>
    <t>4.62</t>
  </si>
  <si>
    <t>2024-0600</t>
  </si>
  <si>
    <t>CD-598-2024</t>
  </si>
  <si>
    <t>LINA JOSEFA ARIAS PEREZ</t>
  </si>
  <si>
    <t>PRESTAR SERVICIOS PROFESIONALES ESPECIALIZADOS CON EL FIN DE ANALIZAR, EVALUAR Y EJECUTAR ESTRATEGIAS, ENFOCADAS AL MEJORAMIENTO DE LA EXPERIENCIA Y SATISFACCIÓN DE LOS GRUPOS DE INTERÉS ICETEX (BENEFICIARIOS, CIUDADANOS IES) EN SUS INTERACCIONES CON LA ENTIDAD</t>
  </si>
  <si>
    <t>CDEF-0397-2024</t>
  </si>
  <si>
    <t xml:space="preserve">1.	Diseñar y entregar un plan de trabajo, de acuerdo con cada proyecto a cargo, que implique el control y seguimiento al cumplimiento del mejoramiento de la   satisfacción de los grupos de interés de la entidad, para aprobación de la supervisión, de conformidad con las estipulaciones contractuales.
2.	Apoyar y proponer iniciativas sobre los resultados e investigaciones de los proyectos propuestos para la mejora de la experiencia y satisfacción de los grupos de interés.
3.	Identificar y analizar a través de los Journey Map,  los diferentes puntos de satisfacción o insatisfacción de los beneficiarios a lo largos de las interacciones con los productos y servicios de la entidad, 
4.	Proponer iniciativas, estrategias, que conduzcan al mejoramiento de la experiencia de los grupos de interés y que involucren a las áreas misionales llevando al cumplimiento de los objetivos trazados al interior de la Oficina Comercial y de Mercadeo. 
5.	Identificar los diferentes tipos de beneficiarios que interactúan con los productos y servicios de la Entidad, entendiendo las necesidades y comportamientos en los momentos de verdad. 
6.	Recopilar información de las diferentes etapas del ciudadano – beneficiario con los productos y servicios de la entidad,  desde el primer contacto de solicitud, estudio, amortización y finalización del crédito  
7.	Realizar monitoreo y seguimiento continuo a los momentos de verdad de los beneficiarios que permitan conocer la insatisfacción con los productos, servicio al cliente, gestión de cobro, fallas tecnológicas, entre otros otros. 
8.	Acompañar los comités de experiencia, identificando y proponiendo mejoras a las casuísticas desde el conocimiento individual prestando asesoría conceptual y operativa técnica.
9.	Asegurar el acompañamiento, gestión y documentación de procesos y procedimientos, cumplimiento de los indicadores, planes de acción, planes de mejoramiento, reportes, auditorias de calidad, auditorías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11.	Las demás que sean inherentes para el logro del objeto contratado, asignadas por el supervisor del contrato. 
</t>
  </si>
  <si>
    <t>20243030002225-I Id: 4218134</t>
  </si>
  <si>
    <t>10.37</t>
  </si>
  <si>
    <t>2024-0601</t>
  </si>
  <si>
    <t>CD-599-2024</t>
  </si>
  <si>
    <t>YENNY MARCELA FLOREZ RODRIGUEZ</t>
  </si>
  <si>
    <t>CDEF-0279-2024</t>
  </si>
  <si>
    <t xml:space="preserve">
1.	Identificar la gestión a adelantar en cada uno de los fondos, convenio y contratos asignados para liquidar y proponer un plan de trabajo.
2.	Desarrollar las actividades establecidas en el plan de trabajo a gestionar con ocasión de la liquidación de los fondos en administración.
3.	Efectuar mesas de trabajo con los constituyentes y establecer las acciones a adelantar para la liquidación de los fondos, convenios y contratos a cargo de la Vicepresidencia de Fondos en Administración 
4.	 Realizar la validación de la información contable y de cartera de los fondos en administración asignados, para cada cierre mensual y efectuar la gestión con las áreas respectivas para mantener conciliados los fondos.
5.	Proyectar los actos administrativos y las actas de liquidación o cierre relacionados con el proceso de liquidación de los fondos administrados por la Vicepresidencia de Fondos en Administración.
6.	Proyectar las respuestas de peticiones internas y externas, que le sean requeridos en el término legal establecido y que guarden relación con el objeto del contrato.
7.	Actualizar los expedientes de los fondos en los repositorios de información de la Vicepresidencia de Fondos en Administración y los demás sistemas que lo requieran y hacer correcto uso de las mismas.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</si>
  <si>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20243030002227-I Id: 4218159</t>
  </si>
  <si>
    <t>11.111</t>
  </si>
  <si>
    <t>2024-0602</t>
  </si>
  <si>
    <t>CD-600-2024</t>
  </si>
  <si>
    <t>OSCAR JAVIER SIERRA RINCON</t>
  </si>
  <si>
    <t xml:space="preserve">PRESTACIÓN DE SERVICIOS PROFESIONALES ESPECIALIZADOS PARA LA ALINEACIÓN METODOLÓGICA Y TÉCNICA DE LA GESTIÓN INTEGRAL DEL CICLO DE MEJORA CONTINUA DE PROYECTOS EN EL ÁMBITO TECNOLÓGICO PARA EL ICETEX. </t>
  </si>
  <si>
    <t>CDEF-0686-2024</t>
  </si>
  <si>
    <t xml:space="preserve">1.	Apoyar metodológica y técnicamente el equipo de gestión de proyectos dando alcance a los lineamientos establecidos por el Icetex para este fin.
2.	Establecer la priorización de proyectos tomando en cuenta criterios técnicos de la Vicepresidencia de Operaciones y Tecnología, el plan estratégico de la entidad y las necesidades técnicas del Icetex, propendiendo por su cumplimiento oportuno.
3.	Realizar el seguimiento y reportar a la Vicepresidencia de Operaciones y Tecnología el estado de avance de los proyectos, de forma consolidada, por medio de las herramientas definidas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Proponer acciones de mejora que fortalezcan la estrategia, metodología, actividades de la gestión de los proyectos a cargo de la Vicepresidencia de Operaciones y Tecnología.
7.	Elaborar y garantizar el cumplimiento y actualización de los planes de trabajo asociados a los proyectos asignados.
8.	Generar las alertas que afecten los proyectos asignados oportunamente e implementar el respectivo plan de mitigación que busque el cumplimiento de los planes establecidos.
</t>
  </si>
  <si>
    <t>ANDREA DEL PILAR FUENTES ROCHA</t>
  </si>
  <si>
    <t>20243030002247-I Id: 4218324</t>
  </si>
  <si>
    <t>4.149</t>
  </si>
  <si>
    <t>2024-0603</t>
  </si>
  <si>
    <t>CD-601-2024</t>
  </si>
  <si>
    <t>CAMILO SEGURA ROZO</t>
  </si>
  <si>
    <t>CDEF-0273-2024</t>
  </si>
  <si>
    <t>20243030002257-I Id: 4218341</t>
  </si>
  <si>
    <t>4.34</t>
  </si>
  <si>
    <t>2024-0604</t>
  </si>
  <si>
    <t>CD-602-2024</t>
  </si>
  <si>
    <t>JHON ROBERT SALAZAR BARBOSA</t>
  </si>
  <si>
    <t>PRESTAR LOS SERVICIOS DE APOYO TÉCNICO PARA EL SEGUIMIENTO Y LA DEBIDA GESTIÓN DE PLANES DE CONTROL Y AUTOCONTROL, DE CONFORMIDAD CON LOS PROCESOS Y PROCEDIMIENTOS ORGANIZACIONALES Y NORMATIVOS DEL ICETEX</t>
  </si>
  <si>
    <t>CDEF-0300-2024</t>
  </si>
  <si>
    <t xml:space="preserve">1.	Cumplir con el plan de trabajo entregado por la supervisión en el cual se relacionen los objetivos y metas a desarrollar durante la vigencia del contrato.  
2.	Responder oportunamente lo solicitado para la gestión de requerimientos gerenciales asociados a la planeación estratégica, comités, juntas y demás políticas y demás requerimientos organizacionales y normativos del ICETEX. 
3.	Apoyar a la supervisión del contrato en la gestión de auditorías alertas de tipo retrospectivo y prospectivo en el marco de los procesos y procedimientos de la Oficina comercial y de Mercadeo o en las que ella participe a través de las áreas misionales del ICETEX. 
4.	A través de procesos de análisis descriptivo, exploratorio, de diagnóstico, predictivo y/o prescriptivo, emitir y convocar para socialización, propuestas e insumos de valor que a raíz de alertas encontradas, contribuyan al desarrollo u optimización de los procesos y proyectos (análisis de rapidez, solución de problemas, control de ejecución presupuestal operativo, prevención del riesgo, disminución de PQRS, optimización de KPI´S operativos y las demás aplicables) para la correcta atención de los grupos de interés del ICETEX. 
5.	Proponer iniciativas de mejora que apunten a la optimización y desarrollo de las actividades operativas y/o administrativas desarrolladas asociadas al Sistema de Atención al Consumidor Financiero en el marco de los procesos y procedimientos de la Oficina comercial y de Mercadeo o en las que ella participe. 
6.	Atender los lineamientos de la gestión documental para el manejo, organización y evidencia de la documentación producida y recibida desde su origen hasta su destino final con el objeto de facilitar su utilización y conservación como actas, memorias, documentos asociados a la gestión contractual y las demás asociadas con los lineamientos de la Entidad en el marco de los procesos asociados a la Oficina Comercial y de Mercadeo. 
7.	Desplazarse a las diferentes ciudades del país, en caso de ser necesario para la debida ejecución del contrato, previa coordinación con el supervisor.  
8.	Las demás que sean inherentes para el logro del objeto contratado, asignadas por el supervisor del contrato. 
</t>
  </si>
  <si>
    <t>20243030002245-I Id: 4218316</t>
  </si>
  <si>
    <t>2024-0605</t>
  </si>
  <si>
    <t>CD-603-2024</t>
  </si>
  <si>
    <t>860013720-1</t>
  </si>
  <si>
    <t>PONTIFICIA UNIVERSIDAD JAVERIANA</t>
  </si>
  <si>
    <t>P. LUIS FERNANDO MÚNERA CONGOTE</t>
  </si>
  <si>
    <t>EL OBJETO DEL PRESENTE DOCUMENTO ES PRORROGAR EL PLAZO ESTABLECIDO EN LA CLÁUSULA QUINTA Y MODIFICAR EL "ANEXO B FORMULA APORTE IES" DEL ACUERDO ESTRATÉGICO No 2024-0605</t>
  </si>
  <si>
    <t>7.11</t>
  </si>
  <si>
    <t>2024-0606</t>
  </si>
  <si>
    <t>CD-604-2024</t>
  </si>
  <si>
    <t>JUAN CARLOS ARTURO LOBO TORRES</t>
  </si>
  <si>
    <t>PRESTAR LOS SERVICIOS PROFESIONALES PARA ADMINISTRAR Y APOYAR TODAS LAS FASES DEL PLAN DE CONTINUIDAD DE NEGOCIO DE LA ENTIDAD Y SER APOYO BACKUP (TENIENDO EN CUENTA LOS TERCEROS CRÍTICOS) BAJO EL MARCO NORMATIVO VIGENTE Y/O BUENAS PRÁCTICAS.</t>
  </si>
  <si>
    <t>CDEF-0698-2024</t>
  </si>
  <si>
    <t>IG - 312001020250012</t>
  </si>
  <si>
    <t xml:space="preserve">1. Actualizar las políticas, procedimientos y demás documentos de Plan de continuidad de negocio, con base en las necesidades de la entidad y los cambios normativos. 
2. Presentación de informes a Junta Directiva y áreas de la Entidad con la gestión realizada sobre el Plan de continuidad del negocio, de acuerdo con las especificaciones de la solicitud.
3. Realizar revisión, monitoreo y análisis de riesgos de plan de continuidad del negocio para los procesos críticos de la Entidad asistiendo a las diferentes áreas del Icetex en el análisis, acorde con los lineamientos normativos. 
4. Realizar actualización de análisis de impacto de negocio sobre los procedimientos definidos en la entidad, de acuerdo con cronograma.
5. Acompañar la ejecución de las pruebas de contingencia operativas y técnicas, así como en el seguimiento a las pruebas de proveedores. 
6. Dar respuesta a la ejecución de acciones o mejoras frente a requerimientos internos y/o externos. 
7. Generar conceptos de continuidad de negocio y de riesgos no financieros, asignados por el supervisor, que requieran las áreas, de acuerdo con las políticas de la Entidad, normas externas existentes y buenas prácticas. 
8. Proyectar el Comité de Riesgos y Junta Directiva en los temas de responsabilidad, para aprobación del supervisor. 
9. Revisar y apoyar las estrategias de contingencia 
10. Analizar en los proyectos de la entidad los riesgos, conceptos o lo que se requiera, para proyectos, nuevos productos, procesos relacionados con plan de continuidad de negocios. 
11. Analizar los requerimientos de acuerdos estratégicos y/o contratación en materia de plan de continuidad. 
12. Revisar el cumplimiento del Plan de Continuidad del Negocio con respecto de las normas colombianas en esta materia, así como las buenas prácticas correspondientes. 
13. Atender los requerimientos normativos bajo las Circular Externa 100 básica contable y financiera SFC, buena práctica ISO22301:2019, normas de Superfinanciera y demás que se generen y aquellos que soliciten los Entes de Control y demás entidades que requieran la participación del Icetex. 
14. Promover una Cultura de prevención y atención del plan de continuidad de negocio de la entidad que incluya actividades de difusión y capacitación para funcionarios, contratistas y proveedores. 
15. Asistir y/o participar en las reuniones programadas previo acuerdo con el Supervisor del contrato. 
16. Las demás obligaciones que sean acordes con el objeto contractual asignado por la supervisión del contrato. 
17. Elaborar informes relacionados con la ejecución de su objeto contractual y obligaciones, cuando le sean solicitados.
</t>
  </si>
  <si>
    <t>20242520002280-I Id: 4218779</t>
  </si>
  <si>
    <t>11.109</t>
  </si>
  <si>
    <t>2024-0607</t>
  </si>
  <si>
    <t>CD-605-2024</t>
  </si>
  <si>
    <t>WALTER JOSEF BERDUGO COLON,</t>
  </si>
  <si>
    <t>PRESTACIÓN DE SERVICIOS PROFESIONALES ESPECIALIZADOS PARA EL ANÁLISIS, MODELAMIENTO Y EJECUCIÓN DE PRUEBAS FUNCIONALES Y NO FUNCIONALES PARA EL ASEGURAMIENTO DE CALIDAD DE SOFTWARE DE LAS SOLUCIONES INFORMÁTICAS REQUERIDAS EN EL ICETEX</t>
  </si>
  <si>
    <t>CDEF-0641-2024</t>
  </si>
  <si>
    <t xml:space="preserve">
1.	Estimar, diseñar y validar casos de pruebas requeridos para asegurar la calidad de nuevas soluciones y/o nuevos desarrollos de Software	
2.	Realizar pruebas de aseguramiento de calidad de las iniciativas de desarrollo de nuevas soluciones y/o mantenimientos de software asignados"
3.	Controlar la calidad de los entregables de los sistemas de información asignados y la oportunidad de los mismos
4.	Documentar las tareas de aseguramiento de calidad en la herramienta solicitada por la Dirección de Tecnología.
5.	Validar la aplicación de los procedimientos definidos por la dirección de tecnología para el desarrollo y/o mantenimiento de software
6.	Garantizar la aplicación de la metodología de desarrollo definida por el Icetex  	
7.	Respaldar la ejecución de pruebas automatizadas para los desarrollos ejecutados y asignados
</t>
  </si>
  <si>
    <t>20243030002297-I Id: 4219106</t>
  </si>
  <si>
    <t>11.181</t>
  </si>
  <si>
    <t>2024-0608</t>
  </si>
  <si>
    <t>CD-606-2024</t>
  </si>
  <si>
    <t>MARTHA CONSUELO ARIZA PAEZ</t>
  </si>
  <si>
    <t>PRESTACIÓN DE SERVICIOS PROFESIONALES ESPECIALIZADOS EN LA ADMINISTRACIÓN DE PROYECTOS, CORRECCIÓN DE PROBLEMAS DE CONFIABILIDAD, SEGUIMIENTO DEL PROGRESO, ADMINISTRACIÓN DE RECURSOS Y EJECUCIÓN DE LOS PROCESOS EN EL ICETEX.</t>
  </si>
  <si>
    <t>CDEF-0692-2024</t>
  </si>
  <si>
    <t xml:space="preserve">1. Administrar y Priorizar la lista de Historias de Usuario o pequeños requerimientos de software en que se descomponga cada producto a desarrollar por parte de los equipos de trabajo a los que sea asignado
2. Promover el ambiente colaborativo al interior del equipo de trabajo gestionando la obtención de recursos tecnológicos y humanos necesarios para la ejecución de tareas claves requeridas para el logro de los objetivos del equipo asignado
3. Propiciar los espacios necesarios con los interesados de los proyectos y requerimientos a atender por el equipo de trabajo para acordar alcances de los productos a desarrollar y los criterios de aceptación y su posterior verificación
4. Facilitar la operación diaria, removiendo obstáculos, mediante el escalamiento de oportuno de decisiones que deban ser tomadas por interesados en los proyectos en coordinación con los analistas de negocio
5. Tramitar la participación oportuna de los especialistas requeridos para asegurar el cumplimiento de lineamientos, decisiones arquitecturales, calidad en los productos generados y cumplimiento de políticas de seguridad informática
6. Llevar a los equipos designados al nivel de multifuncionalidad requerido para optimizar la productividad en la construcción de las soluciones, desarrollando esquemas de gestión de conocimiento al interior del equipo
7. Garantizar la ejecución del alcance definido en cada sprint. logrando que los equipos proyecten de forma autónoma su capacidad y entreguen de acuerdo a los compromisos, calidad y prioridad las aplicaciones
8. Asegurar la correcta aplicación del esquema metodológico para el desarrollo de software definido por la entidad.
</t>
  </si>
  <si>
    <t>20243030002302-I Id: 4219122</t>
  </si>
  <si>
    <t>11,178</t>
  </si>
  <si>
    <t>2024-0609</t>
  </si>
  <si>
    <t>CD-607-2024</t>
  </si>
  <si>
    <t xml:space="preserve">
EDGAR ESTEBENS JARAMILLO RODRIGUEZ
</t>
  </si>
  <si>
    <t>CDEF-0689-2024</t>
  </si>
  <si>
    <t xml:space="preserve">1.	Apoyar en la implementación de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organos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metodologia "agile" definida por el Icetex en el desarrollo de los Sprin
</t>
  </si>
  <si>
    <t>20243030002263-I Id: 4218541</t>
  </si>
  <si>
    <t>11.115</t>
  </si>
  <si>
    <t>2024-0610</t>
  </si>
  <si>
    <t>CD-608-2024</t>
  </si>
  <si>
    <t>YENNY MARCELA GOMEZ GOMEZ,</t>
  </si>
  <si>
    <t>CDEF-0643-2024</t>
  </si>
  <si>
    <t xml:space="preserve">. Estimar, diseñar y validar casos de pruebas requeridos para asegurar la calidad de nuevas soluciones y/o nuevos desarrollos de Software.
2. Realizar pruebas de aseguramiento de calidad de las iniciativas de desarrollo de nuevas soluciones y/o mantenimientos de software asignados.
3. Controlar la calidad de los entregables de los sistemas de información asignados y la oportunidad de los mismos.
4. Documentar las tareas de aseguramiento de calidad en la herramienta solicitada por la Dirección de Tecnología.
5. Validar la aplicación de los procedimientos definidos por la dirección de tecnología para el desarrollo y/o mantenimiento de software.
6. Garantizar la aplicación de la metodología de desarrollo definida por el Icetex.
7.  Respaldar la realización de pruebas de carga y stress para los desarrollos ejecutados y asignados.
8. Respaldar la ejecución de pruebas automatizadas para los desarrollos ejecutados y asignados
</t>
  </si>
  <si>
    <t>20243030002303-I Id: 4219123</t>
  </si>
  <si>
    <t>11.65</t>
  </si>
  <si>
    <t>2024-0611</t>
  </si>
  <si>
    <t>CD-609-2024</t>
  </si>
  <si>
    <t>MARIA LUISA MENDOZA OLASCOAGA</t>
  </si>
  <si>
    <t>CDEF-687-2024</t>
  </si>
  <si>
    <t xml:space="preserve">1. Administrar y Priorizar la lista de Historias de Usuario o pequeños requerimientos de software en que se descomponga cada producto a desarrollar por parte de los equipos de trabajo a los que sea asignado.
2. Promover el ambiente colaborativo al interior del equipo de trabajo gestionando la obtención de recursos tecnológicos y humanos necesarios para la ejecución de tareas claves requeridas para el logro de los objetivos del equipo asignado.
3. Propiciar los espacios necesarios con los interesados de los proyectos y requerimientos a atender por el equipo de trabajo para acordar alcances de los productos a desarrollar y los criterios de aceptación y su posterior verificación.
4. Facilitar la operación, removiendo obstáculos, mediante el escalamiento de oportuno de decisiones que deban ser tomadas por interesados en los proyectos en coordinación con los analistas de negocio.
5. Tramitar la participación oportuna de los especialistas requeridos para asegurar el cumplimiento de lineamientos, decisiones arquitecturales, calidad en los productos generados y cumplimiento de políticas de seguridad informática.
6. Llevar a los equipos designados al nivel de multifuncionalidad requerido para optimizar la productividad en la construcción de las soluciones, desarrollando esquemas de gestión de conocimiento al interior del equipo.
7. Garantizar la ejecución del alcance definido en cada sprint. logrando que los equipos proyecten de forma autónoma su capacidad y entreguen de acuerdo a los compromisos, calidad y prioridad las aplicaciones.
8. Asegurar la correcta aplicación del esquema metodológico para el desarrollo de software definido por la entidad.
</t>
  </si>
  <si>
    <t>20243030002305-I Id: 4219125</t>
  </si>
  <si>
    <t>2024-0612</t>
  </si>
  <si>
    <t>CD-610-2024</t>
  </si>
  <si>
    <t>800235151-5</t>
  </si>
  <si>
    <t>FUNDACIÓN DE ESTUDIOS SUPERIORES COMFANORTE – F.E.S.C.</t>
  </si>
  <si>
    <t>CARMEN CECILIA QUERO DE GONZÁLEZ</t>
  </si>
  <si>
    <t>EL OBJETO DEL PRESENTE DOCUMENTO ES PRORROGAR EL PLAZO ESTABLECIDO EN LA CLÁUSULA QUINTA Y MODIFICAR EL ANEXO DEL ACUERDO ESTRATÉGICO No 2024-0612</t>
  </si>
  <si>
    <t>3.17</t>
  </si>
  <si>
    <t>2024-0613</t>
  </si>
  <si>
    <t>CD-611-2024</t>
  </si>
  <si>
    <t>MELBI YANETH PEÑA REYES</t>
  </si>
  <si>
    <t>PRESTAR LOS SERVICIOS PROFESIONALES JURÍDICOS PARA APOYAR LA ACTIVIDAD PRECONTRACTUAL, CONTRACTUAL Y POST CONTRACTUAL RELACIONADOS CON EL APOYO A LA SUPERVISIÓN CONTRACTUAL A CARGO DE LA OFICINA ASESORA JURÍDICA, LA RESPUESTA A LAS PETICIONES, Y DEMÁS SOLICITUDES QUE LE SEAN ASIGNADAS. APOYAR EL TRÁMITE Y SEGUIMIENTO EN LA ETAPA DE JUZGAMIENTO EN LOS ASUNTOS DISCIPLINARIOS QUE SE LE ASIGNEN A LA OFICINA ASESORA JURÍDICA.</t>
  </si>
  <si>
    <t>CDEF-567-2024</t>
  </si>
  <si>
    <t xml:space="preserve">
1. Revisar y determinar la procedencia de la documentación presentada por los demás  contratistas para el pago de honorarios mensuales. 
2. Realizar seguimiento al cargue de documentos por parte de los contratistas a las plataformas  tecnológicas destinadas para el efecto.
3. Proyectar los documentos que sean requeridos relacionados con las etapas precontractual,  contractual y post contractual de los contratos de prestación de servicios de la Oficina Asesora Jurídica. 
4. Revisar los diferentes documentos que corresponden al manejo y control de los contratos de prestación de servicios de la Oficina Asesora Jurídica. 
5. Proyectar respuesta a los derechos de petición, trámites y demás solicitudes que en el plano jurídico le sean asignadas, según los términos establecidos en las normas vigentes. 
6. Aplicar conocimientos jurídicos en la gestión de archivo de los procesos juridiciales que hayan sido adelantados y se estén adelantando por parte de la Oficina Asesora Jurídica.  
7. Gestionar la recopilación, vigilancia y organización conforme se le requiera de los expedientes físicos y electrónicos de los procesos judiciales que hayan sido adelantados y se estén adelantando por parte de la Oficina Asesora Jurídica aplicando sus conocimientos jurídicos. 
8. Apoyar la revisión diaria de envío a Despachos Judiciales a nivel nacional de los trámites inherentes a acciones de tutela. 
9. Apoyar y asistir trimestralmente a las sesiones programadas para el seguimiento de procesos judiciales a cargo de la Oficina Asesora Jurídica, así como la de elaborar el acta general de las citadas sesiones de trabajo.
10. Efectuar el seguimiento semanal de los procesos judiciales a cargo de la Oficina Asesora Jurídica a través de los medios dispuestos por la Rama Judicial e informar los respectivos movimientos procesales a la Coordinación de Acciones de Tutela y Representación Judicial. 
11. Presentar el reporte de avance de gestión de sus actividades contractuales, en un (1) informe mensual sobre actividades y productos desarrollados por el contratista, en el marco de la implementación de las políticas del MIPG y de tareas complementarias, conforme lo previsto
en los indicadores de medición establecidos para el presente contrato. Esto deberá contener un apéndice especial donde el contratista detalle el estado de cada proceso asignado. 
12. Asistir y participar en las reuniones presenciales y/o virtuales a las que sea convocado por parte de la Oficina Asesora Jurídica o de las demás dependencias de la entidad.  
13. Elaborar y radicar los documentos correspondientes en la oportunidad y de acuerdo con las directrices establecidas por la entidad, para el cobro mensual de los honorarios. 
14. Desarrollar las acciones asignadas tendientes al mejoramiento continuo de conformidad con las políticas de calidad implementadas en la entidad y que impacten favorablemente el desarrollo de las metas del proyecto apoyado.   
15. Adelantar la sustanciación, proyección, apoyo y gestiones correspondientes en la etapa de juzgamiento en la primera instancia de los procesos disciplinarios que corresponda adelantar en la entidad, de conformidad con lo previsto en el libro IV artículo 83 y siguientes de la Ley
1952 de 2019 y demás normatividad aplicable y las que la modifiquen. 
16. Atender los demás asuntos que, de conformidad con el objeto contractual, le sean asignados por la Oficina Asesora Jurídica.  
</t>
  </si>
  <si>
    <t>20243030002258-I Id: 4218342</t>
  </si>
  <si>
    <t>2024-0614</t>
  </si>
  <si>
    <t>CD-612-2024</t>
  </si>
  <si>
    <t>890984002-6</t>
  </si>
  <si>
    <t>UNIVERSIDAD CES</t>
  </si>
  <si>
    <t>MANUEL ESTEBAN ACEVEDO JARAMILLO</t>
  </si>
  <si>
    <t>EL OBJETO DEL PRESENTE DOCUMENTO ES PRORROGAR EL PLAZO ESTABLECIDO EN LA CLÁUSULA QUINTA Y MODIFICAR EL ANEXO B FORMULA APORTE IES DEL
ACUERDO ESTRATÉGICO NO. 2024-0614.</t>
  </si>
  <si>
    <t>2024-0615</t>
  </si>
  <si>
    <t>CD-613-2024</t>
  </si>
  <si>
    <t>860045740-6</t>
  </si>
  <si>
    <t>COLEGIO DE ESTUDIOS SUPERIORES DE ADMINISTRACION- CESA</t>
  </si>
  <si>
    <t>EMILIA RESTREPO GOMEZ</t>
  </si>
  <si>
    <t>EL OBJETO DEL PRESENTE DOCUMENTO ES PRORROGAR EL PLAZO ESTABLECIDO EN LA CLÁUSULA QUINTA Y MODIFICAR EL ANEXO B – FÓRMULA APORTE IES DEL ACUERDO ESTRATÉGICO NO. 2024-0615.</t>
  </si>
  <si>
    <t>2024-0616</t>
  </si>
  <si>
    <t>CD-614-2024</t>
  </si>
  <si>
    <t>890104481-6</t>
  </si>
  <si>
    <t>CORPORACIÓN DE EDUCACIÓN SUPERIOR DEL LITORAL</t>
  </si>
  <si>
    <t>EL OBJETO DEL PRESENTE DOCUMENTO ES PRORROGAR EL PLAZO ESTABLECIDO EN LA CLÁUSULA QUINTA Y MODIFICAR EL "ANEXO A - PORCENTAJE FIJO APORTE IES" DEL ACUERDO ESTRATÉGICO NO. 2024-0616.</t>
  </si>
  <si>
    <t>4.65</t>
  </si>
  <si>
    <t>2024-0617</t>
  </si>
  <si>
    <t>CD-615-2024</t>
  </si>
  <si>
    <t>JESSICA ESTEPHANIA CORREDOR CORTES</t>
  </si>
  <si>
    <t>CDEF-398-2024</t>
  </si>
  <si>
    <t xml:space="preserve">1.	Elaborar y entregar plan de trabajo para aprobación del supervisor del contrato, de conformidad con las estipulaciones contractuales. 
2.	Apoyar y realizar la aplicación de encuestas, focus group, clientes incógnitos y journey map, con el fin de evaluar la calidad percibida por la voz del cliente en los diversos grupos de interés.
3.	 Recopilar y analizar datos estadísticos y descriptivos de las opiniones de los usuarios, proporcionando información clave para la toma de decisiones y facilitando la formulación de estrategias de mejora en la atención de necesidades.
4.	Acompañar los procesos de segmentación de los grupos de interés según sus necesidades y características, diseñando estrategias específicas para cada segmento, orientado en la mejora de la experiencia
5.	Realizar análisis de las necesidades y preferencias   de los usuarios, que permitan identificar puntos de fricción en la experiencia con los productos y servicios de la entidad. 
6.	Apoyar los analisis de prototipos de satisfacción y experiencia,, con el fin de proponer mejoras en la implementación de productos y servicios para los usuarios. 
7.	Acompañar los comités de experiencia, identificando y proponiendo mejoras a las casuísticas desde el conocimiento individual prestando asesoría conceptual y operativa técnica.
8.	Apoya en el desarrollo de herramientas de innovación y diseño en los diferentes canales de atención a partir de la compresión de las necesidades y preferencias de los usuarios, con el fin de mejorar la experiencia al usuario.	
9.	Apoyar la ,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inherentes para el logro del objeto contratado, asignadas por el supervisor del contrato
</t>
  </si>
  <si>
    <t>20243030002323-I Id: 4219307</t>
  </si>
  <si>
    <t>13.16</t>
  </si>
  <si>
    <t>2024-0618</t>
  </si>
  <si>
    <t>CD-616-2024</t>
  </si>
  <si>
    <t>ANDREA CAROLINA TRIANA OVALLE</t>
  </si>
  <si>
    <t>PRESTAR SERVICIOS PROFESIONALES PARA LA PROMOCIÓN, DIFUSIÓN Y DIVULGACIÓN DE LOS PROGRAMAS, PLANES Y PROYECTOS DE LA SECRETARÍA GENERAL EN ARTICULACIÓN CON LA OFICINA DE COMUNICACIONES DEL ICETEX</t>
  </si>
  <si>
    <t>Apoyar en el desarrollo e implementación de estrategias de comunicación
y publicidad para la apropiación del modelo de cultura y transformación
organizacional de la entidad, a través de sus planes de acción.
2. Apoyar en el desarrollo estrategias de publicidad y comunicación para la
apropiación de la Iniciativa de Responsabilidad Social y Sostenibilidad
Institucional, establecida en el marco del Modelo de Transformación
Organizacional
3. Apoyar en el desarrollo técnico, logístico y operativo la planeación, difusión
y desarrollo de los eventos desarrollados por la Secretaría General, en el
marco de la apropiación del Modelo Transformación Organizacional.
4. Apoyar en el diseño y la producción de piezas comunicacionales gráficas y
de video, para la apropiación y comprensión de las iniciativas vinculadas al
Modelo de Transformación Organizacional.
5. Apoyar en la elaboración de los planes de acción pertinentes para la
implementación de las estrategias de comunicación organizacional aprobadas
por la Secretaría General, ciñéndose a las políticas y lineamientos
establecidos por la oficina de comunicaciones del Instituto para tal fin.
6. Apoyar en la definición, desarrollo e implementación de contenidos
institucionales para su publicación en la intranet o en el portal web de la
Entidad.
7. Asistir a las reuniones o actividades que se realicen con los funcionarios,
contratistas y demás miembros del equipo, relacionados con los procesos de
transformación y desarrollo de la cultura organizacional del ICETEX a los que
sea convocado o delegado por supervisor del área.
8. Las demás asignadas por el Supervisor, relacionadas con el objeto y la
naturaleza del contrato.</t>
  </si>
  <si>
    <t>20243030002356-I Id: 4219651</t>
  </si>
  <si>
    <t>13.89</t>
  </si>
  <si>
    <t>2024-0619</t>
  </si>
  <si>
    <t>CD-617-2024</t>
  </si>
  <si>
    <t>HENRY ALFONSO RUIZ SARMIENTO</t>
  </si>
  <si>
    <t>PRESTAR LOS SERVICIOS PROFESIONALES PARA LA ESTRUCTURACIÓN Y PLANEACIÓN DEL PROCESO DE GESTIÓN DE CORRESPONDENCIA CONTRIBUYENDO A MEJORAR LA OPORTUNIDAD Y SEGURIDAD DE LA INFORMACIÓN CONTENIDA EN LAS COMUNICACIONES OFICIALES RECIBIDAS EN LA ENTIDAD Y ENVIADAS A TRAVÉS DEL SERVICIO POSTAL, EN EL MARCO DE LAS POLÍTICAS DE SERVICIO AL CIUDADANO Y GESTIÓN DOCUMENTAL DEL MIPG.</t>
  </si>
  <si>
    <t>CDEF-715-2024</t>
  </si>
  <si>
    <t xml:space="preserve">1. Mantener actualizada la información y documentación relacionada con el Proceso de Gestión de Correspondencia en el Sistema de Gestión de Calidad, Gestión de Riesgos, así como cargar y verificar la información correspondiente en los aplicativos y bases de datos dispuestos por la entidad. 
2. Asistir y participar en los comités, mesas de trabajo y demás reuniones relacionadas con el objeto contractual. 
3. Realizar el apoyo en la estructuración, seguimiento, supervisión y liquidación de procesos contractuales en cada una de sus etapas. 
4. Proyectar las respuestas, desde el punto de vista económico y financiero a las observaciones presentadas en los procesos de contratación que se lleguen adelantar desde el Grupo de Correspondencia. 
5. Realizar el apoyo en la elaboración y presentación de los documentos relacionadas con informes, estimaciones presupuestales, tributarias y de vigencias futuras que se lleguen a requerir.
 6. Realizar el apoyo, desde su perfil, en los planes de acción y de mejoramiento, programas y proyectos del proceso de Gestión de Correspondencia. 
7. Desplazarse en oficinas institucionales ubicadas en ciudades o municipios distintos a Bogotá D.C., por solicitud del supervisor, previo el otorgamiento de la correspondiente autorización de desplazamiento. 
8. Las demás asignadas por el supervisor y que tengan relación con el objeto del presente contrato.
</t>
  </si>
  <si>
    <t>20243030002361-I Id: 4219720</t>
  </si>
  <si>
    <t>12.76</t>
  </si>
  <si>
    <t>2024-0620</t>
  </si>
  <si>
    <t>CD-618-2024</t>
  </si>
  <si>
    <t>LAURA ESTEFANÍA YASPE CARVAL</t>
  </si>
  <si>
    <t>PRESTAR LOS SERVICIOS PROFESIONALES JURÍDICOS A LA VICEPRESIDENCIA FINANCIERA PARA APOYAR LAS ACTIVIDADES NORMATIVAS Y CONTRACTUALES REQUERIDAS PARA LA ADECUADA EJECUCIÓN DE LAS FUNCIONES, E INICIATIVAS DEL ÁREA QUE PERMITAN LA MODERNIZACIÓN DE LAS FUNCIONES FINANCIERAS DEL ICETEX Y LA APROPIACIÓN DE LAS MEJORES PRÁCTICAS EN EL MARCO DE LOS PROYECTOS DE INVERSIÓN A CARGO DEL ÁREA.</t>
  </si>
  <si>
    <t>CDEF-728-2024</t>
  </si>
  <si>
    <t>EL ICETEX pagará al CONTRATISTA el valor del contrato mediante PAGOS MENSUALES por valor de NUEVE MILLONES CUATROCIENTOS DIEZ MIL NOVECIENTOS QUINCE PESOS M/CTE ($9.410.915,00) 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Manual de Contratación del ICETEX y acorde a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1. Apoyar en la articulación de las diferentes instancias para la estructuración y formulación de conceptos jurídicos que, en materia financiera, de derecho privado, comercial, publico o administrativo en el marco de la modernización de las funciones financieras.
2. Apoyar en la gestión y seguimiento de los procesos precontractuales, contractuales y
poscontractuales a cargo de la Vicepresidencia Financiera y sus dependencias internas.
3. Proyectar, revisar y formalizar de liquidaciones a cargo de la Vicepresidencia Financiera y sus dependencias internas, realizando el seguimiento de compromisos adquiridos.
4. Realizar el análisis, interpretación y aplicación de la normativa aplicable a Entidades
Financieras y comparables, en el marco de la modernización de las funciones financieras.
5. Realizar el seguimiento y monitoreo de los hitos legales y contractuales del área, y planificar las alertas en relación con los términos y procedimientos establecidos para adelantar los procesos de contratación de la Vicepresidencia Financiera en el marco de su competencia.
6. Realizar la revisión y corrección de los conceptos jurídicos, actos administrativos,
documentos técnicos y contractuales, bases de datos y demás información que le sea
asignada teniendo en cuenta la normativa aplicable al ICETEX.
7. Proyectar, revisar y corregir las actas y demás documentos relacionados con los comités institucionales que le sean asignados, en los que deba intervenir la Vicepresidencia Financiera, realizando el seguimiento de compromisos adquiridos.
8. Apoyar en la articulación con instancias internas y externas para dar respuesta a
requerimientos de información solicitados por entes internos y/o externos.
9. Adelantar la solicitud de conceptos a diversas entidades del Estado y Órganos de Control necesarios para el adecuado desarrollo de las funciones de la dependencia.
10. Cumplir con los indicadores de gestión establecidos.
11. Las demás obligaciones que se requieran para el cumplimiento a cabalidad del objeto
contractual y que sean inherentes a la naturaleza del contrato.</t>
  </si>
  <si>
    <t>MONICA ROBERTO GONZALEZ</t>
  </si>
  <si>
    <t>CESIÓN DEL CONTRATO DE PRESTACIÓN DE SERVICIOS No. 2024-0620 SUSCRITO ENTRE
EL INSTITUTO COLOMBIANO DE CRÉDITO EDUCATIVO Y ESTUDIOS TÉCNICOS EN EL
EXTERIOR “MARIANO OSPINA PÉREZ” – ICETEX Y LAURA ESTEFANIA YASPE CARVAL A
MONICA ROBERTO GONZALEZ</t>
  </si>
  <si>
    <t>20243030002367-I Id: 4219738</t>
  </si>
  <si>
    <t>11.183</t>
  </si>
  <si>
    <t>2024-0621</t>
  </si>
  <si>
    <t>CD-619-2024</t>
  </si>
  <si>
    <t xml:space="preserve">EDUARDO LUIS GARCIA MARRUGO </t>
  </si>
  <si>
    <t>PRESTACIÓN DE SERVICIOS PROFESIONALES ESPECIALIZADOS PARA EL TRÁMITE DE SERVICIOS DE TI ORIENTADOS AL ANÁLISIS, MODELAMIENTO, DESARROLLO, PRUEBAS, IMPLEMENTACIÓN Y MEJORAMIENTO CONTINUO DE SOLUCIONES INFORMÁTICAS, REQUERIDAS EN EL ICETEX</t>
  </si>
  <si>
    <t>CDEF-694-2024</t>
  </si>
  <si>
    <t xml:space="preserve">1. Apoyar en la implementación de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metodología "agile" definida por el Icetex en el desarrollo de los Sprint
</t>
  </si>
  <si>
    <t>20243030002390-I Id: 4220118</t>
  </si>
  <si>
    <t>10.69</t>
  </si>
  <si>
    <t>2024-0622</t>
  </si>
  <si>
    <t>CD-620-2024</t>
  </si>
  <si>
    <t>STEFANNYA TORRES GALEANO</t>
  </si>
  <si>
    <t>CDEF-472-2024</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</si>
  <si>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vigentes y los procedimientos del ICETEX. 
13.	Convocar las mesas de trabajo de manera presencial o virtual con los constituyentes de los fondos a su cargo, y elaborar las actas de los Cómites y Juntas Administradoras en los que el ICETEX tenga a cargo la Secretaria Técnica. 
14.	Incorporar en los expedientes de los fondos y en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</si>
  <si>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20243030002364-I Id: 4219733</t>
  </si>
  <si>
    <t>11.186</t>
  </si>
  <si>
    <t>2024-0623</t>
  </si>
  <si>
    <t>CD-621-2024</t>
  </si>
  <si>
    <t>ANDRES JULIAN HERNANDEZ VALENCIA</t>
  </si>
  <si>
    <t>PRESTACIÓN DE SERVICIOS PROFESIONALES ESPECIALIZADOS PARA ACOMPAÑAR LA IMPLEMENTACIÓN DE SOLUCIONES RELACIONADAS CON LAS TECNOLOGÍAS DE LA INFORMACIÓN EN LOS DIFERENTES DOMINIOS TECNOLÓGICOS QUE ASEGUREN LA EJECUCIÓN DEL PETIC EN EL ICETEX.</t>
  </si>
  <si>
    <t>CDEF-697-2024</t>
  </si>
  <si>
    <t xml:space="preserve">Realizar seguimiento, monitoreo y medición a los proyectos de la Dirección de tecnología; y formular y estructurar iniciativas y oportunidades de mejora en el marco del proyecto Modernización Digital y Arquitectura Tecnológica.
2.  Emitir conceptos técnicos respecto de los proyectos estratégicos. 
3. Acompañar la toma de decisiones para la ejecución de los proyectos a su cargo.
4. Consolidar y aprobar técnicamente los documentos generados por la Dirección de Tecnología para el cumplimiento del plan estratégico de TI.
5. Realizar seguimiento y evaluación del PETIC que permita identificar riesgos, proponer soluciones y medir el impacto de las soluciones TI en el cumplimiento del plan.
6. Guiar el análisis de riesgos y el monitoreo de los mismos en las diferentes etapas de ejercicios de Arquitectura y en los proyectos estratégicos.
7. Gestionar o coayudar en actividades que contribuyan al control de ejecución de contratos y que deban ser realizadas por el supervisor del mismo.
8. Apoyar al Director de Tecnología en las diferentes actividades de tipo administrativo y técnico que requieran.
</t>
  </si>
  <si>
    <t>CDEF-2024-0923</t>
  </si>
  <si>
    <t>OTROSÍ No. 1 DE ADICIÓN Y PRÓRROGA DEL CONTRATO DE PRESTACIÓN DE
SERVICIOS PROFESIONALES No. 2024-0623, SUSCRITO ENTRE EL INSTITUTO
COLOMBIANO DE CRÉDITO EDUCATIVO Y ESTUDIOS TÉCNICOS EN EL
EXTERIOR “MARIANO OSPINA PÉREZ” – ICETEX Y ANDRÉS JULIÁN
HERNÁNDEZ VALENCIA</t>
  </si>
  <si>
    <t>20243030002417-I Id: 4220376</t>
  </si>
  <si>
    <t>4.82</t>
  </si>
  <si>
    <t>2024-0624</t>
  </si>
  <si>
    <t>CD-622-2024</t>
  </si>
  <si>
    <t>MARIA JIMENA MUNERA ALVAREZ</t>
  </si>
  <si>
    <t>PRESTAR SERVICIOS PROFESIONALES PARA LA GESTIÓN DE ALIANZAS EN EL MARCO DEL DESARROLLO DEL PLAN ESTRATÉGICO DE LA ENTIDAD Y LA "POLÍTICA DE GUÍA, INFORMACIÓN Y ACOMPAÑAMIENTO".</t>
  </si>
  <si>
    <t>CDEF-068-2024</t>
  </si>
  <si>
    <t xml:space="preserve">1.	Identificar y gestionar nuevos acuerdos con potenciales aliados que contribuyan a alcanzar los objetivos y propósitos consignados en la "Política de Guía, Información y Acompañamiento: Comunidad ICETEX". 
2.	Elaborar y gestionar la documentación necesaria para establecer alianzas adicionales conforme a la "Política de Guía, Información y Acompañamiento: Comunidad ICETEX" y a lo estipulado por la entidad. 
3.	Facilitar la conexión con los interesados internos y externos de la entidad para fomentar la creación de nuevas alianzas para la Comunidad ICETEX. 
4.	Acompañar la gestión interna de los documentos que formalizan la creación de nuevas alianzas para la Comunidad ICETEX. 
5.	Facilitar la integración del equipo de la “Unidad de Operaciones” con el nuevo aliado de la Comunidad ICETEX, proporcionando los documentos necesarios para la implementación de la alianza. 
6.	Contribuir a la estandarización de los procesos relacionados con la formulación, formalización y gestión de nuevas alianzas para la Comunidad ICETEX. 
7.	Supervisar y respaldar los informes de logros y avances del proyecto Comunidad ICETEX ante las áreas internas del ICETEX, entidades de control y la ciudadanía. 
8.	Participar en los procesos precontractuales asignados para la ejecución de las actividades relacionadas con la Comunidad ICETEX. 
9.	Apoyar la supervisión técnica, administrativa, financiera y contable de los contratos asignados, de acuerdo con lo establecido en el Manual de Contratación de la Entidad. 
10.	Informe mensual de actividades y cumplimiento de los indicadores de gestión establecidos.
11.	Cumplir con otras obligaciones necesarias para el logro completo del objeto contractual y que sean inherentes a la naturaleza del contrato.
</t>
  </si>
  <si>
    <t>20243030002401-I Id: 4220223</t>
  </si>
  <si>
    <t>4.57</t>
  </si>
  <si>
    <t>2024-0625</t>
  </si>
  <si>
    <t>CD-623-2024</t>
  </si>
  <si>
    <t>EMILY MARTINEZ CARVAJAL</t>
  </si>
  <si>
    <t>PRESTAR SERVICIOS PROFESIONALES ESPECIALIZADOS CON EL FIN DE EJECUTAR ESTRATEGIAS PARA EL MEJORAMIENTO DE LA SATISFACCIÓN DE LOS GRUPOS DE INTERÉS ICETEX (BENEFICIARIOS, CIUDADANOS, IES) EN SUS INTERACCIONES CON LA ENTIDAD</t>
  </si>
  <si>
    <t>CDEF-396-2024</t>
  </si>
  <si>
    <t xml:space="preserve">1.	Elaborar y entregar plan de trabajo para aprobación del supervisor del contrato, de conformidad con las estipulaciones contractuales. 
2.	 Identificar necesidades en los procesos de la Entidad que requieran intervención, por su impacto en la Experiencia del Servicio y que permitan obtener una mejora en la calidad de la información del portafolio de productos y servicios, 
3.	Articular el cumplimiento de la estrategia de experiencia al usuario, a través del entendimiento de necesidades y expectativas, creando experiencias positivas y satisfactorias.
4.	Desarrollar los comités de experiencia, identificando y proponiendo mejoras a las casuísticas desde el conocimiento individual prestando asesoría conceptual y operativa técnica.
5.	Colaborar y promover el desarrollo de mejoras de las áreas internas de la entidad, para garantizar una mejora de experiencia al usuario consistente y de alta calidad. 
6.	Recomendar mejoras a los procesos y procedimientos de atención al usuario, que impactan la experiencia del usuario en su relación con la entidad. 
7.	Acompañar las investigaciones de mercadeo, análisis de mejores prácticas del sector, identificación de mejoras, y herramientas tecnologías que permitan fortalecer la medición de experiencia del usuario, 
8.	Velar por el cumplimiento de los planes de trabajo de los equipos de gobierno de experiencia, diseño de experiencia y medición de experiencia que permitan apalancar mejoras en los KPIs de Satisfacción y Recomendación del ICETEX. 
9.	Apoyar el acompañamiento, gestión y documentación de procesos y procedimientos, cumplimiento de los indicadores, planes de acción, planes de mejoramiento, reportes, auditorias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inherentes para el logro del objeto contratado, asignadas por el supervisor del contrato
</t>
  </si>
  <si>
    <t>20243030002420-I Id: 4220413</t>
  </si>
  <si>
    <t>3.13</t>
  </si>
  <si>
    <t>2024-0626</t>
  </si>
  <si>
    <t>CD-624-2024</t>
  </si>
  <si>
    <t>GERMAN EDUARDO PALACIO ZUÑIGA</t>
  </si>
  <si>
    <t>PRESTAR LOS SERVICIOS PROFESIONALES JURÍDICOS ESPECIALIZADOS EN EL DESARROLLO Y REPRESENTACIÓN DEL ICETEX, DIRIGIDO A LA IMPLEMENTACIÓN DE LA DEFENSA JURÍDICA DE LA ENTIDAD EN MATERIA LABORAL.</t>
  </si>
  <si>
    <t>CDEF-565-2024</t>
  </si>
  <si>
    <t>4.128</t>
  </si>
  <si>
    <t>2024-0627</t>
  </si>
  <si>
    <t>CD-625-2024</t>
  </si>
  <si>
    <t>YAMILETH ROJAS RIASCOS</t>
  </si>
  <si>
    <t>CDEF-111-2024</t>
  </si>
  <si>
    <t>13.10</t>
  </si>
  <si>
    <t>2024-0628</t>
  </si>
  <si>
    <t>CD-626-2024</t>
  </si>
  <si>
    <t>ANGIE MANUELA PEREZ AVENDAÑO</t>
  </si>
  <si>
    <t>PRESTAR SERVICIOS PROFESIONALES PARA APOYAR LA GESTIÓN DOCUMENTAL Y LA OPTIMIZACIÓN DE TAREAS ADMINISTRATIVAS EN PRO DEL BUEN FUNCIONAMIENTO DE LOS ASUNTOS RELACIONADOS CON LA JUNTA DIRECTIVA</t>
  </si>
  <si>
    <t>CDEF-703-2024</t>
  </si>
  <si>
    <t xml:space="preserve">1.	Elaborar las actas, extractos de actas, resúmenes ejecutivos de las Juntas Directivas y Comités de Apoyo a la Junta Directiva en los que participa la Secretaría General, revisando que se apliquen las mejores prácticas de gobierno corporativo.  
2.	Apoyar y  acompañar  la elaboración de las convocatorias de sesiones de Junta Directiva ordinarias, extraordinarias, presenciales y no presenciales o por toma de decisiones por escrito.  
3.	Revisar los documentos de diferentes áreas de la Entidad, relacionados con los temas y documentos técnicos que se someten a consideración de la Junta Directiva y de los Comités de Apoyo de la Junta Directiva donde la Secretaría General tiene funciones específicas, así como solicitar los ajustes necesarios, cuando a ello hubiere lugar.  
4.	Revisar la documentación correspondiente a solicitudes de vigencias futuras que requieren aprobación de la Junta Directiva y del Presidente del ICETEX de conformidad al procedimiento definido en el Estatuto de Presupuesto.  
5.	Ejercer las funciones de enlace con la Junta Directiva y de los Comités de Apoyo en los que la Secretaría General ejerza la secretaría técnica para gestionar los requerimientos logísticos que sean necesarios para el adecuado funcionamiento de las sesiones, así como velar por el cumplimiento en el pago de los Honorarios y Comisiones que sean requeridas por cada uno de los miembros de Junta Directiva en el desarrollo de sus actividades.
6.	Las demás que le sean solicitadas por la supervisión del contrato y que tengan relación con el objeto contractual. 
</t>
  </si>
  <si>
    <t>IVAN ANDRES MORENO VIVAS</t>
  </si>
  <si>
    <t>20243030002435-I Id: 4225670</t>
  </si>
  <si>
    <t>13.88</t>
  </si>
  <si>
    <t>2024-0629</t>
  </si>
  <si>
    <t>CD-627-2024</t>
  </si>
  <si>
    <t>JOHANNA ANDREA PINEDA GOMEZ</t>
  </si>
  <si>
    <t>PRESTAR LOS SERVICIOS DE APOYO A LA GESTIÓN AL GRUPO DE CORRESPONDENCIA EN EL DESARROLLO DE LAS ACTIVIDADES REQUERIDAS PARA LA GESTIÓN DE LAS COMUNICACIONES OFICIALES RECIBIDAS EN EL ICETEX Y ENVIADAS A TRAVÉS DEL SERVICIO POSTAL, EN EL MARCO DE LAS POLÍTICAS DE SERVICIO AL CIUDADANO Y GESTIÓN DOCUMENTAL DEL MIPG.</t>
  </si>
  <si>
    <t>CDEF-718-2024</t>
  </si>
  <si>
    <t xml:space="preserve"> SERVICIOS POSTALES</t>
  </si>
  <si>
    <t xml:space="preserve">
1.	Realizar actividades propias del proceso de Gestión Documental sobre los documentos allegados y generados en la entidad, tales como recibir, verificar, clasificar, ordenar, retirar material abrasivo, foliar, rotular, ingresar información pertinente en bases de datos, embalar, trasladar, según los procedimientos internos. 
2.	Efectuar actividades de oficina y de asistencia administrativa encaminadas a facilitar el desarrollo y ejecución de las actividades del Grupo. 
3.	Apoyar la administración de la cuenta de correo establecida en la entidad para la recepción de las comunicaciones oficiales, así como el registro en el Sistema de Gestión de Documentos Electrónicos de Archivos SGDEA, de los datos básicos de las comunicaciones recibidas en el Grupo, cargar las imágenes digitalizadas de los mismos y realizar el direccionamiento respectivo al área competente de su trámite. 
4.	Apoyar las actividades relacionadas con la clasificación y envío al archivo de los documentos físicos requeridos dentro del proceso de gestión de correspondencia, de conformidad con la normatividad vigente y los estándares establecidos por la entidad. 
5.	Brindar la atención de solicitudes de consultas realizadas por las áreas de la entidad, en lo referente al Sistema de Gestión de Documentos Electrónicos de Archivos -SGDEA. 
6.	Apoyar las actividades de digitalización de los documentos y/o expedientes pertenecientes a archivo de gestión dentro del componente tecnológico con el fin de fortalecer la política de gestión documental de MIPG. 
7.	Elaborar informe periódico sobre las comunicaciones recibidas (física y digitalmente) y las planillas de control de calidad que realice, según lo establecido en los procedimientos del proceso. 
8.	Las demás obligaciones que sean acordes con el objeto contractual y que sean asignadas por quien ejerza la función de la supervisión del contrato. 
</t>
  </si>
  <si>
    <t>20243030002460-I Id: 4226075</t>
  </si>
  <si>
    <t>11.66</t>
  </si>
  <si>
    <t>2024-0630</t>
  </si>
  <si>
    <t>CD-628-2024</t>
  </si>
  <si>
    <t>CESAR AUGUSTO GONZÁLEZ JIMÉNEZ,</t>
  </si>
  <si>
    <t xml:space="preserve">PRESTACIÓN DE SERVICIOS PROFESIONALES ESPECIALIZADOS EN INGENIERÍA PARA ANÁLISIS, MODELAMIENTO, DESARROLLO, IMPLEMENTACIÓN Y ADECUACIONES A LA SOLUCIÓN DE GESTIÓN DOCUMENTAL ALINEADAS A CAMBIOS REQUERIDOS POR ICETEX </t>
  </si>
  <si>
    <t>CDEF-642-2024</t>
  </si>
  <si>
    <t>Brindar apoyo al equipo de infraestructura tecnológica de la oficina TICS para realizar las
tareas de almacenamiento, seguridad, backup y recuperaciones requeridas para la
seguridad de la información del sistema de gestión de documentos electrónicos de archivo
– SGDEA.
2. Implementar optimizaciones de los módulos que integran el Sistema de Gestión
Documental, para la correcta administración y ejecución de las consultas que se requieran.
3. Apoyar en el proceso de migración de información de radicados, imágenes, histórico y
expedientes del Sistema de Gestión Documental Orfeo al sistema de gestión de documentos
electrónicos de archivo - SGDEA de la entidad.
4. Brindar apoyo y soporte técnico de los componentes de software requeridos para las
integraciones del sistema de gestión de documentos electrónicos de archivo con los demás
sistemas de información de la entidad.
5. Crear y mantener actualizado el código fuente, manual técnico y componentes de software
del Sistema de Gestión Documental Orfeo en la herramienta de control de versiones de la
Entidad, hasta tanto se realice la migración total al sistema de gestión de documentos electrónicos de archivo – SGDEA.
6. Aplicar los procedimientos definidos por la Secretaría General y la dirección de tecnología
para gestionar el desarrollo de software, mantenimiento de Software y migración de
información entre sistemas y/o plataformas del Icetex.
7. Asistir a las diferentes mesas de trabajo y reuniones acerca del componente técnico y/o
funcional que se realicen a lo largo de la ejecución del contrato.
8. Apoyar las tareas de implementación de componentes de software y configuración de
elementos de hardware que se requieran para el funcionamiento del sistema.
9. Realizar revisiones periódicas en los componentes de software para gestionar la seguridad
del sistema y las vulnerabilidades que se publican periódicamente de las fuentes y librerías
que componen el sistema.
10. Realizar los desarrollos de software pertinentes y las adecuaciones técnicas para la
integración con otros sistemas como ajustes requeridos por la entidad.
11. Cumplir las demás actividades relacionadas con el objeto del contrato que sean acordadas
con el supervisor.</t>
  </si>
  <si>
    <t>20243030002461-I Id:
4226082</t>
  </si>
  <si>
    <t>11.176</t>
  </si>
  <si>
    <t>2024-0631</t>
  </si>
  <si>
    <t>CD-629-2024</t>
  </si>
  <si>
    <t>JEISON JAIR GONZALEZ VARGAS,</t>
  </si>
  <si>
    <t>PRESTACIÓN DE SERVICIOS PROFESIONALES ESPECIALIZADOS EN INGENIERIA EN LA GESTIÓN DE SERVICIOS DE TI DE INFRAESTRUCTURA TECNOLÓGICA Y TELECOMUNICACIONES DEL ICETEX</t>
  </si>
  <si>
    <t>CDEF-651-2024</t>
  </si>
  <si>
    <t>1.	Guiar y tramitar las actividades de soporte funcional y técnico de la infraestructura.
2.	Realizar estudios de mercado, estudios previos y demás documentos necesarios para suplir necesidades de contratación a cargo de la coordinación.
3.	Respaldar las etapas precontractual y contractual de los procesos de contratación y/o contratos de los servicios asignados.
4.	Realizar el seguimiento de los servicios prestados y cumplimiento de los ANS pactados con los proveedores.
5.	Respaldar la planeación, seguimiento y ejecución de las contrataciones del Plan Anual de Adquisiciones de la coordinación.
6.	Velar por la oportuna entrega de los informes que se soliciten por parte de otras dependencias de la Entidad o entidades externas
7.	Respaldar las actividades técnicas relacionadas con los proyectos de infraestructura asignados
8.	Administrar herramientas tecnológicas orientadas al correcto funcionamiento de la operación del ICETEX
9.	Monitorear y administrar los equipos de cómputo del ICETEX en cuanto a actualizaciones y seguridad
10.	Tramitar Backups en los servicios de Datacenter del ICETEX
11.	Monitorear los recursos IAAS que tiene el ICETEX</t>
  </si>
  <si>
    <t>2024-0632</t>
  </si>
  <si>
    <t>CD-630-2024</t>
  </si>
  <si>
    <t>890985189-9</t>
  </si>
  <si>
    <t>UNIVERSIDAD CATÓLICA LUIS AMIGÓ</t>
  </si>
  <si>
    <t>CARLOS ENRIQUE CARDONA QUICENO</t>
  </si>
  <si>
    <t>EL OBJETO DEL PRESENTE DOCUMENTO ES PRORROGAR EL PLAZO ESTABLECIDO EN LA CLÁUSULA QUINTA Y MODIFICAR EL ANEXO B FORMULA APORTE IES DEL ACUERDO ESTRATÉGICO 2024-0632</t>
  </si>
  <si>
    <t>2024-0633</t>
  </si>
  <si>
    <t>CD-631-2024</t>
  </si>
  <si>
    <t>901181117-7</t>
  </si>
  <si>
    <t>FUNDACIÓN UNIVERSITARIA SALESIANA</t>
  </si>
  <si>
    <t>P. LEONARDO GÓMEZ HERNÁNDEZ</t>
  </si>
  <si>
    <t>EL OBJETO DEL PRESENTE DOCUMENTO ES PRORROGAR EL PLAZO ESTABLECIDO EN LA CLÁUSULA QUINTA Y MODIFICAR EL ANEXO DEL ACUERDO ESTRATÉGICO NO. 2024-0633.</t>
  </si>
  <si>
    <t>13.85</t>
  </si>
  <si>
    <t>2024-0634</t>
  </si>
  <si>
    <t>CD-632-2024</t>
  </si>
  <si>
    <t>JAMIE DEL PILAR RODRIGUEZ MARTÍNEZ</t>
  </si>
  <si>
    <t>: PRESTAR SERVICIOS DE APOYO EN CUANTO A LAS ACTIVIDADES PROPIAS DEL PROCESO DE GESTIÓN DE CORRESPONDENCIA, RELACIONADAS CON LA RADICACIÓN, ALISTAMIENTO PARA ENTREGA Y DISTRIBUCIÓN, DIGITALIZACIÓN, ORGANIZACIÓN Y ARCHIVO DE LAS COMUNICACIONES OFICIALES RECIBIDAS EN EL ICETEX Y ENVIADAS A TRAVÉS DEL SERVICIO POSTAL, EN EL MARCO DE LAS POLÍTICAS DE SERVICIO AL CIUDADANO Y GESTIÓN DOCUMENTAL DEL MIPG.</t>
  </si>
  <si>
    <t>CDEF-729-2024</t>
  </si>
  <si>
    <t xml:space="preserve">1.	Realizar actividades propias de los procesos que conforman la gestión documental de la entidad, sobre los documentos allegados y generados en la misma, tales como recibir, verificar, clasificar, ordenar, retirar material abrasivo, foliar, rotular, ingresar información pertinente en bases de datos, embalar, trasladar, según los procedimientos internos.
2.	Efectuar actividades de oficina y de asistencia administrativa encaminadas a facilitar el desarrollo y ejecución de las actividades de los procesos que conforman la Gestión Documental.
3.	Apoyar el registro en el Sistema de Gestión de Documentos Electrónicos de Archivos SGDEA, de los datos básicos de las comunicaciones oficiales recibidas y generadas en la entidad, cargar las imágenes digitalizadas de los mismos y realizar el direccionamiento o envío respectivo. 
4.	Apoyar las actividades relacionadas con la clasificación y envío al archivo de los documentos físicos requeridos de conformidad con la normatividad vigente y los estándares establecidos por la entidad.
5.	Apoyar las actividades de digitalización de los documentos y/o expedientes pertenecientes a archivo de gestión dentro del componente tecnológico con el fin de fortalecer la política de gestión documental de MIPG.
6.	Elaborar informe periódico sobre las comunicaciones gestionadas (física y digitalmente) y las planillas de control de calidad que realice, según lo establecido en los procedimientos de los procesos que conforman la gestión documental. 
7.	Las demás obligaciones que sean acordes con el objeto contractual y que sean asignadas por quien ejerza la función de la supervisión del contrato.
</t>
  </si>
  <si>
    <t>20243030002492-I Id: 4229248</t>
  </si>
  <si>
    <t>11.67</t>
  </si>
  <si>
    <t>2024-0635</t>
  </si>
  <si>
    <t>CD-633-2024</t>
  </si>
  <si>
    <t>CHRISTINE FRAGALE CASTILLO</t>
  </si>
  <si>
    <t>PRESTACIÓN DE SERVICIOS PROFESIONALES ESPECIALIZADOS PARA EL TRÁMITE DE SERVICIOS DE TI ORIENTADOS A LA IMPLEMENTACIÓN DE REQUISITOS, MEJORES PRÁCTICAS Y ESTÁNDARES RELACIONADOS CON LA USABILIDAD Y ACCESIBILIDAD DE APLICACIONES PARA SOLUCIONES INFORMÁTICAS A CARGO DEL ICETEX.</t>
  </si>
  <si>
    <t>CDEF-633-2024</t>
  </si>
  <si>
    <t xml:space="preserve">1. Generar los lineamientos de usabilidad y accesibilidad en interfases web de los aplicativos generales de los proyectos que le sean asignados.  
2. Respaldar en la definición y formulación de requerimientos de usabilidad y experiencia de usuario de los proyectos que le sean asignados, atendiendo las políticas de gobierno digital. 
3. Acompañar el desarrollo de los sistemas de información para garantizar el uso adecuado de los recursos gráficos.  
4. Respaldar la realización de pruebas técnicas y de aceptación a las interfases de los sistemas de información de la entidad, para validar la correcta implementación de los requerimientos de usabilidad y experiencia de usuario.  
5. Proyectar la documentación de los criterios de usabilidad y accesibilidad en el repositorio destinado para tal fin y definido por la Dirección de Tecnología.  
6. Crear y documentar las plantillas para los diferentes sistemas de información del ICETEX, 
7. Crear los prototipos y mockUps solicitados para los diferentes sistemas de información.  
8. Orientar a la Dirección de Tecnología frente al cumplimiento de las normas vigentes en términos de usabilidad y accesibilidad.
9. Las demás solicitadas por el supervisor y que tengan relación con el objeto contractual. 
</t>
  </si>
  <si>
    <t>20243030002480-I Id: 4228970</t>
  </si>
  <si>
    <t>7.12</t>
  </si>
  <si>
    <t>2024-0636</t>
  </si>
  <si>
    <t>CD-634-2024</t>
  </si>
  <si>
    <t>ALEJANDRO ESCUDERO LIZARAZO</t>
  </si>
  <si>
    <t>PRESTAR SERVICIOS PROFESIONALES PARA APOYAR EL SISTEMA DE GESTIÓN DE SEGURIDAD DIGITAL EN TODAS LAS ETAPAS DE LOS SISTEMAS Y LINEAMIENTOS DE ADMINISTRACIÓN DE RIESGOS DE SEGURIDAD DE LA INFORMACIÓN BASADOS EN LA ISO 27001 E IMPLEMENTACIÓN Y MANTENIMIENTO DE LA LEY DE PROTECCIÓN DE DATOS COMO APOYO BACKUP Y EN TODO LO CORRESPONDIENTE AL MARCO NORMATIVO APLICABLE.</t>
  </si>
  <si>
    <t>CDEF-709-2024</t>
  </si>
  <si>
    <t>IG-312001020250012</t>
  </si>
  <si>
    <t xml:space="preserve">1.	Desarrollar el Programa de Protección de Datos Personales, con el fin de fortalecer el cumplimiento de la Ley 1581 de 2012- Protección de Datos Personales. 
2.	Mantener actualizadas las políticas de protección de datos personales, con base en las necesidades de la entidad y los cambios normativos. 
3.	Realizar la presentación de informes de gestión a Junta Directiva y áreas de la Entidad con la gestión realizada sobre el cumplimiento de las políticas y lineamientos de Seguridad Digital, de acuerdo con las especificaciones de la solicitud.  
4.	Realizar revisión, monitoreo y análisis de riesgos de seguridad digital, ciberseguridad y protección de datos personales a la totalidad de procesos de la Entidad asistiendo a las diferentes áreas del Icetex en el análisis, acorde con los lineamientos normativos. 
5.	Hacer seguimiento a la generación de Planes de Tratamientos para aquellos riesgos que resulten con evaluación grave o crítica. 
6.	Apoyar la planeación y revisar el diseño y eficacia de los controles de la ISO 27001 y hacer seguimiento a los planes de acción generados por oportunidades de mejora. 
7.	Actualizar el inventario y clasificación de activos de información de la Entidad, de acuerdo con las normas y procedimientos existentes 
8.	Promover una cultura de seguridad de la información que incluya actividades de difusión y capacitación para funcionarios, contratistas y proveedores. 
9.	Realizar pruebas de ingeniería social enfocada a funcionarios y contratistas de la entidad. 
10.	Generar los conceptos de seguridad relacionados con seguridad digital y de protección de datos personales requeridos por las áreas de la Entidad, de acuerdo con las políticas de la Entidad, normas externas existentes y buenas prácticas. 
11.	Analizar los requerimientos de acuerdos estratégicos y/o contratación en materia de seguridad digital. 
12.	Proyectar el Comité de Seguridad de la Información en los temas de responsabilidad, con el fin de dar avance sobre la atención a la Política de Seguridad Digital a la alta dirección de la Entidad.
13.	Revisar el cumplimiento del Sistema de Gestión de Seguridad de la Información con respecto de las normas colombianas en materia de seguridad y privacidad digital, así como las buenas prácticas, realizando seguimiento a las acciones de mejora.  
14.	Atender los requerimientos normativos bajo las normas Ley 1712, Ley 1581, de MinTic, buena práctica ISO 27001, normas de Superfinanciera y demás que se generen y aquellos que soliciten los Entes de Control como son MEN, CSIRT, COLCERT y demás entidades que requieran la participación del Icetex. 
15.	Revisar y hacer seguimiento en temas de seguridad digital a los proveedores definidos. 
16.	Asistir y/o participar en las reuniones programadas previo acuerdo con el Supervisor del contrato.
17.	Elaborar informes relacionados con la ejecución de su objeto contractual y obligaciones, cuando le sean solicitados. 
18.	Las demás obligaciones que sean acordes con el objeto contractual asignado por la supervisión del contrato
</t>
  </si>
  <si>
    <t>20242520002452-I Id: 4225960</t>
  </si>
  <si>
    <t>10.30</t>
  </si>
  <si>
    <t>2024-0637</t>
  </si>
  <si>
    <t>CD-635-2024</t>
  </si>
  <si>
    <t>ADOLFO ANDRES MARQUEZ PENAGOS</t>
  </si>
  <si>
    <t>"PRESTAR SUS SERVICIOS PROFESIONALES PARA LA ATENCIÓN DE PQRSD, CONDONACIONES Y DEMÁS TRÁMITES RELACIONADOS A CARGO DE LA VICEPRESIDENCIA DE FONDOS EN ADMINISTRACIÓN.
"</t>
  </si>
  <si>
    <t>CDEF-474-2024</t>
  </si>
  <si>
    <t xml:space="preserve">1. Proyectar y/o revisar los oficios de respuesta a las PQRSD asignadas y que sean competencia de la Vicepresidencia de Fondos en Administración, dentro del término legal establecidos en la normatividad vigente.
2. Proyectar los actos administrativos que se le asignen y sean de competencia de la Vicepresidencia de Fondos en Administración
3. Efectuar la verificación de la documentación requerida para el trámite de condonación de los créditos otorgados a través de los fondos administrados por la Vicepresidencia de Fondos en Administración, conforme lo establecido en los contratos, convenios, reglamentos operativos y el procedimiento establecido por el ICETEX.
4. Reportar las condonaciones atendidas a las áreas correspondientes
5. Validar la aplicación de la condonación en la cartera del beneficiario por parte de la dependencia competente.
6. Diligenciar las bases de datos que le sean requeridas y guarden relación con el objeto contractual.
7.  Suministrar el insumo para la elaboración de informes que le sean requeridos y guarden relación con el objeto contractual.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</si>
  <si>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20243030002493-I Id: 4229267</t>
  </si>
  <si>
    <t>4.106</t>
  </si>
  <si>
    <t>2024-0638</t>
  </si>
  <si>
    <t>CD-636-2024</t>
  </si>
  <si>
    <t xml:space="preserve">
PEDRO EMANUEL GOMEZ OLARTE 
</t>
  </si>
  <si>
    <t>PRESTAR LOS SERVICIOS PROFESIONALES PARA EL APOYO EN EL DISEÑO, IMPLEMENTACIÓN, EJECUCIÓN, SUPERVISIÓN, CONTROL Y MEJORA CONTINUA DE LAS ESTRATEGIAS DE MERCADEO DIGITAL QUE CONTRIBUYAN A LA PROMOCIÓN Y OTORGAMIENTO DEL PORTAFOLIO DE PRODUCTOS DEL ICETEX.</t>
  </si>
  <si>
    <t xml:space="preserve">1.	Elaborar y entregar plan de trabajo y cronograma de actividades para aprobación de la supervisión del contrato, de conformidad con las estipulaciones contractuales. 
2.	Proponer e implementar mejoras desde el punto de vista digital para la mejora en la interacción con los usuarios en el customer journey map del ICETEX y funnel de ventas del ICETEX. 
3.	Implementar mejoras desde el punto de vista digital para la mejora en la conversión del funnel de ventas del ICETEX. 
4.	Proponer e implementar estrategias digitales en el portal web institucional para aumentar las visitas y mejorar la conversión del producto o servicio asignado del portafolio del ICETEX 
5.	Realizar el análisis, medición y seguimiento a los resultados obtenidos a partir de las mejoras propuestas, identificando novedades y oportunidades de mejora. 
6.	Mejorar la experiencia de usuario (UX) en las secciones definidas del portal web del ICETEX, teniendo en cuenta la demanda o estrategia comercial y de mercadeo vigente para la Entidad. 
7.	Apoyar con la estructuración de estrategias de marketing digital necesarias dentro del plan comercial y de mercadeo del ICETEX, con el objetivo de dar cumplimiento a las metas comerciales definidas para las diferentes convocatorias de crédito. 
8.	Apoyar las investigaciones de mercado y análisis de la competencia para ayudar al ICETEX a comprender mejor a su audiencia y a identificar oportunidades de crecimiento y mejora en sus estrategias de marketing digital. 
9.	Realizar las labores de acompañamiento en reuniones o comités, de conformidad con las necesidades de la Entidad y la designación de supervisor del contrato. 
10.	Las demás que sean inherentes para el logro del objeto contratado, asignadas por el supervisor del contrato. 
</t>
  </si>
  <si>
    <t>20243030002500-I Id: 4229359</t>
  </si>
  <si>
    <t>10.38</t>
  </si>
  <si>
    <t>2024-0639</t>
  </si>
  <si>
    <t>CD-637-2024</t>
  </si>
  <si>
    <t>NICOLAS MATEO SANCHEZ VERGARA,</t>
  </si>
  <si>
    <t>PRESTAR SUS SERVICIOS PROFESIONALES APOYANDO LA ESTRUCTURACIÓN DE PROPUESTAS Y PROYECTOS DE FINANCIACIÓN ORIENTADOS A FOMENTAR EL ACCESO Y PERMANENCIA EDUCATIVA CONFORME LAS POLÍTICAS Y PROCEDIMIENTOS DEL ICETEX.</t>
  </si>
  <si>
    <t>CDEF-427-2024</t>
  </si>
  <si>
    <t xml:space="preserve">1. Proyectar las propuestas y demás documentos que permitan acceder a recursos externos para fomentar el acceso y permanencia a educación superior conforme los lineamientos definidos por la entidad.
2. Acompañar las mesas de trabajo que se adelanten con los potenciales aliados y efectuar recomendaciones frente a las condiciones de los nuevos fondos, convenios y contratos que fomenten la educación superior.
3. Proyectar los Reglamentos Operativos derivados de la constitución de nuevos fondos, contratos o convenios suscritos la Vicepresidencia de Fondos en Administración.
4. Entregar y socializar a los colaboradores de la Vicepresidencia de Fondos los documentos que contengan las condiciones técnicas, administrativas, jurídicas y demás requeridos para la ejecución de los fondos, convenios y contratos que suscriba la Vicepresidencia.
5. Registrar la información relacionada con los nuevos convenios o contratos que suscriba la Vicepresidencia de Fondos en Administración, en las herramientas internas de la entidad que le sean indicadas.
6. Crear los expedientes de los fondos en los repositorios de información de la Vicepresidencia de Fondos en Administración y los demás sistemas que lo requieran y hacer correcto uso de las mismas.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</si>
  <si>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20243030002502-I Id: 4229420</t>
  </si>
  <si>
    <t>11.80</t>
  </si>
  <si>
    <t>2024-0640</t>
  </si>
  <si>
    <t>CD-638-2024</t>
  </si>
  <si>
    <t>JENNYFER FORERO VALENZUELA</t>
  </si>
  <si>
    <t xml:space="preserve">PRESTACIÓN DE SERVICIOS PROFESIONALES ESPECIALIZADOS EN INGENIERÍA PARA LA REVISIÓN, ANÁLISIS, MODELAMIENTO, IMPLEMENTACIÓN, USO Y APROPIACIÓN DE LA ARQUITECTURA EMPRESARIAL DESDE EL DOMINIO DE SISTEMAS DE INFORMACIÓN PARA EL ICETEX. </t>
  </si>
  <si>
    <t>CDEF-720-2024</t>
  </si>
  <si>
    <t xml:space="preserve">1.	Apoyar en la implementación de nuevas soluciones para desarrollar, ejecutar y evaluar estrategias y alinear la misión y visión institucional con la arquitectura empresarial e identificar objetivos estratégicos alineados con las necesidades funcionales del negocio.
2.	Acompañar la implementación de modelos de negocio y procesos, alineados con la estrategia institucional.
3.	Participar en la definición de estándares y lineamientos con el propósito de garantizar la consistencia y la alineación estratégica en toda la organización en el marco de los principios, políticas y demás normativa establecida en el marco del lineamiento MinTic para la transformación entorno al gobierno digital de la nación.
4.	Articular equipos multidisciplinarios para implementar cambios arquitectónicos clave.
5.	Apoyar la vigilancia tecnológica para la definición de estrategias de adopción de nuevas tecnologías y tecnologías emergentes en la estrategia de transformación de la entidad.
6.	Guiar la definición y actualización del PETI alineado con la planeación estratégica de la entidad, así mismo, el seguimiento al cumplimiento y la construcción de los reportes correspondientes junto con el consolidado de evidencias.
7.	Apoyar la articulación de los dominios arquitecturales para la definición conjunta de arquitecturas de solución (As Is, To Be, de transición, de solución especifica), arquitecturas de referencia y lineamientos arquitecturales.
8.	Apoyar en la implementación de nuevas soluciones para documentar, socializar y acompañar el modelado de arquitecturas de referencia y de solución (target, de segmento y/o transición) para guiar el diseño y la implementación de soluciones, enfocados en la atención de necesidades de negocio que le sean asignadas.
</t>
  </si>
  <si>
    <t>20243030002505-I Id: 4229512</t>
  </si>
  <si>
    <t>10.26</t>
  </si>
  <si>
    <t>2024-0641</t>
  </si>
  <si>
    <t>CD-639-2024</t>
  </si>
  <si>
    <t>DIANA MARCELA CORBA BARRETO</t>
  </si>
  <si>
    <t>CDEF-409-2024</t>
  </si>
  <si>
    <t xml:space="preserve">1. Proyectar y/o revisar los oficios de respuesta a las PQRSD asignadas y que sean competencia de la Vicepresidencia de Fondos en Administración, dentro del término legal establecidos en la normatividad vigente.
2. Proyectar los actos administrativos que se le asignen y sean de competencia de la Vicepresidencia de Fondos en Administración
3. Efectuar la verificación de la documentación requerida para el trámite de condonación de los créditos otorgados a través de los fondos administrados por la Vicepresidencia de Fondos en Administración, conforme lo establecido en los contratos, convenios, reglamentos operativos y el procedimiento establecido por el ICETEX.
4. Reportar las condonaciones atendidas a las áreas correspondientes
5. Validar la aplicación de la condonación en la cartera de los beneficiarios por parte de la dependencia competente.
6. Diligenciar las bases de datos que le sean requeridas y guarden relación con el objeto contractual.
7. Suministrar el insumo para la elaboración de informes que le sean requeridos y guarden relación con el objeto contractual.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</si>
  <si>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20243030002503-I Id: 4229441</t>
  </si>
  <si>
    <t>13.153</t>
  </si>
  <si>
    <t>2024-0642</t>
  </si>
  <si>
    <t>CD-640-2024</t>
  </si>
  <si>
    <t>MARTIN MANUEL PIÑATES CASTIBLANCO</t>
  </si>
  <si>
    <t>PRESTAR SERVICIOS PROFESIONALES PARA APOYAR TÉCNICAMENTE EN ASPECTOS ECONÓMICOS, ADMINISTRATIVOS Y OPERATIVOS DEL PLAN ESTRATÉGICO DEL TALENTO HUMANO Y LA ADMINISTRACIÓN DE PERSONAL, EN EL MARCO DE LA POLÍTICA DE “GESTIÓN DEL TALENTO HUMANO”, ASÍ COMO CONTRIBUIR A MEJORAR LA OPORTUNIDAD DE LOS SERVICIOS QUE PRESTA LA ENTIDAD</t>
  </si>
  <si>
    <t>CDEF-621-2024</t>
  </si>
  <si>
    <t xml:space="preserve">1.	Revisar cuando se requiera la gestión de cobro de incapacidades ante las entidades administradoras de salud y las administradoras de riesgos laborales, así como realizar el seguimiento, conciliación contable y control de reintegro de los dineros que debe realizar a la Entidad. 
2.	Apoyar cuando se requiera la depuración de las deudas presuntas y reales de las entidades del sistema de Seguridad Social. 
3.	Apoyar en la elaboración de los contratos que se deben generar en el marco de la ejecución del Plan Estratégico de Talento Humano. 
4.	Realizar el seguimiento y control a cada uno de los proyectos que le sean asignados en el marco de la gestión del talento humano, velando por el cumplimiento de los compromisos en los plazos establecidos en los respectivos cronogramas. 
5.	Apoyar en la elaboración de respuestas a solicitudes de competencia del Grupo de Talento Humano en lo referente a los planes y programas acorde con el objeto contractual. 
6.	Realizar en el seguimiento de los planes de mejoramiento inherentes a los procesos de competencia de talento humano alertando sobre posibles retrasos y generar los informes que le sean requeridos. 
7.	Realizar el seguimiento de los informes de viáticos cuando se requiera 
8.	Apoyar al Grupo de Talento Humano en la medición, documentación y seguimiento a los indicadores del área. 
9.	Asistir y participar en los comités, reuniones, talleres, juntas y demás eventos que le indique el supervisor y se relacionen con el objeto del contrato. 
10.	Analizar, revisar y corregir el presupuesto de cada Grupo de Trabajo del Grupo de Talento Humano. 
11.	Apoyar, revisar, analizar, y corregir las actividades y el desarrollo del proceso de nomina
</t>
  </si>
  <si>
    <t>10.86</t>
  </si>
  <si>
    <t>2024-0643</t>
  </si>
  <si>
    <t>CD-641-2024</t>
  </si>
  <si>
    <t>LAURA FERNANDA DIAZ AGUDELO</t>
  </si>
  <si>
    <t>CDEF-467-2024</t>
  </si>
  <si>
    <t xml:space="preserve">1. Apoyar los trámites relacionados con la modificación y actualización de los convenios, contratos, alianzas, proyectos y reglamentos a cargo de Vicepresidencia de Fondos en Administración, teniendo en cuenta los procedimientos establecidos por el ICETEX.
2. Efectuar seguimiento mensual de los fondos asignados, informando al Despacho las novedades que impidan la correcta ejecución de los mismos.
3. Apoyar los procesos de convocatoria y adjudicación relacionados con Fondos asignados, conforme con las condiciones establecidas en los reglamentos operativos y los procedimientos establecidos por el ICETEX.
4. Efectuar la legalización, renovación, giro, paso al cobro, de conformidad con el Reglamento Operativo de cada fondo a su cargo y los procedimientos establecidos por el ICETEX.
5. Realizar la proyección financiera de los fondos asignados, manteniendo actualizada la información.
6. Proponer flujo de caja de los fondos asignados y realizar seguimiento a la ejecución del mismo de manera mensual, conforme los lineamientos de la Vicepresidencia de Fondos en Administración.
7. Efectuar el proceso oportuno de validación, solicitud y seguimiento de los desembolsos y pago de facturas a proveedores cuando aplique.
8. Identificar los beneficiarios susceptibles de condonación, informar a la instancia correspondiente de acuerdo con el Reglamento Operativo y efectuar el seguimiento hasta culminar dicho proceso.
9. Realizar seguimiento a la gestión de cartera de los fondos asignados, actualizar la información en los informes de gestión y monitorear de manera mensual el movimiento financiero del fondo.
10. Efectuar el seguimiento a los rendimientos financieros y los trámites relacionados con reintegros a los entes que correspondan, de acuerdo con lo establecido en el Reglamento Operativo, la normatividad vigente y los procedimientos del ICETEX.
11. Convocar las mesas de trabajo de manera presencial o virtual con los constituyentes de los fondos a su cargo, y elaborar las actas de los Comités y Juntas Administradoras en los que el ICETEX tenga a cargo la Secretaria Técnica.
12. Incorporar en los expedientes de los fondos y en las carpetas compartidas de la Vicepresidencia de Fondos en Administración la información que surja en el desarrollo del objeto contractual y hacer correcto uso de las mismas.
13.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a las diferentes ciudades del país, en caso de ser necesario para la debida ejecución del contrato, previa coordinación con el supervisor.
17. Las demás asignadas por el supervisor y que tengan relación con el objeto del presente contrato
</t>
  </si>
  <si>
    <t>20243030002531-I Id: 4234182</t>
  </si>
  <si>
    <t>10.84</t>
  </si>
  <si>
    <t>2024-0644</t>
  </si>
  <si>
    <t>CD-642-2024</t>
  </si>
  <si>
    <t>PAOLA SOFIA JAIMES CERVANTES</t>
  </si>
  <si>
    <t>CDEF-473-2024</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</si>
  <si>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</si>
  <si>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20243030002538-I Id: 4234236</t>
  </si>
  <si>
    <t>10.70</t>
  </si>
  <si>
    <t>2024-0645</t>
  </si>
  <si>
    <t>CD-643-2024</t>
  </si>
  <si>
    <t>ROBERT BENAVIDES TURIZO</t>
  </si>
  <si>
    <t>CDEF-471-2024</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</si>
  <si>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</si>
  <si>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20243030002496-I Id: 4229323</t>
  </si>
  <si>
    <t>11.103</t>
  </si>
  <si>
    <t>2024-0646</t>
  </si>
  <si>
    <t>CD-644-2024</t>
  </si>
  <si>
    <t>PABLO ANTONIO CASTRILLÓN VERA</t>
  </si>
  <si>
    <t>PRESTACIÓN DE SERVICIOS PROFESIONALES ESPECIALIZADOS EN INGENIERÍA PARA ANÁLISIS Y GESTIÓN DE REQUERIMIENTOS FUNCIONALES Y NO FUNCIONALES EN EL MARCO DE LAS FUNCIONES TECNOLÓGICAS DEL ICETEX</t>
  </si>
  <si>
    <t>CDEF-640-2024</t>
  </si>
  <si>
    <t xml:space="preserve">1. 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metodología "agile" definida por el Icetex en el desarrollo de los Sprint.
</t>
  </si>
  <si>
    <t>20243030002512-I Id: 4229564</t>
  </si>
  <si>
    <t>4.173</t>
  </si>
  <si>
    <t>2024-0647</t>
  </si>
  <si>
    <t>CD-645-2024</t>
  </si>
  <si>
    <t>JESUS ANDRES MARINEZ GOMEZ</t>
  </si>
  <si>
    <t>APOYAR LA EJECUCIÓN DEL PLAN COMERCIAL DE LA TERRITORIAL SUROCCIDENTE ASOCIADA AL PORTAFOLIO DE SERVICIOS DE LCETEX EN LA REGIÓN, EN ARTICULACIÓN CON LA OFICINA COMERCIAL Y DE MERCADEO DEL NIVEL CENTRAL</t>
  </si>
  <si>
    <t>CDEF-700-2024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</si>
  <si>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a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Apoyar la ejecución de las estrategias comerciales y de servicio dispuestas por la Oficina Comercial y Mercadeo y demás áreas de la entidad, para el logro de las metas y objetivos estratégicos de la entidad. 
5.	Apoyar el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Proporcionar la asistencia necesaria para llevar a cabo las actividades planificadas por Comunidad ICETEX en el área de cobertura de la Territorial Suroccidente, garantizando un respaldo efectivo y profesional para el éxito de las operaciones
14.	Desplazarse a las diferentes ciudades y municipios del país, en caso de ser necesario para la debida ejecución del contrato, previa coordinación con el supervisor.
15.	Las demás que sean inherentes para el logro del objeto contratado, asignadas por el supervisor del contrato. 
</t>
  </si>
  <si>
    <t>20243030002546-I Id: 4234386</t>
  </si>
  <si>
    <t>13.133</t>
  </si>
  <si>
    <t>2024-0648</t>
  </si>
  <si>
    <t>CD-646-2024</t>
  </si>
  <si>
    <t>LAURA VALENTINA RODRIGUEZ SILVA</t>
  </si>
  <si>
    <t>PRESTAR LOS SERVICIOS PROFESIONALES EN EL DESARROLLO Y EJECUCIÓN TÉCNICA DEL PROYECTO DE INVERSIÓN DENOMINADO “MEJORAMIENTO DE SEDES” CORRESPONDIENTE A LA GESTIÓN DEL GRUPO DE ADMINISTRACIÓN DE RECURSOS FÍSICOS PARA EL APOYO ARQUITECTÓNICO DE LOS SUBPROYECTOS TENDIENTES A CONTRIBUIR Y MEJORAR LA OPORTUNIDAD DE LOS SERVICIOS QUE PRESTA LA ENTIDAD.</t>
  </si>
  <si>
    <t>CDEF-716-2024</t>
  </si>
  <si>
    <t xml:space="preserve">EL ICETEX pagará al CONTRATISTA el valor del contrato mediante PAGOS MENSUALES por valor de CUATRO MILLONES SEISCIENTOS CINUENTA Y NUEVE MIL TREINTA Y NUEVE PESOS M/CTE ($4.659.039),por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Manual de Contratación del ICETEX y acorde a la normatividad vigente que reglamenta la materia;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personales naturales, deberán presentar junto con el informe final como requisito para el último pago, el respectivo paz y salvo de conformidad con el formato dispuesto por la entidad. F509 Formato Paz y Salvo Contratistas prestación de servicios profesionales o apoyo a la gestión, cuyo diligenciamiento se realizará conforme al Instructivo I509.
1.	Apoyar en la formulación de propuestas para el mantenimiento preventivo y correctivo de los inmuebles, relacionados con adecuaciones locativas y remodelaciones. 
2.	Realizar y revisar los diseños arquitectónicos, requeridos para las obras de adecuación, modificación parcial o total de la infraestructura física de ICETEX y el presupuesto correspondiente. 
3.	Gestionar en el uso de tecnologías para el desarrollo detallado de (renders), dibujos, bocetos, planos, especificaciones técnicas necesarias, para definir diseños, informes de exposición de proyectos y los demás que se requieran. 
4.	Presentar propuesta de diseños para adquisición de mobiliario. 
5.	Realizar informes semanales de ejecución, avance y adecuación de actividades de obra de la infraestructura física de la Entidad, que sean requeridos por parte del Coordinador del Grupo de Administración de Recursos Físicos. 
6.	Gestionar la planeación y ejecución de adecuaciones con cumplimiento de la norma NTC 6047 de 2013 relacionada con asuntos de accesibilidad.
7.	Participar y apoyar a ICETEX en todas las reuniones convocadas y relacionadas con la ejecución del contrato.
8.	Realizar la elaboración de actas de inicio, actas de terminación y actas de liquidación de contratos que le sean asignados. 
9.	Adelantar el cargue en la herramienta documental de la entidad, todos los documentos e insumos que se generen en su contrato y en todos aquellos en los que apoye a la supervisión. 
10.	Apoyar en la elaboración y revisión de estudios y documentos Previos que se requieran para la ejecución del Plan Anual de Adquisiciones del grupo de Administración de Recursos Físicos. 
11.	Las demás obligaciones que sean acordes con el objeto contractual asignado por quien ejerza la función de la Supervisión del Contrato.
</t>
  </si>
  <si>
    <t>20243030002582-I Id: 4234726</t>
  </si>
  <si>
    <t>13.137</t>
  </si>
  <si>
    <t>2024-0649</t>
  </si>
  <si>
    <t>CD-647-2024</t>
  </si>
  <si>
    <t>MARINO MOSQUERA GAMBOA</t>
  </si>
  <si>
    <t>PRESTACIÓN DE SERVICIOS PROFESIONALES PARA REALIZAR EL APOYO A LA SUPERVISIÓN AL CONTRATO DE ASESORÍA TÉCNICA Y CIENTÍFICA PARA LA ESTRUCTURACIÓN DE LOS DISEÑOS REQUERIDOS EN EL PROYECTO DE CONSTRUCCIÓN DE LA NUEVA SEDE DEL ICETEX EN LA CIUDAD DE BUENAVENTURA CON LA FINALIDAD DE IMPULSAR EL DESARROLLO SOCIAL, ECONÓMICO Y ECOLÓGICO DE LA COSTA PACÍFICA.</t>
  </si>
  <si>
    <t>CDEF-607-2024</t>
  </si>
  <si>
    <t xml:space="preserve">1.	Realizar acompañamiento a la Secretaría General y a la territorial en la supervisión del contrato interadministrativo con la Universidad del Pacífico y que tiene por objeto realizar los diseños de la nueva sede del Icetex ubicados en la ciudad de Buenaventura. 
2.	Verificar los trámites que realice la Universidad ante curaduría, los cuales incluyen recolección de documentos, elaboración de planos, diseño de espacios e interiores, respuesta a requerimientos por observaciones a los proyectos, y todo lo relacionado con la obtención de licencias. 
3.	Tramitar los documentos que debe presentar la Universidad del Pacífico, necesarios para la realización de los pagos, una vez cumpla con los entregables, según la programación de la consultoría presentada por ellos. 
4.	Verificar la programación de la consultoría y hacerle el seguimiento para el cumplimiento de esta. 
5.	Interlocutar con los participantes del Comité Cívico del Paro, para concretar reuniones de seguimiento, con la Universidad del Pacífico, la territorial y la supervisión del contrato de consultoría y obra.
6.	Preparar y presentar reportes sobre el contrato interadministrativo y de la construcción de la nueva sede de ICETEX. 
7.	Verificar la documentación para todo el proceso de planificación, estructuración del proceso y selección de contratistas idóneos para la construcción de la nueva Sede del Icetex. 
8.	Verificar regularmente la ejecución de los contratos para supervisar el avance asegurándose que el proyecto sigue adelante y se mantiene dentro de los costos establecidos.
9.	Realizar los informes que le sean solicitados por parte del Coordinador del Grupo de Administración de Recursos Físicos, sobre sus funciones y desarrollo de los contratos en los cuales apoye en la supervisión. 
10.	Participar y apoyar a ICETEX en todas las reuniones convocadas y relacionadas con la ejecución del contrato.
11.	Realizar la elaboración de actas de inicio, actas de terminación y actas de liquidación de contratos que le sean asignados. 
12.	Adelantar el cargue en la herramienta documental de la entidad, todos los documentos e insumos que se generen en su contrato y en todos aquellos en los que apoye a la supervisión. 
13.	Las demás obligaciones que sean acordes con el objeto contractual asignado por quien ejerza la función de la Supervisión del Contrato.
</t>
  </si>
  <si>
    <t>20243030002585-I Id: 4234731</t>
  </si>
  <si>
    <t>2.27</t>
  </si>
  <si>
    <t>2024-0650</t>
  </si>
  <si>
    <t>CD-648-2024</t>
  </si>
  <si>
    <t>ANDREA LONDOÑO FLÓREZ</t>
  </si>
  <si>
    <t>PRESTAR SERVICIOS PROFESIONALES ESPECIALIZADOS COMO GESTOR DE INNOVACIÓN PARA LA GENERACIÓN DE ESTRATEGIAS QUE FOMENTEN UNA CULTURA DE INNOVACIÓN Y FACILITEN LA ADOPCIÓN Y APROPIACIÓN DE PROYECTOS E INICIATIVAS QUE DESDE EL EQUIPO SE LIDEREN O CUANDO SE APOYE TRANSVERSALMENTE</t>
  </si>
  <si>
    <t>CDEF-656-2024</t>
  </si>
  <si>
    <t>G312001020210012</t>
  </si>
  <si>
    <t xml:space="preserve">1.	Apoyar al gestor de relacionamiento del equipo de innovación en la identificación de actores clave en el ecosistema de innovación relacionado con la Entidad y que permitan el desarrollo u optimización de las capacidades de innovación de la Entidad.
2.	Gestionar eventos, incubadoras internas o programas de aceleración para fomentar la innovación dentro de la Entidad.
3.	Evaluar de manera continua, tecnologías emergentes que podrían beneficiar el ecosistema de innovación de la Entidad.
4.	Desarrollar programas y/o acciones de formación y sensibilización en innovación para las diferentes áreas de la Entidad y sus colaboradores.
5.	Monitorear acciones de innovación implementadas en entidades del mismo sector para proponer mejores prácticas en la entidad.
6.	Apoyar el desarrollo de estrategias e iniciativas que propicien el trabajo colaborativo, el intercambio y la generación de conocimientos que impulsen la innovación en la entidad.
7.	Proponer y desarrollar la estrategia de innovación alineándose con la estrategia de la entidad y la política de gestión del conocimiento y la innovación bajo el Modelo Integrado de Planeación y Gestión (MIPG), según los lineamientos del equipo de innovación. 
8.	Plantear y/o participar en la creación y/o actualización de políticas y directrices que favorezcan un ambiente propicio para la innovación.
9.	Cumplir con los indicadores de gestión establecidos.
10.	Las demás que sean inherentes a la naturaleza del contrato, así como observar las recomendaciones dadas por el Supervisor de este para asegurar el cumplimiento de la finalidad del contrato, sin afectar la independencia del contratista.
</t>
  </si>
  <si>
    <t>20243030002551-I Id: 4234486</t>
  </si>
  <si>
    <t>11.63</t>
  </si>
  <si>
    <t>2024-0651</t>
  </si>
  <si>
    <t>CD-649-2024</t>
  </si>
  <si>
    <t>ANDRES MARIÑO RAMIREZ</t>
  </si>
  <si>
    <t>PRESTACIÓN DE SERVICIOS PROFESIONALES ESPECIALIZADOS PARA LA ADMINISTRACIÓN Y GESTIÓN DE LA LIBERACIÓN Y ENTREGA DE LOS PROYECTOS INFORMÁTICOS DEL GRUPO DE SISTEMAS DE INFORMACIÓN, GARANTIZANDO LOS LINEAMIENTOS DE ARQUITECTURA DE TI.</t>
  </si>
  <si>
    <t>CDEF-662-2024</t>
  </si>
  <si>
    <t xml:space="preserve">. Administrar y Priorizar la lista de Historias de Usuario o pequeños requerimientos de software en que se descomponga cada producto a desarrollar por parte de los equipos de trabajo a los que sea asignado.
2. Promover el ambiente colaborativo al interior del equipo de trabajo gestionando la obtención de recursos tecnológicos y humanos necesarios para la ejecución de tareas claves requeridas para el logro de los objetivos del equipo asignado.
3. Propiciar los espacios necesarios con los interesados de los proyectos y requerimientos a atender por el equipo de trabajo, para acordar alcances de los productos a desarrollar y los criterios de aceptación y su posterior verificación.
4. Facilitar la operación , removiendo obstáculos, mediante el escalamiento oportuno de decisiones que deban ser tomadas por interesados en los proyectos en coordinación con los analistas de negocio.
5. Tramitar la participación oportuna de los especialistas requeridos para asegurar el cumplimiento de lineamientos, decisiones arquitecturales, calidad en los productos generados y cumplimiento de políticas de seguridad informática.
6. Llevar a los equipos designados al nivel de multifuncionalidad requerido para optimizar la productividad en la construcción de las soluciones, desarrollando esquemas de gestión de conocimiento al interior del equipo.
7. Garantizar la ejecución del alcance definido en cada sprint,. logrando que los equipos proyecten de forma autónoma su capacidad y entreguen de acuerdo a los compromisos, calidad y prioridad las aplicaciones.
8. Asegurar la correcta aplicación del esquema metodológico para el desarrollo de software definido por la entidad.
</t>
  </si>
  <si>
    <t>20243030002583-I Id: 4234727</t>
  </si>
  <si>
    <t>11.59</t>
  </si>
  <si>
    <t>2024-0652</t>
  </si>
  <si>
    <t>CD-650-2024</t>
  </si>
  <si>
    <t>ÁLVARO ANDRÉS LÓPEZ OCHOA</t>
  </si>
  <si>
    <t>CDEF-636-2024</t>
  </si>
  <si>
    <t xml:space="preserve">1. Administrar y Priorizar la lista de Historias de Usuario o pequeños requerimientos de software en que se descomponga cada producto a desarrollar por parte de los equipos de trabajo a los que sea asignado.
2. Promover el ambiente colaborativo al interior del equipo de trabajo gestionando la obtención de recursos tecnológicos y humanos necesarios para la ejecución de tareas claves requeridas para el logro de los objetivos del equipo asignado.
3. Propiciar los espacios necesarios con los interesados de los proyectos y requerimientos a atender por el equipo de trabajo para acordar alcances de los productos a desarrollar y los criterios de aceptación y su posterior verificación.
4. Facilitar la operación continua removiendo obstáculos, mediante el escalamiento de oportuno de decisiones que deban ser tomadas por interesados en los proyectos en coordinación con los analistas de negocio.
5. Tramitar la participación oportuna de los especialistas requeridos para asegurar el cumplimiento de lineamientos, decisiones arquitecturales, calidad en los productos generados y cumplimiento de políticas de seguridad informática.
6. Llevar a los equipos designados al nivel de multifuncionalidad requerido para optimizar la productividad en la construcción de las soluciones, desarrollando esquemas de gestión de conocimiento al interior del equipo.
7. Garantizar la ejecución del alcance definido en cada sprint, logrando que los equipos proyecten de forma autónoma su capacidad y entreguen de acuerdo a los compromisos, calidad y prioridad las aplicaciones.
8. Asegurar la correcta aplicación del esquema metodológico para el desarrollo de software 
definido por la entidad.
</t>
  </si>
  <si>
    <t>20243030002584-I Id: 4234728</t>
  </si>
  <si>
    <t>2024-0653</t>
  </si>
  <si>
    <t>CD-652-2024</t>
  </si>
  <si>
    <t>860078643-1</t>
  </si>
  <si>
    <t>POLITECNICO GRANCOLOMBIANO</t>
  </si>
  <si>
    <t>GUSTAVO ANTONIO MENDIETA GONZALEZ</t>
  </si>
  <si>
    <t>ACUERDO ESTRATÉGICO ENTRE EL ICETEX Y LA IES, CON EL FIN DE GENERAR UN BENEFICIO ECONÓMICO PARA LA FINANCIACIÓN DE LA EDUCACIÓN SUPERIOR, DENOMINADO APORTE EN TASA IES , DIRIGIDO A ESTUDIANTES DE PREGRADO Y POSGRADO EN COLOMBIA CON CRÉDITOS REEMBOLSABLES OTORGADOS POR EL INSTITUTO COLOMBIANO DE CRÉDITO EDUCATIVO Y ESTUDIOS TÉCNICOS EN EL EXTERIOR "MARIANO OSPINA PÉREZ" -ICETEX.</t>
  </si>
  <si>
    <t>EL OBJETO DEL PRESENTE DOCUMENTO ES PRORROGAR EL PLAZO ESTABLECIDO EN LA CLÁUSULA QUINTA Y  MODIFICAR EL ANEXO B FÓRMULA APORTE IES DEL ACUERDO ESTRATÉGICO N° 2024-0653.</t>
  </si>
  <si>
    <t>2024-0654</t>
  </si>
  <si>
    <t>CD-655-2024</t>
  </si>
  <si>
    <t>860078430-1</t>
  </si>
  <si>
    <t>CORPORACIÓN UNIVERSITARIA TALLER CINCO CENTRO DE DISEÑO</t>
  </si>
  <si>
    <t>VIVIANA ALEJANDRA ALVARÉZ RESTREPO</t>
  </si>
  <si>
    <t>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</si>
  <si>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EL OBJETO DEL PRESENTE DOCUMENTO ES PRORROGAR EL PLAZO ESTABLECIDO EN LA CLÁUSULA QUINTA Y MODIFICAR EL ANEXO DEL ACUERDO ESTRATÉGICO NO.
2024-0654.</t>
  </si>
  <si>
    <t>11.180</t>
  </si>
  <si>
    <t>2024-0655</t>
  </si>
  <si>
    <t>CD-653-2024</t>
  </si>
  <si>
    <t>LUCAS ALFREDO PINEDA JIMENEZ</t>
  </si>
  <si>
    <t>CDEF-691-2024</t>
  </si>
  <si>
    <t xml:space="preserve">1. Apoyar en la implementación de nuevas soluciones para desarrollar nuevas soluciones informáticas para soportar y/o mejorar la operación de los procesos misionales del Icetex
2. Tramitar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órganos de gobierno de TI indicados por la Dirección de Tecnología,
6. Tramitar los ambientes de contingencia que permitan dar continuidad a las actividades a cargo
7.Tramitar el soporte requerido con los proveedores tecnológicos para atender los requerimientos solicitados por las áreas misionales del ICETEX
8. Garantizar la aplicación de la metodología "agile" definida por el Icetex en el desarrollo de los Sprint.
</t>
  </si>
  <si>
    <t>20243030002627-I Id: 4235345</t>
  </si>
  <si>
    <t>13.131</t>
  </si>
  <si>
    <t>2024-0656</t>
  </si>
  <si>
    <t>CD-651-2024</t>
  </si>
  <si>
    <t>PAULA SOFIA MAYORGA GUEVARA</t>
  </si>
  <si>
    <t>PRESTAR APOYO TÉCNICO A LA INFRAESTRUCTURA DEL PROYECTO DE INVERSIÓN DENOMINADO “MEJORAMIENTO DE SEDES” CORRESPONDIENTE A LA GESTIÓN DEL GRUPO DE ADMINISTRACIÓN DE RECURSOS FÍSICOS</t>
  </si>
  <si>
    <t>CDEF-717-2024</t>
  </si>
  <si>
    <t xml:space="preserve">1. Apoyar en la formulación de propuestas para el mantenimiento preventivo y correctivo de los inmuebles, relacionados con adecuaciones locativas y remodelaciones. 
2. Apoyar en la infraestructura, requerida para las obras de adecuación, modificación parcial o total de la infraestructura física de ICETEX y el presupuesto correspondiente.
3. Apoyar en la realización de informes semanales de ejecución, avance y adecuación de actividades de obra de la infraestructura física de la Entidad, que sean requeridos por parte del Coordinador del Grupo de Administración de Recursos Físicos. 
4. Efectuar investigaciones, relacionadas con la ingeniería y la arquitectura con el fin de transmitir conocimiento en nuevos aspectos técnicos atinentes a las tecnologías eléctricas, de telecomunicaciones y en general de los campos propios de la Sección de Ingeniería y Arquitectura. 
5. Realizar un riguroso seguimiento a las actividades ejecutadas a fin de velar por su calidad y oportuna culminación.
6. Realizar cortes parciales y totales de cantidades de obra ejecutada, garantizando que cada actividad realizada sea cobrada según las especificaciones del proyecto.
7. Llevar un registro diario en bitácora de los detalles de la obra. 
8. Realizar un registro fotográfico diario de la obra y presentar informes periódicos de los avances constructivos. 
9. Controlar y evaluar el cumplimiento de las funciones y responsabilidades del personal Técnico y administrativo a su cargo 
10. Elaboración de solicitudes de presupuestos, requisiciones de materiales y equipos necesarios. 
11. Revisar y evaluar las relaciones de cobro o presentadas por los contratistas. 
12. Participar y apoyar a ICETEX en todas las reuniones convocadas y relacionadas con la ejecución del contrato.
13. Apoyar actividades de actualización de inventarios, procesos contables y depreciación. 
14. Las demás obligaciones que sean acordes con el objeto contractual asignado por quien ejerza la función de la Supervisión del Contrato.
</t>
  </si>
  <si>
    <t>20243030002626-I Id: 4235338</t>
  </si>
  <si>
    <t>2024-0657</t>
  </si>
  <si>
    <t>CD-654-2024</t>
  </si>
  <si>
    <t>890704382-1</t>
  </si>
  <si>
    <t>UNIVERSIDAD DE IBAGUÉ</t>
  </si>
  <si>
    <t>ALFONSO REYES ALVARADO</t>
  </si>
  <si>
    <t>EL OBJETO DEL PRESENTE DOCUMENTO ES PRORROGAR EL PLAZO ESTABLECIDO EN LA CLÁUSULA QUINTA Y MODIFICAR EL ANEXO B - FÓRMULA APORTE IES DEL ACUERDO ESTRATÉGICO 2024-0657</t>
  </si>
  <si>
    <t>11.79</t>
  </si>
  <si>
    <t>2024-0658</t>
  </si>
  <si>
    <t>CD-656-2024</t>
  </si>
  <si>
    <t>ADRIANA PATRICIA ESPITIA QUINTERO</t>
  </si>
  <si>
    <t>PRESTACIÓN DE SERVICIOS PROFESIONALES ESPECIALIZADOS EN INGENIERÍA PARA LA REVISIÓN, ANÁLISIS, MODELAMIENTO, IMPLEMENTACIÓN, USO Y APROPIACIÓN DE LA ARQUITECTURA EMPRESARIAL DESDE LOS COMPONENTES TECNOLÓGICOS DE INFRAESTRUCTURA PARA EL ICETEX</t>
  </si>
  <si>
    <t>CDEF-739-2024</t>
  </si>
  <si>
    <t xml:space="preserve">1.	Participar en la implementación de estrategias arquitectónicas en el dominio de infraestructura, alineadas con la estrategia empresarial y gubernamental y asegurar la interoperabilidad y mejorar la eficiencia, escalabilidad, seguridad y disponibilidad de los sistemas mediante la construcción y documentación de artefactos de arquitectura.
2. participar de manera colaborativa con los diferentes dominios de la arquitectura empresarial en la definición de Arquitecturas de Referencia y Lineamientos, generando Documentación Detallada correspondiente, incluye la elaboración de arquitecturas de referencia, lineamientos para implementación de políticas de seguridad TI y garantizar el cumplimiento de estos. 
3. Identificar áreas de mejora en la infraestructura y liderar iniciativas para optimizar costos, rendimiento y fiabilidad de los sistemas, incluyendo la documentación de propuestas de mejora como artefactos de arquitectura. 
4. Participar en la implementación de políticas, estándares y lineamientos para la interoperabilidad y diseño de la infraestructura, asegurando su eficiencia, escalabilidad y seguridad con la construcción y documentación de artefactos de arquitectura. 
5. Acompañar a la VOT en la definición de Arquitecturas de Solución con Artefactos detallados, incluyendo la toma de decisiones, propuestas de soluciones y la articulación de equipos multidisciplinarios, alineados con la necesidad de negocio, la planeación estratégica de la entidad. 
6. Realizar vigilancia tecnológica y documentarlo como artefactos de arquitectura. 
7. Acompañar a la VOT en la definición de estrategias de adopción de nuevas tecnologías, planteando optimización de la infraestructura asignada, acompañadas de la documentación de estas estrategias, procesos y mejoras como artefactos de arquitectura. 
8. Apoyar en las definiciones de las capacidades tecnológicas de la entidad, articuladas con otros dominios y su roadmap, documentando estas capacidades como artefactos de arquitectura.
</t>
  </si>
  <si>
    <t>20243030002649-I Id: 4235777</t>
  </si>
  <si>
    <t>11.6</t>
  </si>
  <si>
    <t>2024-0659</t>
  </si>
  <si>
    <t>CD-657-2024</t>
  </si>
  <si>
    <t>901034103-5</t>
  </si>
  <si>
    <t>UNION TEMPORAL ICETEX 2016
GRUPO KRITERION LTDA
OSP INTERNATIONAL CALA SAS</t>
  </si>
  <si>
    <t>JOSE HERIBERTO FERNANDEZ GARCIA</t>
  </si>
  <si>
    <t>PRESTACIÓN DE SERVICIOS DE OPERACIÓN DE UNA PLATAFORMA TECNOLÓGICA EN LA MODALIDAD DE SOFTWARE AS A SERVICE (SAAS) QUE CUMPLA CON LAS NECESIDADES DE NEGOCIO DE ICETEX, RELACIONADAS CON LA GESTIÓN DE OPERACIONES Y LA GESTIÓN DE RECUPERACIÓN Y CUMPLIMIENTO DE OBLIGACIONES, ALINEADO A LAS DEFINICIONES TÉCNICAS Y DE ARQUITECTURA ESTABLECIDAS POR LA ENTIDAD</t>
  </si>
  <si>
    <t>CDEF-660-2024
VF-2024-001</t>
  </si>
  <si>
    <t>NUEVO SISTEMA DE INFORMACION CORE</t>
  </si>
  <si>
    <t>IG332211003004</t>
  </si>
  <si>
    <t>20243000002660-I Id: 4235945</t>
  </si>
  <si>
    <t>4.47</t>
  </si>
  <si>
    <t>2024-0660</t>
  </si>
  <si>
    <t>CD-658-2024</t>
  </si>
  <si>
    <t>CESAR MAURICIO PIMENTEL MORA</t>
  </si>
  <si>
    <t>CDEF-480-2024</t>
  </si>
  <si>
    <t xml:space="preserve">1.	Elaborar y entregar plan de trabajo y cronograma de actividades para aprobación de la supervisión del contrato, de conformidad con las estipulaciones contractuales. 
2.	Acompañar y promover la estrategia de formación y entrenamiento de la entidad para la Oficina Comercial y de Mercadeo, los distintos canales de atención y gestión; en cuanto al portafolio de productos, para los procesos comerciales y de servicio, que contribuya a la mejora en la experiencia y la satisfacción de los grupos de interés de la entidad.
3.	Generar espacios de capacitación con los departamentos financieros y comerciales de las Instituciones de Educación Superior (IES), con el propósito de mantenerlos actualizados acerca del portafolio de productos y servicios del ICETEX.
4.	Contribuir con la formación continua del equipo de la Oficina Comercial y de Mercadeo en temas del Manual del Sistema de Atención al Consumidor Financiero – SAC, con seguimientos aleatorios al 10% de la población del proveedor de atención al usuario, abordando el conocimiento del producto, habilidades comerciales y buenas prácticas en la gestión.
5.	Acompañar en la logística, aplicación y seguimiento a los indicadores de evaluación mensual, designados por la oficina comercial y mercadeo, como parte de la medición
del conocimiento en los diferentes canales de atención y gestión
6.	Participar en actividades de seguimiento a los procesos de servicio y comerciales, en conjunto con las áreas que intervienen en la gestión del contrato de atención al usuario, con el fin de proponer y desarrollar estrategias de formación que fortalezcan las habilidades necesarias para ofrecer una atención adecuada a los grupos de interés de la entidad.
7.	Acompañar los eventos de formación sobre temas vinculados al Defensor del Consumidor Financiero (DCF), con el propósito de difundir la información de manera oportuna tanto al equipo de la Oficina Comercial y de Mercadeo como al proveedor de atención al usuario.
8.	Acompañar en el seguimiento, recopilación, logística y realización de actividades de capacitación, programadas por el equipo de Formación OCM para los diferentes grupos de interés. 
9.	Asegurar el acompañamiento, gestión y documentación de procesos y procedimientos, cumplimiento de los indicadores, planes de acción, planes de mejoramiento, reportes, auditorías de calidad, auditorías externas e internas, eventos de riesgos y demás resultantes del ejercicio de control y autocontrol de los macroprocesos de la Oficina de Comercial y de Mercadeo.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que sean asignadas por el supervisor del contrato y que sean inherentes al objeto contractual del contrato.
</t>
  </si>
  <si>
    <t>20243030002641-I Id: 4235576</t>
  </si>
  <si>
    <t>2024-0661</t>
  </si>
  <si>
    <t>CD-659-2024</t>
  </si>
  <si>
    <t>860517302-1</t>
  </si>
  <si>
    <t>FUNDACIÓN UNIVERSITARIA DEL ÁREA ANDINA</t>
  </si>
  <si>
    <t>JOSÉ LEONARDO VALENCIA MOLANO</t>
  </si>
  <si>
    <t>ESTEBAN GUERRERO ALVAREZDANIEL ALBERTO CASTAÑO LOPEZ</t>
  </si>
  <si>
    <t>EL OBJETO DEL PRESENTE DOCUMENTO ES PRORROGAR EL PLAZO ESTABLECIDO EN LA CLÁUSULA QUINTA Y MODIFICAR EL “ANEXO B FÓRMULA APORTE IES” DEL ACUERDO ESTRATÉGICO NO. 2024-0661.</t>
  </si>
  <si>
    <t>11.112</t>
  </si>
  <si>
    <t>2024-0662</t>
  </si>
  <si>
    <t>CD-660-2024</t>
  </si>
  <si>
    <t>LADY DAYANA PINTO BERNAL</t>
  </si>
  <si>
    <t>PRESTACIÓN DE SERVICIOS PROFESIONALES ESPECIALIZADOS PARA LA GESTIÓN DE PROYECTOS EN EL ÁMBITO TECNOLÓGICO CON ALINEACIÓN AL CICLO DE MEJORA CONTINUA PARA EL ICETEX.</t>
  </si>
  <si>
    <t>CDEF-719-2024</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</si>
  <si>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de los compromisos establecidos y la gestión de recursos asignados a cada uno de los proyectos, por medio de las herramientas definidas y el debido proceso establecido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</si>
  <si>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20243030002666-I Id: 4235970</t>
  </si>
  <si>
    <t>11.86</t>
  </si>
  <si>
    <t>2024-0663</t>
  </si>
  <si>
    <t>CD-661-2024</t>
  </si>
  <si>
    <t>JONATHAN ANDRES CANO OTERO</t>
  </si>
  <si>
    <t>PRESTACIÓN DE SERVICIOS PROFESIONALES ESPECIALIZADOS EN INGENIERIA ORIENTADOS AL TRÁMITE DE SERVICIOS DE TI EN EL CICLO DE DESARROLLO DE SOFTWARE APLICADO A LOS SISTEMAS DE INFORMACIÓN O COMPONENTES DE SOFTWARE DEL ICETEX.</t>
  </si>
  <si>
    <t>CDEF-721-2024</t>
  </si>
  <si>
    <t xml:space="preserve">1. Apoyar las actividades de levantamiento de información que se realiza a través de los roles de análisis de negocio.	
2. Analizar, definir y realizar la definición de las nuevas necesidades que permita visualizar información de forma interactiva en tableros BI/BA, requeridos por las áreas misionales.	
3. Realizar el seguimiento y apoyo permanente en cada uno de los tableros en construcción, garantizando el levantamiento de la documentación y cumpliendo con el proceso definido en la Dirección de Tecnología con relación la gestión de requerimientos.	
4. Entregar a corte mensual informes que contengan los avances realizados con la evidencia de los requerimientos entregados y alineados con los lineamientos de Gobierno de datos donde se incluya la documentación, historias de usuario, épicas y el porcentaje de cumplimiento de las actividades proyectadas para cada uno de los tableros en construcción.
5. Apoyar al equipo de la Coordinación de Datos e Información, en la divulgación, la capacitación y atención de inquietudes con relación a los tableros BI/BA construidos para las diferentes áreas de la entidad garantizando el uso de los mismo para los procesos de la entidad.	
6. Llevar control de los datos estadísticos y de resultados de la entidad, elaboración de presentaciones, cuadros, gráficos y demás materiales con capacidades de inteligencia empresarial que permitan exponer los resultados y que sirvan como herramienta de información, gestión y control, de conformidad con los procedimientos establecidos.
7. Garantizar la gestión de procesos de BIG DATA demandados por la Coordinación de Datos e Información para la calidad de los datos, el acceso a procesos de inteligencia de negocio y aplicaciones de análisis de datos, localización y disponibilidad de los datos que apoyen al mejoramiento de los procesos funcionales de la entidad.
</t>
  </si>
  <si>
    <t>20243030002664-I Id: 4235963</t>
  </si>
  <si>
    <t>2024-0664</t>
  </si>
  <si>
    <t>CD-662-2024</t>
  </si>
  <si>
    <t>860403721-2</t>
  </si>
  <si>
    <t>UNIVERSIDAD DE CIENCIAS APLICADAS Y AMBIENTALES- U.D.C.A</t>
  </si>
  <si>
    <t>GERMAN ANZOLA MONTERO</t>
  </si>
  <si>
    <t>EL OBJETO DEL PRESENTE DOCUMENTO ES PRORROGAR EL PLAZO ESTABLECIDO EN LA CLÁUSULA QUINTA Y MODIFICAR EL “ANEXO A - PORCENTAJE FIJO APORTE IES”, DEL ACUERDO ESTRATÉGICO NO. 2024-0664.</t>
  </si>
  <si>
    <t>2024-0665</t>
  </si>
  <si>
    <t>CD-663-2024</t>
  </si>
  <si>
    <t>830065186-1</t>
  </si>
  <si>
    <t>CORPORACIÓN UNIVERSITARIA REPUBLICANA</t>
  </si>
  <si>
    <t>NUBIA ESPERANZA RODRÍGUEZ CALDERON</t>
  </si>
  <si>
    <t>EL OBJETO DEL PRESENTE DOCUMENTO ES PRORROGAR EL PLAZO ESTABLECIDO EN LA CLÁUSULA QUINTA Y MODIFICAR EL ANEXO B – FÓRMULA APORTE IES DEL ACUERDO ESTRATÉGICO NO. 2024-0665.</t>
  </si>
  <si>
    <t>2024-0666</t>
  </si>
  <si>
    <t>CD-664-2024</t>
  </si>
  <si>
    <t>890902922-6</t>
  </si>
  <si>
    <t>UNIVERSIDAD PONTIFICIA BOLIVARIANA
(MEDELLÍN)</t>
  </si>
  <si>
    <t>DIEGO ALONSO
MARULANDA DÍAZ</t>
  </si>
  <si>
    <t>EL OBJETO DEL PRESENTE DOCUMENTO ES PRORROGAR EL PLAZO ESTABLECIDO EN LA CLÁUSULA QUINTA Y MODIFICAR EL "ANEXO B FORMULA APORTE IES" DEL ACUERDO ESTRATÉGICO NO. 2024-0666.</t>
  </si>
  <si>
    <t>13.163</t>
  </si>
  <si>
    <t>2024-0667</t>
  </si>
  <si>
    <t>CD-665-2024</t>
  </si>
  <si>
    <t>MARIA FERNANDA MENDOZA PINILLA</t>
  </si>
  <si>
    <t>PRESTAR LOS SERVICIOS DE APOYO A LA GESTIÓN CONTABLES EN EL DESARROLLO  EJECUCIÓN TÉCNICA DEL PROYECTO DE INVERSIÓN DENOMINADO “MEJORAMIENTO DE SEDES CORRESPONDIENTE A LA GESTIÓN DEL GRUPO DE ADMINISTRACIÓN DE RECURSOS FÍSICOS TENDIENTES A CONTRIBUIR Y MEJORAR LA OPORTUNIDAD DE LOS SERVICIOS QUE PRESTA LA ENTIDAD.</t>
  </si>
  <si>
    <t>CDEF-775-2024</t>
  </si>
  <si>
    <t xml:space="preserve">1.	Apoyar en la revisión de los cortes parciales y totales de cantidades de obras ejecutadas, garantizando que cada actividad realizada sea cobrada según las especificaciones del proyecto. 
2.	Apoyar en la articulación de los temas financieros que se requieran en las etapas precontractual, contractual y postcontractual de los certámenes o trámites contractuales.
3.	Apoyar en los informes estadísticos de ejecución de presupuesto de los certámenes o trámites contractuales que requiera el supervisor del contrato.
4.	Elaboración de solicitudes de presupuestos, requisiciones de materiales y equipos necesarios. 
5.	Revisar y evaluar las cuentas de cobro presentadas por los contratistas. 
6.	Apoyar la presentación de elementos de Inventario, ante el Comité de bienes las bajas siguiendo los procesos y procedimientos determinados para tal fin. 
7.	Apoyar el proceso de toma de inventarios, actualización y registro en el sistema de información manejado por el ICETEX para el control de sus activos. 
8.	Apoyar procesos de conciliación contable y presupuestal, de conformidad con la información suministrada por el sistema de información manejado por el ICETEX para el control de sus activos. 
9.	Participar y apoyar al ICETEX en todas las reuniones convocadas y relacionadas con la ejecución del contrato. 
10.	Realizar la elaboración de actas de inicio, actas de terminación y actas de liquidación de contratos que le sean asignados. 
11.	Adelantar el cargue en la herramienta documental de la entidad, todos los documentos e insumos que se generen en su contrato y en todos aquellos en los que apoye a la supervisión. 
12.	Las demás obligaciones que sean acordes con el objeto contractual asignado por quien ejerza la función de la Supervisión del Contrato.
</t>
  </si>
  <si>
    <t>20243030002587-I Id: 4234733</t>
  </si>
  <si>
    <t>4.88</t>
  </si>
  <si>
    <t>2024-0668</t>
  </si>
  <si>
    <t>CD-666-2024</t>
  </si>
  <si>
    <t>LAURA RINCON ROMERO</t>
  </si>
  <si>
    <t>PRESTAR SERVICIOS PROFESIONALES EN MATERIA DE EDUCACIÓN FINANCIERA EN EL CONTEXTO DEL DESARROLLO DEL PLAN ESTRATÉGICO DE LA ENTIDAD Y LA "POLÍTICA DE GUÍA, INFORMACIÓN Y ACOMPAÑAMIENTO</t>
  </si>
  <si>
    <t>CDEF-246-2024</t>
  </si>
  <si>
    <t xml:space="preserve">1.	Organizar el ciclo PHVA de las estrategias que harán parte del programa de Educación Financiera de Comunidad ICETEX, así como las acciones para su desarrollo, realizando el seguimiento por objetivo para el logro de las metas institucionales, incluyendo la gestión y la coordinación con las áreas de la Entidad involucradas.
2.	Apoyar, asesorar, proponer, realizar seguimiento e implementar, desde la perspectiva del conocimiento técnico, la adecuada exploración de alternativas cuyo objetivo sea optimizar y mejorar la relación con los grupos de interés definidos, con el fin de hacer recomendaciones para fortalecer los instrumentos de Comunidad ICETEX.
3.	Brindar acompañamiento en la integración de las estrategias de Educación Financiera con el proyecto Comunidad ICETEX en el marco del eje tres de la política de “Guía, apoyo, información y servicio al estudiante”
4.	Apoyar la supervisión de los contratos que le sean asignados, desde el punto de vista técnico o administrativo o financiero o contable, de conformidad con lo establecido en el Manual de Contratación de la Entidad.
5.	Realizar y presentar los informes definidos en los productos y entregables para efectos de establecer el avance, cumplimiento y correcta ejecución del objeto contractual.
6.	Asistir a reuniones virtuales o presenciales de conformidad con el plan de trabajo presentado para la óptima realización del contrato.
7.	Las demás obligaciones que se requieran para el cumplimiento a cabalidad del objeto contractual y que sean inherentes a la naturaleza del contrato.   
</t>
  </si>
  <si>
    <t>20243030002690-I Id: 4237040</t>
  </si>
  <si>
    <t>11.84</t>
  </si>
  <si>
    <t>2024-0669</t>
  </si>
  <si>
    <t>CD-667-2024</t>
  </si>
  <si>
    <t>ELERYS DAVID ROBLES GÓMEZ</t>
  </si>
  <si>
    <t>CDEF-740-2024</t>
  </si>
  <si>
    <t xml:space="preserve">1.	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organos de gobierno de TI indicados por la DIRECCIÓN DE TECNOLOGÍA.
6.	Tramitar los ambientes de contingencia que permitan dar continuidad a las actividades en los dominios de aplicaciones e información
7.	Tramitar el soporte requerido con los proveedores tecnológicos para atender los requerimientos solicitados por las áreas misionales del ICETEX
8.	Garantizar la aplicación de la metodologia "agile" definida por el Icetex en el desarrollo de los Sprint
</t>
  </si>
  <si>
    <t>LUIS FERNANDO BENAVIDES FAWCETT</t>
  </si>
  <si>
    <t>CESIÓN DEL CONTRATO DE PRESTACIÓN DE SERVICIOS No. 2024-0669 SUSCRITO ENTRE EL INSTITUTO COLOMBIANO DE CRÉDITO EDUCATIVO Y ESTUDIOS TÉCNICOS EN EL EXTERIOR “MARIANO OSPINA PÉREZ” – ICETEX Y ELERYS DAVID ROBLES GÓMEZ A LUIS FERNANDO BENAVIDES FAWCETT.</t>
  </si>
  <si>
    <t>CRISTHIAN CAMILO MORENO CHAPARRO.</t>
  </si>
  <si>
    <t>20243030002694-I Id: 4237073</t>
  </si>
  <si>
    <t>11.99</t>
  </si>
  <si>
    <t>2024-0670</t>
  </si>
  <si>
    <t>CD-668-2024</t>
  </si>
  <si>
    <t>MARIO NEVARDO NOVA DELGADO,</t>
  </si>
  <si>
    <t>PRESTACIÓN DE SERVICIOS PROFESIONALES ESPECIALIZADOS EN INGENIERÍA PARA EL TRÁMITE DE SERVICIOS DE TI ORIENTADOS AL ANÁLISIS Y GESTIÓN DE REQUERIMIENTOS FUNCIONALES Y NO FUNCIONALES A CARGO DEL ICETEX.</t>
  </si>
  <si>
    <t>CDEF-726-2024</t>
  </si>
  <si>
    <t xml:space="preserve">1.	Apoyar la Administración  y Priorización de la lista de Historias de Usuario o pequeños requerimientos de software en que se descomponga cada producto a desarrollar por parte de los equipos de trabajo a los que sea asignado.
2.	Promover el ambiente colaborativo al interior del equipo de trabajo gestionando la obtención de recursos tecnológicos y humanos necesarios para la ejecución de tareas claves requeridas para el logro de los objetivos del equipo asignado.
3.	Propiciar los espacios necesarios con los interesados de los proyectos y requerimientos a atender por el equipo de trabajo para acordar alcances de los productos a desarrollar y los criterios de aceptación y su posterior verificación.
4.	Facilitar la operación, removiendo obstáculos, mediante el escalamiento de oportuno de decisiones que deban ser tomadas por interesados en los proyectos en coordinación con los analistas de negocio.
5.	Tramitar la participación oportuna de los especialistas requeridos para asegurar el cumplimiento de lineamientos, decisiones arquitecturales, calidad en los productos generados y cumplimiento de políticas de seguridad informática.
6.	Llevar a los equipos designados al nivel de multifuncionalidad requerido para optimizar la productividad en la construcción de las soluciones, desarrollando esquemas de gestión de conocimiento al interior del equipo.
7.	Garantizar la ejecución del alcance definido en cada sprint. logrando que los equipos proyecten de forma autónoma su capacidad y entreguen de acuerdo con los compromisos, calidad y prioridad las aplicaciones.
8.	Asegurar la correcta aplicación del esquema metodológico para el desarrollo de software definido por la entidad.
</t>
  </si>
  <si>
    <t>20243030002703-I Id: 4237159</t>
  </si>
  <si>
    <t>11.60</t>
  </si>
  <si>
    <t>2024-0671</t>
  </si>
  <si>
    <t>CD-669-2024</t>
  </si>
  <si>
    <t>ANDRES STIVEEN VEGA ROJAS</t>
  </si>
  <si>
    <t>PRESTACIÓN DE SERVICIOS PROFESIONALES COMO APOYO A LA PLANEACIÓN, EVALUACIÓN Y SEGUIMIENTO DE PROYECTOS E INICIATIVAS DE LA VICEPRESIDENCIA DE OPERACIONES Y TECNOLOGÍA DEL ICETEX.</t>
  </si>
  <si>
    <t>CDEF-738-2024</t>
  </si>
  <si>
    <t xml:space="preserve">1.	Apoyar los procesos de planeación y control administrativo de la Vicepresidencia de Operaciones y Tecnología del ICETEX.  
2.	Apoyar la formulación e identificación de indicadores operativos y estratégicos para el control efectivo de procesos en la Vicepresidencia de Operaciones y Tecnología del ICETEX. 
3.	Establecer y gestionar sistemas de medición de la mejora en los procesos de la entidad en los que impacte la implementación de los proyectos e iniciativas que gestiona la Vicepresidencia de Operaciones y Tecnología del ICETEX.  
4.	Efectuar análisis estadísticos de la evolución de los procesos, proyectos e iniciativas de la Vicepresidencia de Operaciones y Tecnología del ICETEX.   
5.	Definir, orientar y gestionar la construcción de tableros de control para un sistema de monitoreo efectivo en la evaluación y seguimiento de los indicadores de la Vicepresidencia de Operaciones y Tecnología del ICETEX.    
6.	Apoyar la identificación de causas de problemas en los procesos de la entidad basados en el análisis de datos y acompañar estrategias para abordar su mitigación desde la Vicepresidencia de Operaciones y Tecnología del ICETEX. 
7.	Presentar y estructurar los informes que se requieran, así como organizar y asistir a las mesas de trabajo que deriven del normal desarrollo del objeto del contrato. 
</t>
  </si>
  <si>
    <t>20243030002716-I Id: 4237218</t>
  </si>
  <si>
    <t>2.5</t>
  </si>
  <si>
    <t>2024-0672</t>
  </si>
  <si>
    <t>CD-670-2024</t>
  </si>
  <si>
    <t>YESSICA YESSENIA VALENCIA YEPES</t>
  </si>
  <si>
    <t>PRESTAR LOS SERVICIOS PROFESIONALES ESPECIALIZADOS PARA APOYAR EL ANÁLISIS DE LA INFORMACIÓN ESTADÍSTICA DE LA ENTIDAD Y DEL SECTOR PARA EL DESARROLLO DE EVALUACIONES INTERNAS, ESTUDIOS ECONÓMICOS Y/O ESTADÍSTICOS DE PROGRAMAS Y/O PROYECTOS RELACIONADOS CON LA MISIONALIDAD DEL ICETEX; ASÍ COMO BRINDAR APOYO PROFESIONAL EN EL PROCESO DE REGLAMENTACIÓN E IMPLEMENTACIÓN DEL MECANISMO DE PAGO CONTINGENTE AL INGRESO</t>
  </si>
  <si>
    <t>CDEF-228-2024</t>
  </si>
  <si>
    <t xml:space="preserve">1.	Brindar apoyo técnico a la implementación del modelo de Pago Contingente al Ingreso de ICETEX 
2.	Realizar la caracterización y análisis de la información de los beneficiarios del modelo de Pago Contingente al Ingreso. 
3.	Estructurar los documentos priorizados en la agenda interna del ICETEX, definiendo objetivos, preguntas orientadoras, metodología, entre otros. 
4.	Brindar acompañamiento y concepto técnico en el diseño e implementación de programas relacionados con la misionalidad del ICETEX. 
5.	Apoyar la elaboración de análisis relacionados con las intervenciones de política pública de la entidad que sirvan como insumo para la toma de decisiones. 
6.	Gestionar las alianzas interinstitucionales que permitan la elaboración de investigaciones y estudios asociados al fomento social de la educación superior 
7.	Asesorar a las diferentes áreas en la estructuración, implementación y evaluación de sus intervenciones de política pública. 
8.	Las demás actividades que sean consustanciales al contrato y las que sean acordadas por el supervisor del mismo, que permitan el cumplimiento efectivo del contrato. 
</t>
  </si>
  <si>
    <t>20243030002727-I Id: 4237366</t>
  </si>
  <si>
    <t>2.28</t>
  </si>
  <si>
    <t>2024-0673</t>
  </si>
  <si>
    <t>CD-671-2024</t>
  </si>
  <si>
    <t>JOSE DAVID PRIETO CAMPO</t>
  </si>
  <si>
    <t>PRESTAR SERVICIOS PROFESIONALES ESPECIALIZADOS COMO GESTOR DE INTELIGENCIA COMPETITIVA, PARA RECOPILAR, ANALIZAR Y UTILIZAR LA INFORMACIÓN IDENTIFICANDO OPORTUNIDADES Y VENTAJAS COMPETITIVAS DEL MERCADO QUE PROPICIEN EL DESARROLLO DE INICIATIVAS Y PROYECTOS LIDERADOS O APOYADOS DESDE EL EQUIPO DE INNOVACIÓN DE LA ENTIDAD.</t>
  </si>
  <si>
    <t>CDEF-731-2024</t>
  </si>
  <si>
    <t xml:space="preserve">1.	Gestionar análisis de tendencias del mercado y comportamientos de los consumidores por medio de sondeos a las partes interesadas de acuerdo con los lineamientos del equipo de innovación de la entidad. 
2.	Realizar evaluaciones comparativas y seguimiento continuo de los competidores y entidades similares para identificar mejores prácticas y áreas de mejora. 
3.	Apoyar al equipo de innovación de la entidad en la elaboración de estudios técnicos requeridos, desde la investigación y consulta de información para contar con un análisis cualitativo y cuantitativo. 
4.	Asesorar al equipo de innovación sobre cómo las tendencias del mercado y la inteligencia competitiva pueden complementar y mejorar el desarrollo de iniciativas y proyectos liderados o apoyados por el equipo de innovación. 
5.	Validar la viabilidad y potencial de éxito de los proyectos de innovación propuestos mediante el análisis de datos del mercado. 
6.	Identificar oportunidades de mercado y amenazas competitivas para recomendar acciones específicas para abordarlas. 
7.	Contribuir al desarrollo de productos y servicios, asegurando que estén alineados con las tendencias del mercado. 
8.	Plantear y/o participar en acciones de ideación, co creación y promoción de la innovación en ICETEX según como sea requerido por el equipo de innovación de la entidad y en articulación con las demás áreas de la entidad. 
9.	Cumplir con los indicadores de gestión establecidos. 
10.	Las demás que sean inherentes a la naturaleza del contrato, así como observar las recomendaciones dadas por el Supervisor para asegurar el cumplimiento de la finalidad del contrato, sin afectar la independencia del contratista. 
</t>
  </si>
  <si>
    <t>20243030002738-I Id: 4237491</t>
  </si>
  <si>
    <t>11.143</t>
  </si>
  <si>
    <t>2024-0674</t>
  </si>
  <si>
    <t>CD-672-2024</t>
  </si>
  <si>
    <t>OSCAR ERNIVE NAVARRETE ZAMORA</t>
  </si>
  <si>
    <t>CDEF-742-2024</t>
  </si>
  <si>
    <t>20243030002720-I Id: 4237277</t>
  </si>
  <si>
    <t>11.142</t>
  </si>
  <si>
    <t>2024-0675</t>
  </si>
  <si>
    <t>CD-673-2024</t>
  </si>
  <si>
    <t>JEISSON PAUL LOPEZ AVENDAÑO</t>
  </si>
  <si>
    <t>CDEF-741-2024</t>
  </si>
  <si>
    <t>20243030002721-I Id: 4237281</t>
  </si>
  <si>
    <t>4.87</t>
  </si>
  <si>
    <t>2024-0676</t>
  </si>
  <si>
    <t>CD-674-2024</t>
  </si>
  <si>
    <t>JOHAN BICENCIO RINCON TORRES</t>
  </si>
  <si>
    <t>CDEF-244-2024</t>
  </si>
  <si>
    <t>20243030002741-I Id: 4237515</t>
  </si>
  <si>
    <t>6.15</t>
  </si>
  <si>
    <t>2024-0677</t>
  </si>
  <si>
    <t>CD-675-2024</t>
  </si>
  <si>
    <t>SINDY PAOLA BARROS ARAGON</t>
  </si>
  <si>
    <t>"PRESTAR LOS SERVICIOS PROFESIONALES A LA OFICINA DE RELACIONES INTERNACIONALES PARA REALIZAR APOYO TÉCNICO, ESTRATÉGICO Y DE SEGUIMIENTO A LOS PROGRAMAS ESPECIALES DE COOPERACIÓN INTERNACIONAL EN EL MARCO DE LA POLÍTICA DE COOPERACIÓN ACADÉMICA INTERNACIONAL E
INTERINSTITUCIONAL DEL ICETEX."</t>
  </si>
  <si>
    <t>CDEF-373-2024</t>
  </si>
  <si>
    <t xml:space="preserve">IG312001020270012 </t>
  </si>
  <si>
    <t xml:space="preserve">Apoyar los procesos internos y estratégicos en el desarrollo de las convocatorias de los  programas Expertos Internacionales y de la Estrategia de Reciprocidad para Extranjeros en Colombia, en especial, Beca Colombia y la Plataforma de Movilidad Académica de la Alianza
del Pacífico. 
2. Realizar el seguimiento y atención a becarios beneficiarios vigentes del programa Beca Colombia. 
3. Gestionar y hacer seguimiento mensualmente a los beneficiarios de la estrategia de reciprocidad para extranjeros, en relación con el registro y reporte de novedades frente al acceso a la póliza de salud contratada por el ICETEX. 
4. Consolidar una base de datos actualizada y detallada del histórico de beneficiarios de los programas de la Estrategia de Reciprocidad para Extranjeros en Colombia, en especial, Beca Colombia y la Plataforma de Movilidad Académica de la Alianza del Pacífico. 
5. Adelantar los trámites requeridos para gestionar los desembolsos de los estipendios y apoyos económicos de los beneficiarios de Beca Colombia, Expertos Internacionales y Alianza del Pacífico y realizar seguimiento de las condiciones y parametrización de los sistemas de información provistos por el ICETEX, garantizando el apropiado inicio y desarrollo de proceso.  
6. Realizar acompañamiento y apoyo en las sesiones de socialización de los programas Beca Colombia, Alianza del Pacífico y Expertos Internacionales con los actores interesados. 
7. Asistir y documentar las reuniones y comités relacionados con la implementación de Beca Colombia, Alianza del Pacífico y Expertos Internacionales 
8. Elaborar y tramitar los documentos necesarios conforme al proceso de comisiones establecido por el ICETEX, cuando se requiera su desplazamiento a nivel nacional o internacional en consonancia con las funciones de la ORI y del ICETEX. 
9. Proyectar para revisión, respuesta a derechos de petición asignados y solicitudes acerca de los programas suministrando los insumos requeridos para trámite de tutelas cuando le sea requerido.   
10. Las demás asignadas por el supervisor y que tengan relación con el objeto del presente
</t>
  </si>
  <si>
    <t>20243030002726-I Id:
4237357</t>
  </si>
  <si>
    <t>13.124</t>
  </si>
  <si>
    <t>2024-0678</t>
  </si>
  <si>
    <t>CD-676-2024</t>
  </si>
  <si>
    <t>JUAN SEBASTIAN VILLALBA CORTES</t>
  </si>
  <si>
    <t>PRESTAR LOS SERVICIOS DE APOYO A LA GESTIÓN JURÍDICOS EN EL DESARROLLO Y EJECUCIÓN TÉCNICA DEL PROYECTO DE INVERSIÓN DENOMINADO “MEJORAMIENTO DE SEDES” CORRESPONDIENTE A LA GESTIÓN DEL GRUPO DE ADMINISTRACIÓN DE RECURSOS FÍSICOS TENDIENTE A CONTRIBUIR Y MEJORAR LA OPORTUNIDAD DE LOS SERVICIOS QUE PRESTA LA ENTIDAD</t>
  </si>
  <si>
    <t>CDEF-751-2024</t>
  </si>
  <si>
    <t xml:space="preserve">1.	Apoyar jurídicamente en la elaboración de los estudios previos de los procesos de contratación que se encuentran a cargo del Grupo de Administración de Recursos Físicos y en aquellos en los que el área es apoyo para otras dependencias. 
2.	Apoyar en la elaboración de actas de inicio de los contratos que hacen parte del Grupo de Administración de Recursos Físicos.
3.	Apoyar al Grupo de Administración de Recursos Físicos, en la realización de evaluaciones dentro de los procesos de contratación a su cargo. 
4.	Apoyar con la consolidación de la información necesaria para la elaboración de informes relacionados con la ejecución de planes, programas, proyectos y actividades propias de los procesos del Grupo de Administración de Recursos Físicos. 
5.	Apoyar en la presentación de  informes que le sean solicitados por parte del Coordinador de Recursos Físicos sobre sus funciones y desarrollo de planes en línea con la austeridad y control del gasto. 
6.	Apoyar en la elaboración de las actas de terminación y liquidación de los contratos que tiene a cargo el Grupo de Administración de Recursos Físicos. 
7.	Cumplir con los indicadores de gestión establecidos. 
8.	Las demás obligaciones que sean acordes con el objeto contractual asignado por quien ejerza la función de la Supervisión del Contrato. 
</t>
  </si>
  <si>
    <t>20243030002785-I Id: 4237907</t>
  </si>
  <si>
    <t>2024-0679</t>
  </si>
  <si>
    <t>CD-677-2024</t>
  </si>
  <si>
    <t>UNIVERSIDAD PONTIFICIA BOLIVARIANA – PALMIRA</t>
  </si>
  <si>
    <t>RAÚL JORDAN BALANTA</t>
  </si>
  <si>
    <t>EL OBJETO DEL PRESENTE DOCUMENTO ES PRORROGAR EL PLAZO ESTABLECIDO EN LA CLÁUSULA QUINTA Y MODIFICAR EL “ANEXO B FÓRMULA APORTE IES” DEL ACUERDO ESTRATÉGICO NO. 2024-0679.</t>
  </si>
  <si>
    <t>11.55</t>
  </si>
  <si>
    <t>2024-0680</t>
  </si>
  <si>
    <t>CD-678-2024</t>
  </si>
  <si>
    <t xml:space="preserve">
NUBIA SANTOFIMIO CAMACHO 
</t>
  </si>
  <si>
    <t xml:space="preserve">PRESTACIÓN DE SERVICIOS PROFESIONALES ESPECIALIZADOS EN EL ANÁLISIS Y ESTRUCTURACIÓN DE POLÍTICAS, ESTRATEGIAS, PLANES, PROGRAMAS Y PROYECTOS ENCAMINADOS A LOGRAR LA TRANSFORMACIÓN DIGITAL DEL ICETEX DESDE LA VICEPRESIDENCIA DE OPERACIONES Y TECNOLOGÍA. </t>
  </si>
  <si>
    <t>CDEF-733-2024</t>
  </si>
  <si>
    <t xml:space="preserve">1.	Orientar a la Vicepresidencia de Operaciones y Tecnología en la elaboración y análisis de documentos técnicos para la implementación de la ruta de transformación digital definida para la entidad. 
2.	Analizar y revisar la definición de metas y estrategias de la Vicepresidencia de Operaciones y Tecnología a partir de los resultados de la medición de indicadores del área. 
3.	Apoyar en la definición de políticas, estrategias, planes, programas y proyectos estratégicos de la Vicepresidencia de Operaciones y Tecnología. 
4.	Realizar el seguimiento y control de los proyectos de la Vicepresidencia de Operaciones y Tecnología, que permitan cumplir con las metas de la entidad. 
5.	Gestionar integralmente la actualización e implementación de las metodologías, procesos, procedimientos, mecanismos e instrumentos relacionados con los procesos a cargo de la Vicepresidencia de Operaciones y Tecnología, cuando le sea requerido. 
6.	Asistir y/o participar en los comités, mesas de trabajo y demás reuniones relacionadas con el objeto contractual. 
</t>
  </si>
  <si>
    <t>20243030002800-I Id: 4238193</t>
  </si>
  <si>
    <t>7.13</t>
  </si>
  <si>
    <t>2024-0681</t>
  </si>
  <si>
    <t>CD-679-2024</t>
  </si>
  <si>
    <t>YENNY CONSTANZA MOLINA DURAN</t>
  </si>
  <si>
    <t>PRESTACIÓN DE SERVICIOS PROFESIONALES PARA LA GESTIÓN DE TODOS LOS REQUERIMIENTOS DE PROCESOS EN LA VERIFICACIÓN DE RIESGOS, EN ESPECIAL PROYECTOS DE INNOVACIÓN DE LA ENTIDAD, GESTIÓN DE CAMBIO Y REALIZAR ACOMPAÑAMIENTO A LOS REQUERIMIENTOS QUE SE SOLICITEN DE LOS SISTEMAS DE RIESGOS.</t>
  </si>
  <si>
    <t>CDEF-750-2024</t>
  </si>
  <si>
    <t xml:space="preserve">1.	Generar conceptos de riesgo operacional que requieran las áreas, de acuerdo con las políticas de la Entidad, normas externas existentes y buenas prácticas. 
2.	Adelantar actividades de enlace de la Oficina de Riesgos para todos los proyectos de innovación en el acompañamiento de la gestión de riesgos y apoyo al aseguramiento de los mismo.
3.	Analizar los riesgos en los proyectos de la entidad, conceptos o lo que se requiera, para nuevos productos, procesos y servicios tecnológicos en materia del Riesgo Operacional y de Corrupción. 
4.	Acompañar la revisión, monitoreo y análisis de riesgos no financieros para los procesos de la Entidad, asistiendo a las diferentes áreas del Icetex en el análisis, acorde con los lineamientos normativos 
5.	Analizar y gestionar los eventos de riesgo materializados operacionales, de acuerdo con la normativa existente y seguimiento de los planes de acción. 
6.	Promover una cultura de riesgos en proyectos desde operacional, que incluya actividades de difusión y capacitación para funcionarios, contratistas y proveedores. 
7.	Proyectar el Comité de Riesgos y Junta Directiva en los temas de responsabilidad, para aprobación del supervisor. 
8.	Analizar los requerimientos de acuerdos estratégicos y/o contratación en materia de riesgos no financieros. 
9.	Atender los requerimientos normativos bajo la ley 1295 de 2022 y demás que se generen y aquellos que soliciten los Entes de Control y demás entidades que requieran a la entidad. 
10.	Asistir y/o participar en las reuniones programadas previo acuerdo con el Supervisor del contrato. 
11.	Las demás obligaciones que sean acordes con el objeto contractual asignado por la supervisión del contrato. 
12.	Elaborar informes relacionados con la ejecución de su objeto contractual y obligaciones, cuando le sean solicitados.
</t>
  </si>
  <si>
    <t>20242520002815-I Id: 4238420</t>
  </si>
  <si>
    <t>13.140</t>
  </si>
  <si>
    <t>2024-0682</t>
  </si>
  <si>
    <t>CD-680-2024</t>
  </si>
  <si>
    <t>SILVIA YOLIMA BENAVIDES BASTIDAS</t>
  </si>
  <si>
    <t>PRESTAR LOS SERVICIOS PROFESIONALES ESPECIALIZADOS EN LA SECRETARÍA GENERAL EN ASUNTOS RELACIONADOS CON LA GESTIÓN ESTRATÉGICA DE LA DEPENDENCIA</t>
  </si>
  <si>
    <t>CDEF-752-2024</t>
  </si>
  <si>
    <t xml:space="preserve">1.	Brindar acompañamiento y asesorar técnicamente al Grupo de Gestión Estratégica en la obtención y elaboración de insumos e información, elaboración, consolidación y seguimiento de los planes de acción, indicadores, planes institucionales y planes de mejoramiento de la Secretaría General, conforme al Modelo Integrado de Planeación y Gestión. 
2.	Realizar la identificación y seguimiento de los riesgos asociados a la gestión de la Secretaría General, así como acompañar la implementación de los controles que se consideren pertinentes. 
3.	Apoyar la formulación y seguimiento a la ejecución de los proyectos e indicadores asociados al plan estratégico de la entidad y que se encuentren a cargo de los grupos de trabajo de la Secretaría General.
4.	Realizar el análisis y preparación de respuestas a solicitudes de competencia del Grupo de Gestión Estratégica de acuerdo con los requerimientos efectuados por los entes de control, así como de las dependencias del ICETEX. 
5.	Apoyar en la revisión, seguimiento y actualización de los procesos y procedimientos a cargo de la Secretaría General en el marco del mejoramiento institucional, de acuerdo con los lineamientos establecidos y la normatividad vigente. 6.
6.	Realizar el seguimiento de los planes de acción y de mejoramiento inherentes a los procesos de competencia de la Secretaría General, alertando sobre posibles retrasos e incumplimientos que se puedan presentar. 
7.	Acompañar la coordinación de los grupos de trabajo de la Secretaría General, en lo relacionado con los planes sectoriales definidos de acuerdo con la competencia de la dependencia. 
8.	Apoyar la revisión, reporte y seguimiento de lo relacionado con el FURAG y demás seguimientos de cumplimiento establecidos por entidades externas. 
9.	Realizar la medición, documentación y seguimiento a los indicadores de la Secretaría General.
</t>
  </si>
  <si>
    <t>20243030002821-I Id: 4238518</t>
  </si>
  <si>
    <t>11.175</t>
  </si>
  <si>
    <t>2024-0683</t>
  </si>
  <si>
    <t>CD-681-2024</t>
  </si>
  <si>
    <t>EDNA VIVIANA LEGUIZAMON CONDE</t>
  </si>
  <si>
    <t>CDEF-744-2024</t>
  </si>
  <si>
    <t xml:space="preserve">Administración de Cartera y Terminación o Cumplimiento de obligaciones crediticias, atendiendo los procedimientos adoptados en el sistema de gestión de calidad del ICETEX.  
2.	Gestionar actividades de mejora para los procedimientos del Grupo de Operaciones y en los sistemas de información, cuando se requiera.  
3.	Aplicar las diferentes novedades en la cartera, asegurando su correcta liquidación, con los controles establecidos para cada procedimiento. 
4.	Reportar situaciones evidenciadas en la cartera que estén generando inconsistencias y realizar seguimiento a los requerimientos tecnológicos, hasta su solución requerida.  
5. 	Responder a los requerimientos internos y externos del Grupo de Operaciones en el tiempo establecido. 
6.	Acudir a las reuniones citadas para la supervisión del contrato o que estén relacionadas con el objeto del mismo.
</t>
  </si>
  <si>
    <t>20243030002858-I Id: 4239100</t>
  </si>
  <si>
    <t>2024-0684</t>
  </si>
  <si>
    <t>CD-682-2024</t>
  </si>
  <si>
    <t>UNIVERSIDAD PONTIFICIA BOLIVARIANA (MONTERIA)</t>
  </si>
  <si>
    <t>JUAN CAMILO RESTREPO TAMAYO</t>
  </si>
  <si>
    <t>EL OBJETO DEL PRESENTE DOCUMENTO ES PRORROGAR EL PLAZO ESTABLECIDO EN LA CLÁUSULA QUINTA Y MODIFICAR EL "ANEXO B FORMULA APORTE IES" DEL ACUERDO ESTRATÉGICO No 2024-0684</t>
  </si>
  <si>
    <t>13.57</t>
  </si>
  <si>
    <t>2024-0685</t>
  </si>
  <si>
    <t>CD-683-2024</t>
  </si>
  <si>
    <t>JOHAN SEBASTIAN PERILLA CAMELO</t>
  </si>
  <si>
    <t>PRESTAR SERVICIOS PROFESIONALES PARA APOYAR AL GRUPO DE DESARROLLO Y TRANSFORMACIÓN ORGANIZACIONAL DE LA SECRETARÍA GENERAL EN LA IMPLEMENTACIÓN, EJECUCIÓN Y SEGUIMIENTO A LOS PROCESOS DE TRANSFORMACIÓN Y DESARROLLO DE LA CULTURA ORGANIZACIONAL DE LA ENTIDAD.</t>
  </si>
  <si>
    <t>CDEF-745-2024</t>
  </si>
  <si>
    <t xml:space="preserve">1. Participar en la realización de las actividades asociadas a la implementación y seguimiento de la Iniciativita de Responsabilidad Social y Sostenibilidad Institucional.  
2. Acompañar las actividades a cargo del Grupo de Desarrollo y Transformación Organizacional relacionadas con el plan bienestar y el plan de capacitación del Icetex.  
3. Efectuar la consolidación y revisión de los reportes que el área debe enviar a la Oficina Asesora de Planeación de la entidad.  
4. Realizar el seguimiento de la información que debe permanecer en el repositorio sharepoint del Grupo de Desarrollo y Transformación Organizacional.  
5. Participar en la realización de eventos institucionales en el marco de la gestión de cultura y transformación organizacional. 
6. Asistir a las reuniones o actividades que se realicen con los funcionarios, contratistas y demás miembros del equipo, relacionados con los procesos de transformación y desarrollo de la cultura organizacional del ICETEX a los que sea convocado o delegado por supervisor del área.  
7. Las demás asignadas por el Supervisor, relacionadas con el objeto y la naturaleza del contrato.  
</t>
  </si>
  <si>
    <t>2024-0686</t>
  </si>
  <si>
    <t>CD-684-2024</t>
  </si>
  <si>
    <t>PONTIFICIA UNIVERSIDAD JAVERIANA SECCIONAL CALI</t>
  </si>
  <si>
    <t>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t>
  </si>
  <si>
    <t>EL OBJETO DEL PRESENTE DOCUMENTO ES PRORROGAR EL PLAZO ESTABLECIDO EN LA CLÁUSULA QUINTA Y MODIFICAR EL “ANEXO B FÓRMULA APORTE IES” DEL ACUERDO ESTRATÉGICO Nº 2024-0686.</t>
  </si>
  <si>
    <t>4.94</t>
  </si>
  <si>
    <t>2024-0687</t>
  </si>
  <si>
    <t>CD-685-2024</t>
  </si>
  <si>
    <t>IBON ANDREA BERNAL TORRES</t>
  </si>
  <si>
    <t>PRESTAR LOS SERVICIOS PROFESIONALES ESPECIALIZADOS PARA EL DISEÑO, IMPLEMENTACIÓN, EJECUCIÓN,SUPERVISIÓN, CONTROL Y MEJORA CONTINUA DE LAS ESTRATEGIAS DE MERCADEO QUE CONTRIBUYAN A LAPROMOCIÓN Y OTORGAMIENTO DEL PORTAFOLIO DE PRODUCTOS DEL ICETEX”,</t>
  </si>
  <si>
    <t>CDEF-046-2024</t>
  </si>
  <si>
    <t xml:space="preserve">1.	Elaborar y entregar plan de trabajo y cronograma de actividades para aprobación de la supervisión del contrato, de conformidad con las estipulaciones contractuales. 
2.	Proponer e implementar un plan de mercadeo para el ICETEX que integre las actividades de mercadeo con los objetivos y metas establecidos por la Entidad con respecto al portafolio de productos y servicios que ofrece, teniendo en cuenta el análisis del mercado, la competencia y las tendencias del sector. 
3.	Analizar el rendimiento de las actividades de mercadeo utilizando métricas y datos para evaluar el impacto y efectividad de las estrategias implementadas, identificando oportunidades de mejora y ejecutando acciones correctivas en conjunto con el equipo comercial para el cumplimiento de las metas trazadas por el ICETEX. 
4.	Realizar la coordinación y seguimiento del equipo de mercadeo de la Entidad y su rendimiento, brindando retroalimentación y apoyo para su desarrollo y mejora en el desempeño. 
5.	Planear y ejecutar campañas de difusión dirigidas a los públicos objetivo del ICETEX a través de los diferentes canales de comunicación propios y pagos disponibles en la Entidad (ATL, BTL, canales digitales, free press, canales comerciales, etc.). 
6.	Planificar actividades promocionales en conjunto con el área comercial que ayuden a aumentar la visibilidad y el conocimiento de la marca del ICETEX como por ejemplo ferias, conferencias, talleres, seminarios, entre otros. 
7.	Apoyar la supervisión de los contratos, en caso de ser requerido por la supervisión del contrato, desde el punto de vista técnico, administrativo, financiero y contable, de conformidad con lo establecido en el Manual de Contratación de la Entidad. 
8.	En coordinación con la oficina asesora de comunicaciones gestionar la identidad y la imagen de la marca del ICETEX, asegurándose de que sea coherente y atractiva para su público objetivo, protegiendo su reputación en el mercado. 
9.	Apoyar cuando se requiera el desarrollo o difusión de nuevos productos y/o servicios que satisfagan las necesidades y expectativas de los clientes del ICETEX. 
10.	Realizar las labores de acompañamiento en reuniones o comités, de conformidad con las necesidades de la Entidad y la designación de supervisor del contrato.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Las demás que sean inherentes para el logro del objeto contratado, asignadas por el supervisor del contrato. 
</t>
  </si>
  <si>
    <t>20243030002852-I Id: 4238999</t>
  </si>
  <si>
    <t>2024-0688</t>
  </si>
  <si>
    <t>CD-686-2024</t>
  </si>
  <si>
    <t>891801101-6</t>
  </si>
  <si>
    <t>UNIVERSIDAD DE BOYACÁ - UNIBOYACÁ</t>
  </si>
  <si>
    <t>SERGIO ANDRÉS CORREAL CUERVO</t>
  </si>
  <si>
    <t>EL OBJETO DEL PRESENTE DOCUMENTO ES PRORROGAR EL PLAZO ESTABLECIDO EN LA CLÁUSULA QUINTA Y MODIFICAR EL ANEXO A – PORCENTAJE FIJO APORTE IES DEL ACUERDO ESTRATÉGICO NO. 2024-0688.</t>
  </si>
  <si>
    <t>11.151</t>
  </si>
  <si>
    <t>2024-0689</t>
  </si>
  <si>
    <t>CD-687-2024</t>
  </si>
  <si>
    <t>KARINA ALEXANDRA FUENTES ALMEIDA</t>
  </si>
  <si>
    <t>CDEF-724-2024</t>
  </si>
  <si>
    <t>20243030002930-I Id: 4244283</t>
  </si>
  <si>
    <t>4.157</t>
  </si>
  <si>
    <t>2024-0690</t>
  </si>
  <si>
    <t>CD-688-2024</t>
  </si>
  <si>
    <t>LUISA FERNANDA ALVARADO ROLDAN</t>
  </si>
  <si>
    <t>SANJOSE DE GUAVIARE</t>
  </si>
  <si>
    <t>CDEF-274-2024</t>
  </si>
  <si>
    <t>20243030002867-I Id: 4239236</t>
  </si>
  <si>
    <t>7.10</t>
  </si>
  <si>
    <t>2024-0691</t>
  </si>
  <si>
    <t>CD-689-2024</t>
  </si>
  <si>
    <t>YEISSON VELANDIA GUERRERO</t>
  </si>
  <si>
    <t>PRESTAR LOS SERVICIOS PROFESIONALES PARA APOYAR LA GESTIÓN DE RIESGO OPERACIONAL Y DE NUEVOS PROYECTOS, PRODUCTOS Y SERVICIOS Y GESTIÓN DE CAMBIOS, ATENDIENDO EL MARCO NORMATIVO INTERNO Y EXTERNO Y TODAS LAS BUENAS PRÁCTICAS RELACIONADAS CON LA ADMINISTRACIÓN DE RIESGOS DE LA ENTIDAD, BAJO EL MODELO DE SISTEMA INTEGRADO DE RIESGOS SIAR/SARE.</t>
  </si>
  <si>
    <t>CDEF-710-2024</t>
  </si>
  <si>
    <t xml:space="preserve">1.	Adelantar las actividades que correspondan para la alineación de la gestión de riesgos de la Entidad con SIAR, donde se tengan en cuenta sus componentes, la estructura de Gobierno de Riesgos, la infraestructura tecnológica y sistemas de información, y documentación
2.	Realizar las actividades relacionadas con la administración de los riesgos financieros y no financieros que gestiona la Oficina de Riesgos en el marco del objeto del contrato 
3.	Definir el apetito de riesgo de acuerdo con las mejores prácticas y las necesidades de la entidad y establecer la metodología para el cálculo del mismo como la cuantificación para los límites de los indicadores del Marco de Apetito al Riesgo
4.	Actualizar los procedimientos y demás documentos que estén relacionados con el SIAR, con base en las necesidades de la entidad y los cambios normativos.
5.	Proponer las políticas y ajustes normativos requeridas para la implementación del SIAR en la Entidad 
6.	Elaborar informes a Junta Directiva y áreas de la Entidad con la gestión realizada sobre el SIAR, de acuerdo con las especificaciones de la solicitud
7.	. Proyectar el Comité de Riesgos y Junta Directiva en los temas de responsabilidad, para aprobación del supervisor
8.	Atender los requerimientos normativos bajo el capítulo XXXI y/o XXXII, normas de Superfinanciera y demás que se generen y aquellos que soliciten los Entes de Control y demás entidades que requieran la participación del Icetex
9.	Dar respuesta a la implementación de acciones o mejoras frente a requerimientos internos y/o externos 
10.	Asistir y/o participar en las reuniones programadas previo acuerdo con el Supervisor del contrato
11.	Atender y realizar las demás obligaciones que sean acordes con el objeto contractual asignado por la supervisión del contrato. 
12.	Elaborar informes relacionados con la ejecución de su objeto contractual y obligaciones, cuando le sean solicitados. 
</t>
  </si>
  <si>
    <t>DIEGO HERNANDO GAITAN CARVAJAL</t>
  </si>
  <si>
    <t>12.15</t>
  </si>
  <si>
    <t>2024-0692</t>
  </si>
  <si>
    <t>CD-690-2024</t>
  </si>
  <si>
    <t xml:space="preserve">JUAN PABLO CEBALLOS OSPINA </t>
  </si>
  <si>
    <t>PRESTACIÓN DE SERVICIOS PROFESIONALES ESPECIALIZADOS PARA APOYAR LA APROPIACIÓN DE ARQUITECTURA DE INFORMACIÓN, CORRELACIÓN, CRUCE Y GESTIÓN DE DATOS NÚCLEO, EN EL MARCO DEL PROYECTO DE INVERSIÓN DE BANCA ABIERTA Y TRANSPARENTE E INHOUSE BANKING</t>
  </si>
  <si>
    <t>CDEF-317-2024</t>
  </si>
  <si>
    <t>BANCA ABIERTA Y TRANSPARENTE E INHOUSE</t>
  </si>
  <si>
    <t xml:space="preserve">
1.	Acompañar las definiciones de políticas y estrategias integrales basados en la gestión de la arquitectura de información orientados a resolver las necesidades funcionales y operativas de la vicepresidencia financiera, en el marco del proyecto de banca abierta y transparente. 
2.	Establecer estándares y lineamientos claros para la implementación y gestión de tecnologías de la información, asegurando que estos se alineen con las necesidades estratégicas y operativas de la Vicepresidencia Financiera. 
3.	Apoyo en la definición e implementación de mejoras continuas en los procesos y sistemas de gestión de datos, incluyendo la actualización y adopción de nuevas tecnologías y metodologías en las áreas misionales de la Vicepresidencia Financiera. 
4.	Velar por el cumplimiento de todas las normativas y leyes relacionadas con la gestión de datos, incluyendo la protección de datos personales y la seguridad de la información, así como, el marco regulatorio que rige la Vicepresidencia Financiera. 
5.	Identificar, evaluar y mitigar riesgos asociados a la gestión de datos, incluyendo la pérdida, el acceso no autorizado y la corrupción de datos en los procesos de la Vicepresidencia Financiera. 
6.	Apoyar en la gestión del cambio organizacional de los temas que competen a la Vicepresidencia Financiera, especialmente, facilitando la transición y adopción de nuevas tecnologías por parte de las áreas funcionales. 
7.	Articular los equipos de las áreas funcionales de la Vicepresidencia Financiera y la entidad en general, para asegurar la implementación y el cumplimiento de los objetivos del proyecto de inversión de Banca abierta y transparente e inhouse banking y las mejoras aplicadas a los procesos. 
8.	Estructurar respuestas de requerimientos de información solicitados por entes internos y/o externos, en la implementación del proyecto de inversión de banca abierta y transparente e Inhouse banking en el marco de las funciones financieras del ICETEX. 
9.	Cumplir con los indicadores de gestión establecidos. 
10.	Las demás obligaciones que se requieran para el cumplimiento a cabalidad del objeto contractual y que sean inherentes a la naturaleza del contrato. 
</t>
  </si>
  <si>
    <t>GABRIEL BERNARDO BUSTOS QUIROGA</t>
  </si>
  <si>
    <t>CDEF-960-2024</t>
  </si>
  <si>
    <t>OTROSÍ NO. 02 DE ADICIÓN Y PRÓRROGA AL CONTRATO DE PRESTACIÓN DE SERVICIOS
NO. 2024-0692, SUSCRITO ENTRE EL INSTITUTO COLOMBIANO DE CRÉDITO EDUCATIVO Y
ESTUDIOS TÉCNICOS EN EL EXTERIOR “MARIANO OSPINA PÉREZ” – ICETEX Y GABRIEL
BERNARDO BUSTOS QUIROGA</t>
  </si>
  <si>
    <t>20243030002980-I Id: 4261947</t>
  </si>
  <si>
    <t>13.136</t>
  </si>
  <si>
    <t>2024-0693</t>
  </si>
  <si>
    <t>CD-691-2024</t>
  </si>
  <si>
    <t>SANDRA PAOLA ZALDUA CONTRERAS</t>
  </si>
  <si>
    <t xml:space="preserve">PRESTAR APOYO JURÍDICO EN EL DESARROLLO DE LAS ACTIVIDADES PROPIAS DE LA GESTIÓN DEL GRUPO DE RECURSOS FÍSICOS Y EJECUCIÓN TÉCNICA DEL PROYECTO DE INVERSIÓN DENOMINADO “MEJORAMIENTO DE SEDES. </t>
  </si>
  <si>
    <t xml:space="preserve">Prestar apoyo jurídico en la estructuración de los estudios previos, en los procesos de contratación que se encuentran a cargo del Grupo de Administración de Recursos Físicos y en aquellos en los que el área es apoyo para otras dependencias. 
2. Prestar apoyo jurídico, al Grupo de Administración de Recursos Físicos, en la realización de evaluaciones dentro de los procesos de contratación a su cargo.
3. Brindar asesoría jurídica en los aspectos legales sobre temas inherentes y a cargo del Grupo de Administración de Recursos Físicos. 
4. Proyectar, analizar y consolidar la información necesaria para la elaboración de informes relacionados con la ejecución de planes, programas, proyectos y actividades propias de los procesos del Grupo de Administración de Recursos Físicos. 
5. Presentar los informes que le sean solicitados por parte del Coordinador de Recursos Físicos sobre sus funciones y desarrollo de planes en línea con la austeridad y control del gasto.
6. Apoyar a la Coordinación del Grupo de Administración de Recursos Físicos, desde el ámbito jurídico y contractual, respecto de la Supervisión de contratos que le sean asignados al área.
7. Apoyar en la elaboración y/o revisión de las actas de terminación y liquidación de los contratos que tiene a cargo el Grupo de Administración de Recursos Físicos. 
8.  Cumplir con los indicadores de gestión establecidos. 
9. Las demás obligaciones que sean acordes con el objeto contractual asignado por quien ejerza la función de la Supervisión del Contrato.
</t>
  </si>
  <si>
    <t>20243030003026-I Id: 4262884</t>
  </si>
  <si>
    <t>11.51</t>
  </si>
  <si>
    <t>2024-0694</t>
  </si>
  <si>
    <t>CD-692-2024</t>
  </si>
  <si>
    <t>JOHN ALEXANDER FAJARDO RINCÓN</t>
  </si>
  <si>
    <t>PRESTACIÓN DE SERVICIOS PROFESIONALES EN LA ESTRUCTURACIÓN DE METODOLOGÍAS, DEFINICIONES Y ESTRATEGIAS DE AUTOMATIZACIÓN DE PROCESOS PARA EL ICETEX</t>
  </si>
  <si>
    <t>CDEF-734-2024</t>
  </si>
  <si>
    <t xml:space="preserve">
1. Garantizar la estructuración e implementación de estrategias y metodologías para la aplicación de tecnologías de automatización en las operaciones del ICETEX.
2. Establecer e implementar un Modelo Operativo integral que facilite la creación y fortalecimiento de una Mesa de Automatización, considerando la colaboración efectiva con proveedores externos y aliados estratégicos en los procesos de automatización del ICETEX.
3. Validar técnicamente los procesos del ICETEX según niveles de madurez, en concordancia con los principios de la automatización de procesos.
4. Participar y definir actividades necesarias para los procesos que requieran especificaciones en entornos de producción o preproducción relacionados con la automatización.
5. Garantizar la fácil adopción de tecnologías de automatización mediante planes de comunicación para respaldar los productos generados.
6. Validar los mapas de procesos como base para la automatización.
7. Garantizar la implementación de la arquitectura de soluciones de automatización, seleccionar herramientas y funciones tecnológicas alineadas con los objetivos institucionales.
8. Validar los flujos de trabajo de los requerimientos técnicos durante la implementación de soluciones de automatización.
</t>
  </si>
  <si>
    <t>20243030003039-I Id: 4263136</t>
  </si>
  <si>
    <t>4.78</t>
  </si>
  <si>
    <t>2024-0695</t>
  </si>
  <si>
    <t>CD-693-2024</t>
  </si>
  <si>
    <t>EMANUEL DAVID PIRAJAN MURILLO</t>
  </si>
  <si>
    <t>PRESTAR SERVICIOS PROFESIONALES PARA OFRECER SOPORTE TÉCNICO A LA "UNIDAD DE DISEÑO DE EXPERIENCIA" EN EL MARCO DEL DESARROLLO DEL PLAN ESTRATÉGICO DE LA ENTIDAD Y LA POLÍTICA DE GUÍA, INFORMACIÓN Y ACOMPAÑAMIENTO</t>
  </si>
  <si>
    <t>CDEF-060-2024</t>
  </si>
  <si>
    <t xml:space="preserve">1.	Brindar asistencia técnica e información requerida en la planificación, ejecución y supervisión de las actividades fundamentales de la “Unidad de Entendimiento y Diseño de Experiencias” del proyecto Comunidad ICETEX. 
2.	Apoyar los procesos de desarrollo, prototipado, validación y evolución de las experiencias dirigidas a los beneficiarios de Comunidad ICETEX. 
3.	Contribuir en la construcción de documentos técnicos operativos e instructivos para la operación de las experiencias de Comunidad ICETEX. 
4.	Brindar apoyo en la curaduría y evaluación para asegurar que las experiencias generadas con los aliados cumplan con los criterios establecidos por la “Unidad de Entendimiento y Diseño de Experiencias” de Comunidad ICETEX. 
5.	Facilitar y respaldar la realización de capacitaciones a equipos de la entidad a nivel nacional y territorial, así como otros grupos de interés con el fin de garantizar una implementación exitosa de las experiencias de Comunidad ICETEX. 
6.	Apoyar los espacios de interacción con jóvenes estudiantes y usuarios en diversos territorios para asegurar el desarrollo, prototipo, validación y evolución de las experiencias de Comunidad ICETEX. 
7.	Contribuir a la estandarización y la gestión de los procesos de la “Unidad de Entendimiento y Diseño de Experiencias” de Comunidad ICETEX. 
8.	Asistir a reuniones y/o comités de acuerdo con las necesidades de la entidad y la designación del supervisor del contrato. 
9.	Informe mensual de actividades y cumplimiento de los indicadores de gestión establecidos.
10.	Las demás obligaciones que se requieran para el cumplimiento a cabalidad del objeto contractual y que sean inherentes a la naturaleza del contrato. 
</t>
  </si>
  <si>
    <t>20243030003075-I Id: 4263635</t>
  </si>
  <si>
    <t>13.92</t>
  </si>
  <si>
    <t>2024-0696</t>
  </si>
  <si>
    <t>CD- 695-2024</t>
  </si>
  <si>
    <t>IMPRENTA NACIONAL DE COLOMBIA</t>
  </si>
  <si>
    <t>ANDRES RENE  CHAVES FERNANDEZ</t>
  </si>
  <si>
    <t>Prestar el servicio de publicación de los actos administrativos del ICETEX, en el diario oficial de la Imprenta Nacional de Colombia.</t>
  </si>
  <si>
    <t>CDEF -714-2024</t>
  </si>
  <si>
    <t>OTROS GASTOS IMPRESOS Y PUBLICACIONES</t>
  </si>
  <si>
    <t>IG 311002004007006</t>
  </si>
  <si>
    <t>1. Asignar un funcionario para que garantice la ejecución técnica del contrato, el cual debe ser designado 2. Realizar la publicación de los Actos Administrativos de la entidad en los términos y condiciones
señalados por la entidad.
3. Garantizar la eficiente calidad del servicio.
4. Remitir un ejemplar por correo electrónico del Diario Oficial donde se evidencie la publicación de los
actos administrativos solicitados.
5. Revisar y firmar, junto con el supervisor del contrato, el Acta de Liquidación del mismo.
6. Las demás obligaciones que se deriven del objeto y naturaleza en la ejecución del contrato
al momento de la suscripción del contrato.</t>
  </si>
  <si>
    <t>20243030003080-I ID4263700</t>
  </si>
  <si>
    <t>10.27</t>
  </si>
  <si>
    <t>2024-0697</t>
  </si>
  <si>
    <t>CD- 696-2024</t>
  </si>
  <si>
    <t>CARMEN MILENA ORTIZ CHAMORRO</t>
  </si>
  <si>
    <t xml:space="preserve">PRESTAR SUS SERVICIOS PROFESIONALES PARA LA ATENCIÓN DE PQRSD, CONDONACIONES Y DEMÁS TRÁMITES RELACIONADOS A CARGO DE LA VICEPRESIDENCIA DE FONDOS EN ADMINISTRACIÓN. </t>
  </si>
  <si>
    <t>CDEF -405-2024</t>
  </si>
  <si>
    <t>IIG312001020700012</t>
  </si>
  <si>
    <t>1. Proyectar y/o revisar los oficios de respuesta a las PQRSD asignadas y que sean competencia de la Vicepresidencia de Fondos en Administración, dentro del término legal establecidos en la normatividad vigente.2. Proyectar los actos administrativos que se le asignen y sean de competencia de la Vicepresidencia de Fondos en Administración
3. Realizar la verificación de la documentación requerida para el trámite de condonación de los créditos otorgados a través de los fondos administrados por la Vicepresidencia de Fondos en Administración, conforme lo establecido en los contratos, convenios, reglamentos operativos y el procedimiento establecido por el ICETEX.
4. Reportar las condonaciones atendidas a las áreas correspondientes
5. Validar la aplicación de la condonación en la cartera de los beneficiarios por parte de la dependencia competente.
6. Diligenciar las bases de datos que le sean requeridas y guarden relación con el objeto contractual.
7. Suministrar el insumo para la elaboración de informes que le sean requeridos y guarden relación con el objeto contractual.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t>
  </si>
  <si>
    <t>20243030003104-I ID4263974</t>
  </si>
  <si>
    <t>12.69</t>
  </si>
  <si>
    <t>2024-0698</t>
  </si>
  <si>
    <t>CD-698-2024</t>
  </si>
  <si>
    <t>800171372-1</t>
  </si>
  <si>
    <t xml:space="preserve"> FIDUCENTRAL SA</t>
  </si>
  <si>
    <t>CARLOS MARIO GOMEZ CORREA</t>
  </si>
  <si>
    <t>PRESTAR LOS SERVICIOS COMO REPRESENTANTE LEGAL DE TENEDORES, Y DEFINIR LAS RELACIONES ENTRE EL EMISOR Y EL REPRESENTANTE LEGAL DE LOS TENEDORES DE BONOS, ASÍ COMO ESTABLECER LAS OBLIGACIONES DE ESTE ÚLTIMO, CON RELACIÓN A LOS TENEDORES DE BONOS, EN EL MARCO DE LAS EMISIONES CON CARGO AL PROGRAMA DE EMISIÓN Y COLOCACIÓN DE BONOS DEL INSTITUTO COLOMBIANO DE CRÉDITO EDUCATIVO Y ESTUDIOS TÉCNICOS EN EL EXTERIOR “MARIANO OSPINA PÉREZ”- ICETEX, LO ANTERIOR, CON EL FIN DE DAR CUMPLIMIENTO A LO PREVISTO EN LOS ARTÍCULOS 6.4.1.1.5 Y DEMÁS REFERENTES AL REPRESENTANTE LEGAL DE TENEDORES DE BONOS DEL DECRETO 2555 DE 2010, EL PROSPECTO DE INFORMACIÓN DEL PROGRAMA DE EMISIÓN Y COLOCACIÓN, EL REGLAMENTO DEL PROGRAMA, LOS DOCUMENTOS DE LAS EMISIONES, Y EN LAS DEMÁS NORMAS QUE RESULTEN APLICABLES.</t>
  </si>
  <si>
    <t>CDEF-599 - 2024</t>
  </si>
  <si>
    <t>ESTRUCTURACIÓN NUEVO ENDEUDAMIENTO</t>
  </si>
  <si>
    <t>IG 321001010</t>
  </si>
  <si>
    <t>1. Inscribirse como Representante Legal de los Tenedores de Bonos en la Cámara de
Comercio del domicilio principal del emisor y Conservar tal carácter de Representante Legal
de los Tenedores de Bonos, hasta cuando dicha calidad se modifique por inscripción de un
nuevo representante o por vencimiento de los plazos de los bonos cuyos tenedores sean
representados.
2. Representar a los Tenedores de Bonos en todo lo concerniente a sus intereses comunes o
colectivos ante las entidades y actores competentes, igualmente deberá actuar como vocero
de estos ante el Emisor.
3. Convocar y presidir a la Asamblea General de Tenedores de Bonos, dando cumplimiento
para el efecto, a lo dispuesto en el Decreto 2555 de 2010 o a aquella disposición que la
modifique, adicione o sustituya, la cual se realizará en la ciudad de Bogotá D.C. en la fecha
y hora que se señale en el respectivo aviso de convocatoria en cumplimiento de la normativa
vigente y aplicable. 4. Realizar todos los actos de administración y conservación que sean necesarios para el
ejercicio de los derechos y la defensa de los intereses comunes de los Tenedores de Bonos,
lo cual supone un seguimiento estricto al cumplimiento de las obligaciones derivadas de los
Bonos y al desempeño financiero por parte del Emisor.
5. Certificar y garantizar, durante la vigencia del contrato de representación legal de Tenedores
de Bonos, que no se encuentra ni se encontrará inhabilitado para desarrollar sus funciones
como Representante Legal de Tenedores de Bonos y que tomará las medidas necesarias
para evitar cualquiera de las inhabilidades previstas en el artículo 6.4.1.1.5 del Decreto 2555
de 2010, a fin de dar cumplimiento a lo previsto en el artículo 6.4.1.1.11 del Decreto 2555 de
2010.
6. Llevar a cabo de forma oportuna los actos de disposición para los cuales lo faculte la
Asamblea General de Tenedores de Bonos, en los términos del Decreto 2555 de 2010 y la
Circular Básica Jurídica.
7. Realizar todas las gestiones necesarias para la defensa de los intereses comunes de los
Tenedores de Bonos ante el Emisor, las autoridades administrativas o judiciales y demás
terceros cuando a ello hubiere lugar, incluyendo el ejercicio de la representación judicial de
los Tenedores de Bonos.
8. Actuar en nombre de los Tenedores de Bonos en los procesos judiciales o administrativos
en los que éstos intervengan y en los de insolvencia, liquidación y reorganización, así como
también en los que se adelantan como consecuencia de la toma de posesión de los bienes
y haberes o la intervención administrativa de que sea objeto el Emisor. Para tal efecto, el
Representante Legal de Tenedores de Bonos deberá hacerse parte en el respectivo proceso
dentro del término legal, para lo cual acompañará a su solicitud, como prueba de las
obligaciones adquiridas por el Emisor con los Tenedores de Bonos en virtud de la Emisión,
copia auténtica del contrato de representación legal de Tenedores de Bonos y una
constancia con base en sus registros, sobre el monto insoluto del capital, rendimientos e
intereses de los Bonos y cualquier otro documento que conforme con la ley aplicable sea
necesario para demostrar su personería, capacidad y calidad de Representante Legal de
Tenedores de Bonos.
9. Suministrar, por solicitud de los Tenedores de Bonos, del Emisor o de la SFC, los informes
adicionales que se requieran para mantener adecuadamente informados a los Tenedores de
Bonos sobre el comportamiento y desarrollo de cualquiera de las Emisiones y cualquier otro
hecho que pueda afectar sus derechos como Tenedores de Bonos, incluyendo, sin
limitación, la existencia de cualquier circunstancia que origine el temor razonable de que el
Emisor incumpla sus obligaciones en relación con los Bonos, así como cualquier hecho que
afecte o pueda afectar de forma significativa la situación legal o financiera del Emisor.
10. Actuar en nombre de los Tenedores de Bonos en los procesos judiciales o administrativos
de reestructuración, reorganización, toma de posesión o liquidación de los cuales sea objeto
el Emisor, de acuerdo a la normativa aplicable a su naturaleza jurídica.
11. Convocar y presidir la Asamblea General de Tenedores De Bonos en aquellos casos en que
la misma amerite su realización, por situaciones que se consideren relevantes para el
análisis, consideración y decisión de los Tenedores de Bonos, relativas al cumplimiento de
las condiciones de las Emisiones, del Programa de Emisión o de situaciones especiales que
pueda registrar el Emisor, así como en aquellos casos en que conforme a las normas
aplicables dicha convocatoria es exigida o requerida.
12. Solicitar al Emisor directamente o, en caso de considerarlo necesario, por intermedio de la
SFC y dentro de la competencia de ésta última, los informes que considere sean de
importancia para los Tenedores de Bonos y sean del caso para el ejercicio de sus funciones
y las revisiones indispensables de los libros de contabilidad y demás documentos del Emisor,
de conformidad con las disposiciones del contrato de representación legal de Tenedores de
Bonos.13. Informar a los Tenedores de Bonos, a EL CONTRATISTA y a la SFC, a la mayor brevedad
posible, y en todo caso a más tardar dentro de los cinco (5) días hábiles siguientes al conocimiento por parte del Representante Legal de Tenedores de Bonos, y por medios
idóneos, incluidos correos electrónicos, sobre cualquier incumplimiento de las obligaciones
del Emisor y la existencia de circunstancias que originen el temor razonable de que se llegue
a tal incumplimiento, así como de cualquier hecho que afecte o pueda afectar en forma
significativa la situación financiera, administrativa y/o legal del Emisor.
14. Guardar reserva sobre los informes que reciba respecto del Emisor y abstenerse de revelar
o divulgar las circunstancias y detalles que hubiere conocido sobre los negocios de éste en
cuanto no fuere estrictamente indispensables para el resguardo de los intereses de los
Tenedores de Bonos.
15. Cumplir la orden de convocatoria de la Asamblea General de Tenedores de Bonos impartida
por la SFC, cuando existan hechos graves que deban ser conocidos por los Tenedores de
Bonos y que puedan determinar que se impartan instrucciones como Representante Legal
de Tenedores de Bonos o que se revoque su nombramiento, de acuerdo con lo previsto en
el artículo 6.4.1.1.16 del Decreto 2555 de 2010. Para las asambleas convocadas por el
representante legal, llevar los libros de actas de la Asamblea General de Tenedores de
Bonos.
16. Cumplir la orden de convocatoria de la Asamblea General de Tenedores de Bonos impartida
por la SFC, cuando existan hechos graves que deban ser conocidos por los Tenedores de
Bonos y que puedan determinar que se impartan instrucciones como Representante Legal
de Tenedores de Bonos o que se revoque su nombramiento, de acuerdo con lo previsto en
el artículo 6.4.1.1.17 del Decreto 2555 de 2010.
17. Convocar a la Asamblea General de Tenedores de Bonos previa solicitud del Emisor o de
un número plural de Tenedores de Bonos que represente no menos del diez (10%) del monto
insoluto del empréstito o del Programa de Emisión, según corresponda.
18. Llevar los libros de actas de la asamblea general de Tenedores de Bonos.
19. Cumplir con todas y cada una de las obligaciones que le asigne la Asamblea General de
Tenedores de Bonos, en los términos de la ley aplicable.
20. Cumplir con todas y cada una de las obligaciones emanadas del Prospecto de Información
y con cualquier otra obligación que dispongan las leyes vigentes.
21. Cumplir oportunamente con sus obligaciones de remisión de información a la SFC cuando
sea solicitado por esta.
22. Responder a las solicitudes formuladas por el Emisor, de conformidad a lo previsto en el
presente Contrato, en un término máximo de cinco (5) días hábiles, contados a partir del
recibo de la comunicación.
23. Ante un evento de liquidación del Emisor, convocar a la Asamblea del Programa para que
se adopten las medidas inherentes al prepago obligatorio de los Bonos.
24. Emitir la certificación del Prospecto de Información en los términos de lo previsto en el
numeral 1.3.9.1 de la Parte 3, Título I, Capítulo II de la Circular Básica Jurídica.
25. Elaborar un informe en los términos del numeral 4.3.2 del Capítulo I, Título I, Parte III de la
Circular Básica Jurídica para complementar el informe preparado por el Emisor con destino
a los Tenedores de Bonos, cuando se someta a consideración de éstos, la decisión acerca
de fusiones, escisiones, integraciones, cesión de activos, pasivos y contratos, absorciones
y cualesquiera modificaciones que se pretendan realizar a la Emisión y/o al Prospecto de
Información y demás temas que requieren una mayoría especial de conformidad con lo
dispuesto en el artículo 6.4.1.1.22 del Decreto 2555 de 2010.
26. Revelar y administrar los conflictos de interés de que trata el parágrafo 2 del artículo 6.4.1.1.5
del Decreto 2555 de 2010.
27. Enviar dentro de los primeros 15 días hábiles siguientes a la finalización del Contrato un
informe al ICETEX detallando las actividades realizadas durante la vigencia del Contrato.
28. Rendir cuentas comprobadas de su gestión por lo menos una vez cada seis (6) meses, la
cual enviará al Emisor mediante el mecanismo de notificación previsto en el presente
Contrato.29. Las demás funciones y obligaciones que le asigne la Asamblea General de Tenedores de
Bonos que tengan relación con garantizar el ejercicio de sus derechos y la defensa de sus
intereses comunes, así como las que dispongan las normas que rijan su actividad mientras
se encuentre vigentes las Emisiones.</t>
  </si>
  <si>
    <t>20243030003044-I  ID4263178</t>
  </si>
  <si>
    <t>2024-0699</t>
  </si>
  <si>
    <t>LUISA FERNANDA ALMADIO BAUTISTA</t>
  </si>
  <si>
    <t>SERVICIOS DE MANTENIMIENTO A DISTANCIA DEL SISTEMA DE INFORMACIÓN KACTUSHCM</t>
  </si>
  <si>
    <t>20243030002974-I ID4261815</t>
  </si>
  <si>
    <t>2024-0700</t>
  </si>
  <si>
    <t>CD-700-2024</t>
  </si>
  <si>
    <t>860401734-9</t>
  </si>
  <si>
    <t>CORPORACIÓN UNIFICADA NACIONAL DE EDUCACIÓN SUPERIOR-CUN</t>
  </si>
  <si>
    <t>AURA MARGARITA SALCEDO MAYORGA</t>
  </si>
  <si>
    <t>EL OBJETO DEL PRESENTE DOCUMENTO ES PRORROGAR EL PLAZO ESTABLECIDO EN LA CLÁUSULA QUINTA Y MODIFICAR EL “ANEXO A – PORCENTAJE FIJO APORTE IES” DEL ACUERDO ESTRATÉGICO NO. 2024-0700.</t>
  </si>
  <si>
    <t>2024-0701</t>
  </si>
  <si>
    <t>CD-701-2024</t>
  </si>
  <si>
    <t>860014918-7</t>
  </si>
  <si>
    <t>UNIVERSIDAD EXTERNADO DE COLOMBIA</t>
  </si>
  <si>
    <t>LUIS HERNANDO PARRA NIETO</t>
  </si>
  <si>
    <t>ACUERDOSACUERDO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</si>
  <si>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EL OBJETO DEL PRESENTE DOCUMENTO ES PRORROGAR EL PLAZO ESTABLECIDO EN LA CLÁUSULA QUINTA Y MODIFICAR EL “ANEXO B FÓRMULA APORTE IES” DEL ACUERDO ESTRATÉGICO NO. 2024-0701.</t>
  </si>
  <si>
    <t>2024-0702</t>
  </si>
  <si>
    <t>CD-702-2024</t>
  </si>
  <si>
    <t>UNIVERSIDAD PONTIFICIA BOLIVARIANA (BUCARAMANGA)</t>
  </si>
  <si>
    <t>GUSTAVO MENDEZ PAREDES</t>
  </si>
  <si>
    <t>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</si>
  <si>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EL OBJETO DEL PRESENTE DOCUMENTO ES PRORROGAR EL PLAZO ESTABLECIDO EN LA CLÁUSULA QUINTA Y MODIFICAR EL "ANEXO B FORMULA APORTE IES" DEL ACUERDO ESTRATÉGICO NO. 2024-0702.</t>
  </si>
  <si>
    <t>2024-0703</t>
  </si>
  <si>
    <t>CD-703-2024</t>
  </si>
  <si>
    <t>900131269-0</t>
  </si>
  <si>
    <t>FUNDACION UNIVERSITARIA COLOMBO INTERNACIONAL- UNICOLOMBO</t>
  </si>
  <si>
    <t>MARIO RAMOS VELEZ</t>
  </si>
  <si>
    <t>EL OBJETO DEL PRESENTE DOCUMENTO ES PRORROGAR EL PLAZO ESTABLECIDO EN LA CLÁUSULA QUINTA Y MODIFICAR EL ANEXO DEL ACUERDO ESTRATÉGICO No 2024-0703</t>
  </si>
  <si>
    <t>10.21</t>
  </si>
  <si>
    <t>2024-0704</t>
  </si>
  <si>
    <t>CD-704-2024</t>
  </si>
  <si>
    <t>OSCAR ANDRÉS TORRES BARRIOS</t>
  </si>
  <si>
    <t>PRESTAR SUS SERVICIOS PROFESIONALES APOYANDO LAS ESTRATEGIAS DE COMUNICACIÓN CON LOS CLIENTES INTERNOS Y EXTERNOS DE LA VICEPRESIDENCIA DE FONDOS EN ADMINISTRACIÓN.</t>
  </si>
  <si>
    <t xml:space="preserve">CDEF 422- 2024 </t>
  </si>
  <si>
    <t>1. Elaborar el material gráfico y de comunicaciones de la Vicepresidencia de Fondos en Administración para la participación en Juntas Administradoras o instancias de decisión de los Fondos en Administración a su cargo. 2. Elaborar e implementar una estrategia de inducción y reinducción para los colaboradores de la Vicepresidencia de Fondos en Administración. 3. Articular con la Oficina de Comunicación la actualización de información relacionada con los procesos de la Vicepresidencia de Fondos en Administración en la página web de la entidad. 4. Articular con la Oficina Comercial y de Mercado y entidades externas, la estrategia de difusión de las convocatorias de los Fondos, contratos y convenios en Administración a cargo de la Vicepresidencia de Fondos en Administración. 5. Garantizar la confidencialidad, reserva y privacidad de la información que por razón de sus actividades deba manejar en desarrollo del contrato. 6. Asistir y/o participar en los comités, mesas de trabajo y demás reuniones relacionadas con el objeto contractual. 7. Desplazarse en oficinas institucionales ubicadas en ciudades o municipios distintos a Bogotá D.C, por solicitud del supervisor, previo el otorgamiento de la correspondiente autorización de desplazamiento. 8. Las demás asignadas por el supervisor y que tengan relación con el objeto del presente contrato.</t>
  </si>
  <si>
    <t>10.4</t>
  </si>
  <si>
    <t>2024-0705</t>
  </si>
  <si>
    <t>CD-705-2024</t>
  </si>
  <si>
    <t>KARIN NATHALIA ARDILA MUÑOZ</t>
  </si>
  <si>
    <t>PRESTAR SUS SERVICIOS PROFESIONALES APOYANDO DESDE EL PUNTO DE VISTA JURÍDICO LOS TEMAS RELACIONADOS CON LOS FONDOS A CARGO LA VICEPRESIDENCIA DE FONDOS EN ADMINISTRACIÓN</t>
  </si>
  <si>
    <t xml:space="preserve">CDEF 275- 2024 </t>
  </si>
  <si>
    <t xml:space="preserve">1.	Proyectar los formatos, convenios, contratos, reglamentos operativos y demás documentos concernientes con la constitución de nuevos fondos a cargo de la Vicepresidencia de Fondos en Administración.
2.	Revisar los otrosí, y demás documentos necesarios para la correcta ejecución de los fondos a cargo de la Vicepresidencia de Fondos en Administración.
3.	Proyectar las respuestas de peticiones internas y externas, actos administrativos, que le sean requeridos y que guarden relación con los procesos a cargo de la Vicepresidencia de Fondos en Administración.
4.	Proyectar los estudios y documentos previos de los procesos contractuales requeridos en la Vicepresidencia de Fondos en Administración, de acuerdo con la normatividad en materia de contratación aplicables a EL ICETEX.
5.	Apoyar la supervisión de los contratos y/o convenios que le sean asignados, relacionados con el objeto contractual.
6.	Incorporar a los expedientes de los fondos y las carpetas compartidas de la Vicepresidencia de Fondos en Administración la información que surja en el desarrollo del objeto contractual y hacer correcto uso de estas.
7.	Asistir y/o participar en los comités, mesas de trabajo y demás reuniones relacionadas con el objeto contractual.
8.	Garantizar la confidencialidad, reserva y privacidad de la información que por razón de sus actividades deba manejar en desarrollo del contrato.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</si>
  <si>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2024-0706</t>
  </si>
  <si>
    <t>CD-706-2024</t>
  </si>
  <si>
    <t>860045054-1</t>
  </si>
  <si>
    <t>INSTITUCIÓN UNIVERSITARIA COLEGIOS DE COLOMBIA - UNICOC</t>
  </si>
  <si>
    <t>JORGE ALEJANDRO GOMEZ ARANGO</t>
  </si>
  <si>
    <t>El objeto del presente documento es prorrogar el plazo establecido en la cláusula quinta y modificar el “ANEXO B – Fórmula aporte IES” del Acuerdo Estratégico No. 2024-0706.</t>
  </si>
  <si>
    <t>2024-0707</t>
  </si>
  <si>
    <t>CD-707-2024</t>
  </si>
  <si>
    <t>860503837-7</t>
  </si>
  <si>
    <t>CORPORACIÓN UNIVERSITARIA IBEROAMERICANA</t>
  </si>
  <si>
    <t>GUILLERMO USECHI VELATEGUI</t>
  </si>
  <si>
    <t>EL OBJETO DEL PRESENTE DOCUMENTO ES PRORROGAR EL PLAZO ESTABLECIDO EN LA CLÁUSULA QUINTA Y MODIFICAR EL ANEXO B – FÓRMULA APORTE IES DEL ACUERDO ESTRATÉGICO NO. 2024-0707.</t>
  </si>
  <si>
    <t>2024-0708</t>
  </si>
  <si>
    <t>CD-708-2024</t>
  </si>
  <si>
    <t>890324361-4</t>
  </si>
  <si>
    <t>CORPORACIÓN UNIFICADA HISPANOAMERICANA DE EDUCACIÓN SUPERIOR</t>
  </si>
  <si>
    <t>DIANA PAOLA NARVAEZ LOPEZ</t>
  </si>
  <si>
    <t>EL OBJETO DEL PRESENTE DOCUMENTO ES PRORROGAR EL PLAZO ESTABLECIDO EN LA CLÁUSULA QUINTA Y MODIFICAR EL ANEXO A – PORCENTAJE FIJO APORTE IES DEL ACUERDO ESTRATÉGICO NO. 2024-0708.</t>
  </si>
  <si>
    <t>10.46</t>
  </si>
  <si>
    <t>2024-0709</t>
  </si>
  <si>
    <t>CD-709-2024</t>
  </si>
  <si>
    <t>DIANA CATALINA REINA AREVALO</t>
  </si>
  <si>
    <t>PRESTAR SUS SERVICIOS PROFESIONALES ESPECIALIZADOS APOYANDO LA GESTIÓN, ADMINISTRACIÓN, SEGUIMIENTO Y CONTROL DE LOS CONVENIOS, CONTRATOS, FONDOS, ALIANZAS Y/O PROYECTOS A CARGO DE LA VICEPRESIDENCIA DE FONDOS EN ADMINISTRACIÓN CONFORME LOS PROCEDIMIENTOS ESTABLECIDOS POR EL ICETEX</t>
  </si>
  <si>
    <t xml:space="preserve">CDEF 420- 2024 </t>
  </si>
  <si>
    <t xml:space="preserve">1. Apoyar la gestión, administración, seguimiento y control de los convenios y contratos a cargo de la Vicepresidencia de Fondos en Administración, que le sean asignados.  
2. Efectuar seguimiento a los trámites administrativos para las modificaciones de los convenios, contratos y reglamentos de los fondos a cargo de la Vicepresidencia de Fondos en Administración.
3. Revisar desde el punto de visto técnico de los Reglamentos Operativos de los fondos administrados por la Vicepresidencia de Fondo en Administración que le sean asignados. 
4. Revisar los informes financieros y de gestión conforme las condiciones y periodicidad establecida en cada convenio, contrato y reglamentos operativos y efectuar seguimiento a la remisión de los mismos a los constituyentes.
5. Revisar las cuentas de cobro que deben remitirse a los constituyentes y efectuar seguimiento de las mismas. 
6. Revisar los cronogramas y términos de referencia de las convocatorias requeridas para la adjudicación de los recursos de los fondos asignados y asegurar que el fondo cuente con los recursos disponibles para garantizar los giros que se requieran.
7. Revisar la calificación efectuada en la Vicepresidencia de Fondos en Administración, conforme con las condiciones establecidas en los reglamentos operativos y los procedimientos establecidos por el ICETEX.
8. Validar las proyecciones financieras y flujo de caja previamente proyectados contra los datos históricos y los apoyos económicos en proceso de adjudicación y renovación.  
9. Efectuar seguimiento mensual a la gestión de los procesos de otorgamiento, legalización, renovación, desembolsos, condonaciones y pasos al cobro de los fondos administrados por la Vicepresidencia de Fondos en Administración que le sean asignados.
10. Efectuar seguimiento a los compromisos derivados de los Comités o Juntas Administradoras de los fondos que le sean asignados.
11. Revisar respuestas a los requerimientos de los constituyentes, entes de control que le sean solicitados. 
12. Acompañar y efectuar recomendaciones en los Comités o Juntas Administradoras donde sea solicitada su participación.  
13. Apoyar la supervisión de los contratos y/o convenios que le sean asignados, relacionados con el objeto contractual.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en oficinas institucionales ubicadas en ciudades o municipios distintos a Bogotá D.C, por solicitud del supervisor, previo el otorgamiento de la correspondiente autorización de desplazamiento. 
17. Las demás asignadas por el supervisor y que tengan relación con el objeto del presente contrato.
</t>
  </si>
  <si>
    <t>20243030003019-I Id: 4262722</t>
  </si>
  <si>
    <t>4.21</t>
  </si>
  <si>
    <t>2024-0710</t>
  </si>
  <si>
    <t>CD-710-2024</t>
  </si>
  <si>
    <t xml:space="preserve">LEONYS MARIA ESCOBAR RUIZ </t>
  </si>
  <si>
    <t>PRESTAR LOS SERVICIOS PROFESIONALES PARA APOYAR LAS ACTIVIDADES DE CONTROL Y AUTOCONTROL DE LOS PROCESOS Y PROCEDIMIENTOS ASOCIADOS A LA OFICINA COMERCIAL Y DE MERCADEO, COMO TAMBIÉN LA RESPUESTA A LOS REQUERIMIENTOS NORMATIVOS DE LOS ORGANISMOS DE CONTROL</t>
  </si>
  <si>
    <t>CDEF-764-2024</t>
  </si>
  <si>
    <t xml:space="preserve">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Apoyar el mejoramiento del sistema de gestión de calidad a través de la ingeniería de procesos (rapidez, solución de problemas, prevención del riesgo, optimización de KPI´S  y las demás aplicables) que permita desarrollar la planificación, diseño y toma de decisiones para la mejora continua y la correcta atención de los grupos de interés del ICETEX. 
4.	Atender de manera oportuna los requerimientos y solicitudes de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</si>
  <si>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20243030003288-I Id: 4327518</t>
  </si>
  <si>
    <t>12.72</t>
  </si>
  <si>
    <t>2024-0711</t>
  </si>
  <si>
    <t>CD-711-2024</t>
  </si>
  <si>
    <t>800183091-2</t>
  </si>
  <si>
    <t>DEPÓSITO CENTRALIZADO DE VALORES DE COLOMBIA DECEVAL S.A. – DECEVAL.</t>
  </si>
  <si>
    <t>ANDRÉS RESTREPO MONTOYA</t>
  </si>
  <si>
    <t>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t>
  </si>
  <si>
    <t>CDEF-600-2024</t>
  </si>
  <si>
    <t>ESTRUCTURACION NUEVO ENDEUDAMIENTO</t>
  </si>
  <si>
    <t xml:space="preserve">IG 321001010 </t>
  </si>
  <si>
    <t>2024-0712</t>
  </si>
  <si>
    <t>CD-712-2024</t>
  </si>
  <si>
    <t>890481276-8</t>
  </si>
  <si>
    <t>CORPORACIÓN UNIVERSITARIA RAFAEL NUÑEZ</t>
  </si>
  <si>
    <t>MIGUEL ÁNGEL HENRÍQUEZ LÓPEZ</t>
  </si>
  <si>
    <t>El objeto del presente documento es prorrogar el plazo
establecido en la cláusula quinta y modificar las cláusulas tercera  "Valor" y Cuarta "Descuento
y Aplicación del Aporte", así como el Anexo del Acuerdo Estratégico No. 2024-0712.</t>
  </si>
  <si>
    <t>2024-0713</t>
  </si>
  <si>
    <t>CD-713-2024</t>
  </si>
  <si>
    <t>901096617-4</t>
  </si>
  <si>
    <t>UNIVERSITARIA INTERNACIONAL DE LA RIOJA - UNIR</t>
  </si>
  <si>
    <t>JUAN SANTIAGO RODRIGUEZ DUEÑAS</t>
  </si>
  <si>
    <t>EL OBJETO DEL PRESENTE DOCUMENTO ES PRORROGAR EL PLAZO ESTABLECIDO EN LA CLÁUSULA QUINTA Y MODIFICAR EL "ANEXO B FORMULA APORTE IES " DEL
ACUERDO ESTRATÉGICO NO.2024-0713.</t>
  </si>
  <si>
    <t>4.174</t>
  </si>
  <si>
    <t>2024-0714</t>
  </si>
  <si>
    <t>CD-714-2024</t>
  </si>
  <si>
    <t>4 CÉDULA DE EXTRANJERÍA</t>
  </si>
  <si>
    <t>YUDITH RAMONA FLORES SALAZAR</t>
  </si>
  <si>
    <t xml:space="preserve">IMPLEMENTAR ESTRATEGIAS PARA LA EJECUCIÓN DEL PLAN COMERCIAL DE LA TERRITORIAL CENTRO ASOCIADAS AL PORTAFOLIO DE SERVICIOS DE LCETEX EN LA REGIÓN, EN ARTICULACIÓN CON LA OFICINA COMERCIAL Y DE MERCADEO DEL NIVEL CENTRAL. </t>
  </si>
  <si>
    <t>CDEF-249-2024</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</si>
  <si>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Evaluar periódicamente el impacto de las actividades educativas realizadas en colegios y comunidades, recopilando datos sobre el conocimiento y la percepción de los programas de créditos de ICETEX. Esto implica realizar encuestas, entrevistas y grupos focales con estudiantes, padres de familia y líderes comunitarios. 
3.	Realizar un seguimiento del impacto de las actividades pedagógicas y comerciales llevadas a cabo con las JAC de Bogotá, midiendo la participación, el interés generado y la conversión de leads en solicitudes de créditos. Esto implica analizar indicadores como el número de contactos realizados, las solicitudes recibidas y las tasas de conversión para evaluar la efectividad de las estrategias implementadas Al combinar estrategias pedagógicas y comerciales, promoviendo una mayor inclusión y acceso a la educación superior en la comunidad. 
4.	Articular con los representantes de los diferentes entes territoriales y grupos de interés en los territorios asignados, en la planeación y ejecución de actividades pedagógicas y o comerciales de promoción del portafolio de servicios del Icetex en el ámbito de los municipios apartados categorizados como intermedio, rural y rural disperso, de acuerdo con el plan comercial propuesto por parte del jefe territorial. 
5.	Colaborar en la implementación de estrategias pedagógicas diseñadas desde el proyecto Comunidad ICETEX, así como otras áreas relacionadas, con el fin de fortalecer los procesos de aprendizaje y desarrollo académico de los beneficiarios del ICETEX, alineados con los objetivos y metas estratégicas de la entidad.
6.	Apoyar el proceso de suscripción de nuevos convenios y demás actividades de seguimiento de las obligaciones contractuales de los actuales convenios suscritos con las Instituciones de Educación Superior y/o demás aliados estratégicos asignados por su supervisor.
7.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8.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9.	Apoyar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10.	Consolidar y actualizar bases de datos con la información relativa a la gestión comercial y realizada con IES, aliados estratégicos, entes territoriales y demás grupos de interés, en los formatos y medios establecidos por la entidad.
11.	Realizar e implementar programas educativos innovadores en colaboración con la Oficina Comercial y Mercadeo, así como otras áreas pertinentes, que promuevan el acceso a la educación financiera y la comprensión de los productos y servicios ofrecidos por el ICETEX, con el objetivo de aumentar la participación de los beneficiarios y el logro de los objetivos comerciales de la entidad.
12.	Realizar el debido proceso de gestión documental y envío al archivo único de la entidad de las actividades delegadas a su cargo, al igual que la presentación de los informes requeridos derivados de la ejecución presente contrato.
13.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14.	Desplazarse a las diferentes ciudades y municipios del país, en caso de ser necesario para la debida ejecución del contrato, previa coordinación con el supervisor.
15.	Proporcionar la asistencia necesaria desde su rol y experticia para llevar a cabo las actividades planificadas por Comunidad ICETEX en el área de cobertura de la Territorial Centro, garantizando un respaldo efectivo y profesional para el éxito de las operaciones.
16.	Las demás que sean inherentes para el logro del objeto contratado, asignadas por el supervisor del contrato. 
</t>
  </si>
  <si>
    <t>20243030003409-I Id: 4329958</t>
  </si>
  <si>
    <t>2024-0715</t>
  </si>
  <si>
    <t>CD-715-2024</t>
  </si>
  <si>
    <t>860517647-5</t>
  </si>
  <si>
    <t>UNIVERSIDAD MANUELA BELTRÁN -UMB</t>
  </si>
  <si>
    <t>ALEJANDRA ACOSTA HENRIQUEZ</t>
  </si>
  <si>
    <t>EL OBJETO DEL PRESENTE DOCUMENTO ES PRORROGAR EL PLAZO ESTABLECIDO EN LA CLÁUSULA QUINTA Y MODIFICAR EL ANEXO A – PORCENTAJE FIJO APORTE IES DEL ACUERDO ESTRATÉGICO NO. 2024-0715.</t>
  </si>
  <si>
    <t>2024-0716</t>
  </si>
  <si>
    <t>CD-716-2024</t>
  </si>
  <si>
    <t>800214750-7</t>
  </si>
  <si>
    <t>INSTITUTO TECNOLÓGICO METROPOLITANO</t>
  </si>
  <si>
    <t>ALEJANDRO VILLA GÓMEZ</t>
  </si>
  <si>
    <t>EL OBJETO DEL PRESENTE DOCUMENTO ES PRORROGAR EL
PLAZO ESTABLECIDO EN LA CLÁUSULA QUINTA Y MODIFICAR LAS CLÁUSULAS TERCERA “VALOR” Y CUARTA
“DESCUENTO Y APLICACIÓN DEL APORTE”, ASÍ COMO EL ANEXO DEL ACUERDO ESTRATÉGICO NO.
2024-0716.</t>
  </si>
  <si>
    <t>11.167</t>
  </si>
  <si>
    <t>2024-0717</t>
  </si>
  <si>
    <t>CD-717-2024</t>
  </si>
  <si>
    <t>LAURA DANIELA CUBILLOS CUELLAR</t>
  </si>
  <si>
    <t>CDEF-770-2024</t>
  </si>
  <si>
    <t>20243030003633-I Id: 4356852</t>
  </si>
  <si>
    <t>2024-0718</t>
  </si>
  <si>
    <t>CD-718-2024</t>
  </si>
  <si>
    <t>800152840-4</t>
  </si>
  <si>
    <t>FUNDACIÓN UNIVERSITARIA DE SAN GIL - UNISANGIL</t>
  </si>
  <si>
    <t>PATRICIA ISABEL LEQUERICA MORENO</t>
  </si>
  <si>
    <t>EL OBJETO DEL PRESENTE DOCUMENTO ES PRORROGAR EL PLAZO ESTABLECIDO EN LA CLÁUSULA QUINTA Y MODIFICAR EL "ANEXO B FORMULA APORTE IES" DEL ACUERDO ESTRATÉGICO No 2024-0718</t>
  </si>
  <si>
    <t>12.17</t>
  </si>
  <si>
    <t>2024-0719</t>
  </si>
  <si>
    <t>CD-719-2024</t>
  </si>
  <si>
    <t xml:space="preserve">YENNYY MEDINA JIMENEZ </t>
  </si>
  <si>
    <t>PRESTAR LOS SERVICIOS PROFESIONALES EN LA ACTUALIZACIÓN DE LOS SISTEMAS DE GESTIÓN PRESUPUESTAL DE LOS RECURSOS DE FONDOS Y PROPIOS Y EN EL PROCESO DE VALIDACIÓN DE LA EJECUCIÓN DEL PRESUPUESTO A PARTIR DEL PROCESAMIENTO Y ANÁLISIS DE LA INFORMACIÓN A CARGO DEL GRUPO DE PRESUPUESTO</t>
  </si>
  <si>
    <t>CDEF-031-2024</t>
  </si>
  <si>
    <t>HONORARIOS VFN</t>
  </si>
  <si>
    <t xml:space="preserve">
1.	Apoyar en la gestión y control presupuestal de los procesos relacionados con fuentes de fondeo, la estabilización de los aplicativos presupuestales, y la sistematización de la información a través del procesamiento, sistematización y análisis de información. 
2.	Ejecutar el soporte y estabilización de los aplicativos que soportan la gestión presupuestal a través de la documentación de procesos y procedimientos, en el sistema de gestión de calidad, en el marco de la simplificación, estandarización e integración de procesos en el marco de la modernización de las funciones financieras del Instituto.
3.	Apoyar en la generación de los documentos e insumos técnicos presupuestales que soportan la operación financiera del Instituto en cumplimiento de los procedimientos y la normatividad vigente y aplicable. 
4.	Realizar el seguimiento y control a la ejecución presupuestal de acuerdo con la información dispuesta desde los diferentes aplicativos y bases de datos de gestión financiera y presupuestal con que cuenta el Instituto.
5.	Colaborar en la gestión de registro y soporte de las operaciones presupuestales relacionadas con vigencias futuras, acorde a los procedimientos establecidos en el Instituto.
6.	Realizar la gestión de seguimiento y control presupuestal a los giros a través del análisis, verificación y confirmación  de las instrucciones cargadas en el sistema fondos y propios, con especial énfasis en giros internacionales y/o al exterior..
7.	Formular los insumos técnicos para dar respuesta a los requerimientos de información solicitados por entes internos y/o externos.
8.	Apoyar en la gestión de manejo de indicadores a cargo del área.
9.	Apoyar mediante el aplicativo establecido por la Entidad en la validación de las órdenes de pago, los soportes y realizando el debido registro en los aplicativos presupuestales.
10.	Cumplir con los indicadores de gestión establecidos. 
</t>
  </si>
  <si>
    <t>20243030003640-I Id: 4356902</t>
  </si>
  <si>
    <t>8.12</t>
  </si>
  <si>
    <t>2024-0720</t>
  </si>
  <si>
    <t>CD-720-2024</t>
  </si>
  <si>
    <t>CAMILA FERNANDA SALAZAR SERRANO</t>
  </si>
  <si>
    <t>PRESTAR SUS SERVICIOS DE APOYO A LA GESTIÓN EN EL DESARROLLO DE LAS ACTIVIDADES ADMINISTRATIVAS Y OPERATIVAS DEL DESPACHO DE LA PRESIDENCIA</t>
  </si>
  <si>
    <t>CDEF-776-2024</t>
  </si>
  <si>
    <t>REMUNERACION SERVICIOS TECNICOS</t>
  </si>
  <si>
    <t xml:space="preserve">1.	Apoyar en el cumplimiento de la agenda del presidente de la entidad y asegurarse de que todos los compromisos y reuniones estén programadas de manera eficiente.
2.	Apoyar la comunicación interna y externa del presidente de la entidad, incluyendo correos electrónicos y correspondencia oficial.
3.	Apoyar y realizar acompañamiento en la logística de viajes nacionales e internacionales del presidente de la entidad.
4.	Apoyar en la organización y coordinación de reuniones, conferencias y eventos especiales en los que participe el presidente de la entidad.
5.	Apoyar como enlace entre el presidente de la entidad y otros colaboradores, asegurando una comunicación óptima.
6.	Las demás obligaciones que sean acordes con el objeto contractual asignado por quien ejerza la función de la supervisión del contrato y/o el presidente de la entidad.
</t>
  </si>
  <si>
    <t>20243030003674-I Id: 4357544</t>
  </si>
  <si>
    <t>11.131</t>
  </si>
  <si>
    <t>2024-0721</t>
  </si>
  <si>
    <t>CD-722-2024</t>
  </si>
  <si>
    <t>BRAYAN CAMILO LOPEZ LONDOÑO</t>
  </si>
  <si>
    <t>CDEF-725-2024</t>
  </si>
  <si>
    <t>20243030003683-I Id: 4362375</t>
  </si>
  <si>
    <t>12.75</t>
  </si>
  <si>
    <t>2024-0722</t>
  </si>
  <si>
    <t>CD-723-2024</t>
  </si>
  <si>
    <t>ANGIE PAOLA ALMARIO GOMEZ</t>
  </si>
  <si>
    <t>PRESTAR LOS SERVICIOS TÉCNICOS PARA APOYAR EN EL SOPORTE Y SEGUIMIENTO DE LAS OPERACIONES TESORALES, A PARTIR DE LA SISTEMATIZACIÓN Y ANÁLISIS DE INFORMACIÓN PARA LA OPTIMIZACIÓN DE PROCESOS FINANCIEROS EN EL MARCO DEL PROYECTO DE INVERSIÓN DE BANCA ABIERTA Y TRANSPARENTE E INHOUSE BANKING</t>
  </si>
  <si>
    <t>CDEF-677-2024</t>
  </si>
  <si>
    <t xml:space="preserve">
1. Apoyar en el análisis, consolidación y sistematización de información que permita garantizar la calidad y oportunidad de la información de la Dirección de Tesorería, en el marco del proyecto de inversión de Banca abierta y transparente.
2. Apoyar en el seguimiento, soporte y gestión de las operaciones tesorales para el estricto cumplimiento de la normatividad aplicable y los lineamientos implementados para la modernización de las funciones financieras del ICETEX.
3. Apoyar en la elaboración de los informes, bases de datos, insumos técnicos y demás documentos que la Dirección de Tesorería requiera para resolver los diferentes requerimientos y/o solicitudes que se generen dentro de los diversos procesos del área.
4. Apoyar en la sistematización de información que permitan implementar mecanismos de control a los procedimientos establecidos, en procura de la oportuna atención, gestión y procesamiento de las operaciones realizadas por la Dirección de Tesorería.
5. Apoyar la generación de informes que permitan la resolución de peticiones y/o solicitudes de los clientes internos y externos solicitados a la Dirección de Tesorería por otras áreas y/o entes de control en relación con los procesos del área y el proyecto de inversión de Banca Abierta.
6. Apoyar en el seguimiento y control de las acciones establecidas en las políticas de datos, e indicadores e informes que permitan la optimización de procesos y procedimientos en el marco del Proyecto de inversión Banca Abierta y Transparente e Inhouse Banking.
7. Apoyar con el registro contable del movimiento de recursos necesarios para poder dar cumplimiento a las operaciones del proyecto de inversión de Banca Abierta y Transparente.
8. Apoyar en la realización de los arqueos mensuales, reportando cualquier novedad y/o hallazgo a la Dirección de Tesorería.
9. Dar cumplimiento a los indicadores de gestión establecidos en el contrato.
10. Las demás actividades que le sean encomendadas por el supervisor del contrato.
</t>
  </si>
  <si>
    <t>20243030003644-I Id: 4357206</t>
  </si>
  <si>
    <t>11.17</t>
  </si>
  <si>
    <t>2024-0723</t>
  </si>
  <si>
    <t>CD-724-2024</t>
  </si>
  <si>
    <t>900332892-2</t>
  </si>
  <si>
    <t>ENTERDEV S.A.S.</t>
  </si>
  <si>
    <t>EDGAR JULIAN CRUZ BUITRAGO</t>
  </si>
  <si>
    <t>CONTRATAR LA ADQUISICIÓN DEL LICENCIAMIENTO AGILITY RPA MULTIINSTANCIA Y EL SOPORTE ESPECIALIZADO PARA LOS PROCESOS AUTOMATIZADOS POR RPA EN EL ICETEX</t>
  </si>
  <si>
    <t>CDEF-763-2024</t>
  </si>
  <si>
    <t>MANTENIMIENTO SOFTWARE Y
SUMINISTRO DE I</t>
  </si>
  <si>
    <t xml:space="preserve">IG 311002004005003 - </t>
  </si>
  <si>
    <t>20243030003424-I Id: 4330087</t>
  </si>
  <si>
    <t>4.177</t>
  </si>
  <si>
    <t>2024-0724</t>
  </si>
  <si>
    <t>CD-725-2024</t>
  </si>
  <si>
    <t>ELVIA LUCIA ACERO PORTACIO</t>
  </si>
  <si>
    <t>PRESTAR SERVICIOS PROFESIONALES PARA BRINDAR ACOMPAÑAMIENTO A LA OFICINA COMERCIAL Y DE MERCADEO EN EL MARCO DEL PLAN ESTRATÉGICO Y LA “POLÍTICA DE GUÍA, INFORMACIÓN Y ACOMPAÑAMIENTO</t>
  </si>
  <si>
    <t>CDEF-778-2024</t>
  </si>
  <si>
    <t xml:space="preserve">Colaborar en la concepción, planificación y ejecución de las iniciativas asignadas por la líder de la “Unidad de Operación” de Comunidad ICETEX. 
2.	Monitorear la implementación de las iniciativas en bienestar emocional y mental designadas por la líder de la “Unidad de Operación” de Comunidad ICETEX, lo cual incluirá evaluaciones regulares del progreso y la elaboración de informes detallados. 
3.	Hacer seguimiento operativo a las alianzas asignadas por la líder de la “Unidad de Operación” de Comunidad ICETEX. 
4.	Respaldar desde su conocimiento y experticia los procesos relacionados con la “Unidad de Operación” que le sean asignados.
5.	Aportar en la formulación y puesta en marcha de los sistemas de gestión de Comunidad ICETEX, teniendo en cuenta las mejores prácticas nacionales e internacionales de gestión de proyectos y metodologías ágiles. 
6.	Respaldar los procesos de reporte de los logros y avances en bienestar emocional y mental del proyecto Comunidad ICETEX ante las áreas internas del ICETEX, entidades de control y ciudadanía.   
7.	Apoyar la supervisión de los contratos que le sean asignados, desde el punto de vista técnico y/o administrativo y/o financiero y/o contable, de conformidad con lo establecido en el Manual de Contratación de la Entidad.   
8.	Informes mensuales de actividades que permitan al supervisor verificar el avance y cumplimiento de las obligaciones contractuales y de los indicadores de gestión.  
9.	Las demás obligaciones que se requieran para el cumplimiento a cabalidad del objeto contractual y que sean inherentes a la naturaleza del contrato.
</t>
  </si>
  <si>
    <t>20243030003695-I Id: 4362547</t>
  </si>
  <si>
    <t>11.36</t>
  </si>
  <si>
    <t>2024-0725</t>
  </si>
  <si>
    <t>CDA</t>
  </si>
  <si>
    <t>IS-694-2024</t>
  </si>
  <si>
    <t>900395252-9</t>
  </si>
  <si>
    <t>SOFTGIC S.A.S.</t>
  </si>
  <si>
    <t>DAVID KEPES HOYOS</t>
  </si>
  <si>
    <t>RENOVACIÓN DE LA SUSCRIPCIÓN DE LACNIC DIRECCIONAMIENTO IPV6 DEL ICETEX</t>
  </si>
  <si>
    <t>CDEF-533-2024</t>
  </si>
  <si>
    <t>4 INVITACIÓN SIMPLIFICADA</t>
  </si>
  <si>
    <t>11.95</t>
  </si>
  <si>
    <t>2024-0726</t>
  </si>
  <si>
    <t>CD-726-2024</t>
  </si>
  <si>
    <t>ISMAEL JIMENEZ GARCIA</t>
  </si>
  <si>
    <t>CDEF-766-2024</t>
  </si>
  <si>
    <t xml:space="preserve">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de los compromisos establecidos y la gestión de recursos asignados a cada uno de los proyectos, por medio de las herramientas definidas y el debido proceso establecido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</si>
  <si>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20243030003724-I Id: 4362943</t>
  </si>
  <si>
    <t>11.104</t>
  </si>
  <si>
    <t>2024-0727</t>
  </si>
  <si>
    <t>CD-727-2024</t>
  </si>
  <si>
    <t>ROBINSON JESÚS DE LA ASUNCIÓN GONZÁLEZ</t>
  </si>
  <si>
    <t>CDEF-635-2024</t>
  </si>
  <si>
    <t xml:space="preserve">1. Diseñar, desarrollar e implementar nuevas soluciones informáticas para soportar y/o mejorar la operación de los procesos misionales del Icetex
2. Implementar acciones correctivas para solucionar problemas detectados en aplicativos de soporte a procesos misionales del Icetex y otros componentes tecnológicos
3. Respaldar los procesos de migración de información de las distintas fuentes de datos existentes
4. Aplicar los lineamientos, estándares, y patrones de diseño de la arquitectura acordada para los Dominios de Aplicación e Información
5. Detectar mejoras funcionales y no funcionales en los aplicativos asignados para su evaluación y aprobación en los organos de gobierno de TI indicados por la Dirección de
Tecnología.
6. Tramitar los ambientes de contingencia que permitan dar continuidad a las actividades a cargo
7. Tramitar el soporte requerido con los proveedores tecnológicos para atender los 
requerimientos solicitados por las áreas misionales del ICETEX
8. Garantizar la aplicación de la metodologia "agile" definida por el Icetex en el desarrollo de los Sprint.
</t>
  </si>
  <si>
    <t>2024-0728</t>
  </si>
  <si>
    <t>CD-728-2024</t>
  </si>
  <si>
    <t>860006848-6</t>
  </si>
  <si>
    <t>FUNDACIÓN UNIVERSIDAD DE BOGOTÁ – JORGE TADEO LOZANO</t>
  </si>
  <si>
    <t>CARLOS URBANO SANCHEZ GAITAN</t>
  </si>
  <si>
    <t>11.61</t>
  </si>
  <si>
    <t>2024-0729</t>
  </si>
  <si>
    <t>CD-729-2024</t>
  </si>
  <si>
    <t>MARITZA ALEXANDRA GARCIA GARZON</t>
  </si>
  <si>
    <t>PRESTACIÓN DE SERVICIOS PROFESIONALES ESPECIALIZADOS PARA EL TRÁMITE DE SERVICIOS DE TI ORIENTADOS AL ANÁLISIS Y GESTIÓN DE REQUERIMIENTOS FUNCIONALES Y NO FUNCIONALES A CARGO DEL ICETEX.</t>
  </si>
  <si>
    <t>CDEF-767-2024</t>
  </si>
  <si>
    <t xml:space="preserve">1. Participar en comités o reuniones relacionadas con el análisis y levantamiento de nuevas necesidades tecnológicas requeridas por las áreas misionales.
2. Realizar el seguimiento y apoyo permanente en cada uno de los requerimientos levantamiento, análisis, prototipado, verificación y pruebas en los componentes de software para el desarrollo de proyectos; con la firma del contrato se entienden cedidos todos los derechos patrimoniales derivados de ejecución de las actividades establecidas en el presente documento. 
3. Guiar los análisis de viabilidad, costo, beneficio e impactos de alto nivel de las posibles soluciones tecnológicas alternativas con las que se pueden atender nuevas necesidades de negocio.  
4. Entregar a corte mensual informes que contengan los avances realizados con la evidencia de los requerimientos entregados, requerimientos debidamente aprobados por los interesados, las actas de reunión de levantamiento de requerimientos, los documentos de historias de usuario, épicas y el porcentaje de cumplimiento de las actividades proyectadas. 
5. Aplicar las mejores prácticas para el levantamiento y revisión de los requerimientos, cumpliendo con los estándares y lineamientos establecidos en la entidad. 
6. Cumplir con el cronograma establecido para la fase de levantamiento de requerimientos de los componentes entregados a su cargo, como parte de las estrategias para el desarrollo del proyecto de Transformación digital. 
7. Realizar las actualizaciones para los diferentes requerimientos en la herramienta de Azure DevOps o la solicitada por la supervisión del contrato. 
8. Documentar las necesidades tecnológicas con el fin de ser validadas por el equipo de arquitectura.
</t>
  </si>
  <si>
    <t>20243030003845-I Id: 4364735</t>
  </si>
  <si>
    <t>2024-0730</t>
  </si>
  <si>
    <t>CD-730-2024</t>
  </si>
  <si>
    <t>860034811-3</t>
  </si>
  <si>
    <t>UNIVERSIDAD ESCUELA COLOMBIANA DE INGENIERÍA JULIO GARAVITO</t>
  </si>
  <si>
    <t>HÉCTOR ALFONSO RODRÍGUEZ DÍAZ</t>
  </si>
  <si>
    <t>EL OBJETO DEL PRESENTE DOCUMENTO ES PRORROGAR EL PLAZO ESTABLECIDO EN LA CLÁUSULA QUINTA Y MODIFICAR EL “ANEXO B FÓRMULA APORTE IES” DEL ACUERDO ESTRATÉGICO N° 2024-0730.</t>
  </si>
  <si>
    <t>13.143</t>
  </si>
  <si>
    <t>2024-0731</t>
  </si>
  <si>
    <t>IS-697-2024</t>
  </si>
  <si>
    <t>860032347-8</t>
  </si>
  <si>
    <t>COMPAÑÍA ANDINA DE SEGURIDAD PRIVIDA BIC LTDA.- ANDISEG BIC LTDA</t>
  </si>
  <si>
    <t>MIGUEL ANGEL DIAZ
GARCIA</t>
  </si>
  <si>
    <t>PRESTAR LOS SERVICIOS PROFESIONALES ESPECIALIZADOS PARA REALIZAR EL ESTUDIO DE SEGURIDAD DE LOS CANDIDATOS A DESEMPEÑAR LOS CARGOS VACANTES EN LA PLANTA DE PERSONAL DEL ICETEX Y EN LOS DEMÁS EVENTOS QUE ASÍ SE DETERMINEN.</t>
  </si>
  <si>
    <t>CDEF-746-2024</t>
  </si>
  <si>
    <t>SELECCION Y RECLUTAMIENTO DE PERSONAL</t>
  </si>
  <si>
    <t>IG311002004020003</t>
  </si>
  <si>
    <t>2024-0732</t>
  </si>
  <si>
    <t>CD-733-2024</t>
  </si>
  <si>
    <t>10 CONVENIO DE COOPERACIÓN EDUCATIVO</t>
  </si>
  <si>
    <t>800145400-8</t>
  </si>
  <si>
    <t>FUNDACION PARA EL FUTURO DE COLOMBIA- COLFUTURO</t>
  </si>
  <si>
    <t>JERONIMO ALFONSO CASTRO JARAMILLO</t>
  </si>
  <si>
    <t>AUNAR ESFUERZOS INSTITUCIONALES, TECNICOS, TECNOLOGICOS, ADMINISTRATIVOS Y FINANCIEROS CON COLFUTURO, PARA LA EJECUCION DE LA POLITICA DE COOPERACION ACADEMICA INTERNACIONAL E INTERINSTITUCIONAL DEL ICETEX</t>
  </si>
  <si>
    <t>CDP-522-2024</t>
  </si>
  <si>
    <t>RECIP.EXTRANJ.- PROGRAMAS COFINANCIADOS</t>
  </si>
  <si>
    <t>IG 331620001001007</t>
  </si>
  <si>
    <t>1.10</t>
  </si>
  <si>
    <t>2024-0733</t>
  </si>
  <si>
    <t>CD-734-2024</t>
  </si>
  <si>
    <t>VIVIANA VARGAS RINCON</t>
  </si>
  <si>
    <t>"PRESTACIÓN DE SERVICIOS PROFESIONALES PARA LA EDICIÓN DE CONTENIDOS AUDIOVISUALES GESTIONADOS POR LA OFICINA ASESORA DE COMUNICACIONES."</t>
  </si>
  <si>
    <t>CDP-772-2024</t>
  </si>
  <si>
    <t xml:space="preserve">1.	Realizar la preproducción, producción y postproducción de contenidos audiovisuales que reflejen la gestión del Icetex tanto a nivel externo como interno. 
2.	Realizar la articulación con diferentes áreas de la Entidad para la producción de imágenes, uso de piezas, logos y demás elementos de comunicación para la producción de piezas audiovisuales requeridas por la Oficina Asesora de Comunicaciones. 
3.	Proponer y poner en marcha formatos audiovisuales para las diferentes necesidades específicas que requiera la Oficina Asesora de Comunicaciones del ICETEX
4.	Recopilar y archivar el material audiovisual de las acciones adelantadas por la Oficina Asesora de Comunicaciones del ICETEX.
5.	Asistir a reuniones y/o comités de conformidad con las necesidades de la entidad y la designación del supervisor del contrato.
6.	El contratista deberá suministrar los equipos necesarios para el desarrollo del presente contrato, en condiciones eficientes y oportunas.
7.	Administrar con plena autonomía sus equipos audiovisuales y demás herramientas que se requiera para el desarrollo del objeto, de tal manera que en cualquier eventualidad el ICETEX no se haga responsable de daños o perjuicios
8.	Ceder los derechos patrimoniales de autor y conexos sobre las obras y documentos sometidos a registro, en cumplimiento de lo establecido en ley 23 de 1982 modificada por la ley 1450 de 2011 y 1520 de 2012.
9.	Cumplir con los indicadores de gestión establecidos.
10.	Las demás obligaciones que se requieran para el cumplimiento a cabalidad del objeto contractual y que sean inherentes a la naturaleza del contrato.
</t>
  </si>
  <si>
    <t>20243030003979-I Id: 4366585</t>
  </si>
  <si>
    <t>2024-0734</t>
  </si>
  <si>
    <t>CD-735-2024</t>
  </si>
  <si>
    <t>860026058-1</t>
  </si>
  <si>
    <t>UNIVERSIDAD EAN</t>
  </si>
  <si>
    <t>BRIGITTE LUIS GUILLERMO BAPTISTE BALLERA</t>
  </si>
  <si>
    <t>EL OBJETO DEL PRESENTE DOCUMENTO ES PRORROGAR EL PLAZO ESTABLECIDO EN LA CLÁUSULA QUINTA Y MODIFICAR EL “ANEXO B FÓRMULA APORTE IES” DEL ACUERDO ESTRATÉGICO NO. 2024-0734.</t>
  </si>
  <si>
    <t>2024-0735</t>
  </si>
  <si>
    <t>CD-736-2024</t>
  </si>
  <si>
    <t>UNIVERSIDAD AUTONOMA DE OCCIDENTE</t>
  </si>
  <si>
    <t>DIEGO FERNANDO HERNANDEZ LOSADA</t>
  </si>
  <si>
    <t>EL OBJETO DEL PRESENTE DOCUMENTO ES PRORROGAR EL PLAZO ESTABLECIDO EN LA CLÁUSULA QUINTA Y MODIFICAR EL "ANEXO B FORMULA APORTE IES" DEL ACUERDO ESTRATÉGICO 2024-0735</t>
  </si>
  <si>
    <t>2024-0736</t>
  </si>
  <si>
    <t>CD-737-2024</t>
  </si>
  <si>
    <t>860075558-1</t>
  </si>
  <si>
    <t>UNIVERSIDAD DE LA SABANA</t>
  </si>
  <si>
    <t>ROLANDO ANDRES RONCACIO RACHID</t>
  </si>
  <si>
    <t>EL OBJETO DEL PRESENTE DOCUMENTO ES PRORROGAR EL PLAZO ESTABLECIDO EN LA CLÁUSULA QUINTA Y MODIFICAR EL ANEXO B – FÓRMULA APORTE IES DEL ACUERDO ESTRATÉGICO NO. 2024-0736.</t>
  </si>
  <si>
    <t>11.70</t>
  </si>
  <si>
    <t>2024-0737</t>
  </si>
  <si>
    <t>CD-738-2024</t>
  </si>
  <si>
    <t>SERGIO LEONARDO BASTIDAS RODRIGUEZ</t>
  </si>
  <si>
    <t>PRESTACIÓN DE SERVICIOS PROFESIONALES ESPECIALIZADOS EN INGENIERÍA EN ANÁLISIS, MODELAMIENTO E IMPLEMENTACIÓN DE ESTRATEGIAS DE MITIGACIÓN DE RIESGOS OPERATIVOS Y DE SEGURIDAD DIGITAL APLICABLES A LAS SOLUCIONES INFORMÁTICAS REQUERIDAS POR ICETEX.</t>
  </si>
  <si>
    <t>CDEF-759-2024</t>
  </si>
  <si>
    <t xml:space="preserve">1.	Orientar en la estructuración, revisión, ajuste y monitoreo de la gestión de riesgos de la Vicepresidencia de Operaciones y Tecnología de acuerdo con los lineamientos que se tengan definidos en la Entidad.
2.	Respaldar la gestión tecnológica en la mejora u optimización de procesos y procedimientos internos para fortalecer la calidad de los mismos de acuerdo a los requerimientos que se definan.
3.	Respaldar las decisiones en relación al tratamiento y cumplimiento de requisitos de seguridad internos, legales, regulatorios y contractuales. 
4.	Respaldar el monitoreo y mejoramiento al desempeño y efectividad de la seguridad de la información en el ICETEX.
5.	Hacer la planificación, ejecución y seguimiento de las actividades que se requieran para la implementación de gobierno digital en la Vicepresidencia de Operaciones y Tecnología.
6.	Orientar en la implementación, administración y soporte de sistemas de seguridad para el ICETEX. 
7.	Orientar a las reuniones, mesas de trabajo, talleres y en general todas aquellas que requieran un soporte técnico en riesgos, procesos, procedimientos y seguridad en cumplimiento del objeto contractual y de acuerdo con las indicaciones del supervisor del contrato, 
8.	Respaldar la gestión de conocimiento en la creación de artefactos y demás recursos que puedan ser almacenado en el repositorio definido para tal fin.
9.	Gestionar y coadyuvar en actividades que contribuyan al control de ejecución de contratos y que deban ser realizadas por el supervisor del mismo. 
10.	Orientar a la Dirección de Tecnología frente a la necesidad de implementar mecanismos de seguridad en las diferentes soluciones tecnológicas implementadas.
</t>
  </si>
  <si>
    <t>20243030004033-I Id: 4426571</t>
  </si>
  <si>
    <t>10.36</t>
  </si>
  <si>
    <t>2024-0738</t>
  </si>
  <si>
    <t>CD-740-2024</t>
  </si>
  <si>
    <t>BRYAN ANDRES ROJAS BARRETO</t>
  </si>
  <si>
    <t>PRESTAR SUS SERVICIOS PROFESIONALES GESTIONANDO LA LIQUIDACIÓN Y/O CIERRE DE LOS CONTRATOS Y CONVENIOS A CARGO DE LA VICEPRESIDENCIA DE FONDOS EN ADMINISTRACIÓN</t>
  </si>
  <si>
    <t>CDEF-464-2024</t>
  </si>
  <si>
    <t xml:space="preserve">1.	Identificar la gestión a adelantar en cada uno de los fondos, convenio y contratos asignados para liquidar y proponer un plan de trabajo.
2.	Desarrollar las actividades establecidas en el plan de trabajo a gestionar con ocasión de la liquidación de los fondos en administración. 
3.	Efectuar mesas de trabajo con los constituyentes y establecer las acciones a adelantar para la liquidación de los fondos, convenios y contratos a cargo de la Vicepresidencia de Fondos en Administración
4.	Realizar la validación de la información contable y de cartera de los fondos en administración asignados, para cada cierre mensual y efectuar la gestión con las áreas respectivas para mantener conciliados los fondos.
5.	Proyectar los actos administrativos y las actas de liquidación o cierre relacionados con el proceso de liquidación de los fondos administrados por la Vicepresidencia de Fondos en Administración.
6.	Proyectar las respuestas de peticiones internas y externas, que le sean requeridos en el término legal establecido y que guarden relación con el objeto del contrato.
7.	Actualizar los expedientes de los fondos en los repositorios de información de la Vicepresidencia de Fondos en Administración y los demás sistemas que lo requieran y hacer correcto uso de las mismas.
8.	Garantizar la confidencialidad, reserva y privacidad de la información que por razón de sus actividades deba manejar en desarrollo del contrato.
9.	Asistir y/o participar en los comités,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</si>
  <si>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20243030004000-I Id: 4366870</t>
  </si>
  <si>
    <t>2024-0739</t>
  </si>
  <si>
    <t>CD-741-2024</t>
  </si>
  <si>
    <t>830011184-5</t>
  </si>
  <si>
    <t>FUNDACIÓN ESCUELA COLOMBIANA DE REHABILITACIÓN,</t>
  </si>
  <si>
    <t>HENRY MAURICIO DIEZ SILVA</t>
  </si>
  <si>
    <t>EL OBJETO DEL PRESENTE DOCUMENTO ES PRORROGAR EL PLAZO ESTABLECIDO EN LA CLÁUSULA QUINTA Y MODIFICAR EL ANEXO B – FÓRMULA APORTE IES DEL ACUERDO ESTRATÉGICO NO. 2024-0739.</t>
  </si>
  <si>
    <t>13.108</t>
  </si>
  <si>
    <t>2024-0740</t>
  </si>
  <si>
    <t>IS-721-2024</t>
  </si>
  <si>
    <t>860524654 -6</t>
  </si>
  <si>
    <t>ASEGURADORA SOLIDARIA DE COLOMBIA ENTIDAD COOPERATIVA</t>
  </si>
  <si>
    <t>GILBERTO OSORIO ROJAS</t>
  </si>
  <si>
    <t>CONTRATAR LA ADQUISICIÓN DE PÓLIZAS DE SEGURO OBLIGATORIO DE ACCIDENTES DE TRÁNSITO (SOAT) PARA EL PARQUE AUTOMOTOR DE ICETEX</t>
  </si>
  <si>
    <t>CDEF-780-2024</t>
  </si>
  <si>
    <t>SEGUROS GENERALES</t>
  </si>
  <si>
    <t xml:space="preserve">	IG 311002004009011</t>
  </si>
  <si>
    <t>10.16</t>
  </si>
  <si>
    <t>2024-0741</t>
  </si>
  <si>
    <t>CD-742-2024</t>
  </si>
  <si>
    <t>ESPERANZA ARDILA MORALES</t>
  </si>
  <si>
    <t>PRESTAR SUS SERVICIOS DE APOYO TÉCNICO EN LA GESTIÓN DE SEGUIMIENTO DE LOS PROCESOS Y PROCEDIMIENTOS A CARGO DE LA VICEPRESIDENCIA DE FONDOS EN ADMINISTRACIÓN</t>
  </si>
  <si>
    <t>CDEF-423-2024</t>
  </si>
  <si>
    <t xml:space="preserve">1.	Apoyar los asuntos relacionados con los seguimientos que se realizan a las actividades de los Fondos en Administración.
2.	Realizar el seguimiento y validar el cumplimiento de los compromisos que se adquieran en las mesas de seguimiento llevadas a cabo por el equipo de calidad.
3.	Brindar el apoyo al equipo de calidad en las gestiones que se lleven a cabo en las mesas de seguimiento, trabajo, y demás en las que participe el equipo.
4.	Apoyar el suministro y consecución de los insumos necesarios para atender los requerimientos de los entes de control y las auditorías internas y externas que se realicen.
5.	Actualizar los expedientes de gestión documental y demás documentos del equipo de calidad  y demás tramites demás trámites relacionados a cargo de la Vicepresidencia de Fondos en Administración.
6.	Suministrar el insumo para la elaboración de informes que le sean requeridos y guarden relación con el objeto contractual.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</si>
  <si>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0243030004096-I Id: 4427456</t>
  </si>
  <si>
    <t>2024-0742</t>
  </si>
  <si>
    <t>CD-743-2024</t>
  </si>
  <si>
    <t>14 ALIANZA ESTRATEGICA</t>
  </si>
  <si>
    <t>800074830-6
860521808-1</t>
  </si>
  <si>
    <t>ASOCIACIÓN DE INSTITUCIONES DE EDUCACIÓN SUPERIOR DEL CARIBE - ASIESCA
ORGANIZACIÓN NACIONAL INDIGENA DE COLOMBIA - ONIC</t>
  </si>
  <si>
    <t>ANDRES EDUARDO VASQUEZ PLAZAS
ORLANDO RAYO ACOSTA</t>
  </si>
  <si>
    <t>79517500
15878465</t>
  </si>
  <si>
    <t>ACUERDO ESTRATÉGICO PARA PROMOVER Y GARANTIZAR EL ACCESO Y PERMANENCIA A LOS PROGRAMAS DE EDUCACIÓN SUPERIOR DE PREGRADO, A ESTUDIANTES PERTENECIENTES A LAS COMUNIDADES INDÍGENAS DE COLOMBIA, EN CONDICIONES DE RECONOCIMIENTO Y RESPETO DE SUS LÓGICAS, FORMAS DE VIDA, VALORES Y SABRES, A TRAVÉS DE UN MODELO DE COFINANCIACIÓN.</t>
  </si>
  <si>
    <t>2024-0743</t>
  </si>
  <si>
    <t>CD-744-2024</t>
  </si>
  <si>
    <t>890208727-1</t>
  </si>
  <si>
    <t>UNIDADES TECNOLOGICAS DE SANTANDER</t>
  </si>
  <si>
    <t>OMAR LENGERKE PEREZ</t>
  </si>
  <si>
    <t>EL OBJETO DEL PRESENTE DOCUMENTO ES PRORROGAR EL PLAZO ESTABLECIDO EN LA CLÁUSULA QUINTA Y MODIFICAR EL ANEXO A - PORCENTAJE FIJO APORTE IES DEL ACUERDO ESTRATÉGICO No 2024-0743</t>
  </si>
  <si>
    <t>10.41</t>
  </si>
  <si>
    <t>2024-0744</t>
  </si>
  <si>
    <t>CD-745-2024</t>
  </si>
  <si>
    <t xml:space="preserve">CLAUDIA JOHANA CEBALLOS CRIOLLO </t>
  </si>
  <si>
    <t>CDEF-428-2024</t>
  </si>
  <si>
    <t xml:space="preserve">Proyectar las propuestas y demás documentos que permitan acceder a recursos externos para fomentar el acceso y permanencia a educación superior conforme los lineamientos definidos por la entidad.
2. Acompañar las mesas de trabajo que se adelanten con los potenciales aliados y efectuar recomendaciones frente a las condiciones de los nuevos fondos, convenios y contratos que fomenten la educación superior.
3. Proyectar los Reglamentos Operativos derivados de la constitución de nuevos fondos, contratos o convenios suscritos la Vicepresidencia de Fondos en Administración.
4. Entregar y socializar a los colaboradores de la Vicepresidencia de Fondos los documentos que contengan las condiciones técnicas, administrativas, jurídicas y demás requeridos para la ejecución de los fondos, convenios y contratos que suscriba la Vicepresidencia.
5. Registrar la información relacionada con los nuevos convenios o contratos que suscriba la Vicepresidencia de Fondos en Administración, en las herramientas internas de la entidad que le sean indicadas.
6. Crear los expedientes de los fondos en los repositorios de información de la Vicepresidencia de Fondos en Administración y los demás sistemas que lo requieran y hacer correcto uso de las mismas.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</si>
  <si>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 xml:space="preserve">
ESTHER ADRIANA ROMERO ESCUDERO
</t>
  </si>
  <si>
    <t xml:space="preserve">Prestar sus servicios profesionales apoyando la estructuración de propuestas y proyectos de financiación orientados a fomentar el acceso y permanencia educativa conforme las políticas y procedimientos del ICETEX.”.
</t>
  </si>
  <si>
    <t>20243030004206-I Id: 4429345</t>
  </si>
  <si>
    <t>13.138</t>
  </si>
  <si>
    <t>2024-0745</t>
  </si>
  <si>
    <t>CD-747-2024</t>
  </si>
  <si>
    <t>CEDEÑO AVILES ANA MILENA,</t>
  </si>
  <si>
    <t>PRESTAR LOS SERVICIOS PROFESIONALES ESPECIALIZADOS PARA APOYAR JURÍDICAMENTE EN EL DESARROLLO DE LAS ACTIVIDADES PROPIAS DE LA GESTIÓN DEL GRUPO DE RECURSOS FÍSICOS Y EJECUCIÓN TÉCNICA DEL PROYECTO DE INVERSIÓN DENOMINADO “MEJORAMIENTO DE SEDES</t>
  </si>
  <si>
    <t>CDEF-786-2024</t>
  </si>
  <si>
    <t>ADECUACION E INTERVENTORIA
PUNTOS DE ATENCION</t>
  </si>
  <si>
    <t xml:space="preserve">1.	Adelantar el proceso necesario ante el Grupo de Contratación para la gestión de las liquidaciones de contratos y convenios que se requieran. 
2.	Adelantar y gestionar con las áreas encargadas los procesos de contratación que se requieran para el Grupo de Recursos Físicos del ICETEX. 
3.	Apoyar jurídicamente a los técnicos del Grupo de Recursos Físicos en la elaboración de los requerimientos de contratación necesarios para el adecuado funcionamiento del Grupo. 
4.	Realizar seguimiento en la plataforma de SECOP II de los informes o procesos que adelanta el área de recursos físicos. 
5.	Proyectar respuestas de derechos de petición, quejas reclamos, consultas y demás solicitudes que deba atender solicitudes de los organismos de control, entidades públicas y demás organizaciones o personas naturales o jurídicas que así lo requieran. 
6.	Asesorar Jurídicamente al Grupo de recursos físicos y a la secretaria general cuando así le sea requerido. 
7.	Apoyar a la Coordinación del Grupo de Administración de Recursos Físicos, desde el ámbito jurídico y contractual, respecto de la Supervisión de contratos que le sean asignados al área.
8.	Realizar las evaluaciones jurídicas de los procesos del grupo de recursos físicos que le sean asignadas. 
9.	Proyectar, analizar y consolidar la información necesaria para la elaboración de informes relacionados con la ejecución de planes, programas, proyectos y actividades propias de los procesos del Grupo de Administración de Recursos Físicos. 
10.	Apoyar en la elaboración y/o revisión de las actas de terminación y liquidación de los contratos que tiene a cargo el Grupo de Administración de Recursos Físicos, cuando a ello hubiera lugar. 
11.	Cumplir con los indicadores de gestión establecidos para el Grupo de Recursos físicos. 
12.	Llevar un control desde el punto de vista legal de la ejecución de los contratos a cargo del Grupo de Recursos Físicos. 
13.	Adelantar el cargue en la herramienta documental de la entidad, todos los documentos e insumos que se generen en su contrato y en todos aquellos en los que apoye a la supervisión. 
14.	Las demás obligaciones que sean acordes con el objeto contractual asignado por quien ejerza la función de la Supervisión del Contrato. 
</t>
  </si>
  <si>
    <t>12.67</t>
  </si>
  <si>
    <t>2024-0746</t>
  </si>
  <si>
    <t>CD-748-2024</t>
  </si>
  <si>
    <t>800.144.467-6</t>
  </si>
  <si>
    <t>FIDUCIARIA SCOTIABANK COLPATRIA S.A</t>
  </si>
  <si>
    <t>PAOLA SOFIA HERNÁNDEZ ANAYA</t>
  </si>
  <si>
    <t>PRESTAR LOS SERVICIOS COMO REPRESENTANTE LEGAL DE TENEDORES, PARA DEFINIR LAS RELACIONES ENTRE EL EMISOR Y EL REPRESENTANTE LEGAL DE LOS TENEDORES DE BONOS, ASÍ COMO ESTABLECER LAS OBLIGACIONES DE ÉSTE ÚLTIMO, CON RELACIÓN A LOS TENEDORES DE BONOS, EN EL MARCO DE LA EMISIÓN Y COLOCACIÓN DE BONOS DEL INSTITUTO COLOMBIANO DE CRÉDITO EDUCATIVO Y ESTUDIOS TÉCNICOS EN EL EXTERIOR "MARIANO OSPINA PÉREZ"- ICETEX EMITIDOS DURANTE LA VIGENCIA 2021, LO ANTERIOR, CON EL FIN DE DAR CUMPLIMIENTO A LO PREVISTO EN LOS ARTÍCULOS 6.4.1.1.5 Y SIGUIENTES DEL DECRETO 2555 DE 2010, EL PROSPECTO DE INFORMACIÓN, EL REGLAMENTO DE LA EMISIÓN PUBLICADOS EN EL MARCO DE LA EMISIÓN DE BONOS ORDINARIOS SOCIALES 2021 Y EN LAS DEMÁS NORMAS QUE RESULTEN APLICABLES</t>
  </si>
  <si>
    <t>CDEF-2024-799
CCVF-2024-003</t>
  </si>
  <si>
    <t xml:space="preserve"> ESTRUCTURACIÓN NUEVO ENDEUDAMIENTO</t>
  </si>
  <si>
    <t>12.68</t>
  </si>
  <si>
    <t>2024-0747</t>
  </si>
  <si>
    <t>CD-749-2024</t>
  </si>
  <si>
    <t>CDEF-2024-798
CCVF-2024-004</t>
  </si>
  <si>
    <t>4.89</t>
  </si>
  <si>
    <t>2024-0748</t>
  </si>
  <si>
    <t>CD-750-2024</t>
  </si>
  <si>
    <t xml:space="preserve">LINA MARIA AMAYA HENAO </t>
  </si>
  <si>
    <t>PRESTAR SERVICIOS PROFESIONALES PARA BRINDAR SOPORTE TÉCNICO, ASESORAMIENTO METODOLÓGICO Y APOYO LOGÍSTICO ORIENTADOS A LA EDUCACIÓN FINANCIERA EN EL MARCO DEL DESARROLLO DEL PLAN ESTRATÉGICO DE LA ENTIDAD Y LA "POLÍTICA DE GUÍA, INFORMACIÓN Y ACOMPAÑAMIENTO".</t>
  </si>
  <si>
    <t>CDEF-2024-447</t>
  </si>
  <si>
    <t>IG 332911001</t>
  </si>
  <si>
    <t>11.24</t>
  </si>
  <si>
    <t>2024-0749</t>
  </si>
  <si>
    <t>800058607-</t>
  </si>
  <si>
    <t>CONTROLES EMPRESARIALES SAS</t>
  </si>
  <si>
    <t>ADRIANA MARQUEZ PARDO</t>
  </si>
  <si>
    <t>SUSCRIPCION DE MICROSOFT AZURE PARA DAR CONTINUIDAD DE LOS SERVICIOS AUTOGESTIONADOS QUE TIENE EL ICETEX DESPLEGADOS EN AZURE</t>
  </si>
  <si>
    <t>IG 311002004005003</t>
  </si>
  <si>
    <t>20243030004253-I Id: 4430247</t>
  </si>
  <si>
    <t>4.75</t>
  </si>
  <si>
    <t>2024-0750</t>
  </si>
  <si>
    <t>CD-751-2024</t>
  </si>
  <si>
    <t xml:space="preserve">GUSTAVO ADOLFO RAVE ROJAS </t>
  </si>
  <si>
    <t>PRESTAR SERVICIOS PROFESIONALES ESPECIALIZADOS DE ASESORÍA Y ACOMPAÑAMIENTO TÉCNICO A LA "UNIDAD DE ENTENDIMIENTO Y DISEÑO DE EXPERIENCIAS" EN EL CONTEXTO DEL DESARROLLO DEL PLAN ESTRATÉGICO DE LA ENTIDAD Y LA "POLÍTICA DE GUÍA, INFORMACIÓN Y ACOMPAÑAMIENTO</t>
  </si>
  <si>
    <t>CDEF-2024-790</t>
  </si>
  <si>
    <t xml:space="preserve">
1.	Generar el plan de trabajo de la “Unidad de Entendimiento y Diseño de Experiencias” de Comunidad ICETEX y realizarle el seguimiento correspondiente de acuerdo con los lineamientos de la entidad.  
2.	Asesorar y realizar acompañamiento a la “Unidad de Entendimiento y Diseño de Experiencias” en el desarrollo de las actividades asignadas para el logro de los objetivos de Comunidad ICETEX.  
3.	Realizar acompañamiento en los procesos de recolección, captura, procesamiento, análisis, divulgación y gestión de datos e información que aseguren que el proyecto Comunidad ICETEX logre de sus objetivos. 
4.	Realizar acompañamiento los procesos de formulación de experiencias que aporten al logro de los objetivos de Comunidad ICETEX y su entrega a la “Unidad de Operación” para su puesta en marcha.
5.	Asesorar y realizar acompañamiento a los procesos de creación y operación de los mecanismos de participación de los beneficiarios del ICETEX en los procesos de la “Unidad de Entendimiento y Diseño de Experiencias” de Comunidad ICETEX.
6.	Asesorar y realizar acompañamiento a la estandarización de los procesos de la “Unidad de Entendimiento y Diseño de Experiencias” de Comunidad ICETEX.   .  
7.	Reportar los logros, avances y cualquier otra información, que sea requerida de la “Unidad de Entendimiento y Diseño de Experiencias” de Comunidad ICETEX ante la coordinación del proyecto, áreas internas del ICETEX, entidades de control y ciudadanía.  
8.	Apoyar y ejecutar desde el punto de vista técnico, las actividades propias de los procedimientos precontractuales, contractuales y pos contractuales, requeridos en el marco de las contrataciones de bienes y servicios o convenios, alianzas y/o acuerdos estratégicos que se desarrollen en relación al logro de los objetivos de la “Unidad de Entendimiento y Diseño de Experiencias” de Comunidad ICETEX, y aquellas que sean asignados por la supervisión del contrato. 
9.	Asistir a reuniones y/o comités de conformidad con las necesidades de la entidad y la designación del supervisor del contrato.  
10.	Apoyar la supervisión de los contratos que le sean asignados, desde el punto de vista técnico y/o administrativo y/o financiero y/o contable, de conformidad con lo establecido en el Manual de Contratación de la Entidad.  
11.	Informe mensual de actividades y cumplimiento de los indicadores de gestión establecidos.
12.	Las demás obligaciones que se requieran para el cumplimiento a cabalidad del objeto contractual y que sean inherentes a la naturaleza del contrato. . 
</t>
  </si>
  <si>
    <t>10.80</t>
  </si>
  <si>
    <t>2024-0751</t>
  </si>
  <si>
    <t>CD-752-2024</t>
  </si>
  <si>
    <t>LUCIA OBANDO VEGA</t>
  </si>
  <si>
    <t>"PRESTAR SUS SERVICIOS PROFESIONALES ESPECIALIZADOS BRINDANDO ACOMPAÑAMIENTO INTEGRAL EN LA GESTIÓN, ADMINISTRACIÓN, SEGUIMIENTO Y CONTROL DE LOS CONVENIOS, CONTRATOS, FONDOS, ALIANZAS Y/O PROYECTOS A CARGO DE LA VICEPRESIDENCIA DE FONDOS EN ADMINISTRACIÓN CONFORME CON LOS PROCEDIMIENTOS ESTABLECIDOS POR EL ICETEX
"</t>
  </si>
  <si>
    <t>CDEF-2024-797</t>
  </si>
  <si>
    <t xml:space="preserve"> 1. Realizar acompañamiento de manera integral el seguimiento y control de los fondos administrados por la Vicepresidencia de Fondos en Administración. 
2. Asesorar, acompañar y efectuar recomendaciones en los Comités o Juntas Administradoras donde sea solicitada su participación.    
3. Efectuar seguimiento a los compromisos derivados de los Comités o Juntas Administradoras de los fondos administrados por la Vicepresidencia de Fondos en Administración. 
4. Realizar acompañamiento en las auditorías internas y externas que se realicen a la Vicepresidencia de Fondos desde el punto de vista técnico. 
5. Revisar las proyecciones financieras que sean solicitadas por los constituyentes y que se deban presentar dentro de los informes de gestión. 
6. Realizar seguimiento a los movimientos financieros mensuales de los fondos administrados por la Vicepresidencia de Fondos en Administración para generar alertas tempranas que permitan una adecuada gestión de los recursos. 
7. Articular los insumos solicitados para atender acciones de tutela relacionadas con los fondos administrados por la Vicepresidencia de Fondos.  
8. Revisar las respuestas a los requerimientos de los entes de control, los constituyentes y usuarios que le sean asignadas.  
9. Garantizar la confidencialidad, reserva y privacidad de la información que por razón de sus actividades deba manejar en desarrollo del contrato.   
10. Asistir y/o participar en los comités, mesas de trabajo y demás reuniones relacionadas con el objeto contractual.  
11. Desplazarse a las diferentes ciudades del país, en caso de ser necesario para la debida ejecución del contrato, previa coordinación con el supervisor.    
12. Las demás asignadas por el supervisor y que tengan relación con el objeto del presente contrato
</t>
  </si>
  <si>
    <t>20243030004775-I Id: 4455370</t>
  </si>
  <si>
    <t>6.16</t>
  </si>
  <si>
    <t>2024-0752</t>
  </si>
  <si>
    <t>CD-755-2024</t>
  </si>
  <si>
    <t>LEIDY LORENA ABRIL GÓMEZ</t>
  </si>
  <si>
    <t>PRESTAR LOS SERVICIOS PROFESIONALES PARA APOYAR Y DESARROLLAR LAS ACTIVIDADES INHERENTES A LOS PROGRAMAS PARA COLOMBIANOS DEL PORTAFOLIO INTERNACIONAL QUE CONTRIBUYAN AL FORTALECIMIENTO DE LA POLÍTICA DE COOPERACIÓN ACADÉMICA INTERNACIONAL E INTERINSTITUCIONAL DEL ICETEX.</t>
  </si>
  <si>
    <t>CDEF-2024-374</t>
  </si>
  <si>
    <t xml:space="preserve">
1. Apoyar los procesos internos y estratégicos en el desarrollo de las convocatorias de los programas de Créditos Condonables Jóvenes Talentos, Mariano Ospina Pérez y de los cupos residenciales en el Colegio Mayor Miguel Antonio Caro. 
2. Apoyar el proceso de acompañamiento y atención a beneficiarios vigentes de los programas de Crédito condonable Jóvenes Talentos, Mariano Ospina Pérez y del Colegio Mayor Miguel Antonio Caro.
3. Apoyar la consolidación de una base de datos actualizada y detallada del histórico de beneficiarios de los programas Jóvenes Talentos, Mariano Ospina Pérez y del Colegio Mayor Miguel Antonio Caro.
 4. Apoyar los trámites requeridos para gestionar los desembolsos de los créditos condonables de los beneficiarios del Programa Jóvenes Talentos y Mariano Ospina Pérez y realizar seguimiento de las condiciones y parametrización de los sistemas de información provistos por el ICETEX, garantizando el apropiado inicio y desarrollo de proceso.
 5. Realizar acompañamiento y apoyo en las sesiones de socialización de los programas Jóvenes Talentos, Mariano Ospina Pérez y los cupos residenciales del Colegio Mayor Miguel Antonio Caro. 
6. Asistir y documentar las reuniones y comités relacionados con la implementación de los programas Jóvenes Talentos, Mariano Ospina Pérez y los cupos residenciales del Colegio Mayor Miguel Antonio Caro.
 7. Elaborar y tramitar los documentos necesarios conforme al proceso de comisiones establecido por el ICETEX, cuando se requiera su desplazamiento a nivel nacional o internacional en consonancia con las funciones de la ORI y del ICETEX.
 8. Proyectar para revisión, respuesta a derechos de petición y solicitudes asignados y suministrar los insumos requeridos para trámite de tutelas cuando le sea requerido.
 9. Las demás asignadas por el supervisor y que tengan relación con el objeto del presente contrato
</t>
  </si>
  <si>
    <t>20243030004615-I Id: 4453890</t>
  </si>
  <si>
    <t>7.9</t>
  </si>
  <si>
    <t>2024-0753</t>
  </si>
  <si>
    <t>CD-756-2024</t>
  </si>
  <si>
    <t>CATALINA AGUILLÓN BUITRATO</t>
  </si>
  <si>
    <t>PRESTAR LOS SERVICIOS PROFESIONALES PARA APOYAR LA GESTIÓN DEL RIESGO DE LAVADO DE ACTIVOS Y FINANCIACIÓN DEL TERRORISMO PARA EL DESARROLLO DE HERRAMIENTAS TECNOLÓGICAS QUE FACILITEN LA OPTIMIZACIÓN DE LOS PROCESOS DE LAFT A LA VEZ QUE APOYE LOS PROCESOS ADMINISTRATIVOS ASIGNADOS AL OFICIAL DE CUMPLIMIENTO DE LA ENTIDAD.</t>
  </si>
  <si>
    <t>CDEF-2024-781</t>
  </si>
  <si>
    <t>HONORARIOS – ODR</t>
  </si>
  <si>
    <t xml:space="preserve">1.	Ajustar los procesos inherentes a la administración del Lavado de activos y financiación del terrorismo - LA/FT y en línea con la normatividad establecida para el proceso. 
2.	Realizar las consultas en listas de control solicitadas por las diferentes áreas de la entidad. 
3.	Apoyar en la realización de los análisis de operaciones inusuales y/o sospechosas identificadas.
4.	Generar las estadísticas para la elaboración de diferentes comités en los cuales participa el Oficial de Cumplimiento y contribuir en la elaboración de los informes de gestión a ser presentados a la Junta Directiva. y Comités de apoyo de la entidad. 
5.	Elaborar y transmitir los reportes de operaciones sospechosas ROS y reportes objetivos a la Unidad de Información y Análisis Financiero - UIAF en los tiempos establecidos por el ente de control. 
6.	Proyectar las comunicaciones aplicables a la gestión del SARLAFT en la medida en que se requieran. 
7.	Acompañar y asistir las auditorías internas, externas y/o de autoridades competentes relacionadas con los procesos del SARLAFT 
8.	Guiar y orientar técnicamente a los líderes de riesgo de cada área que conforman la entidad en la identificación, medición, control y monitoreo de los riesgos LA/FT. 
9.	Desarrollar con el Oficial de Cumplimiento los programas de sensibilización y capacitación dirigida a los funcionarios de la Entidad y apoyar su aplicación, evaluación y seguimiento.
</t>
  </si>
  <si>
    <t>20242500004925-I Id: 4457183</t>
  </si>
  <si>
    <t>11.174</t>
  </si>
  <si>
    <t>2024-0754</t>
  </si>
  <si>
    <t>CD-757-2024</t>
  </si>
  <si>
    <t>DARIO FERNANDO CASTRO QUEVEDO</t>
  </si>
  <si>
    <t>CDEF-2024-743</t>
  </si>
  <si>
    <t>2024-0755</t>
  </si>
  <si>
    <t>CD-758-2024</t>
  </si>
  <si>
    <t>811007729-4</t>
  </si>
  <si>
    <t>IRIS CF - COMPAÑIA DE FINANCIAMIENTO S.A</t>
  </si>
  <si>
    <t>EL PRESENTE CONTRATO TIENE POR OBJETO OTORGAR UN PRÉSTAMO A EL ICETEX POR PARTE DE EL PRESTAMISTA EQUIVALENTE A LOS SALDOS DE LAS CUENTAS CORRIENTES Y/O DE AHORRO DE SUS CLIENTES QUE HAYAN PERMANECIDO INACTIVAS POR UN PERÍODO MAYOR A UN AÑO Y NO SUPEREN EL VALOR EQUIVALENTE A 322 UVR.</t>
  </si>
  <si>
    <t>NO APLICA</t>
  </si>
  <si>
    <t>10.62</t>
  </si>
  <si>
    <t>2024-0756</t>
  </si>
  <si>
    <t>CD-759-2024</t>
  </si>
  <si>
    <t>DORIS OMAIRA CLAVIJO CLAVIJO</t>
  </si>
  <si>
    <t>CDEF-2024-462</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</si>
  <si>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estos.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 este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en los expedientes de los fondos y en las carpetas compartidas de la Vicepresidencia de Fondos en Administración la información que surja en el desarrollo del objeto contractual y hacer correcto uso de estas.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</si>
  <si>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20243030005028-I Id: 4458431</t>
  </si>
  <si>
    <t>13.142</t>
  </si>
  <si>
    <t>2024-0757</t>
  </si>
  <si>
    <t>CD-760-2024</t>
  </si>
  <si>
    <t>ALBA ILEANA TORRES CRUZ</t>
  </si>
  <si>
    <t>PRESTACIÓN DE SERVICIOS DE APOYO A LA GESTIÓN DOCUMENTAL PARA LA ACTUALIZACIÓN Y MANTENIMIENTO DEL SISTEMA DE GESTIÓN DOCUMENTAL Y LOS EXPEDIENTES DEL GRUPO DE RECURSOS FÍSICOS</t>
  </si>
  <si>
    <t>CDEF- 802-2024</t>
  </si>
  <si>
    <t>ADECUACIÓN E INTERVENTORIA
PUNTOS DE ATE</t>
  </si>
  <si>
    <t xml:space="preserve">IG 332113022001 </t>
  </si>
  <si>
    <t>2 CONTRATACION DIRECTA</t>
  </si>
  <si>
    <t>Apoyar al Grupo de Recursos Físicos en la planificación, organización y ejecución de
procesos administrativos que le sean asignados.
2. Apoyar al Grupo de Recursos Físicos en la realización de trámites en relación con la
actualización y mantenimiento del sistema de gestión documental y los expedientes del
grupo de recursos físicos.
3. Elaborar cuadros en EXCEL u otras herramientas a partir de recursos de ofimática, como
aporte para la ejecución y el control de tareas específicas que le sean encomendadas.
4. Clasificar, organizar, depurar, consultar, mantener y conservar documentos de archivo
manteniendo la confidencialidad de la información que le sea asignada y encomendada.
5. Prestar apoyo en la elaboración de documentos y demás requerimientos administrativos.
6. Cumplir con los indicadores de gestión establecidos para el Grupo de Recursos físicos.
7. Adelantar el cargue en la herramienta documental de la entidad, todos los documentos e
insumos que se generen en su contrato y en todos aquellos asignados por la supervisión.
8. Elaborar y/o efectuar la revisión de las actas de terminación y liquidación de los contratos
que tiene a cargo el Grupo de Administración de Recursos Físicos.
9. Asistir a las reuniones o actividades programadas por el supervisor del contrato y/o todas
aquellas programadas para la revisión de los procesos propios del Grupo de Administración
de Recursos Físicos con diferentes áreas de la Entidad.
10. Las demás obligaciones que sean acordes con el objeto contractual asignado por quien
ejerza la función de la Supervisión del Contrato</t>
  </si>
  <si>
    <t>20243030005093-I Id: 4459459</t>
  </si>
  <si>
    <t>13.66</t>
  </si>
  <si>
    <t>2024-0758</t>
  </si>
  <si>
    <t>CD-761-2024</t>
  </si>
  <si>
    <t>UNIVERSIDAD PONTIFICIA BOLIVARIANA</t>
  </si>
  <si>
    <t>CONTRATAR LOS SERVICIOS PROFESIONALES PARA DICTAR LAS ACCIONES FORMATIVAS PROPUESTAS EN EL PLAN INSTITUCIONAL DE CAPACITACIÓN PARA LA VIGENCIA 2024 DIRIGIDA A LOS FUNCIONARIOS DEL ICETEX</t>
  </si>
  <si>
    <t>CDEF-582-2024</t>
  </si>
  <si>
    <t>SERVICIOS PARA
CAPACITACION</t>
  </si>
  <si>
    <t xml:space="preserve">IG311002004020005 </t>
  </si>
  <si>
    <t>20243030005122-I Id: 4459740</t>
  </si>
  <si>
    <t>13.152</t>
  </si>
  <si>
    <t>2024-0759</t>
  </si>
  <si>
    <t xml:space="preserve"> IS-732-2024</t>
  </si>
  <si>
    <t>900719304-6</t>
  </si>
  <si>
    <t>C.I MORASU S.A.S</t>
  </si>
  <si>
    <t>ROSA HERMINDA MONROY MENDIETA</t>
  </si>
  <si>
    <t>SUMINISTRO DE DOTACIÓN PARA LOS FUNCIONARIOS DEL ICETEX PARA LA VIGENCIA 2024.</t>
  </si>
  <si>
    <t>CDEF-749-2024</t>
  </si>
  <si>
    <t>DOTACIONES</t>
  </si>
  <si>
    <t>IG311002004004002</t>
  </si>
  <si>
    <t>1.22</t>
  </si>
  <si>
    <t>2024-0760</t>
  </si>
  <si>
    <t>IS-739-2024</t>
  </si>
  <si>
    <t xml:space="preserve">MYMCOL </t>
  </si>
  <si>
    <t>JAIRO MILLER ZARATE ZARATE</t>
  </si>
  <si>
    <t>PRESTAR EL SERVICIO PERMANENTE DE MONITOREO, CLASIFICACIÓN, ANÁLISIS Y SEGUIMIENTO DE LAS NOTICIAS Y MENCIONES DEL ICETEX QUE SE PUBLICAN EN LOS MEDIOS DE COMUNICACIÓN A NIVEL NACIONAL Y REGIONAL (ESCRITOS, DIGITALES, TELEVISIVOS Y RADIALES), ASÍ COMO EN REDES SOCIALES.</t>
  </si>
  <si>
    <t>CDEF-779-2024</t>
  </si>
  <si>
    <t>PLAN DE DIFUCION DE SERVICIOS DEL ICETEX</t>
  </si>
  <si>
    <t>IG311002004007070</t>
  </si>
  <si>
    <t>2024-0761</t>
  </si>
  <si>
    <t>CD-762-2024</t>
  </si>
  <si>
    <t>NATHALIE MICHEL PIMIENTA RICCIULLI</t>
  </si>
  <si>
    <t>"PRESTAR LOS SERVICIOS PROFESIONALES ESPECIALIZADOS EN LA ARTICULACIÓN CON DIFERENTES ACTORES Y ACOMPAÑAMIENTO DE LAS ACTIVIDADES QUE REALIZA EL PRESIDENTE DE LA ENTIDAD, ASÍ COMO LA REVISIÓN DE LOS DOCUMENTOS.</t>
  </si>
  <si>
    <t>CDEF-78-2024</t>
  </si>
  <si>
    <t xml:space="preserve">IG 312001020200012 </t>
  </si>
  <si>
    <t xml:space="preserve">1.	Realizar seguimiento y control de la ejecución y avance de la implementación de planes, programas, estrategias y herramientas que faciliten el cumplimiento del objeto misional del ICETEX, de conformidad con las directrices impartidas por la presidencia. 
2.	Elaborar y preparar informes que sean requeridos por la Presidencia del ICETEX, para adelantar actividad, reunión u encuentro externo. 
3.	Revisar jurídicamente todas las actas, comisiones, peticiones y demás documentos que sean firmados por el presidente o requieran su aval.
4.	Elaborar las bases de datos o matriz para el control y seguimiento de los compromisos que sean asignados a Presidencia, con el fin de poder implementar los objetivos institucionales de ICETEX. 
5.	Apoyar en la en la preparación de los temas a presentar al comité de Presidencia, así como participar de los mismos que le sean delegados por el supervisor y hacer seguimiento de los compromisos
6.	Proyectar, los documentos que se relacionen con las actividades que le sean encomendadas por el supervisor del contrato, en el marco del objeto contractual.
7.	Realizar aportes a las diferentes respuestas a los requerimientos internos y externos, así como a derechos de petición, consultas y demás solicitudes relacionadas con la Presidencia. 
8.	Acompañar los comités, mesas de trabajo y reuniones de coordinación, seguimiento o información que se programen en el marco de las actividades del presidente de la entidad, efectuando los reportes e informes pertinentes que le sean solicitados. 
9.	Realizar los viajes nacionales e internacionales autorizados por el supervisor en cumplimiento del contrato, cuando las necesidades del servicio lo requieran.
10.	Las demás obligaciones que sean acordes con el objeto contractual asignado por quien ejerza la función de la Supervisión del Contrato y/o el Presidente de la Entidad.
</t>
  </si>
  <si>
    <t>20243030005154-I Id: 4460118</t>
  </si>
  <si>
    <t>13.11</t>
  </si>
  <si>
    <t>2024-0762</t>
  </si>
  <si>
    <t>CD-764-2024</t>
  </si>
  <si>
    <t>ARCY JOHANA BARRERA FINO</t>
  </si>
  <si>
    <t>PRESTAR SERVICIOS PROFESIONALES A LA SECRETARÍA GENERAL EL ICETEX EN EL DESARROLLO DE LA GESTIÓN ADMINISTRATIVA RELACIONADOS CON LOS ASUNTOS DE CARÁCTER JURÍDICO Y CONTRACTUAL DE CONFORMIDAD CON LOS LINEAMIENTOS INTERNOS Y LA NORMATIVIDAD VIGENTE</t>
  </si>
  <si>
    <t>CDEF-618-2024</t>
  </si>
  <si>
    <t>3 CONTRATACION DIRECTA</t>
  </si>
  <si>
    <t xml:space="preserve">1.	Brindar acompañamiento jurídico y asesoría contractual a la Secretaría General, conforme a la normatividad vigente y las disposiciones internas. 
2.	Revisar la documentación allegada en materia de contratación, con base en las normas en materia de contratación aplicables a EL ICETEX. 
3.	Revisar las prórrogas, adiciones, cesiones y demás modificaciones contractuales que le sean sometidos a su consideración, proponiendo los ajustes jurídicos y/o contractuales que correspondan.
4.	Brindar acompañamiento en la proyección y/o revisión jurídica de los diferentes documentos que le sean puestos a su consideración. 
5.	Apoyar la revisión de los informes y respuestas a peticiones, solicitudes y/o requerimientos incoados por los diferentes entes de control, en especial, aquellos provenientes de la Contraloría General de la República, así como otras corporaciones, entidades privadas y ciudadanía en general.
6.	Asistir a los comités, reuniones, mesas de trabajo y/o auditoras internas o externas que solicite la Secretaría General en el marco de su objeto contractual.
7.	Desplazarse en caso de requerirse con el fin de dar cumplimiento al objeto contractual. 
8.	Las demás obligaciones que sean acordes con el objeto contractual asignado por quien ejerza la función de la Supervisión del Contrato.
</t>
  </si>
  <si>
    <t>MARIBEL ROBAYO LADINO</t>
  </si>
  <si>
    <t>20243030005234-I Id: 4518176</t>
  </si>
  <si>
    <t>13.141</t>
  </si>
  <si>
    <t>2024-0763</t>
  </si>
  <si>
    <t>CD-765-2024</t>
  </si>
  <si>
    <t>LUIS FELIPE ANDEOTTI ANDRADE</t>
  </si>
  <si>
    <t>PRESTACIÓN DE SERVICIOS DE APOYO A LA GESTIÓN PARA LA EJECUCIÓN DE ACTIVIDADES ASISTENCIALES Y OPERATIVAS EN LA ENTIDAD.</t>
  </si>
  <si>
    <t>CDEF-809-2024</t>
  </si>
  <si>
    <t>ADECUACIÓN E INTERVENTORIA
PUNTOS DE ATENCIÓN</t>
  </si>
  <si>
    <t>4 CONTRATACION DIRECTA</t>
  </si>
  <si>
    <t xml:space="preserve">1.	Apoyar al Grupo de Recursos Físicos en la organización y ejecución de procesos administrativos que le sean asignados teniendo en cuenta todas y cada una de las obligaciones asignadas al Grupo y encomendadas por el Supervisor. 
2.	Apoyar al Grupo de Recursos Físicos en las actividades propias de los sistemas de gestión del ICETEX. 
3.	Elaborar cuadros en EXCEL u otras herramientas a partir de recursos de ofimática, como aporte para la ejecución y el control de tareas específicas que le sean encomendadas. 
4.	Clasificar, organizar, depurar, documentos de archivo manteniendo la confidencialidad de la información que le sea asignada y encomendada. 
5.	Prestar apoyo en la elaboración de documentos y demás requerimientos administrativos. 
6.	Cumplir con los indicadores de gestión establecidos para el Grupo de Recursos físicos. 
7.	Adelantar el cargue en la herramienta documental de la entidad, todos los documentos e insumos que se generen en su contrato y en todos aquellos asignados por la supervisión.
8.	Prestar apoyo en la revisión de las actas de terminación y liquidación de los contratos que tiene a cargo el Grupo de Administración de Recursos Físicos. 9. Asistir a las reuniones o actividades programadas por el supervisor del contrato y/o todas aquellas programadas para la revisión de los procesos propios del Grupo de Administración de Recursos Físicos con diferentes áreas de la Entidad. 
9.	Las demás obligaciones que sean acordes con el objeto contractual asignado por quien ejerza la función de la Supervisión del Contrato.
</t>
  </si>
  <si>
    <t>20243030005260-I Id: 4518744</t>
  </si>
  <si>
    <t>4.158</t>
  </si>
  <si>
    <t>2024-0764</t>
  </si>
  <si>
    <t>CD-766-2024</t>
  </si>
  <si>
    <t>AURELIANO GONZALEZ PARRA</t>
  </si>
  <si>
    <t>CONTRATAR EL ARRENDAMIENTO DE UN INMUEBLE COMPLETAMENTE ADECUADO PARA EL PUNTO DE ATENCIÓN AL USUARIO DE ICETEX EN LA CIUDAD DE LETICIA.</t>
  </si>
  <si>
    <t>LETICIA</t>
  </si>
  <si>
    <t>CDEF-789-2024
VF-2023-042</t>
  </si>
  <si>
    <t>ARRENDAMIENTOS BIENES E INMUEBLES</t>
  </si>
  <si>
    <t>20243030005265-I Id: 4518828</t>
  </si>
  <si>
    <t>2024-0765</t>
  </si>
  <si>
    <t>CD-767-2024</t>
  </si>
  <si>
    <t>901668964-0</t>
  </si>
  <si>
    <t>ASOCIACIÓN DE INSTITUCIONES DE EDUCACIÓN SUPERIOR COLOMBIANAS DE ALTA CALIDAD PARA EL FOMENTO DE LA EDUCACIÓN INTERNACIONAL, COLOMBIA CHALLENGE YOUR KNOWLEDGE CCYK</t>
  </si>
  <si>
    <t>AUNAR ESFUERZOS CON LA ASOCIACIÓN DE INSTITUCIONES DE EDUCACIÓN SUPERIOR COLOMBIANAS DE ALTA CALIDAD PARA EL FOMENTO DE LA EDUCACIÓN INTERNACIONAL, COLOMBIA - CHALLENGE YOUR KNOWLEDGE, (CCYK) PARA PROMOVER A COLOMBIA COMO DESTINO ACADÉMICO DE CALIDAD A TRAVÉS DE LA PARTICIPACIÓN DEL ICETEX EN LAS CONFERENCIAS DE LA ASSOCIATION OF INTERNATIONAL EDUCATORS (NAFSA) Y LA EUROPEAN ASSOCIATION FOR INTERNATIONAL EDUCATION (EAIE) 2024.</t>
  </si>
  <si>
    <t>CDEF-522-2024</t>
  </si>
  <si>
    <t>RECIP EXTRANJ - MOVILIDAD INTERNACIONAL</t>
  </si>
  <si>
    <t>IG331620001001004</t>
  </si>
  <si>
    <t>2024-0766</t>
  </si>
  <si>
    <t>CD-768-2024</t>
  </si>
  <si>
    <t>18 EMPRÉSTITO</t>
  </si>
  <si>
    <t>901526741-6</t>
  </si>
  <si>
    <t>RAPPIPAY COMPAÑÍA DE FINANCIAMIENTO SA.,</t>
  </si>
  <si>
    <t>ISABEL
CRISTINA JIMENEZ JIMENEZ</t>
  </si>
  <si>
    <t>20243030005251-I Id: 4518553</t>
  </si>
  <si>
    <t>2024-0767</t>
  </si>
  <si>
    <t>CD-769-2024</t>
  </si>
  <si>
    <t>890805051-0</t>
  </si>
  <si>
    <t>UNIVERSIDAD AUTONOMA DE MANIZALES</t>
  </si>
  <si>
    <t>CARLOS EDUARDO JARAMILLO SANINT</t>
  </si>
  <si>
    <t>EL OBJETO DEL PRESENTE DOCUMENTO ES PRORROGAR EL
PLAZO ESTABLECIDO EN LA CLÁUSULA QUINTA Y MODIFICAR EL ANEXO B FÓRMULA APORTE IES DEL
ACUERDO ESTRATÉGICO NO. 2024-0767.</t>
  </si>
  <si>
    <t>2024-0768</t>
  </si>
  <si>
    <t>CD-770-2024</t>
  </si>
  <si>
    <t>860028971-9</t>
  </si>
  <si>
    <t>UNIVERSIDAD CATÓLICA DE COLOMBIA</t>
  </si>
  <si>
    <t>FRANCISCO JOSÉ GÓMEZ ORTIZ</t>
  </si>
  <si>
    <t>EL OBJETO DEL PRESENTE DOCUMENTO ES PRORROGAR EL PLAZO ESTABLECIDO EN LA CLÁUSULA QUINTA Y MODIFICAR EL "ANEXO A - PORCENTAJE FIJO APORTE IES" DEL ACUERDO ESTRATÉGICO No 2024-0768</t>
  </si>
  <si>
    <t>2024-0769</t>
  </si>
  <si>
    <t>CD-771-2024</t>
  </si>
  <si>
    <t>860056070-7</t>
  </si>
  <si>
    <t>UNIVERSIDAD ANTONIO NARIÑO</t>
  </si>
  <si>
    <t>MARY FALK LOSADA</t>
  </si>
  <si>
    <t>EL OBJETO DEL PRESENTE DOCUMENTO ES PRORROGAR EL PLAZO ESTABLECIDO EN LA CLÁUSULA QUINTA Y MODIFICAR LAS CLÁUSULAS TERCERA “VALOR” Y CUARTA “DESCUENTO Y APLICACIÓN DEL APORTE”, ASÍ COMO EL ANEXO DEL ACUERDO ESTRATÉGICO NO. 2024-0769.</t>
  </si>
  <si>
    <t>9.39</t>
  </si>
  <si>
    <t>2024-0770</t>
  </si>
  <si>
    <t>IS-753-2024</t>
  </si>
  <si>
    <t>802019162-8</t>
  </si>
  <si>
    <t>LUPA JURIDICA S.A.S</t>
  </si>
  <si>
    <t>YANETH DE LOS ANGELES DIAZ ROMERO</t>
  </si>
  <si>
    <t>PRESTAR LOS SERVICIOS ESPECIALIZADOS DE VIGILANCIA Y SEGUIMIENTO DE TODOS LOS PROCESOS JUDICIALES EN LOS QUE SEA PARTE EL ICETEX Y EN LOS CASOS QUE INDIQUE LA ENTIDAD REALIZAR REPRESENTACIÓN JUDICIAL O EXTRAJUDICIAL</t>
  </si>
  <si>
    <t xml:space="preserve">CDEF-604 -2024
CDEF-666-2024
</t>
  </si>
  <si>
    <t>GASTOS JUDICIALES</t>
  </si>
  <si>
    <t xml:space="preserve">IG 312001020600085 </t>
  </si>
  <si>
    <t>SUPERVISION COMPARTIDA CON JEFE DE JURIDICA ANA LUCY CASTRO</t>
  </si>
  <si>
    <t>11.165</t>
  </si>
  <si>
    <t>2024-0771</t>
  </si>
  <si>
    <t>CD-774-2024</t>
  </si>
  <si>
    <t>SERGIO ROBERTO GAMA ALBA</t>
  </si>
  <si>
    <t xml:space="preserve">
CDEF-546 -2024
</t>
  </si>
  <si>
    <t>Contribuir en el análisis y gestión de giros a beneficiarios, IES, terceros y demás aliados
estratégicos de los créditos otorgados o renovados con calidad y oportunidad.
2. Realizar el seguimiento a las novedades de giros para su trámite, a través de la generación
y preparación de informes que se requieran en el desarrollo de las actividades a su cargo.
3. Gestionar y/o responder a los requerimientos internos y externos de giros como; PQRS,
SIC, TUTELAS, defensor del consumidor financiero, entre otros.
4. Cumplir con los procesos y procedimientos adoptados por la Entidad en el Sistema de
gestión de Calidad.
Acudir a las reuniones citadas para la supervisión del contrato o que estén relacionadas con
el objeto de este.
6. Realizar las demás actividades que le sean asignadas por el supervisor designado para tal
fin.</t>
  </si>
  <si>
    <t>11.191</t>
  </si>
  <si>
    <t>2024-0772</t>
  </si>
  <si>
    <t>CD-775-2024</t>
  </si>
  <si>
    <t>UBELNY MILENA CALDERON DUARTE.</t>
  </si>
  <si>
    <t>PRESTACIÓN DE SERVICIOS PROFESIONALES ESPECIALIZADOS PARA EL SEGUIMIENTO ADMINISTRATIVO Y CONTRACTUAL A PROYECTOS DE LA VICEPRESIDENCIA DE OPERACIONES Y TECNOLOGÍA DEL ICETEX.</t>
  </si>
  <si>
    <t xml:space="preserve">
CDEF-818 -2024
</t>
  </si>
  <si>
    <t xml:space="preserve">1. Brindar apoyo en el proyecto Core Bancario de la Vicepresidencia de Operaciones y Tecnología para atender los requerimientos y solicitudes de la entidad.
2. Apoyar la gestión contractual con respecto a informes, supervisión de pagos al proveedor y demás procesos requeridos en el proyecto Core Bancario de la Vicepresidencia de Operaciones y Tecnología del ICETEX.
3. Apoyar en la logística de las actividades o reuniones que se organicen anticipando las necesidades o requerimientos de agendas, programas, invitaciones, convocatorias, equipo y demás según la necesidad.
4. Apoyar el seguimiento y control de la ejecución contractual, la gestión financiera y el
cumplimiento operativo de las actividades y obligaciones definidos para el proyecto Core Bancario de la Vicepresidencia de Operaciones y Tecnología del ICETEX.
5. Apoyar el seguimiento y control al cumplimiento de requerimientos, solicitudes y demás compromisos asociados al contrato del proyecto Core Bancario de la Vicepresidencia de Operaciones y Tecnología del ICETEX.
6. Procesar, consolidar y verificar la información de la ejecución contractual y presupuestal del proyecto Core Bancario de la Vicepresidencia de Operaciones y Tecnología en los formatos que disponga la entidad para su control.
7. Consolidar y mantener actualizado el repositorio documental del proyecto Core Bancario de la Vicepresidencia de Operaciones y Tecnología del ICETEX, en todas sus etapas.
8. Presentar y estructurar los informes, actas, reportes y demás documentación que se requiera, así como organizar y asistir a las mesas de trabajo que deriven del normal desarrollo del proyecto Core Bancario de la Vicepresidencia de Operaciones y Tecnología.
</t>
  </si>
  <si>
    <t>20243030005672-I Id: 4528209</t>
  </si>
  <si>
    <t>11.192</t>
  </si>
  <si>
    <t>2024-0773</t>
  </si>
  <si>
    <t>CD-777-2024</t>
  </si>
  <si>
    <t>DIANA MILENA BLANCO JAMES</t>
  </si>
  <si>
    <t>PRESTACIÓN DE SERVICIOS PROFESIONALES ESPECIALIZADOS PARA LA GESTIÓN CONTRACTUAL Y ADMINISTRATIVA DE LA VICEPRESIDENCIA DE OPERACIONES Y TECNOLOGÍA DEL ICETEX.</t>
  </si>
  <si>
    <t>CDEF-819-2024</t>
  </si>
  <si>
    <t>$44.800.000</t>
  </si>
  <si>
    <t>$5.000.000</t>
  </si>
  <si>
    <t>1. Procesar, consolidar y verificar la información de la ejecución contractual y presupuestal de la Vicepresidencia de Operaciones y Tecnología del ICETEX en los formatos y formas que disponga la entidad para su control. 2. Consolidar y mantener actualizado el repositorio de expedientes contractuales de la Vicepresidencia de Operaciones y Tecnología del ICETEX. 3. Apoyar y gestionar las actuaciones contractuales que requiera la Vicepresidencia de Operaciones y Tecnología del ICETEX para satisfacer el cubrimiento de las necesidades de prestación de servicios de la entidad. 4. Apoyar en la elaboración de estudios de mercado y análisis económicos requeridos que se requieran en los procesos contractuales de la Vicepresidencia de Operaciones y Tecnología del ICETEX. 5. Apoyar y gestionar los trámites necesarios para la correcta ejecución contractual de la prestación de servicios requeridos por la Vicepresidencia de Operaciones y Tecnología del ICETEX. 6. Realizar el control integral y publicación en la plataforma SECOP de los documentos contractuales de la Vicepresidencia de Operaciones y Tecnología del ICETEX. 7. Apoyar en los procesos de liquidación de contratos de la Vicepresidencia de Operaciones y Tecnología. 8. Presentar y estructurar los informes que se requieran, así como organizar y asistir a las mesas de trabajo que deriven del normal desarrollo del objeto del contrato.</t>
  </si>
  <si>
    <t>2024-0774</t>
  </si>
  <si>
    <t>CD-782-2024</t>
  </si>
  <si>
    <t>PRESTAR LOS SERVICIOS PROFESIONALES PARA APOYAR LAS ACTIVIDADES DE CONTROL Y AUTOCONTROL DE LOS PROCESOS Y PROCEDIMIENTOS ASOCIADOS A LA OFICINA COMERCIAL Y DE MERCADEO, COMO TAMBIÉN LA RESPUESTA A LOS REQUERIMIENTOS NORMATIVOS DE LOS ORGANISMOS DE CONTROL.</t>
  </si>
  <si>
    <t>CDEF-826-2024</t>
  </si>
  <si>
    <t>1. Cumplir con el plan de trabajo entregado por la supervisión en el cual se relacionen los objetivos
y metas a desarrollar durante la vigencia del contrato.2. Gestionar de manera oportuna los requerimientos gerenciales asociados a la planeación
estratégica, comités, juntas y demás políticas y demás requerimientos organizacionales y
normativos del ICETEX.
3. Apoyar el mejoramiento del sistema de gestión de calidad a través de la ingeniería de procesos
(rapidez, solución de problemas, prevención del riesgo, optimización de KPI´S y las demás
aplicables) que permita desarrollar la planificación, diseño y toma de decisiones para la mejora
continua y la correcta atención de los grupos de interés del ICETEX.
4. Atender de manera oportuna los requerimientos y solicitudes de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contrato._x000D_</t>
  </si>
  <si>
    <t>2024-0775</t>
  </si>
  <si>
    <t>7 FONDO</t>
  </si>
  <si>
    <t>900484852-1</t>
  </si>
  <si>
    <t>AGENCIA PRESIDENCIAL DE COOPERACIÓN INTERNACIONAL DE COLOMBIA APC-COLOMBIA</t>
  </si>
  <si>
    <t>YAIR ALEXANDER VALDERRAMA PARRA</t>
  </si>
  <si>
    <t>DAR CUMPLIMIENTO AL COMPROMISO DEL GOBIERNO DE COLOMBIA EN EL MARCO DE LA IV CUMBRE DE LA ALIANZA PACÍFICO Y EN CONSECUENCIA AUNAR ESFUERZOS TÉCNICOS, ADMINISTRATIVOS Y FINANCIEROS PARA LA CONSTITUCIÓN Y REGULACIÓN DE UN FONDO DENOMINADO FONDO APOYO A MOVILIDAD ESTUDIANTIL Y ACADÉMICA DE LA ALIANZA PACÍFICO – APC COLOMBIA / ICETEX, DIRIGIDO A ESTUDIANTES, INVESTIGADORES Y DOCENTES EN LOS NIVELES DE PREGRADO (EN SUS MODALIDADES EN CARRERAS UNIVERSITARIAS Y CARRERAS TÉCNICAS Y TECNOLÓGICAS Y DOCTORADO), CON EL FIN DE CONTRIBUIR A LA FORMACIÓN DE RECURSO HUMANO ALTAMENTE CALIFICADO, LA MEJORA DE LA CALIDAD DE LA EDUCACIÓN SUPERIOR, Y EL FORTALECIMIENTO DE LA CAPACIDAD INVESTIGATIVA DE LOS PAÍSES PERTENECIENTES A LA ALIANZA PACÍFICO.</t>
  </si>
  <si>
    <t>EL OBJETO DEL PRESENTE OTROSÍ NO. 01 ES EL DE MODIFICAR LA OBLIGACIÓN ESTABLECIDA EN EL NUMERAL TERCERO DE LA CLÁUSULA DÉCIMA CUARTA–OBLIGACIONES DE LA JUNTA ADMINISTRADORA DEL FONDO Y LA OBLIGACIÓN ESTABLECIDA EN EL NUMERAL VEINTE DE LA CLÁUSULA DÉCIMA SEXTA–OBLIGACIONES ESPECÍFICAS DEL ICETEX, A FIN DE PRECISAR EL ENTE QUE PROCEDERÁ CON LA SELECCIÓN DE LOS BENEFICIARIOS DEL FONDO, DEL CONVENIO INTERADMINISTRATIVO NO. 2024 –775 ICETEX – NO. 005–2024, SUSCRITO ENTRE EL INSTITUTO COLOMBIANO DE CRÉDITO EDUCATIVO Y ESTUDIOS TÉCNICOS EN EL EXTERIOR “MARIANO OSPINA PÉREZ”–ICETEX Y LA AGENCIA PRESIDENCIAL DE COOPERACIÓN INTERNACIONAL DE COLOMBIA A P C - COLOMBIA, POR LAS CONSIDERACIONES EXPUESTAS EN EL PRESENTE DOCUMENTO.</t>
  </si>
  <si>
    <t>El objeto del presente Otrosí No. 02 es el de modificar la cláusula tercera – Valor del Convenio, con el fin de reducir el valor del Convenio Interadministrativo No. 2024 –775 ICETEX – No. 005–2024 APC, suscrito entre EL INSTITUTO COLOMBIANO DE CRÉDITO EDUCATIVO Y ESTUDIOS TÉCNICOS EN EL EXTERIOR “MARIANO OSPINA PÉREZ”–ICETEX y la AGENCIA PRESIDENCIAL DE COOPERACIÓN INTERNACIONAL DE COLOMBIA APC-COLOMBIA, en la suma de OCHENTA Y TRES MILLONES QUINIENTOS NOVENTA Y CUATRO MIL QUINIENTOS TREINTA Y OCHO PESOS M/CTE ($83.594.538), por las consideraciones expuestas en el presente documento</t>
  </si>
  <si>
    <t>2024-0776</t>
  </si>
  <si>
    <t>CD-780-2024</t>
  </si>
  <si>
    <t>BRALLAN JULIAN CALDERON VACA</t>
  </si>
  <si>
    <t>CDEF-823-2024</t>
  </si>
  <si>
    <t>HONORARIOS  – OCM</t>
  </si>
  <si>
    <t>IG 312001020240012</t>
  </si>
  <si>
    <t>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Apoyar el mejoramiento del sistema de gestión de calidad a través de la ingeniería de procesos
(rapidez, solución de problemas, prevención del riesgo, optimización de KPI´S y las demás
aplicables) que permita desarrollar la planificación, diseño y toma de decisiones para la mejora
continua y la correcta atención de los grupos de interés del ICETEX.
4. Atender de manera oportuna los requerimientos y solicitudes de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t>
  </si>
  <si>
    <t>2024-0777</t>
  </si>
  <si>
    <t>10.89</t>
  </si>
  <si>
    <t>2024-0778</t>
  </si>
  <si>
    <t>CD-778-2024</t>
  </si>
  <si>
    <t>ELSA ASTRID CALDERON ARIAS</t>
  </si>
  <si>
    <t xml:space="preserve">"PRESTAR SUS SERVICIOS DE APOYO TÉCNICO EN LOS TEMAS OPERATIVOS RELACIONADOS CON LA ADMINISTRACIÓN DE CONVENIOS, CONTRATOS, FONDOS, ALIANZAS Y/O PROYECTOS A CARGO LA VICEPRESIDENCIA DE FONDOS EN ADMINISTRACIÓN.
</t>
  </si>
  <si>
    <t>CDEF-475-2024</t>
  </si>
  <si>
    <t>IG 312001020700014_x000D_</t>
  </si>
  <si>
    <t>1. Apoyar los asuntos operativos de los Fondos a cargo la Vicepresidencia de Fondos en
Administración.
2. Apoyar la verificación de información y el cargue de la misma en las bases de datos que le
sean solicitados por la Vicepresidencia de Fondos en Administración.
3. Apoyar la generación de informes y proyecciones de respuestas requeridas, en el marco del
objeto contractual.
4. Apoyar la elaboración de informes de gestión de los Fondos a cargo de la Vicepresidencia
de Fondos en Administración, cuando sea requerido.
5. Apoyar la creación de garantías y firma asistida de las mismas, de los Fondos a cargo de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t>
  </si>
  <si>
    <t>2024-0779</t>
  </si>
  <si>
    <t>CD-783-2024</t>
  </si>
  <si>
    <t xml:space="preserve">ALEXA LIZETH SANCHEZ GONGORA </t>
  </si>
  <si>
    <t>PRESTAR LOS SERVICIOS PROFESIONALES PARA APOYAR LAS ACTIVIDADES DE CONTROL Y AUTOCONTROL DE LOS PROCESOS Y PROCEDIMIENTOS ASOCIADOS A LA OFICINA COMERCIAL Y DE MERCADEO, COMO TAMBIÉN LA RESPUESTA A LOS REQUERIMIENTOS NORMATIVOS DE LOS ORGANISMOS DE CONTROL..</t>
  </si>
  <si>
    <t>CDEF-827-2024</t>
  </si>
  <si>
    <t>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Apoyar el mejoramiento del sistema de gestión de calidad a través de la ingeniería de procesos
(rapidez, solución de problemas, prevención del riesgo, optimización de KPI´S y las demás
aplicables) que permita desarrollar la planificación, diseño y toma de decisiones para la mejora
continua y la correcta atención de los grupos de interés del ICETEX.
4. Atender de manera oportuna los requerimientos y solicitudes de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t>
  </si>
  <si>
    <t>2024-0780</t>
  </si>
  <si>
    <t>CD-784-2024</t>
  </si>
  <si>
    <t>EDWIN ALEJANDRO NOVOA MORENO</t>
  </si>
  <si>
    <t>Prestar los servicios profesionales para apoyar las actividades de control y autocontrol de los
procesos y procedimientos asociados a la Oficina Comercial y de Mercadeo, como también la
respuesta a los requerimientos normativos de los organismos de control.</t>
  </si>
  <si>
    <t>CDEF-825-2024</t>
  </si>
  <si>
    <t>13.67</t>
  </si>
  <si>
    <t>2024-0781</t>
  </si>
  <si>
    <t>CD-785-2024</t>
  </si>
  <si>
    <t>860.066.942-7</t>
  </si>
  <si>
    <t>CAJA DE COMPENSACIÓN FAMILIAR COMPENSAR</t>
  </si>
  <si>
    <t>MARIA ALEXANDRA GRUESSO SANCHEZ</t>
  </si>
  <si>
    <t>Contratar los servicios para la ejecución de las actividades enmarcadas o descritas en el
plan de Bienestar del ICETEX.</t>
  </si>
  <si>
    <t>CDEF-814-2024</t>
  </si>
  <si>
    <t xml:space="preserve"> 
858552955
</t>
  </si>
  <si>
    <t>IG 311002004021004_x000D_</t>
  </si>
  <si>
    <t>1. Cumplir con todas las especificaciones técnicas mínimas descritas en el anexo técnico requeridas por el ICETEX, así como lo establecido en la oferta presentada por el contratista. 2. Contar con el equipo mínimo de trabajo y aportar las hojas de vida para el cumplimiento del objeto contractual, durante toda la vigencia del contrato conforme a las especificaciones señaladas en el Anexo Técnico. 3. Organizar, acompañar y ejecutar cada una de las actividades que componen el objeto contractual antes, durante y al culminar las actividades previstas. 4. Cumplir las instrucciones que en el desarrollo del contrato imparta el ICETEX por conducto de la supervisión. 5. Garantizar que los escenarios para la ejecución de las actividades previstas en el Plan de Bienestar 2024 de la Entidad, sean adecuados de conformidad con lo establecido en las especificaciones técnicas descritas en el anexo técnico, para lo cual los mismos deberán ser aprobados por parte del supervisor del contrato, en visitas de reconocimiento que se realizarán previas a la ejecución de las actividades y en los tiempos establecidos. 6. Desarrollar las actividades en las fechas, horarios y lugares concertados con el supervisor. Igualmente, se debe dar cumplimiento al número de funcionarios a incorporar en cada actividad, los cuales deberán ser confirmados por el supervisor del contrato en los tiempos establecidos en el anexo técnico. 7. Suministrar al personal que labore dentro de las actividades, la indumentaria necesaria para la identificación y desempeño adecuado de las actividades, así como un carné que permita la identificación del personal, todo esto sin que se generen costos adicionales para el ICETEX. 8. Contar con apoyo médico o un sitio de primeros auxilios en cada uno de los eventos a desarrollar de manera presencial durante la ejecución del contrato. 9. Suministrar el transporte necesario, garantizando que los vehículos contratados cuenten con todos los documentos y permisos reglamentados por la normatividad vigente, los cuales deberán ser enviados al supervisor del contrato con una antelación mínima de tres (3) días calendario anteriores a la fecha del evento, cuando por la ubicación del evento se requiera el traslado de funcionarios y/o de sus familiares. 10. Entregar la factura discriminando las actividades ejecutadas y autorizadas por el supervisor del contrato, con los debidos soportes de ejecución. 11. El contratista debe garantizar la adecuada gestión de los residuos generados durante los eventos; por lo cual debe proporcionar elementos señalizados para su almacenamiento en el área que se desarrollará el evento, así como efectuar el adecuado aprovechamiento o disposición final de los mismos.12. Realizar los ajustes de facturación que requiera la Entidad, en un plazo no mayor a tres
(3) días hábiles después de devuelta la factura por parte de la Entidad.Las demás
actividades relacionadas con el objeto contractual previa coordinación con el supervisor
del contrato.</t>
  </si>
  <si>
    <t>13.3</t>
  </si>
  <si>
    <t>2024-0782</t>
  </si>
  <si>
    <t>CD-786-2024</t>
  </si>
  <si>
    <t xml:space="preserve">RODRIGO CASTAÑEDA ALVAREZ </t>
  </si>
  <si>
    <t>Prestar los servicios profesionales especializados a la Secretaría General para gestionar y acompañar el seguimiento y control a la actividad contable, financiera, presupuestal de las áreas de la dependencia, así como prestar apoyo financiero a la supervisión de la interventoría del contrato 2023-0704.</t>
  </si>
  <si>
    <t>CDEF-828-2024</t>
  </si>
  <si>
    <t>1. Revisar y acompañar la estructuración de los estudios previos de los certámenes o
trámites contractuales, estableciendo factores de selección que permitan identificar la oferta más favorable desde el punto de vista económico y financiero de las actividades
planeadas en el Plan Anual de Adquisiciones.
2. Brindar apoyo y revisión en materia económica y financiera que se requieran en las
etapas precontractual, contractual y postcontractual de los certámenes o trámites
contractuales de la Secretaría General.
3. Elaborar los estudios de mercado de los procesos de contratación asignados, así como
la verificación de las condiciones de oferta y pluralidad enmarcados en las políticas
generales de Colombia Compra Eficiente
4. Realizar las recomendaciones económicas, financieras y de mercado en los procesos
de contratación que sea asignado como apoyo.
5. Brindar apoyo a la supervisión del Contrato 2023-0704 para autorizar los pagos al
contratista, previo recibo a satisfacción de los informes y los pagos al Sistema de
Seguridad Social Integral y parafiscales
6. Verificar que la ecuación financiera del Contrato 2023-0704 se mantenga dentro de los
términos pactados.
7. Documentar los pagos y ajustes que se hagan al Contrato 2023-0704 y apoyar a la
supervisión del mismo a hacer seguimiento y controlar el balance presupuestal.
8. Verificar que las actividades que impliquen aumento del valor del Contrato 2023-0704
cuenten con las justificaciones técnica, presupuestal y jurídica.
9. Revisar las solicitudes de pago formuladas por el contratista del Contrato 2023-0704 y
llevar el registro cronológico de los mismos, al igual que de las deducciones y ajustes
efectuados
10. Verificar permanentemente la disponibilidad de recursos frente a los respectivos
registros presupuestales.
11. Asistir a las reuniones a las que sea citado o designado por parte del supervisor del
contrato.
12. Las demás asignadas por el supervisor y que tengan relación con el objeto del presente
contrato.</t>
  </si>
  <si>
    <t>2024-0783</t>
  </si>
  <si>
    <t>899999239-2</t>
  </si>
  <si>
    <t>INSTITUTO COLOMBIANO DE BIENESTAR FAMILIAR CECILIA DE LA FUENTE DE LLERAS - ICBF</t>
  </si>
  <si>
    <t>DIANA MIREYA PARRA CARDONA</t>
  </si>
  <si>
    <t>CONSTITUIR EL FONDO DE ADMINISTRACIÓN DE RECURSOS ICBF DIRIGIDOS A LA FINANCIACIÓN DE CRÉDITOS CONDONABLES PARA EDUCACIÓN FORMAL DESTINADO A LOS SERVIDORES PÚBLICOS DEL ICBF DENOMINADO “FONDO EDUCATIVO ICBF” A TRAVÉS DEL INSTITUTO COLOMBIANO DE CRÉDITO EDUCATIVO Y ESTUDIOS EN EL EXTERIOR- ICETEX”, QUIEN ACTUARA COMO ADMINISTRADOR – MANDATARIO PARA LA VIGENCIA 2024, CONFORME LAS CONDICIONES ESTABLECIDAS EN EL REGLAMENTO OPERATIVO DEL FONDO.</t>
  </si>
  <si>
    <t>13.105</t>
  </si>
  <si>
    <t>2024-0784</t>
  </si>
  <si>
    <t>IP-731-2024</t>
  </si>
  <si>
    <t>900453988-1</t>
  </si>
  <si>
    <t>GRUPO EMPRESARIAL SEISO S.A.S</t>
  </si>
  <si>
    <t>HUGO NICOLAS USME HOYOS</t>
  </si>
  <si>
    <t>CONTRATAR EL SERVICIO INTEGRAL DE ASEO Y CAFETERÍA PARA LAS SEDES DE ICETEX A NIVEL NACIONAL.</t>
  </si>
  <si>
    <t>BOGOTÁ</t>
  </si>
  <si>
    <t xml:space="preserve">CDEF-796-2024 
VF-2024-005 </t>
  </si>
  <si>
    <t>SERVICIO DE ASEO Y CAFETERIA</t>
  </si>
  <si>
    <t xml:space="preserve">$ 1.182.612.832
$ 1.520.502.211
</t>
  </si>
  <si>
    <t>IG311002004005008</t>
  </si>
  <si>
    <t>3 INVITACIÓN PUBLICA</t>
  </si>
  <si>
    <t>1. Cumplir con las condiciones técnicas, económicas, tiempos, cantidades y obligaciones
definidos en los Documentos del Proceso y sus anexos y propuesta presentada
2. Cumplir las fechas de pago de los salarios de los operarios que prestan el Servicio Integral
de Aseo y Cafetería en ICETEX.
3. Cumplir con el pago de los aportes de seguridad social, prestaciones sociales, aportes
parafiscales, horas extras, dominicales, festivos, recargos nocturnos, indemnizaciones,
liquidación de prestaciones e incapacidades y demás costos derivados de la relación
laboral con el personal que cumple las labores cubiertas por el contrato que se llegare
a suscribir, conforme a las fechas establecidas en la normativa vigente.
4. Cumplir todos costos, gastos, erogaciones asociadas al personal, como prestaciones
sociales, contribuciones, dotaciones, capacitaciones, incapacidades, costos
asociados a la seguridad industrial, los Exámenes Básicos de Seguridad y cualquier otro
costo o gasto requerido para cumplir con la normativa laboral colombiana.
5. Suministrar al personal la dotación y uniformes en color azul oscuro en tela y diseño
adecuados al clima y a sus labores cada 6 meses y según la necesidad del clima donde
se encuentre el operario, la cual deberá ser suministrada en los términos de ley,
procurado que su presentación personal sea óptima.
6. Cuidar las instalaciones, bienes y equipos del ICETEX durante la prestación del Servicio
Integral de Aseo y Cafetería.
7. Entregar al ICETEX la información que requieran para verificar el cumplimiento de las
obligaciones laborales, de seguridad industrial y de salud ocupacional del contratista
y/o de los operarios que prestan el Servicio Integral de Aseo y Cafetería en la Entidad.
8. Capacitar permanentemente a su personal en todos los temas relacionados a las
labores de aseo, cafetería, mantenimiento y Servicios Especiales asegurando así que
cuenta con conocimientos vigentes y que aplica las buenas prácticas del mercado.
9. Garantizar que su personal cuente con los elementos de seguridad industrial y los utilice
apropiadamente.
10. Garantizar que el personal cuente con los exámenes médicos pertinentes y con la
certificación para trabajo en alturas expedida por el SENA o por la entidad autorizada
para tal fin.
11. Garantizar que el personal cuente con el curso de manipulación de alimentos
actualizado.
12. Asignar al Contrato un coordinador que atienda los requerimientos del ICETEX a nivel
nacional sin que implique un costo adicional.
13. Entregar los Bienes de Aseo y Cafetería requeridos en el contrato con las condiciones
de calidad y cantidad establecidos previamente en el anexo técnico, en las
instalaciones del ICETEX y en las fechas y/o periodos definidos entre EL ICETEX y el
contratista en el acta de Inicio. Estos insumos deberán ser entregados en las oficinas a
nivel nacional y Bogotá donde ICETEX requiera.
14. El CONTRATISTA suministrará todos los materiales de consumo nuevos y en las
cantidades establecidas en el contrato.
15. Prestar el Servicio Integral de Aseo y Cafetería con los Bienes de Aseo y Cafetería con
elementos, equipos y maquinaria en buenas condiciones de tal forma que no
representen un impedimento para la ejecución normal y eficiente de las labores del
personal.16. El CONTRATISTA debe atender las instrucciones y recomendaciones realizadas por el
supervisor del contrato.
17. El contratista se obliga a entregar las cantidades requeridas para los suministros de
acuerdo con las necesidades reales mensuales de la entidad.
18. Asumir todos los costos de almacenamiento, transporte y manejo de los Bienes de Aseo
y Cafetería, hasta que sean entregados en el lugar que requiera EL ICETEX, oficinas a
nivel nacional.
19. Cumplir con las actividades establecidos en el anexo técnico que hace parte integral
del presente certamen y garantiza al ICETEX la disponibilidad del personal que cumpla
con el perfil, funciones y formación establecidos en el mismo anexo.
20.El contratista deberá realizar 1 visita mensual de seguimiento para identificar fallas en el
servicio, las cuales deberán ser ejecutadas por un supervisor que no labore en sitio, estas
visitas deberán ser en cualquier momento del mes en todas las sedes donde se preste
el servicio.
21. El contratista puede contratar con un tercero la prestación total o parcial del Servicio
de fumigación, sin perder su responsabilidad por la prestación del Servicio y el
cumplimiento de las condiciones establecidas en el presente documento y en el anexo
técnico.
22. Reemplazar de forma oportuna el personal que presta el servicio Integral de Aseo y
Cafetería garantizando en todo momento que cumple con las condiciones
establecidas en el anexo técnico del presente documento, evitando en todo momento
que dichos cambios no generen traumatismos en la prestación del servicio.
23. Realizar el cambio de los elementos, equipos o maquinaria en mal estado que impida
el cumplimiento de la actividad una vez sea notificado por EL ICETEX dentro los tres (3)
días calendario siguiente al reporte.
24.En caso de ausencia del personal por incapacidades, permisos y demás situaciones
presentadas, el contratista deberá remitir un supernumerario el mismo día de ausencia
antes de las 12 pm.
25. Mantener desde el inicio de la ejecución del contrato y hasta su terminación, para la
adquisición de los bienes y servicios que se requieran en la ejecución del contrato, un
mínimo del 5% de personal que cumpla con las características de “sujetos de especial
protección constitucional” establecidas el Articulo 2.2.1.2.4.2.16 del Decreto 1860 de
2021, para lo cual se entregaran informes mensuales al supervisor del contrato con los
respectivos soportes documentales que acrediten la calidad del personal. El contratista
deberá entregar informes mensuales al supervisor del contrato con los respectivos
soportes documentales que acrediten la calidad del personal.
26. Las demás que contribuyan a garantizar el cumplimiento del contrato, y las que por su
naturaleza le sean atribuibles conforme al objeto y alcance de este, que deba cumplir
sin que implique un mayor valor al objeto contratado.
27. Cumplir la normatividad vigente y los códigos internacionales unificados para el
ecoetiquetado en los productos de aseo, higiene, limpieza o productos de desinfección
ya sea para uso doméstico o industrial.
28. Cumplir con la ficha de detergentes sostenibles del Ministerio de Ambiente y Desarrollo
Sostenible (MADS), así mismo deberá suministrar el respectivo certificado de
biodegradabilidad.
29. Cumplir con las hojas de seguridad para productos de acuerdo con lo establecido en
las Ficha de datos de seguridad de materiales.
30. Asegurar el adecuado almacenamiento y disposición final de los productos y envases
en el marco de sus programas de gestión ambiental.31. Capacitar al personal de aseo de servicio tercerizado para el ICETEX, en factores de
riesgo y manejo seguro de sustancias químicas en el marco del Sistema de Gestión en
Salud y Seguridad en el Trabajo</t>
  </si>
  <si>
    <t>9.42</t>
  </si>
  <si>
    <t>2024-0785</t>
  </si>
  <si>
    <t>IMC-772-2024</t>
  </si>
  <si>
    <t>900.572.445-2</t>
  </si>
  <si>
    <t xml:space="preserve">CIFIN S.A.S </t>
  </si>
  <si>
    <t>CRISTINA HORTENCIA PEREIRA PORTO</t>
  </si>
  <si>
    <t>Prestar los servicios especializados para suministrar la información del valor del salario de nuestros usuarios.</t>
  </si>
  <si>
    <t>CDEF-668-2024</t>
  </si>
  <si>
    <t>OTROS SERVICIOS OPERATIVOS - VCC</t>
  </si>
  <si>
    <t>IG312001020600100</t>
  </si>
  <si>
    <t>1. Realizar la validación de ingresos de los usuarios del Icetex, de acuerdo con los registros e
información suministrada por la entidad, conforme lo establece la oferta económica.
2. Remitir a Icetex los resultados de acuerdo con los registros reportados y los soportes de los
mismos, dentro de los ocho (8) días hábiles siguientes a la entrega de la información por parte de
Icetex.
3. Remitir información confiable y veraz que garantice la efectividad del dato validador de ingresos
de los usuarios del Icetex.
4. Remitir un informe mensual previo al pago de cada cuenta de cobro del resultado de la gestión
realizada de acuerdo con la solicitud realizada por el supervisor del contrato.
5. Ejecutar el objeto contratado en el tiempo y conforme a los entregables establecidos,
6. Asistir a las reuniones de seguimiento del contrato convocadas por el Supervisor y hacer una
presentación informando los avances y la información requerida con anticipación por la entidad
para estas reuniones.
7. Las demás inherentes al objeto y la naturaleza del Contrato._x000D_</t>
  </si>
  <si>
    <t>12.59</t>
  </si>
  <si>
    <t>2024-0786</t>
  </si>
  <si>
    <t>IMC-746-2024</t>
  </si>
  <si>
    <t>901.842.417-9</t>
  </si>
  <si>
    <t>CONSORCIO BDO-ICETEX 2024</t>
  </si>
  <si>
    <t>LUIS FERNANDO REYES RAMIREZ</t>
  </si>
  <si>
    <t>Contratar la prestación de servicios profesionales especializados de
Revisoría Fiscal para el periodo 2024-2026 del ICETEX.</t>
  </si>
  <si>
    <t>CDP-EF-2024-773  CCVF-2024-002</t>
  </si>
  <si>
    <t>REVISORÍA FISCAL</t>
  </si>
  <si>
    <t>IG313090002</t>
  </si>
  <si>
    <t>1. Poner a disposición del ICETEX su capacidad, y recurso humano para lograr el cumplimiento
del objeto contratado.
2. Prestar el servicio profesional especializado, en Revisoría Fiscal para el ICETEX, dando cabal
aplicación a la normativa vigente.
3. Realizar y verificar el cumplimiento de los Sistemas de Administración de Riesgo conforme la
normativa y alcance interno del ICETEX y la normativa establecida en la Circular Básica
Contable y Financiera (C.E.100/95), y la Circular Básica Jurídica (C.E. 029/14), expedidas por
la Superintendencia Financiera de Colombia, al igual que aquellas que las modifiquen,
complementen o sustituyan.
4. Presentar los informes que resultado de su auditoría se requieran para los entes de control que
para el efecto aplique.
5. Entregar dentro de los primeros quince (15) días hábiles a la suscripción del contrato, el Plan
de Trabajo, detallando las actividades, tiempos y responsables durante la ejecución del
contrato.
6. Verificar que las operaciones que se celebren o cumplan por cuenta del ICETEX se ajustan a
las prescripciones de los estatutos, manuales, normas internas y a las decisiones de la Junta
Directiva.
7. Informar oportunamente, por escrito, a la Junta Directiva o al Presidente o a quién haga sus
veces, según los casos, de las irregularidades que ocurran en el funcionamiento de la entidad
y en el desarrollo de sus negocios.
8. Colaborar con las entidades gubernamentales que ejerzan la inspección y vigilancia del
ICETEX, y rendirles los informes a que haya lugar o le sean solicitados.
9. Velar porque las actas de las reuniones de Junta Directiva se conserven debidamente, tanto la
correspondencia del ICETEX como los comprobantes de las cuentas, presentando las
recomendaciones necesarias para tales fines.
10. Inspeccionar asiduamente los bienes del ICETEX y procurar que se tomen oportunamente las
medidas de conservación o seguridad de los mismos y de los que se tenga en custodia a
cualquier otro título.
11. Presentar recomendaciones, practicar las inspecciones y solicitar los informes que sean
necesarios para establecer un control permanente sobre los valores del portafolio de la entidad.
12. Autorizar con su firma los estados financieros con corte al 31 diciembre de 2024 y al 31 de
diciembre de 2025, con su dictamen o informe correspondiente, y suscribir las declaraciones
tributarias, cuando sea necesario y procedente conforme a la normativa aplicable y el alcance
del trabajo definido.
13. Convocar a la Junta Directiva a reuniones extraordinarias cuando lo considere necesario
conforme al alcance dado por la normativa.
14. Verificar y analizar, de acuerdo con el marco técnico normativo aplicable a la auditoría de
estados financieros, que el patrimonio del Instituto sea adecuadamente protegido, conservado
y utilizado de conformidad con el objeto social. 15. Vigilar permanentemente que los actos administrativos se ajusten al objeto social del Instituto
y a las normas legales estatutarias y reglamentarias vigentes, con el fin de que no se presenten irregularidades en detrimento de los miembros de la Junta Directiva de ICETEX, los terceros y
la propia Institución.
16. Verificar constantemente e informar sobre el manejo de los libros de Contabilidad, los libros de
actas, los documentos contables y archivos en general, para verificar que los registros hechos
en los libros correctos y cumplan todos los requisitos establecidos por la ley, de manera que se
conserven adecuadamente los documentos de soportan los hechos económicos, los derechos
y las obligaciones de la entidad, como fundamento de la información contable.
17. Emitir las certificaciones e informes sobre los estados financieros a 31 de diciembre de 2024 y
a 31 de diciembre de 2025, donde el estado de situación financiera y estado de resultado
integral, presenten en forma fidedigna la situación financiera y económica, de acuerdo con las
normas de contabilidad generalmente aceptadas.
18. Emitir las certificaciones correspondientes al cumplimiento de los Sistemas de Administración
de Riesgo.
19. Hacer inspección integral, es decir, que todas las operaciones y bienes sin reserva alguna son
sujeto de fiscalización, de acuerdo con el marco técnico normativo aplicable a la auditoria de
estados financieros.
20. Actuar libre de todo conflicto de interés que le reste independencia y de manera ajena a
cualquier tipo de subordinación respecto de los administradores.
21. Cumplir las obligaciones que le señalen los artículos 203 al 217 del Código de Comercio,
artículo 80 de la Ley 190 de 1995, así como lo dispuesto en el artículo 20 de la Ley 45 de 1990,
el artículo 79 del Estatuto Orgánico del Sistema Financiero, la Ley 795 de 2003, las Circulares
Externas 054 y 100 de la Superintendencia Financiera y demás responsabilidades que este
Ente de Control establezca para la Revisoría Fiscal, la Circular Externa 33 de 1999 expedida
por la Junta de Contadores, Ley 1314 de 2009, los Decretos 2420 del 14 de diciembre de 2015
y 2496 del 23 de diciembre de 2015, mediante los cuales se incorporaron las Normas de
Auditoría y de Aseguramiento de Información (NAI), que están conformadas por el Código de
Ética emitido por El Consejo de Estándares Internacionales de Ética para Contadores IESBA,
las Normas Internacionales de Auditoría (NIA), las Normas Internacionales de Control de
Calidad (NICC), las Normas Internacionales de Trabajos de Revisión (NITR), las Normas
Internacionales de Trabajos para Atestiguar (ISAE) y las Normas Internacionales de Servicios
Relacionados (NISR), todas emitidas por La Junta de Normas Internacionales de Contabilidad
(IASB) y demás normativa que regule el ejercicio de la actividad de la Revisoría Fiscal en
Colombia y que resulte aplicable al ICETEX.
22. Atender todas las obligaciones y responsabilidades que establezcan los Entes de Control para
la Revisoría Fiscal que sean de carácter obligatorio y que estén comprendidas dentro del
alcance para el trabajo de Revisoría Fiscal y no afecten los principios de independencia y
objetividad propios de su ejercicio.
23. Elaborar los dictámenes o informes sobre los estados financieros, los cuales deberán contener
como mínimo: a) Si ha obtenido las informaciones necesarias para cumplir sus funciones. b) Si
en el curso de la revisión se han seguido los procedimientos aconsejados por la técnica de la
interventoría de cuentas. c) Si en su concepto la contabilidad se lleva conforme a las normas
legales y/o la técnica contable, y si las operaciones registradas se ajustan a los estatutos y a
las decisiones de la Junta Directiva. d) Si el balance y el estado de pérdidas y ganancias han
sido tomados fielmente de los libros; y si en su opinión los Estados Financieros presentan en
forma fidedigna, de acuerdo con las normas de contabilidad generalmente aceptadas, la
respectiva situación financiera al terminar el periodo revisado y reflejan el resultado de las
operaciones de dicho periodo. e) Las reservas o salvedades que tenga sobre la fidelidad sobre
los estados financieros. f) Si los actos de los administradores de la entidad se ajustan a los
estatutos y a las órdenes de la Junta Directiva. g) Si la correspondencia, los comprobantes de
las cuentas y los libros de actas, en su caso, se llevan y se conservan debidamente. h) Si hay
y son adecuadas las medidas de control interno, de conservación y custodia de los bienes del
ICETEX o de terceros que estén en poder de la misma. 24. Emitir un informe mensual de las actividades realizadas a la Presidencia, a la Junta Directiva
del ICETEX y al supervisor del contrato.
25. Colaborar con las entidades gubernamentales que ejerzan la inspección y vigilancia del
ICETEX, y rendirles los informes a que haya lugar o le sean solicitados; y expedición de
Certificaciones para Entes de control y de terceros. Para la información de terceros se
entenderá que es tomada de los libros de contabilidad.
26. Revisar y firmar las declaraciones tributarias.
27. Constituir la garantía dentro del plazo señalado por la entidad.
28. Cumplir con las políticas de seguridad y confidencialidad de la información del ICETEX que
llegare a conocer durante la ejecución del contrato, la cual solo podrá ser utilizada para la
correcta ejecución del servicio contratado.
29. Cumplir con las políticas sobre prevención y control del lavado de activos, financiación del
terrorismo y otras actividades delictivas.
30. Abstenerse de revelar la información (oral, gráfica o escrita o en cualquier otro medio) que se
le suministre por parte del ICETEX, durante el tiempo de permanencia en las instalaciones de
la entidad y/o en el ejercicio de su labor adoptando las medidas de seguridad para que la
información no sea copiada o duplicada por otros terceros no autorizados.
31. Mantener desde el inicio de la ejecución del contrato y hasta su terminación para la adquisición
de los bienes y servicios que se requieran en la ejecución de contrato, un mínimo del 5% de
personal que cumpla con las características de “sujetos de especial protección constitucional”
establecidas el Articulo 2.2.1.2.4.2.16 del Decreto 1860 de 2021, para lo cual se entregaran
informes mensuales al supervisor del contrato con los respectivos soportes documentales que
acrediten la calidad del personal.
32. Cumplir con la totalidad de obligaciones a su cargo y las especificaciones técnicas estipuladas
en el estudio previo, pliego de condiciones, anexos y formatos, así como en la propuesta
presentada por el oferente seleccionado.
33. Las demás normas contempladas en la propuesta presentada y las que siendo compatibles con
el objeto y naturaleza del contrato le encomiende la Junta Directiva, la Presidencia y el
Supervisor del Contrato.</t>
  </si>
  <si>
    <t>12.74</t>
  </si>
  <si>
    <t>2024-0787</t>
  </si>
  <si>
    <t>CONV</t>
  </si>
  <si>
    <t>CD-790-2024</t>
  </si>
  <si>
    <t>890903938-8</t>
  </si>
  <si>
    <t>BANCOLOMBIA S.A.</t>
  </si>
  <si>
    <t>ALEJANDRO VILLEGAS CALERO</t>
  </si>
  <si>
    <t xml:space="preserve">El objeto del presente CONVENIO es la prestación del servicio de recaudo por parte
de EL BANCO de los pagos efectuados al ICETEX por parte de sus usuarios, para
posteriormente abonar dichos recaudos a cuentas de depósito de ICETEX en EL
BANCO previamente acordada en la solicitud de afiliación, pagos que se podrán
efectuar en efectivo o en cheque. Para usuarios del ICETEX que a su vez sean clientes
de EL BANCO, en adelante clientes comunes se entenderán como medios de pago,
además de los anteriores, el débito a cuenta corriente o de ahorros, el cargo a una
tarjeta de crédito emitida por EL BANCO o cualquier otra facilidad de crédito o servicio
adicional ofrecido por EL BANCO a dichos clientes comunes, EL BANCO se reserva
el derecho de definir e implementar medios de pago, según la modalidad de recaudo,
lo cual le será informado por escrito al ICETEX. </t>
  </si>
  <si>
    <t>11.15</t>
  </si>
  <si>
    <t>2024-0788</t>
  </si>
  <si>
    <t>CD-792-2024</t>
  </si>
  <si>
    <t>800.047.326-0</t>
  </si>
  <si>
    <t>LOGYA / ASOCIACIÓN</t>
  </si>
  <si>
    <t>LEONEL PAVA CASILIMAS</t>
  </si>
  <si>
    <t>Renovar la afiliación del ICETEX a la organización GS1 para dar
continuidad en el uso del prefijo de único otorgado a la Entidad, lo anterior con el fin de utilizar los
códigos de barras requeridos por la Entidad</t>
  </si>
  <si>
    <t>B0GOTÁ</t>
  </si>
  <si>
    <t>CDEF-817-2024</t>
  </si>
  <si>
    <t>1) Cumplir estrictamente con el objeto del contrato y garantizar el derecho de uso del del
sistema de Código de barras para el año 2024 según la propuesta presentada.
2) Actualizar en su sistema de base de datos de empresas, el derecho de seguir utilizando los
códigos ya asignados y que identifican a los productos del ICETEX ante las demás entidades
para la vigencia 2024.
3) Entregar certificado que acredita el uso del sistema de identificación por parte del ICETEX
para el año 2024._x000D_</t>
  </si>
  <si>
    <t>2024-0789</t>
  </si>
  <si>
    <t>CD-793-2024</t>
  </si>
  <si>
    <t>INGRID DALILA MARIÑO MORALES</t>
  </si>
  <si>
    <t>Prestación de servicios profesionales para la gestión de todos los requerimientos de procesos en la verificación de riesgos, en especial proyectos de innovación de la Entidad, gestión de cambio y realizar acompañamiento a los requerimientos que se soliciten de los sistemas de riesgos.</t>
  </si>
  <si>
    <t>CDF-035-2024</t>
  </si>
  <si>
    <t>IG312001020250012</t>
  </si>
  <si>
    <t>1. Proyectar conceptos de riesgo operacional que requieran las áreas, de acuerdo con las
políticas de la Entidad, normas externas existentes y buenas prácticas.
2. Adelantar actividades de enlace de la Oficina de Riesgos para todos los proyectos de
innovación en el acompañamiento de la gestión de riesgos y apoyo al aseguramiento de los
mismo.
3. Analizar los riesgos asociados a los proyectos de la Entidad,
4. Elaborar conceptos e informes en materia del Riesgo Operacional y de Corrupción para
nuevos productos, procesos y servicios tecnológicos de la Entidad. 5. Acompañar la revisión, monitoreo y análisis de riesgos no financieros para los procesos de
la Entidad, apoyando a las diferentes áreas del Icetex en el análisis, acorde con los
lineamientos normativos
6. Analizar y gestionar los eventos de riesgo operacionales materializados, de acuerdo con la
normativa existente y seguimiento de los planes de acción.
7. Promover una cultura de riesgos en proyectos desde el sistema de riesgos operacional, que
incluya actividades de difusión y capacitación para funcionarios, contratistas y proveedores.
8. Proyectar la documentación requerida para la celebración del Comité de Riesgos y Junta
Directiva en los temas de responsabilidad, la cual requiere aprobación del supervisor.
9. Analizar los requerimientos de acuerdos estratégicos y/o contratación en materia de riesgos
no financieros.
10. Atender los requerimientos normativos bajo la ley 1295 de 2022 y demás que se generen y
aquellos que soliciten los Entes de Control y demás entidades que requieran a la Entidad.
11. Asistir y/o participar en las reuniones programadas previo acuerdo con el Supervisor del
contrato.
12. Las demás obligaciones que sean acordes con el objeto contractual asignado por la
supervisión del contrato.</t>
  </si>
  <si>
    <t>2024-0790</t>
  </si>
  <si>
    <t>CD-794-2024</t>
  </si>
  <si>
    <t>Prestar servicios profesionales especializados con el fin de respaldar
las funciones de Grupo de Gestión Estratégica de PQRSD o del que haga sus veces, con
énfasis en el apoyo a la supervisión del contrato 2023-0704 de la UT INTERVENTORÍA BPO
2023, haciendo seguimiento en la gestión integral requerida para el cumplimiento y el
adecuado desarrollo del objeto contractual.</t>
  </si>
  <si>
    <t>CDEF-841-2024</t>
  </si>
  <si>
    <t>Honorarios - OCM</t>
  </si>
  <si>
    <t>1. Apoyar a la supervisión del contrato 2023-0704 de la UT INTERVENTORÍA BPO 2023 en el
seguimiento estratégico, vigilancia y control al desarrollo adecuado del mismo, realizando
recomendaciones pertinentes asociadas con los diferentes componentes que propendan por
el éxito en la ejecución del contrato.
2. Registrar y mantener actualizada la información de la supervisión del contrato 2023-0704 de
la UT INTERVENTORÍA BPO 2023, de acuerdo con los procedimientos establecidos y las
orientaciones del superior inmediato
3. De acuerdo con las directrices recibidas, llevar a cabo las actividades requeridas, para el
apoyo a la supervisión del contrato 2023-0704 de la UT INTERVENTORÍA BPO 2023, así
como la gestión estratégica de pqrsd que estén relacionadas con el mencionado contrato.
4. Basados en su capacidad profesional, experiencia y conocimientos, gestionar y apoyar el
cumplimiento del objeto del contrato 2023-0704 de la UT INTERVENTORÍA BPO 2023,
generando a la supervisión las alertas oportunas, y, proponiendo acciones de mejora y/o de
intervención, asi como en el caso del equipo de gestión de pqrsd que estén relacionadas.
5. Apoyar en la generación de comunicaciones, informes y demás documentos requeridos para
documentar el hacer de la supervisión del contrato 2023-0704 de la UT INTERVENTORÍA
BPO 2023, aplicando los procedimientos indicados por la Entidad.
6. Utilizar los sistemas de información, aplicativos y demás herramientas tecnológicas
dispuestas para apoyar la supervisión del contrato 2023-0704 de la UT INTERVENTORÍA
BPO 2023; de conformidad con las responsabilidades y autorizaciones que se le asignen.
7. Realizar la consecución de información para la elaboración de informes relacionados con la
ejecución de la supervisión del contrato 2023-0704 de la UT INTERVENTORÍA BPO 2023,
tanto a nivel interno y externo.
8. Dar trámite de las peticiones, quejas, reclamos y solicitudes que se presenten en el
desarrollo de la supervisión del contrato 2023-0704 de la UT INTERVENTORÍA BPO 2023 y
que le sean relativas a su desarrollo; haciendo seguimiento a los tiempos y procedimientos
establecidos.
9. Documentar de manera mensual todo aquel conocimiento adquirido a través de experiencias
en el proceso de ejecución del contrato 2023-0704 de la UT INTERVENTORÍA BPO 2023,
para el mejoramiento de futuras ejecuciones, documento que deberá consolidarse bajo el
título de Manual de Buenas Prácticas que contendrá las lecciones aprendidas en la ejecución
de los contratos de la Interventoria y la operación de atención al usuario que con el mismo
se vigila. Para el mismo se deberán aplicar las herramientas adecuadas para su
documentación tales como entrevistas, encuestas, observación directa, planes de
mejoramiento, etc.
10. Apoyar la supervisión del contrato 2023-0704 de la UT INTERVENTORÍA BPO 2023 en el
seguimiento estratégico, control y planeación de las diferentes reuniones y comités que se
ejecuten con el contratista y los que sean de carácter contractual.11. Asegurar la debida y oportuna generación de las actas por parte del contratista, que
evidencien las decisiones tomadas en las diferentes sesiones de trabajo, y que contengan
detallados los compromisos que se acuerden y requerir las evidencias de su cumplimiento.
12. Realizar la revisión mensual de los informes presentados por la Interventoría y emitir su
concepto técnico frente a los mismos en términos de cumplimiento frente a las obligaciones
del contrato, previo a la presentación mensual de resultados por parte de la interventoría.
13. Consolidar los conceptos emitidos en todos los frentes por el equipo de apoyo y la
supervisión del contrato 2023-0704 de la UT INTERVENTORÍA BPO 2023, y emitir un
documento mensual de las recomendaciones, hitos y cumplimiento de los KPI´s del mismo.
14. Vigilar que se realice la adecuada organización, archivo y manejo de documentos y la
información relacionada con la supervisión del contrato 2023-0704 de la UT
INTERVENTORÍA BPO 2023, de conformidad con los procedimientos de Gestión
Documental. De igual manera para todas las actividades solicitadas por el Supervisor en
virtud del desarrollo de iniciativas del Grupo Estratégico de PQRSD.
15. Apoyar la preparación de documentación desde el punto de vista técnico de la supervisión
del contrato 2023-0704 de la UT INTERVENTORÍA BPO 2023, así como realizar control y
seguimiento de estos, de acuerdo con el manual de contratación de la Entidad.
16.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17. Las demás obligaciones que sean acordes con el objeto contractual asignado por quien
ejerza la función de la Supervisión del Contrato</t>
  </si>
  <si>
    <t>9.40</t>
  </si>
  <si>
    <t>2024-0791</t>
  </si>
  <si>
    <t>IS-754-2024</t>
  </si>
  <si>
    <t>900.606.482-3</t>
  </si>
  <si>
    <t>CESSABIT S.A.S</t>
  </si>
  <si>
    <t>LINA MARIA ESCOBAR POLO</t>
  </si>
  <si>
    <t>Prestar los servicios especializados para la investigación de bienes de los deudores principales y solidarios de las obligaciones objeto de judicialización, así como a los deudores dentro de los procesos de cobro coactivo del ICETEX.</t>
  </si>
  <si>
    <t>CDEF-605-2024</t>
  </si>
  <si>
    <t>GESTION COBRO JUDICIAL</t>
  </si>
  <si>
    <t>IG 312001020600085</t>
  </si>
  <si>
    <t>1. Realizar la identificación de activos de los deudores principales o solidarios del ICETEX, de acuerdo con las solicitudes que para el efecto realice la entidad.
2. Entregar al ICETEX un informe detallado de los resultados de la identificación de los activos de los deudores principales o solidarios del ICETEX.
3. Entregar en los tiempos establecidos en la oferta presentada por el contratista, los certificados de las oficinas de registro de instrumentos públicos, certificados de las Secretarías de Tránsito y Transporte Municipales, Certificados de Cámaras de Comercio, o cualquier otro documento que acredite la existencia los bienes identificados en la investigación de activos, de acuerdo con las solicitudes que para el efecto realice la Entidad.
4. Realizar la investigación de activos de los deudores principales o solidarios del ICETEX en todo el territorio nacional y dentro de los 3 a 8 días hábiles posteriores a la entrega de la información por parte de la entidad.
5. Asistir a las reuniones de seguimiento del contrato convocadas por el Supervisor y realizar la presentación de la información que sea requerida por la entidad.
6. Las demás inherentes al objeto y la naturaleza del Contrato</t>
  </si>
  <si>
    <t>10.67</t>
  </si>
  <si>
    <t>2024-0792</t>
  </si>
  <si>
    <t>CD-795-2024</t>
  </si>
  <si>
    <t>CAROLINA BASTIDAS BURBANO</t>
  </si>
  <si>
    <t>Prestar sus servicios profesionales apoyando las actividades administrativas, operativas,financieras relacionadas con los fondos, convenios, contratos, alianzas y/o proyectos
administrados por la Vicepresidencia de Fondos en Administración conforme los procedimientos
establecidos por el ICETEX.</t>
  </si>
  <si>
    <t>CDEF-463-2024</t>
  </si>
  <si>
    <t>1. Apoyar la gestión en la identif 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 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 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 inanciera de los fondos asignados, manteniendo actualizada la
información.
8. Proponer f 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 icar los benef 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 inanciero del fondo.
12. Efectuar el seguimiento a los rendimientos f 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 idencialidad, reserva y privacidad de la información que por razón de sus
actividades deba manejar en desarrollo del contrato.17.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t>
  </si>
  <si>
    <t>10.47</t>
  </si>
  <si>
    <t>2024-0793</t>
  </si>
  <si>
    <t>CD-796-2024</t>
  </si>
  <si>
    <t>CAMILA VELEZ RICO</t>
  </si>
  <si>
    <t>Prestar sus servicios profesionales especializados apoyando la gestión, administración, seguimiento y control de los convenios, contratos, fondos, alianzas y/o proyectos a cargo de la Vicepresidencia de Fondos en Administración conforme los procedimientos establecidos por el ICETEX</t>
  </si>
  <si>
    <t>CDEF-425-2024</t>
  </si>
  <si>
    <t>4
1. Apoyar la gestión, administración, seguimiento y control de los convenios y contratos a cargo
de la Vicepresidencia de Fondos en Administración, que le sean asignados.
2. Efectuar seguimiento a los trámites administrativos para las modificaciones de los convenios,
contratos y reglamentos de los fondos a cargo de la Vicepresidencia de Fondos en
Administración.
3. Revisar desde el punto de visto técnico de los Reglamentos Operativos de los fondos
administrados por la Vicepresidencia de Fondo en Administración que le sean asignados.
4. Revisar los informes financieros y de gestión conforme las condiciones y periodicidad
establecida en cada convenio, contrato y reglamentos operativos y efectuar seguimiento a
la remisión de los mismos a los constituyentes.
5. Revisar las cuentas de cobro que deben remitirse a los constituyentes y efectuar seguimiento
de las mismas.
6. Revisar los cronogramas y términos de referencia de las convocatorias requeridas para la
adjudicación de los recursos de los fondos asignados y asegurar que el fondo cuente con
los recursos disponibles para garantizar los giros que se requieran.
7. Revisar la calificación efectuada en la Vicepresidencia de Fondos en Administración,
conforme con las condiciones establecidas en los reglamentos operativos y los
procedimientos establecidos por el ICETEX.
8. Validar las proyecciones financieras y flujo de caja previamente proyectados contra los datos
históricos y los apoyos económicos en proceso de adjudicación y renovación.
9. Efectuar seguimiento mensual a la gestión de los procesos de otorgamiento, legalización,
renovación, desembolsos, condonaciones y pasos al cobro de los fondos administrados por
la Vicepresidencia de Fondos en Administración que le sean asignados.
10. Efectuar seguimiento a los compromisos derivados de los Comités o Juntas Administradoras
de los fondos que le sean asignados.
11. Revisar respuestas a los requerimientos de los constituyentes, entes de control que le sean
solicitados.
12. Acompañar y efectuar recomendaciones en los Comités o Juntas Administradoras donde
sea solicitada su participación.
13. Apoyar la supervisión de los contratos y/o convenios que le sean asignados, relacionados
con el objeto contractual.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en oficinas institucionales ubicadas en ciudades o municipios distintos a Bogotá
D.C, por solicitud del supervisor, previo el otorgamiento de la correspondiente autorización
de desplazamiento.
17. Las demás asignadas por el supervisor y que tengan relación con el objeto del presente
contrato.</t>
  </si>
  <si>
    <t>2024-0794</t>
  </si>
  <si>
    <t>CD-797-2024</t>
  </si>
  <si>
    <t>901040737-9</t>
  </si>
  <si>
    <t>FUNDACION UNIVERSITARIA INTERNACIONAL DE COLOMBIA - UNICOL</t>
  </si>
  <si>
    <t>JOANNA ALEXANDRA ACEVEDO TERAN</t>
  </si>
  <si>
    <t>EL OBETO DEL PRESENTE CONVENIO ES CONSTITUIR UNA ALIANZA ESTRATEGICA ENTRE EL ICETEX Y LA INSTITUCION DE EDUCACION SUPERIOR- IES, PARA EL ACCESO, LA FINANCIACION Y PERMANENCIA EN LA EDUCACION SUPERIOR Y FORMACION PARA LA VIDA PROFESIONAL Y EL DESARROLLO HUMANO, EN COLOMBIA Y EN EL EXTERIOR A TRAVES DEL CREDITO EDUCATIVO Y LOS DIFERENTES INSTRUMENTOS FINANCIEROS Y MECANISMOS ESTABLECIDOS EN ICETEX: ASI COMO IMPLEMENTA- ESTRATEGIAS PARA FACILITAR LA TRANSICION HACIA EL AMBITO PROFESIONAL LABORAL (EMPLEO Y EMPRENDIMIENTO).</t>
  </si>
  <si>
    <t>6.22</t>
  </si>
  <si>
    <t>2024-0795</t>
  </si>
  <si>
    <t>CD-798-2024</t>
  </si>
  <si>
    <t>Prestar los servicios profesionales para apoyar a la Oficina de Relaciones Internacionales del ICETEX en el diseño, desarrollo, articulación y seguimiento asociado al proceso de puesta en marcha del Sistema Nacional de Información de Becas y Créditos Educativos-SNIBCE.</t>
  </si>
  <si>
    <t>CDEF-831-2024</t>
  </si>
  <si>
    <t>HONORARIOS-ORI</t>
  </si>
  <si>
    <t>1. Realizar las actividades necesarias en el proceso de implementación y puesta en producción del
Sistema Nacional de Información de Becas y Créditos Educativos (SNIBCE) de acuerdo con lo establecido en la Ley 1832 de 2017 y demás normas que la modifiquen y reglamenten, en lo relacionado a los programas de la Oficina de Relaciones Internacionales.
2. Articular y realizar seguimiento para la implementación y puesta en producción del Sistema
Nacional de Información de Becas y Créditos Educativos (SNIBCE) de acuerdo con lo establecido en la Ley 1832 de 2017 y demás normas que la modifiquen y reglamenten, en lo relacionado a los programas de la Oficina de Relaciones Internacionales.
3. Acompañar a la Oficina de Relaciones Internacionales en todas las actividades que se requieran para implementación y puesta en producción del Sistema Nacional de Información de Becas y
Créditos Educativos (SNIBCE)
4. Proponer estrategias para permitan la implementación y puesta en producción del Sistema
Nacional de Información de Becas y Créditos Educativos (SNIBCE) en lo relacionado a la política de Cooperación Académica Internacional e Interinstitucional.
5. Gestionar el relacionamiento interinstitucional que se requiera para la implementación y puesta en producción del Sistema Nacional de Información de Becas y Créditos Educativos (SNIBCE)
de conformidad con los parámetros definidos por la jefe de Oficina de Relaciones Intemacionales.
6. Asistir a comités técnicos y demás reuniones asignadas, elaborando los informes y actas correspondientes, entregando la documentación sistematizada al supervisor del contrato.
7. Realizar el apoyo a la supervisión técnica de los contratos o acuerdos asignados por la Jefe de la Oficina de Relaciones internacionales relacionados con el objeto del contrato.
8. Elaborar y tramitar los documentos necesarios conforme al proceso de comisiones establecido por el ICETEX, cuando se requiera su desplazamiento a nivel nacional o internacional en consonancia con las funciones de la ORI y del ICETEX.
9. Adelantar y apoyar la ejecución todas las propuestas y proyectos encaminados a fortalecer la cooperación internacional del ICETEX en el marco del proyecto de inversión *Fomento e
Innovación de la Internacionalización".
10. Las demás que sean asignadas por el Supervisor y tengan relación con el objeto del contrato.</t>
  </si>
  <si>
    <t>11.193</t>
  </si>
  <si>
    <t>2024-0796</t>
  </si>
  <si>
    <t>CD-799-2024</t>
  </si>
  <si>
    <t xml:space="preserve">
79523893
</t>
  </si>
  <si>
    <t>JAIME HUMBERTO PRIETO SARMIENTO</t>
  </si>
  <si>
    <t>Prestación de servicios profesionales especializados para la gestión
de Servicios de Tecnologías de la Información de la Dirección de Tecnología de la
Vicepresidencia de Operaciones y Tecnología del ICETEX.</t>
  </si>
  <si>
    <t>CDEF-820-2024</t>
  </si>
  <si>
    <t>1. Apoyar el control y entrega de los servicios de tecnológicos de cada proyecto o contrato
asignado por el coordinador del grupo de infraestructura tecnológica, asegurando que se
cumplan las obligaciones, tiempos y niveles de servicio acordados contractualmente.
2. Cooperar en la gestión de los equipos de trabajo de los contratos o proyectos asignados,
con el objetivo de proporcionar orientación y apoyo para garantizar la correcta operación de
los servicios ofrecidos por el grupo de infraestructura.
3. Soportar técnica y operativamente, la planeación de actividades de acuerdo con las
necesidades y expectativas para garantizar que los servicios de TI se alineen con los
objetivos de la entidad; esto incluye entre otros, la identificación de los requerimientos de
infraestructura tecnológica (software, hardware, redes, servicios y licenciamientos.
4. Apoyar y participar en la definición de la estrategia de TI del grupo de infraestructura
identificando oportunidades de mejora, proponiendo el diseño e implementación de
indicadores, garantizando que los servicios de TI respalden los objetivos de la Entidad en
cumplimiento de la normatividad.
5. Soportar la gestión y seguimiento a los presupuestos de los contratos y proyectos asignados;
brindando apoyo en la administración del presupuesto, monitoreando los costos, aplicación
de ANS, ejecución de bolsas de recursos, logrando que se lleven a cabo los pagos de los
servicios contratados de acuerdo con los cronogramas de facturación establecidos por la
entidad.
6. Apoyar la gestión de riesgos y seguridad de los contratos y proyectos asignados, para
garantizar la continuidad de la operación, garantizando el cumplimiento de las normativas y
estándares de seguridad.
7. Reportar y comunicar a las partes interesadas, la información sobre el estado de los servicios
de TI, de los proyectos en curso y cualquier problema o riesgo identificado, lo anterior
generando correos electrónicos, informes, reportes o respuestas a los diferentes
requerimientos que se generen sobre los contratos o proyectos asignados.
8. Investigar y evaluar tecnologías emergentes aplicables a la entidad para la mejora de
procesos, innovación o transformación digital de cada necesidad.</t>
  </si>
  <si>
    <t>13.60</t>
  </si>
  <si>
    <t>2024-0797</t>
  </si>
  <si>
    <t>CD-800-2024</t>
  </si>
  <si>
    <t>"PRESTAR SERVICIOS PROFESIONALES A LA SECRETARÍA GENERAL DEL ICETEX EN LA EJECUCIÓN DE LAS ACTIVIDADES TENDIENTES AL AJUSTE Y PERFECCIONAMIENTO DEL REDISEÑO INSTITUCIONAL PROPUESTO PARA LAS ÁREAS ESTRATÉGICAS, MISIONALES, DE APOYO Y/O CONTROL EN EL MARCO DE LA ACTUALIZACIÓN DE SU ESTRUCTURA ADMINISTRATIVA, DE ACUERDO CON LA NORMATIVIDAD VIGENTE Y DEMÁS DISPOSICIONES DE OTROS ORGANISMOS COMPETENTES"</t>
  </si>
  <si>
    <t>CDEF-816-2024</t>
  </si>
  <si>
    <t>TRANSFORMACION ARQUITECTURA ORGANIZACION</t>
  </si>
  <si>
    <t xml:space="preserve">1.	Elaborar el plan de trabajo para la ejecución del objeto contractual alineado con el plan general y cronograma para el ajuste de rediseño institucional del ICETEX; el cual será elaborado por el líder de dicho proceso y aprobado por la supervisión del contrato, enmarcado en los tiempos, responsabilidades y roles asignados por éstos para su cumplimiento. 
2.	Participar en el ajuste de la estructura organizacional propuesta y en la definición delas funciones de sus dependencias en consonancia con la propuesta del modelo de operación por procesos (mapa de procesos) y el Plan Estratégico Institucional vigente en el marco del Sistema Integrado de Gestión y el modelo integrado de planeación y gestión -MIPG; conforme la solicitud elevada por el supervisor contractual y el líder del proceso de rediseño institucional, en el marco del proyecto de fortalecimiento institucional. 
3.	Realizar los requerimientos de los ajustes y la actualización a la planta de personal asociada al nuevo modelo de operación por procesos y las dependencias de las áreas definidas para la entidad; de conformidad con los requisitos técnicos y normativos en la materia, en virtud de las cargas laborales determinadas y bajo los lineamientos establecidos por el líder del proceso para tal fin. 
4.	Apoyar la elaboración de los informes, documentos de diagnóstico, cuadros resúmenes y estadísticas solicitadas por el supervisor del contrato y el líder del proceso de rediseño institucional del ICETEX. 
5.	Prestar apoyo en el perfeccionamiento del estudio técnico de rediseño institucional que contenga la justificación técnica y jurídica del modelo de operación por procesos, según la guía de Rediseño Institucional de Entidades Públicas de Orden Nacional elaborada por el Departamento Administrativo de la Función Pública – DAFP para tal fin y en observancia de los requisitos técnicos y normativos en la materia. 
6.	Contribuir al perfeccionamiento y ajuste del análisis financiero de viabilidad e impacto de la planta de personal propuesta, desarrollando los análisis comparativos pertinentes contra la planta de personal actual y en observancia de los requisitos técnicos y normativos en la materia. 
7.	Participar en la elaboración de los actos administrativos requeridos para la modificación de la estructura organizacional, planta de personal, sistema de nomenclatura, manual específico de funciones y competencias laborales del ICETEX, observando los criterios establecidos por la entidad para tal fin y en armonía con lo requerido en la Guía de Rediseño Institucional de Entidades Públicas del orden nacional elaborado por el Departamento Administrativo de la Función Pública – DAFP, así como de otros organismos competentes. 
8.	Participar en las tareas de revisión conjunta con los asesores del Departamento Administrativo de la Función Pública de los avances y productos correspondientes al proceso de rediseño institucional del ICETEX a las que sea convocado e implementar los ajustes, correcciones y sugerencias que surjan de dicha asesoría técnica. 
9.	Apoyar y acompañar a la alta dirección del ICETEX y/o equipo interno de trabajo que establezca la entidad para la difusión, socialización análisis y sustentación técnica de las actividades, los productos, los resultados y el proceso de rediseño institucional ante los servidores públicos y demás instancias a las que sea convocado-a hasta la aprobación del proceso. 
10.	Apoyar la elaboración del cronograma de trabajo para el desarrollo del ajuste y el perfeccionamiento de las acciones de rediseño institucional del ICETEX, con base en la Guía de Rediseño Institucional de Entidades Públicas del orden nacional elaborado por el Departamento Administrativo de la Función Pública – DAFP y demás organismos competentes 
11.	Proyectar los actos administrativos para la implementación de la planta de personal resultantes del rediseño organizacional, en el marco del proyecto de fortalecimiento institucional. 
12.	Apoyar la elaboración de la propuesta de estructura interna para el Icetex actualizada en consonancia con el mapa de procesos, el Plan Estratégico Institucional y las nuevas políticas y lineamientos del Gobierno Nacional. 
13.	Acompañar profesionalmente la elaboración del manual de funciones y competencias laborales de las dependencias propuestas para el ICETEX 
14. Las demás asignadas por el supervisor, relacionadas con el objeto y la naturaleza del contrato.
</t>
  </si>
  <si>
    <t>20243030006557-I Id: 4612009</t>
  </si>
  <si>
    <t>4.76</t>
  </si>
  <si>
    <t>2024-0798</t>
  </si>
  <si>
    <t>CD-801-2024</t>
  </si>
  <si>
    <t>VALENTINA VILLANEDA TANGARIFE</t>
  </si>
  <si>
    <t>PRESTAR SERVICIOS PROFESIONALES PARA LA RECOLECCIÓN, PROCESAMIENTO Y TRATAMIENTO DE LA INFORMACIÓN EN EL MARCO DEL DESARROLLO DEL PLAN ESTRATÉGICO DE LA ENTIDAD Y LA "POLÍTICA DE GUÍA, INFORMACIÓN Y ACOMPAÑAMIENTO".</t>
  </si>
  <si>
    <t>CDEF-847-2024</t>
  </si>
  <si>
    <t xml:space="preserve">Apoyar los procesos de recolección, captura, procesamiento, análisis, divulgación y gestión de datos e información de acuerdo con los objetivos del proyecto Comunidad ICETEX.  
2.	Proporcionar apoyo en el suministro de la información necesaria para la planificación, ejecución y supervisión de las actividades del proyecto Comunidad ICETEX.
3.	Establecer e implementar las técnicas necesarias para la recolección, captura, administración y evaluación de datos recabados de los usuarios que estén disponibles en el ICETEX, los que puedan provenir de otras instituciones o fuentes o que deban recopilarse directamente y que sean pertinentes para alcanzar las metas de Comunidad ICETEX. 
4.	Aportar a la elaboración de reportes y documentos técnicos que sean requeridos por otras dependencias de la entidad o por externos.  
5.	Asistir a reuniones y/o comités de conformidad con las necesidades de la entidad y la designación del supervisor del contrato. 
6.	Informe mensual de actividades y cumplimiento de los indicadores de gestión establecidos.
7.	Las demás obligaciones que se requieran para el cumplimiento a cabalidad del objeto contractual y que sean inherentes a la naturaleza del contrato. 
</t>
  </si>
  <si>
    <t>20243030006904-I Id: 4642899</t>
  </si>
  <si>
    <t>10.66</t>
  </si>
  <si>
    <t>2024-0799</t>
  </si>
  <si>
    <t>CD-802-2024</t>
  </si>
  <si>
    <t>JACQUELINE TORRES ACOSTA</t>
  </si>
  <si>
    <t>CDEF-429-2024</t>
  </si>
  <si>
    <t xml:space="preserve">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vigentes y los procedimientos del ICETEX. 
13.	Convocar las mesas de trabajo de manera presencial o virtual con los constituyentes de los fondos a su cargo, y elaborar las actas de los Cómites y Juntas Administradoras en los que el ICETEX tenga a cargo la Secretaria Técnica. 
14.	Incorporar en los expedientes de los fondos y en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</si>
  <si>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20243030006945-I Id: 4643187</t>
  </si>
  <si>
    <t>2.13</t>
  </si>
  <si>
    <t>2024-0800</t>
  </si>
  <si>
    <t>CD-803-2024</t>
  </si>
  <si>
    <t>MATEO HERRÓN FAJARDO</t>
  </si>
  <si>
    <t>PRESTAR LOS SERVICIOS PROFESIONALES ESPECIALIZADOS PARA REALIZAR LAS ACTIVIDADES DERIVADAS DE LOS LINEAMIENTOS DEL PROCESO ESTADÍSTICO DEL SISTEMA ESTADÍSTICO NACIONAL DE LAS OPERACIONES ESTADÍSTICAS DEL ICETEX ASÍ COMO EN LA GESTIÓN DE PROYECTOS LEGISLATIVOS, DE INNOVACIÓN, TECNOLÓGICOS Y DEL PLAN ESTRATÉGICO</t>
  </si>
  <si>
    <t>CDEF-845-2024</t>
  </si>
  <si>
    <t xml:space="preserve">
1.	Ejecutar periódicamente las actividades relacionadas con acopio, limpieza y el procesamiento de las bases de datos fuente de las operaciones estadísticas de la entidad. 
2.	Apoyar la ejecución de las actividades establecidas en la Norma Técnica de Calidad del Proceso Estadístico - NTC PE 1000:2020 y los demás lineamientos del proceso estadístico que se establezcan en el marco del Sistema Estadístico Nacional - SEN. 
3.	Participar en mesas de trabajo internas y externas relacionadas con el proceso estadístico de la entidad y con el gobierno de datos institucional. 
4.	Proponer, apoyar y gestionar actividades para la mejora de la calidad de datos de los sistemas de información de la entidad, así como con iniciativas de integración, interoperabilidad, almacenamiento de datos, inteligencia de negocios, analítica de datos y computación en la nube. 
5.	Atender y responder los requerimientos de información estadística y de archivos de datos que sean realizadas a la Oficina Asesora de Planeación por usuarios internos y externos. 
6.	Elaborar informes, reportes y tableros de control con la información estadística de la entidad. 
7.	Gestionar el repositorio de información, Sharepoint, de la Oficina Asesora de Planeación. 
8.	Contribuir con el diseño de iniciativas legislativas relacionadas con el proyecto de reforma a la Entidad.
9.	Orientar la formulación de parámetros y aspectos técnicos, económicos y financieros necesarios para la reglamentación de los artículos que fueron incluidos en el Plan Nacional de Desarrollo y se encuentran relacionados con la Entidad. 
10.	Hacer seguimiento y gestionar las acciones que sean necesarias para el cumplimiento del Plan Estratégico 2023-2026 “Por un ICETEX más Humano”. 
11.	Las demás obligaciones asignadas por el Supervisor del Contrato y que sean acordes con el objeto contractual. 
</t>
  </si>
  <si>
    <t>20243030006967-I Id: 4643851</t>
  </si>
  <si>
    <t>13.51</t>
  </si>
  <si>
    <t>2024-0801</t>
  </si>
  <si>
    <t>CD-804-2024</t>
  </si>
  <si>
    <t>ALBERTO FREDY SUAREZ CASTAÑEDA,</t>
  </si>
  <si>
    <t>PRESTAR SERVICIOS PROFESIONALES ESPECIALIZADOS A LA SECRETARÍA GENERAL DEL ICETEX, PARA ASESORAR Y BRINDAR ACOMPAÑAMIENTO EN LAS ACTIVIDADES TENDIENTES AL AJUSTE Y PERFECCIONAMIENTO DEL REDISEÑO ORGANIZACIONAL E INSTITUCIONAL PROPUESTO, DE ACUERDO CON LA NORMATIVIDAD VIGENTE Y DEMÁS DISPOSICIONES DE OTROS ORGANISMOS COMPETENTES</t>
  </si>
  <si>
    <t>CDEF-2024-848</t>
  </si>
  <si>
    <t xml:space="preserve">1.	Apoyar, direccionar e implementar el cronograma de trabajo para realizar las acciones encaminadas para la implementación del rediseño institucional del ICETEX, con base en la Guía de Rediseño Institucional de Entidades Públicas del orden nacional elaborado por el Departamento Administrativo de la Función Pública – DAFP y demás disposiciones de organismos competentes.
2.	Establecer, acompañar y apoyar el desarrollo de las actividades de cada una de las fases planificadas para el proceso de ajuste al rediseño institucional requeridas por los organismos competentes en el marco de la Guía de Rediseño Institucional de Entidades Públicas del Orden Nacional elaborado por el Departamento Administrativo de la Función Pública – DAFP que han de ser ejecutadas por el equipo de trabajo constituido para tal fin.
3.	Realizar y perfeccionar las actividades de ajuste de la estructura organizacional propuesta de la entidad y las funciones de sus dependencias, en concordancia con la propuesta del modelo de operación por procesos (mapa de procesos), el Plan Estratégico Institucional vigente, y los requerimientos del Sistema Integrado de Gestión, Modelo Integrado de Planeación y Gestión - MIPG del ICETEX; así como las recomendaciones realizadas por el Departamento Administrativo de la Función Pública y demás organismos competentes.
4.	Apoyar y realizar los ajustes requeridos a la planta de personal propuesta en el marco del rediseño institucional en concordancia con el marco del modelo de operación por procesos y dependencias de las áreas definidas para la entidad, de conformidad con los requisitos técnicos y normativos en la materia y como resultado del análisis de las cargas laborales determinadas.
5.	Realizar los ajustes necesarios a los manuales de funciones, requisitos mínimos y competencias laborales en el marco de la nueva estructura organizacional para el ICETEX, dando cumplimiento a los requisitos técnicos y normativos en la material
6.	Asesora la construcción del estudio técnico propuesto de rediseño institucional que contenga la justificación técnica y jurídica del modelo operativo, según la guía de Rediseño Institucional de Entidades Públicas de Orden Nacional elaborada por el Departamento Administrativo de la Función Pública – DAFP y a la luz de las demás disposiciones de organismos competentes para tal fin, en observancia de los requisitos técnicos y normativos en la materia.
7.	Apoyar la elaboración del análisis financiero de viabilidad e impacto, con comparativos de los escenarios de las plantas actual y propuestas para la entidad, observando los requisitos técnicos y normativos en la materia. 
8.	Proyectar los ajustes a los actos administrativos requeridos para la modificación y/o conciliación de la estructura organizacional, planta de personal, manual específico de funciones y competencias laborales del Icetex, observando los criterios establecidos por la entidad para tal fin y en armonía con lo requerido en la Guía de Rediseño Institucional de Entidades Públicas del orden nacional elaborado por el Departamento Administrativo de la Función Pública – DAFP y demás disposiciones de organismos competentes. 
9.	Apoyar y acompañar a la alta dirección del Icetex y/o equipo interno de trabajo que establezca la entidad para la difusión, socialización análisis y sustentación técnica de las actividades, los productos, los resultados y el proceso de rediseño institucional propuesto ante los servidores públicos, Junta Directiva, Departamento Administrativo de la Función Pública, Ministerio de Educación Nacional, Ministerio de Hacienda y demás instancias requeridas hasta la aprobación del proceso. 
10.	Estructurar y presentar los informes mensuales que dé cuenta del cumplimiento de todas obligaciones contractuales, así como la entrega de los documentos construidos durante la ejecución del contrato. 
11.	 Acompañar la elaboración de la propuesta definitiva de estructura interna para el Icetex actualizada en consonancia con el mapa de procesos, el Plan Estratégico Institucional y las nuevas políticas y lineamientos del Gobierno Nacional. 
12.	Asesorar la actualización de la planta de personal definitiva y con los ajustes asociados a los procesos y dependencias de las áreas definidas para la entidad. 
13.	Asesorar la proyección de manual de funciones y competencias laborales de las dependencias aprobadas para el ICETEX. 
14.	Prestar asesoría profesional en la elaboración del estudio técnico de rediseño institucional del Icetex según la guía de Rediseño Institucional de Entidades Públicas del Orden Nacional elaborada por el Departamento Administrativo de la Función Pública – DAFP y demás disposiciones de organismos competentes. 
15.	Las demás obligaciones que sean acordes con el objeto contractual asignado por quien ejerza la función de la Supervisión del Contrato.
</t>
  </si>
  <si>
    <t>20243030006979-I Id: 4644350</t>
  </si>
  <si>
    <t>4.81</t>
  </si>
  <si>
    <t>2024-0802</t>
  </si>
  <si>
    <t>CD-805-2024</t>
  </si>
  <si>
    <t xml:space="preserve">SANTIAGO MORENO GÓMEZ </t>
  </si>
  <si>
    <t>PRESTAR SERVICIOS DE APOYO A LA GESTIÓN EN EL DESARROLLO WEB DEL ECOSISTEMA DIGITAL EN EL MARCO DEL DESARROLLO DEL PLAN ESTRATÉGICO DE LA ENTIDAD Y LA "POLÍTICA DE GUÍA, INFORMACIÓN Y ACOMPAÑAMIENTO</t>
  </si>
  <si>
    <t>CDEF-2024-846</t>
  </si>
  <si>
    <t xml:space="preserve">1.	Participar en la planeación, ejecución y seguimiento de las actividades que requiera la “Unidad de Comunicaciones y Desarrollos” del proyecto Comunidad ICETEX.  
2.	Contribuir al desarrollo y puesta en marcha del Ecosistema Digital de Comunidad ICETEX.
3.	Apoyar el desarrollo de funcionalidades interactivas para mejorar la experiencia del usuario y fomentar la participación de los beneficiarios en el Ecosistema Digital de Comunidad ICETEX.
4.	Apoyar el desarrollo de los elementos gráficos necesarios para la interfaz de plataformas tecnológicas de Comunidad ICETEX atendiendo a los lineamientos visuales del Gobierno Nacional. 
5.	Asistir a reuniones y/o comités de conformidad con las necesidades de la entidad y la designación del supervisor del contrato. 
6.	Informe mensual de actividades y cumplimiento de los indicadores de gestión establecidos.
7.	Las demás obligaciones que se requieran para el cumplimiento a cabalidad del objeto contractual y que sean inherentes a la naturaleza del contrato.
</t>
  </si>
  <si>
    <t>20243030007067-I Id: 4646504</t>
  </si>
  <si>
    <t>11.13</t>
  </si>
  <si>
    <t>2024-0803</t>
  </si>
  <si>
    <t>IS-787-2024</t>
  </si>
  <si>
    <t>830084433-7</t>
  </si>
  <si>
    <t>SOCIEDAD CAMERAL DE CERTIFICACION DIGITALCERTICAMARA S A</t>
  </si>
  <si>
    <t xml:space="preserve">SANDRA PATRICIA CASTAÑO CALERO </t>
  </si>
  <si>
    <t>SERVICIO DE PLATAFORMA TECNOLÓGICA DE SUBASTAS ASCENDENTES ELECTRÓNICAS PARA EL ICETEX.</t>
  </si>
  <si>
    <t>VF-2024-006
CDEF-2024-581</t>
  </si>
  <si>
    <t>ANALISTA GRADO 04 VICEPRESIDENCIA FINANCIERA</t>
  </si>
  <si>
    <t>9.9</t>
  </si>
  <si>
    <t>2024-0804</t>
  </si>
  <si>
    <t>CD-806-2024</t>
  </si>
  <si>
    <t xml:space="preserve">JOHN ALBEIRO GIRALDO SABOGAL </t>
  </si>
  <si>
    <t>PRESTAR LOS SERVICIOS PROFESIONALES PARA REALIZAR LA ESTRUCTURACIÓN DE REPORTES ANALÍTICOS Y ADMINISTRACIÓN DE BASES DE DATOS DE LOS PROCESOS Y PROCEDIMIENTOS CORRESPONDIENTES AL ÁREA DE CRÉDITO.</t>
  </si>
  <si>
    <t>CDEF-443-2024</t>
  </si>
  <si>
    <t>HONORARIOS- VCC</t>
  </si>
  <si>
    <t xml:space="preserve">OBLIGACIONES ESPECÍFICAS DEL CONTRATISTA	1.	Apoyar en la elaboración y diseño de reportes estadísticos requeridos correspondientes al proceso de seguimiento de otorgamiento, legalización y renovación de créditos o los que se requieran que permitan brindar al área herramientas con el fin de analizar la información para la mejora continua y la optimización en los procesos. 
2.	Consolidar, generar, informar y cruzar información que permita analizar los indicadores y resultados en los procesos y alertar en caso de que se presenten fallas operativas. 
3.	Elaboración de reportes estadísticos requeridos correspondientes al proceso de seguimiento de otorgamiento, legalización y renovación de créditos o los que se requieran que permitan brindar al área herramientas con el fin de analizar la información para la mejora continua y la optimización en los procesos. 
4.	Realizar análisis de datos sobre los resultados de la operación, (Inteligencia de Negocios) para optimizar el rendimiento y mejorar el cumplimiento de los indicadores. 
5.	Realizar la revisión, validación y control del proceso de legalización y renovación de créditos educativos. 
6.	Realizar pruebas de los procedimientos que le sean asignados con el fin de evitar errores que afecten las solicitudes y la operatividad. 
7.	Realizar apoyos en la evaluación, consolidación, seguimiento, verificación en el comité de los procesos y procedimientos. 
8.	Apoyar en la estructuración de documentos que permitan mejorar los procesos y procedimientos del área. 
9.	Atender requerimientos internos y externos de los procesos y procedimientos del área. 
10.	Asistir y participar a las reuniones programadas. 
11.	Elaborar y presentar los informes de gestión que se requieran y se relacionen con el cumplimiento del objeto contractual. 
12.	Cumplir con los indicadores de gestión establecidos. 
13.	Las demás obligaciones que se requieran para el cumplimiento a cabalidad del objeto contractual y que sean inherentes a la naturaleza del contrato. 
</t>
  </si>
  <si>
    <t>20243030007104-I Id: 4647339</t>
  </si>
  <si>
    <t>13.121</t>
  </si>
  <si>
    <t>2024-0805</t>
  </si>
  <si>
    <t>CD-807-2024</t>
  </si>
  <si>
    <t>830037946-3</t>
  </si>
  <si>
    <t>PANAMERICANA LIBRERÍA Y PAPELERÍA S.A.</t>
  </si>
  <si>
    <t>JULY ANDREA MENDEZ SIERRA</t>
  </si>
  <si>
    <t>CONTRATAR LA ADQUISICIÓN DE MOBILIARIO PARA LAS SEDES ICETEX A NIVEL NACIONAL.</t>
  </si>
  <si>
    <t>CDEF-2024-851</t>
  </si>
  <si>
    <t>IG3321130220001</t>
  </si>
  <si>
    <t>2024-0806</t>
  </si>
  <si>
    <t>CD-808-2024</t>
  </si>
  <si>
    <t xml:space="preserve">PRESTACIÓN DE SERVICIOS PROFESIONALES COMO ABOGADO PARA APOYAR EL DESARROLLO Y SEGUIMIENTO DE LA ACTIVIDAD CONTRACTUAL EN EL MARCO DEL PROYECTO DE FORTALECIMIENTO ORGANIZACIONAL Y LA IMPLEMENTACIÓN DE LA POLÍTICA DE COMPRAS PÚBLICAS Y DE CONTRATACIÓN DEL ICETEX.
</t>
  </si>
  <si>
    <t>CDEF- 870-2024</t>
  </si>
  <si>
    <t xml:space="preserve">1.	Realizar la proyección, revisión de documentación y acompañamiento jurídico de todos tramites de contratación en las etapas precontractual, contractual y postcontratual de las diferentes áreas del ICETEX.
2.	Hacer parte del Comité de estructuración y/o evaluación cuando así se le designe, dar cumplimiento a las actividades contempladas para dichos roles y asistir a las audiencias, comités y en general todas las reuniones que se requieran en el desarrollo de los certámenes de contratación y a las que sea convocado por quien ejerza la supervisión contractual.
3.	Apoyar en la estructuración de las respuestas a las peticiones, observaciones de procesos, y demás actuaciones que le sean asignadas dentro del término legal, haciendo seguimiento de su entrega efectiva al solicitante o peticionario. 
4.	Solicitar al área financiera la expedición de los registros presupuestales de los contratos o convenios a su cargo.
5.	Hacer seguimiento al cumplimiento de los requisitos legales y contractuales generados por suscripción de: contratos, modificaciones contractuales, aclaraciones, suspensiones, reinicios y liquidaciones.
6.	Alimentar en forma digital la base de datos de los archivos asignados relacionados con la liquidación y el estado de estos, así como, la matriz de seguimiento de las aprobaciones de garantías que revise, así como efectuar la correcta y oportuna publicación y seguimiento de los certámenes que le sean asignados en el Portal Único de Contratación de Colombia Compra Eficiente.
7.	Recopilar la información y documentación básica del expediente contractual de los trámites que le sean asignados y hacer la correspondiente entrega de los mismos según indicaciones del supervisor del contrato. 
8.	Cumplir con los indicadores de gestión establecidos.
</t>
  </si>
  <si>
    <t>2024-0807</t>
  </si>
  <si>
    <t>CD-809-2024</t>
  </si>
  <si>
    <t>2024-0808</t>
  </si>
  <si>
    <t>CD-810-2024</t>
  </si>
  <si>
    <t>PRESTACIÓN DE SERVICIOS PROFESIONALES COMO ABOGADO PARA APOYAR EL DESARROLLO Y SEGUIMIENTO DE LA ACTIVIDAD CONTRACTUAL EN EL MARCO DEL PROYECTO DE FORTALECIMIENTO ORGANIZACIONAL Y LA IMPLEMENTACIÓN DE LA POLÍTICA DE COMPRAS PÚBLICAS Y DE CONTRATACIÓN DEL ICETEX</t>
  </si>
  <si>
    <t>CDEF- 869-2024</t>
  </si>
  <si>
    <t>2024-0809</t>
  </si>
  <si>
    <t>CD-811-2024</t>
  </si>
  <si>
    <t>GIOHANA CATARINE GONZALEZ TURIZO</t>
  </si>
  <si>
    <t xml:space="preserve">1.	Realizar la proyección, revisión de documentación, aprobación y acompañamiento jurídico de todos tramites de contratación en las etapas precontractual, contractual y postcontratual de las diferentes áreas del ICETEX.
2.	Orientar en los procesos de liquidación de los Contratos, Órdenes de Compra y convenios suscritos por el ICETEX así como adelantar los tramites concernientes a los mismos en el marco del proyecto de inversión y validarlos para visto bueno del coordinador (a) de grupo, conforme a lo dispuesto en el Manual de Contratación.
3.	Evidenciar las alertas sobre el vencimiento de los contratos, órdenes de compra y de los convenios, a fin de que puedan adoptar las decisiones pertinentes de manera oportuna, así como proponer alternativas de control para validar que los plazos establecidos para la suscripción de liquidaciones dentro del plazo respectivo.
4.	Realizar seguimiento a las bases de datos de los archivos asignados relacionados con la liquidación   y el estado de estos.
5.	Hacer seguimiento al cumplimiento de los requisitos legales y contractuales generados por suscripción de liquidaciones y demás trámites que le hayan sido asignados. 
6.	Apoyar en los aspectos legales a las áreas o abogados que hagan parte del grupo de contratación que lo requieran en la estructuración de Estudios y documentos previos necesarios para los diferentes trámites de contratación en pro del fortalecimiento organizacional.
7.	Asistir a las reuniones a las que sea citado previa coordinación con el supervisor del contrato.
8.	Las demás asignadas por el supervisor y que tengan relación con el objeto del presente contrato.
</t>
  </si>
  <si>
    <t>13.104</t>
  </si>
  <si>
    <t>2024-0810
OC 130667</t>
  </si>
  <si>
    <t>800020006-1</t>
  </si>
  <si>
    <t xml:space="preserve">AUTO INVERSIONES COLOMBIA S.A. </t>
  </si>
  <si>
    <t>GIOVANII ESPITIA MELO</t>
  </si>
  <si>
    <t>CONTRATAR EL MANTENIMIENTO PREVENTIVO Y CORRECTIVO, LAVADO Y REVISIÓN TÉCNICO-MECÁNICA, INCLUIDA MANO DE OBRA, SUMINISTRO DE REPUESTOS ORIGINALES NUEVOS Y DEMÁS SERVICIOS COMPLEMENTARIOS DE MANTENIMIENTO REQUERIDOS PARA EL PARQUE AUTOMOTOR DE ICETEX. (CHEVROLET SAIL)</t>
  </si>
  <si>
    <t>CDEF- 832-2024</t>
  </si>
  <si>
    <t>MANTENIMIENTO EQUIPO DE TRANSPORTE</t>
  </si>
  <si>
    <t>IG 1002004005006</t>
  </si>
  <si>
    <t>2024-0811
OC 130668</t>
  </si>
  <si>
    <t>CONTRATAR EL MANTENIMIENTO PREVENTIVO Y CORRECTIVO, LAVADO Y REVISIÓN TÉCNICO-MECÁNICA, INCLUIDA MANO DE OBRA, SUMINISTRO DE REPUESTOS ORIGINALES NUEVOS Y DEMÁS SERVICIOS COMPLEMENTARIOS DE MANTENIMIENTO REQUERIDOS PARA EL PARQUE AUTOMOTOR DE ICETEX. (CHEVROLET LUV)</t>
  </si>
  <si>
    <t>2024-0812
OC 130669</t>
  </si>
  <si>
    <t>CONTRATAR EL MANTENIMIENTO PREVENTIVO Y CORRECTIVO, LAVADO Y REVISIÓN TÉCNICO-MECÁNICA, INCLUIDA MANO DE OBRA, SUMINISTRO DE REPUESTOS ORIGINALES NUEVOS Y DEMÁS SERVICIOS COMPLEMENTARIOS DE MANTENIMIENTO REQUERIDOS PARA EL PARQUE AUTOMOTOR DE ICETEX. (FORD)</t>
  </si>
  <si>
    <t>2024-0813
OC 130670</t>
  </si>
  <si>
    <t>CONTRATAR EL MANTENIMIENTO PREVENTIVO Y CORRECTIVO, LAVADO Y REVISIÓN TÉCNICO-MECÁNICA, INCLUIDA MANO DE OBRA, SUMINISTRO DE REPUESTOS ORIGINALES NUEVOS Y DEMÁS SERVICIOS COMPLEMENTARIOS DE MANTENIMIENTO REQUERIDOS PARA EL PARQUE AUTOMOTOR DE ICETEX. (MAZDA)</t>
  </si>
  <si>
    <t>2024-0814</t>
  </si>
  <si>
    <t>CD-812-2024</t>
  </si>
  <si>
    <t>844002071-4</t>
  </si>
  <si>
    <t>UNIVERSIDAD INTERNACIONAL DEL TROPICO AMERICANO- UNITROPICO</t>
  </si>
  <si>
    <t>ORIOL JIMENEZ SILVA</t>
  </si>
  <si>
    <t>EL OBJETO DEL PRESENTE DOCUMENTO ES PRORROGAR EL PLAZO ESTABLECIDO EN LA CLÁUSULA QUINTA Y MODIFICAR EL ANEXO A - PORCENTAJE FIJO APORTE IES DEL ACUERDO ESTRATÉGICO No 2024-0814</t>
  </si>
  <si>
    <t>2024-0815</t>
  </si>
  <si>
    <t>CD-813-2024</t>
  </si>
  <si>
    <t>CDEF- 872-2024</t>
  </si>
  <si>
    <t xml:space="preserve">1.	Apoyar en el diagnóstico del Sistema de Gestión de Calidad del Grupo de Contratación, de conformidad con los escenarios de transformación que viene desarrollando el ICETEX.
2.	Asesorar en la actualización de los procesos, procedimientos y formatos respectivos, en el marco de la normatividad vigente y a la luz del Sistema de Gestión de Calidad de la Entidad, comprendido en su Modelo Integrado de Planeación y Gestión MIPG. 
3.	Garantizar el cumplimiento en la aplicación de documentos que maneja el Grupo de Contratación. 
4.	Velar por el cumplimiento de las metas e iniciativas estratégicas del ICETEX en concordancia con el Modelo Integrado de Planeación y Gestión - MIPG. 
5.	Apoyar a la Secretaría General y al Grupo de Contratación, en el desarrollo de las políticas de gestión ambiental, el cumplimiento del Plan Institucional de Gestión Ambiental y la implementación de la Iniciativa de Responsabilidad Social Institucional que desarrolla la entidad. 
6.	Hacer seguimiento y control al control a las auditorías internas y externas que sean solicitadas al grupo de contratación y a la construcción y reporte de los planes de mejoramiento de la Secretaría General y Grupo de Contratación. 
7.	Cumplir con los indicadores de gestión establecidos. 
8.	Las demás asignadas por el supervisor y que tengan relación con el objeto del presente contrato.
</t>
  </si>
  <si>
    <t>11195</t>
  </si>
  <si>
    <t>2024-0816</t>
  </si>
  <si>
    <t>CD-815-2024</t>
  </si>
  <si>
    <t>MARIA ALEJANDRA CORREDOR TOCARRUNCHO</t>
  </si>
  <si>
    <t> PRESTACIÓN DE SERVICIOS PROFESIONALES ESPECIALIZADOS PARA LA GESTIÓN DE PROYECTOS EN EL ÁMBITO TECNOLÓGICO CON ALINEACIÓN AL CICLO DE MEJORA CONTINUA PARA EL ICETEX.</t>
  </si>
  <si>
    <t>CDEF- 862-2024</t>
  </si>
  <si>
    <t xml:space="preserve">OBLIGACIONES ESPECÍFICAS DEL CONTRATISTA	1.	Promover reuniones con los diferentes interesados para asegurar el alcance de los requerimientos de los proyectos a cargo de la Vicepresidencia de Operaciones y Tecnología, en los aspectos de la definición de especificaciones, la aprobación e implementación de requerimientos y demás aspectos para la óptima ejecución de los proyectos asignados.
2.	Elaborar y garantizar el cumplimiento y actualización de los planes de trabajo asociados a los proyectos asignados.
3.	Realizar el seguimiento y reportar a la Vicepresidencia de Operaciones y Tecnología el estado de avance de los compromisos establecidos y la gestión de recursos asignados a cada uno de los proyectos, por medio de las herramientas definidas y el debido proceso establecido para este fin. 
4.	Identificar las necesidades de recursos para la ejecución de los proyectos de la Vicepresidencia de Operaciones y Tecnología y apoyar en las gestiones requeridas para su consecución. 
5.	Garantizar la adecuada implementación de los procedimientos de gestión de servicios tecnológicos, lineamientos de arquitectura y tecnología durante la ejecución de los proyectos asignados.
6.	Identificar y promover acciones de mejora en el seguimiento y ejecución de los proyectos a cargo de la Vicepresidencia de Operaciones y Tecnología.
7.	Proponer acciones de mejora que fortalezcan la estrategia, metodología, actividades de la gestión de los proyectos a cargo de la Vicepresidencia de Operaciones y Tecnología.
8.	Generar las alertas que afecten los proyectos asignados oportunamente e implementar el respectivo plan de mitigación que busque el cumplimiento de los planes establecidos.
</t>
  </si>
  <si>
    <t>20243030007179-I Id: 4650373</t>
  </si>
  <si>
    <t>2024-0817
OC 130740</t>
  </si>
  <si>
    <t>CONTRATAR EL MANTENIMIENTO PREVENTIVO Y CORRECTIVO, LAVADO Y REVISIÓN TÉCNICO-MECÁNICA, INCLUIDA MANO DE OBRA, SUMINISTRO DE REPUESTOS ORIGINALES NUEVOS Y DEMÁS SERVICIOS COMPLEMENTARIOS DE MANTENIMIENTO REQUERIDOS PARA EL PARQUE AUTOMOTOR DE ICETEX. (KIA)</t>
  </si>
  <si>
    <t>2024-0818
OC 130739</t>
  </si>
  <si>
    <t>900110012-5</t>
  </si>
  <si>
    <t>MORARCI GROUP S.A.S.</t>
  </si>
  <si>
    <t>LOLY LUZ ARIZA FONTALVO</t>
  </si>
  <si>
    <t>CONTRATAR EL MANTENIMIENTO PREVENTIVO Y CORRECTIVO, LAVADO Y REVISIÓN TÉCNICO-MECÁNICA, INCLUIDA MANO DE OBRA, SUMINISTRO DE REPUESTOS ORIGINALES NUEVOS Y DEMÁS SERVICIOS COMPLEMENTARIOS DE MANTENIMIENTO REQUERIDOS PARA EL PARQUE AUTOMOTOR DE ICETEX. (TOYOTA)</t>
  </si>
  <si>
    <t>13.144</t>
  </si>
  <si>
    <t>2024-0819</t>
  </si>
  <si>
    <t>IS-791-2024</t>
  </si>
  <si>
    <t>800126785-7</t>
  </si>
  <si>
    <t xml:space="preserve">EMERMEDICA SA SERVICIOS DE AMBULANCIA PREPAGADOS </t>
  </si>
  <si>
    <t>GUSTAVO FONSECA VIVAS</t>
  </si>
  <si>
    <t>PRESTAR SERVICIOS DE ÁREA PROTEGIDA PARA RESGUARDAR Y ATENDER OPORTUNAMENTE LAS URGENCIAS Y/O EMERGENCIAS QUE LE OCURRAN A LAS PERSONAS QUE SE ENCUENTREN DENTRO DE LAS INSTALACIONES FÍSICAS DEL ICETEX A NIVEL NACIONAL, ASÍ COMO TRASLADOS ASISTIDOS A CENTROS MÉDICOS HOSPITALARIOS, ORIENTACIÓN MEDICA TELEFÓNICA LAS VEINTICUATRO (24) HORAS DEL DÍA DURANTE EL TIEMPO CONTRATADO, ENTRE OTRAS ASISTENCIAS QUE SEAN INDISPENSABLES PARA LA ÓPTIMA PRESTACIÓN DEL SERVICI</t>
  </si>
  <si>
    <t>CDEF- 747-2024</t>
  </si>
  <si>
    <t>SERVICIOS DE SALUD OCUPACIONAL</t>
  </si>
  <si>
    <t>IG311002004021009 -</t>
  </si>
  <si>
    <t>13.99</t>
  </si>
  <si>
    <t>2024-0820</t>
  </si>
  <si>
    <t>IS-789 -2024</t>
  </si>
  <si>
    <t>901625431-2</t>
  </si>
  <si>
    <t>CERTIFIK S.A.S</t>
  </si>
  <si>
    <t xml:space="preserve">JOSE JOAQUIN HERNANDEZ SALAZAR </t>
  </si>
  <si>
    <t xml:space="preserve">CONTRATAR LA REVISIÓN Y CERTIFICACIÓN DE LOS EQUIPOS DE TRANSPORTE VERTICAL (ASCENSORES) DE ICETEX DE CONFORMIDAD CON LA NORMATIVIDAD VIGENTE Y LA NTC QUE </t>
  </si>
  <si>
    <t>CDEF- 833-2024</t>
  </si>
  <si>
    <t>20243030006460-I Id: 4602504</t>
  </si>
  <si>
    <t>9.41</t>
  </si>
  <si>
    <t>2024-0821</t>
  </si>
  <si>
    <t>IMC-776-2024</t>
  </si>
  <si>
    <t>900422614-8</t>
  </si>
  <si>
    <t xml:space="preserve">EXPERIAN COLOMBIA S.A.  </t>
  </si>
  <si>
    <t>PRESTAR LOS SERVICIOS ESPECIALIZADOS PARA FORTALECER LA CONTACTABILIDAD DE LOS USUARIOS DE LA ENTIDAD</t>
  </si>
  <si>
    <t>CDEF- 606-2024</t>
  </si>
  <si>
    <t>OTROS SERVICIOS OPERATIVOS VCC</t>
  </si>
  <si>
    <t>10.39</t>
  </si>
  <si>
    <t>2024-0822</t>
  </si>
  <si>
    <t>CD-816-2024</t>
  </si>
  <si>
    <t>LAURA YANETH GUERRERO VALBUENA</t>
  </si>
  <si>
    <t>PRESTAR SUS SERVICIOS PROFESIONALES LIDERANDO LA GESTIÓN Y PROMOCIÓN DE RECURSOS DE TERCEROS PARA IMPULSAR EL FOMENTO PARA EL ACCESO Y PERMANENCIA EDUCATIVA CONFORME LAS POLÍTICAS Y PROCEDIMIENTOS DEL ICETEX</t>
  </si>
  <si>
    <t>CDEF- 295-2024</t>
  </si>
  <si>
    <t xml:space="preserve">1. Estructurar y efectuar seguimiento a la estrategia de captación y fidelización de financiadores externos, dirigida a promover la suscripción de nuevos convenios o contratos, o adición de recursos a los ya existentes, para fomentar el acceso y permanencia a la educación superior.
2. Revisar las propuestas y demás documentos que le sean requeridos y guarden relación con el objeto del contrato.
3. Revisar los Reglamentos Operativos derivados de la constitución de nuevos fondos, contratos o convenios suscritos la Vicepresidencia de Fondos en Administración.
4. Articular con los colaborares de la Vicepresidencia de Fondos en Administración y demás dependencias del ICETEX la preparación y ejecución de los nuevos convenios suscritos para fomentar el acceso y permanencia a la educación superior.
5. Acompañar la actualización e implementación de las metodologías, procesos, procedimientos, mecanismos e instrumentos relacionados con gestión de recursos.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</si>
  <si>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20243030007251-I Id: 4715470</t>
  </si>
  <si>
    <t>2024-0823</t>
  </si>
  <si>
    <t>CD-818-2024</t>
  </si>
  <si>
    <t>DIANA CAROLINA RODRÍGUEZ PEÑA</t>
  </si>
  <si>
    <t>CDEF-856-2024</t>
  </si>
  <si>
    <t>20243030007391-I Id: 4719950</t>
  </si>
  <si>
    <t>1.23</t>
  </si>
  <si>
    <t>2024-0824</t>
  </si>
  <si>
    <t>IP-763-2024</t>
  </si>
  <si>
    <t>830075011-4</t>
  </si>
  <si>
    <t>CENTURY MEDIA S A S</t>
  </si>
  <si>
    <t>JULIANA MARGARITA RIOS CONDE</t>
  </si>
  <si>
    <t>PRESTAR LOS SERVICIOS PARA PLANEACIÓN O EJECUCIÓN O SEGUIMIENTO Y CONTROL A LOS PLANES DE MEDIOS NECESARIOS PARA DIFUNDIR LAS ESTRATEGIAS MISIONALES DE ICETEX O PROMOCIONAR EL PORTAFOLIO DE LA ENTIDAD EN TODO EL TERRITORIO NACIONAL, ASÍ COMO, LA PRE-PRODUCCIÓN, PRODUCCIÓN, POSTPRODUCCIÓN, REALIZACIÓN Y EMISIÓN DE PRODUCTOS AUDIOVISUALES QUE SE REQUIERAN</t>
  </si>
  <si>
    <t>CDEF-754-2024</t>
  </si>
  <si>
    <t>OTROS SERVICIOS OPERATIVOS 
ODC</t>
  </si>
  <si>
    <t xml:space="preserve">G312001020230100 </t>
  </si>
  <si>
    <t>2024-0825</t>
  </si>
  <si>
    <t>CD-819-2024</t>
  </si>
  <si>
    <t xml:space="preserve">PRESTAR SUS SERVICIOS PROFESIONALES ORIENTANDO LAS ACTIVIDADES RELACIONADAS CON LA ATENCIÓN OPORTUNA Y EFICIENTE DE LAS PETICIONES QUE DEBAN SER ATENDIDAS EN LA VICEPRESIDENCIA DE FONDOS EN ADMINISTRACIÓN; ASÍ COMO EN LA GESTIÓN DE CONDONACIONES DERIVADAS DE LOS FONDOS ADMINISTRADOS POR LA VICEPRESIDENCIA.
</t>
  </si>
  <si>
    <t>CDEF- 863-2024</t>
  </si>
  <si>
    <t xml:space="preserve">
1.	Elaborar y hacer seguimiento a la estrategia que permita la atención oportuna y eficiente de las de PQRSD, certificaciones derivadas de acciones judiciales, OPAS y demás trámites relacionados a cargo de la Vicepresidencia de Fondos en Administración. 
2.	Hacer seguimiento periódico a las gestiones realizadas para la atención oportuna de PQRSD, acciones judiciales, OPAS y demás trámites relacionados a cargo de la Vicepresidencia de Fondos en Administración 
3.	Elaborar y remitir los informes relacionados con la atención de PQRSD, acciones judiciales, OPAS y demás trámites solicitados y que guarden relación con el objeto contractual 
4.	Actuar como articulador entre la Vicepresidencia de Fondos en Administración, la Oficina Asesora Jurídica y la Oficina Comercial y Mercadeo del ICETEX con la finalidad de buscar eficiencia en los trámites de atención de PQRSD, certificaciones derivadas de acciones judiciales, OPAS y demás trámites relacionados a cargo de la Vicepresidencia de Fondos en Administración. 
5.	Analizar la respuesta a las PQRSD, certificaciones derivadas de acciones judiciales, OPAS y demás trámites relacionados a cargo de la Vicepresidencia de Fondos en Administración, identificando oportunidades de mejora e implementando controles en el proceso. 
6.	Efectuar seguimiento periódico para que los compromisos derivados de la atención de PQRSD, acciones judiciales, OPAS y demás trámites relacionados a cargo de la Vicepresidencia de Fondos en Administración, se tramiten dentro de los términos legales. 
7.	Revisar los actos administrativos que sean de competencia de la Vicepresidencia de Fondos en Administración 
8.	Elaborar y/o actualizar los procedimientos e instrumentos internos asociados a la atención de PQRSD, acciones judiciales, y demás trámites relacionados a cargo de la Vicepresidencia de Fondos en Administración. 
9.	Apoyar la supervisión de los contratos y/o convenios que le sean asignados, relacionados con el objeto contractual. 
10.	Garantizar la confidencialidad, reserva y privacidad de la información que por razón de sus actividades deba manejar en desarrollo del contrato. 
11.	Asistir y/o participar en los comités, mesas de trabajo y demás reuniones relacionadas con el objeto contractual. 
12.	Desplazarse en oficinas institucionales ubicadas en ciudades o municipios distintos a Bogotá D.C, por solicitud del supervisor, previo el otorgamiento de la correspondiente autorización de desplazamiento. 
13.	Las demás asignadas por el supervisor y que tengan relación con el objeto del presente contrato 
</t>
  </si>
  <si>
    <t>20243030007517-I Id: 4727275</t>
  </si>
  <si>
    <t>2024-0826</t>
  </si>
  <si>
    <t>CD-820-2024</t>
  </si>
  <si>
    <t>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t>
  </si>
  <si>
    <t>CDEF-857-2024</t>
  </si>
  <si>
    <t>2024-0827</t>
  </si>
  <si>
    <t>CD-821-2024</t>
  </si>
  <si>
    <t>830113458-6</t>
  </si>
  <si>
    <t>FUNDACION UNIVERSITARIA SANITAS</t>
  </si>
  <si>
    <t>MARIO ARTURO ISAZA RUGET</t>
  </si>
  <si>
    <t>EL OBJETO DEL PRESENTE DOCUMENTO ES PRORROGAR EL PLAZO ESTABLECIDO EN LA CLÁUSULA QUINTA Y MODIFICAR EL "ANEXO B FÓRMULA APORTE IES" DEL ACUERDO ESTRATÉGICO No 2024-0827</t>
  </si>
  <si>
    <t>2024-0828</t>
  </si>
  <si>
    <t>CD-822-2024</t>
  </si>
  <si>
    <t>CDEF-858-2024</t>
  </si>
  <si>
    <t xml:space="preserve">1.	Revisar y proponer los ajustes jurídicos a los documentos que se generen con ocasión a los trámites relacionados con los Acuerdos Estratégicos, que cumplan con la normatividad y jurisprudencia vigente y el anexo 5 del ICETEX, en el marco del proyecto de fortalecimiento organizacional.
2.	Revisar y dar el visto bueno a los documentos que se generen con ocasión a los trámites de los acuerdos estratégicos que se adelanten en la Entidad. 
3.	Brindar apoyo al Grupo garantizando el suministro de información técnica y jurídica en los trámites de los acuerdos estratégicos que se requieran. 
4.	Llevar el control y estado de los trámites correspondientes a los abogados que adelantan los trámites en cuanto a los acuerdos estratégicos que se ejecuten y guarden relación con el objeto contractual. 
5.	Proyectar y consolidar la información necesaria para dar respuesta a los requerimientos efectuados por particulares, incluidos los entes de control, referentes a los acuerdos estratégicos del ICETEX, en el marco del proyecto de inversión. 
6.	Entregar al Supervisor, cuando este lo solicite, los asuntos asignados en el Sistema de Gestión Documental o de otros sistemas sobre los cuales tenga acceso. 
7.	Apoyar en la orientación de los procesos de liquidación de los Contratos, Convenios o Acuerdos Estratégicos, que contribuyan al cumplimiento de los objetivos de la Entidad y objetivos del respectivo proyecto de inversión. 
8.	Consolidar la información de los Acuerdos Estratégicos sobre los cuales se adelante la revisión, así como realizar los reportes necesarios respecto de los mismos. 
9.	Realizar la revisión y aprobación de actas, memorandos y demás documentos radicados al Grupo que le sean asignados, y que se relacionen con el objeto contractual. 
10.	Apoyar los trámites que sean necesarios en cuanto a la celebración de los acuerdos estratégicos, en las diferentes etapas. 
11.	Cumplir con los indicadores de gestión establecidos. 
12.	Asistir a las reuniones a las que sea citado, previa coordinación con el supervisor del contrato.
13.	Las demás asignadas por el supervisor y que tengan relación con el objeto del presente contrato.
</t>
  </si>
  <si>
    <t>2024-0829</t>
  </si>
  <si>
    <t>CD-823-2024</t>
  </si>
  <si>
    <t>890985856-3</t>
  </si>
  <si>
    <t>INSTITUCIÓN UNIVERSITARIA MARCO FIDEL SUAREZ - IUMAFIS</t>
  </si>
  <si>
    <t>GUSTAVO ADOLFO MORENO LÓPEZ</t>
  </si>
  <si>
    <t>EL OBJETO DEL PRESENTE DOCUMENTO ES PRORROGAR EL PLAZO ESTABLECIDO EN LA CLÁUSULA QUINTA Y MODIFICAR EL “ANEXO A – PORCENTAJE FIJO APORTE IES” DEL ACUERDO ESTRATÉGICO NO. 2024-0829.</t>
  </si>
  <si>
    <t>11.22</t>
  </si>
  <si>
    <t>2024-0830</t>
  </si>
  <si>
    <t>CD-824-2024</t>
  </si>
  <si>
    <t>CONTROL ONLINE INTERNATIONAL S.A.S.</t>
  </si>
  <si>
    <t>PRESTAR LOS SERVICIOS DE MIGRACIÓN, CAPACITACIONES Y HORAS POR CONTROL DE CAMBIOS PARA DESARROLLO O CONSTRUCCIÓN DE SERVICIOS PARA INTEROPERABILIDAD Y/O PROCESOS DOCUMENTALES EN BPMN EN EL SOFTWARE CONTROLDOC® ADQUIRIDO COMO SERVICIO ANUAL POR EL ICETEX, DE ACUERDO AL SOFTWARE POR CATÁLOGO NO. CCE- 139-1AD-2020.</t>
  </si>
  <si>
    <t>CDEF-783-2024</t>
  </si>
  <si>
    <t>OTROS SERVICIOS OPERATIVOS VOT</t>
  </si>
  <si>
    <t>IG 312001020510100</t>
  </si>
  <si>
    <t>20243030007690-I Id: 4737683</t>
  </si>
  <si>
    <t>10.92</t>
  </si>
  <si>
    <t>2024-0831</t>
  </si>
  <si>
    <t>CD-827-2024</t>
  </si>
  <si>
    <t>DIANA MILENA VEGA GARZÓN</t>
  </si>
  <si>
    <t>CDEF- 865-2024</t>
  </si>
  <si>
    <t>2024-0832</t>
  </si>
  <si>
    <t>CD-829-2024</t>
  </si>
  <si>
    <t>800177588-0</t>
  </si>
  <si>
    <t>INFORMESE S.A.S</t>
  </si>
  <si>
    <t>JUAN ANTONIO GÓMEZ LIS</t>
  </si>
  <si>
    <t>MANTENIMIENTO ANUAL DE LA LICENCIA DEL SOFTWARE SPSS STATISTICS UTILIZADA POR LA OFICINA DE RIESGOS.</t>
  </si>
  <si>
    <t>CDEF- 854-2024</t>
  </si>
  <si>
    <t>2024-0833</t>
  </si>
  <si>
    <t>899999053-1</t>
  </si>
  <si>
    <t>MINISTERIO DE TECNOLOGÍAS DE LA INFORMACIÓN Y LAS COMUNICACIONES</t>
  </si>
  <si>
    <t>LINA PAOLA VACCA SALINAS</t>
  </si>
  <si>
    <t>“CONSTITUIR Y GESTIONAR EL FONDO EDUCATIVO DENOMINADO “EDUMINTIC”, CON LOS RECURSOS GIRADOS POR EL MINTIC AL ICETEX, QUIEN ACTUARÁ COMO ADMINISTRADOR – MANDATARIO”.</t>
  </si>
  <si>
    <t>MODIFICAR LA CLÁUSULA VIGÉSIMA DEL CONVENIO INTERADMINISTRATIVO NO. 041 DE 2024 MINTIC / N° 2024-0833 ICETEX</t>
  </si>
  <si>
    <t>13.135</t>
  </si>
  <si>
    <t>2024-0834</t>
  </si>
  <si>
    <t>CD-830-2024</t>
  </si>
  <si>
    <t>MIGUEL ÁNGEL RUBIANO CÁRDENAS</t>
  </si>
  <si>
    <t>PRESTAR APOYO TÉCNICO ELECTRICISTA DEL PROYECTO DE INVERSIÓN DENOMINADO “MEJORAMIENTO DE SEDES”, CORRESPONDIENTE A LA GESTIÓN DEL GRUPO DE ADMINISTRACIÓN DE RECURSOS FÍSICOS.</t>
  </si>
  <si>
    <t>CDEF- 895-2024</t>
  </si>
  <si>
    <t>11.25</t>
  </si>
  <si>
    <t>2024-0835</t>
  </si>
  <si>
    <t>IS-817-2024</t>
  </si>
  <si>
    <t>16 LICENCIAMIENTO</t>
  </si>
  <si>
    <t>830044977-0</t>
  </si>
  <si>
    <t>XSYSTEM LTDA</t>
  </si>
  <si>
    <t>WEIMAR GARCÍA CUELLAR</t>
  </si>
  <si>
    <t>ADQUISICIÓN Y RENOVACIÓN DE LAS LICENCIAS POR SUSCRIPCIÓN DE ADOBE CLOUD SUITE PARA EL ICETEX</t>
  </si>
  <si>
    <t>CDEF- 859-2024</t>
  </si>
  <si>
    <t>PROFESIONAL ESPECIALIZADO GRADO 04 GRUPO INFRAESTRUCTURA TECNOLÓGICA</t>
  </si>
  <si>
    <t>1.25</t>
  </si>
  <si>
    <t>2024-0836</t>
  </si>
  <si>
    <t>IP-814-2024</t>
  </si>
  <si>
    <t>901860213-1</t>
  </si>
  <si>
    <t>UT VISION ICETEX 2024</t>
  </si>
  <si>
    <t>SONIA JAIMES COBOS</t>
  </si>
  <si>
    <t>63333065-7</t>
  </si>
  <si>
    <t>CONTRATAR LOS SERVICIOS DE UN OPERADOR LOGÍSTICO CON LOS ELEMENTOS NECESARIOS PARA LA ORGANIZACIÓN DE EVENTOS Y ACTIVIDADES NECESARIAS QUE INVOLUCREN LAS ESTRATEGIAS DE GESTIÓN, PROMOCIÓN DEL PORTAFOLIO DE PRODUCTOS Y SERVICIOS DEL ICETEX Y LOS DISTINTOS PROGRAMAS Y PROYECTOS DE LA ENTIDAD.</t>
  </si>
  <si>
    <t>CDP- 2024-775
VF- 2024-007
CDP- 2024-813</t>
  </si>
  <si>
    <t>APOYO LOGISTICO EVENTOS ODC</t>
  </si>
  <si>
    <t>IG 311002004041230</t>
  </si>
  <si>
    <t>8.7</t>
  </si>
  <si>
    <t>2024-0837</t>
  </si>
  <si>
    <t>CD-832-2024</t>
  </si>
  <si>
    <t>IVANNA ANDREA REYES QUINTERO</t>
  </si>
  <si>
    <t>PRESTAR SUS SERVICIOS PROFESIONALES APOYANDO LAS ACTIVIDADES JURÍDICAS A CARGO DEL DESPACHO DE PRESIDENCIA DEL ICETEX.</t>
  </si>
  <si>
    <t>CDEF- 897-2024</t>
  </si>
  <si>
    <t>HONORARIOS-PRE</t>
  </si>
  <si>
    <t xml:space="preserve">1.	Proyectar y/o revisar los oficios de respuesta, actos administrativos y demás documentos que le sean asignados por el supervisor y que tengan relación con el objeto del presente contrato.
2.	Apoyar la supervisión de los contratos a cargo de presidencia.
3.	Proyectar y/o revisar las actas derivadas de los comités, mesas de trabajo y demás reuniones que le sean solicitadas por el supervisor del contrato. 
4.	Crear un repositorio en la que se cargue la información relacionada con los comités en los que participa el Despacho de presidencia y ponerla a disposición del Despacho. 
5.	Asistir y/o participar en los comités, mesas de trabajo y demás reuniones relacionadas con el objeto contractual.
6.	Apoyar el seguimiento de los compromisos adquiridos por diferentes actores con la presidencia del ICETEX en mesas de trabajo que le sean asignados.  
7.	Garantizar la confidencialidad, reserva y privacidad de la información que por razón de sus actividades deba manejar en desarrollo del contrato. 
8.	Las demás asignadas por el supervisor y que tengan relación con el objeto del presente contrato.
</t>
  </si>
  <si>
    <t>20243030008252-I Id: 4768026</t>
  </si>
  <si>
    <t>2024-0838</t>
  </si>
  <si>
    <t>CD-833-2024</t>
  </si>
  <si>
    <t>ANA LUISA NIÑO CAMARGO</t>
  </si>
  <si>
    <t>PRESTAR SUS SERVICIOS PROFESIONALES PARA LA ATENCIÓN DE PQRSD, ACCIONES JUDICIALES Y DEMÁS TRÁMITES A CARGO DE LA VICEPRESIDENCIA DE FONDOS EN ADMINISTRACIÓN.</t>
  </si>
  <si>
    <t>CDEF- 864-2024</t>
  </si>
  <si>
    <t xml:space="preserve">
1.	Proyectar y/o revisar los oficios de respuesta internas y externas que le sean asignadas y guarden relación con el objeto contractual. 
2.	Proyectar las certificaciones requeridas por la Oficina Jurídica del ICETEX relacionadas con los temas a cargo de la Vicepresidencia de Fondos en Administración.
3.	Suministrar el insumo para la elaboración de informes que le sean requeridos y guarden relación con el objeto contractual.
4.	Actualizar la información que reposa en las bases de datos que soporta la gestión de la atención de PQRSD, certificaciones derivadas de acciones judiciales, OPAS y demás trámites relacionados a cargo de la Vicepresidencia de Fondos en Administración.
5.	Efectuar seguimiento para el cumplimiento de las decisiones derivadas de las acciones judiciales que deban ser atendidas por la Vicepresidencia de Fondos en Administración
6.	Garantizar la confidencialidad, reserva y privacidad de la información que por razón de sus actividades deba manejar en desarrollo del contrato.
7.	Asistir y/o participar en los comités, mesas de trabajo y demás reuniones relacionadas con el objeto contractual.
8.	Desplazarse en oficinas institucionales ubicadas en ciudades o municipios distintos a Bogotá D.C., por solicitud del supervisor, previo el otorgamiento de la correspondiente autorización de desplazamiento.
9.	Las demás asignadas por el supervisor y que tengan relación con el objeto del presente contrato.
</t>
  </si>
  <si>
    <t>20243030008258-I Id: 4768047</t>
  </si>
  <si>
    <t>2024-0839</t>
  </si>
  <si>
    <t>CD-834-2024</t>
  </si>
  <si>
    <t>JOHN JAIRO ALVAREZ CADAVID</t>
  </si>
  <si>
    <t>IMPLEMENTAR ESTRATEGIAS PARA LA EJECUCIÓN DEL PLAN COMERCIAL DE LA TERRITORIAL NOROCCIDENTE ASOCIADAS AL PORTAFOLIO DE SERVICIOS DE ICETEX EN LA REGIÓN, EN ARTICULACIÓN CON LA OFICINA COMERCIAL Y DE MERCADEO DEL NIVEL CENTRAL.</t>
  </si>
  <si>
    <t>CDEF- 883-2024</t>
  </si>
  <si>
    <t>HONORARIO OCM</t>
  </si>
  <si>
    <t xml:space="preserve">1. Elaborar y presentar el plan de trabajo de estrategias comerciales a desarrollar con entidades aliadas como instituciones de educación superior, colegios, entes territoriales, comunidad en general o entidades del sector privado y público, para aprobación por parte del supervisor del contrato, de conformidad con las estipulaciones contractuales. 
2. Implementar estrategias con el propósito de cumplir las metas comerciales del portafolio de
servicios ICETEX con los aliados y/o en los territorios asignados por su supervisor, para lo cual
debe: 
a. Planear y ejecutar actividades de promoción y divulgación del portafolio de servicios de 
ICETEX, en forma presencial y/o virtual.
b. Acompañar el proceso de colocación de los servicios del portafolio de ICETEX, asesorando en forma grupal y/o individual a los potenciales y actuales usuarios de la entidad en los diferentes procesos operativos a cargo, por medio del desarrollo de actividades en los diferentes canales de servicio como la atención personalizada, telefónica, virtual, por redes sociales, entre otros. 
c. Realizar el debido escalonamiento y seguimiento en la respuesta oportuna de las novedades de los usuarios asociados al embudo de conversión, de acuerdo con los procesos establecidos por la entidad.   
3. Articular con los representantes de los diferentes entes territoriales y grupos de interés en los territorios asignados, en la planeación y ejecución de actividades comerciales de promoción del portafolio de servicios del Icetex en el ámbito de los municipios apartados categorizados como intermedio, rural y rural disperso, de acuerdo con el plan comercial propuesto por parte del supervisor.  
4. Ejecutar las estrategias comerciales y de servicio dispuestas por la Oficina Comercial y Mercadeo y demás áreas de la entidad, para el logro de las metas y objetivos estratégicos de la entidad.  
5. Brindar soporte al proceso de suscripción de nuevos convenios y demás actividades de seguimiento de las obligaciones contractuales de los actuales convenios suscritos con las Instituciones de Educación Superior y/o demás aliados estratégicos asignados por su supervisor. 
6. Capacitar a los funcionarios de las Instituciones de Educación Superior y /o entes territoriales asignados, respecto al portafolio de servicios del Icetex, los procedimientos internos a cargo de las IES, el diligenciamiento y entrega de los diferentes reportes de información requeridos por Icetex para la debida ejecución de los convenios suscritos con dichas entidades.     
7. Realizar oportunamente las gestiones administrativas y reportes de información de la
actividad comercial y operativa a su cargo, mediante la consolidación, actualización y registro
de la información y documentación soporte bajo los procedimientos establecidos y en las
plataformas tecnológicas requeridas por la entidad. 
8. Realizar el acompañamiento, gestión y documentación de proceso (s) y procedimiento (s),
cumplimiento de los indicadores, planes de acción, planes de mejoramiento, reportes, auditorias de calidad, auditorías externas e internas, eventos de riesgos y demás resultantes del ejercicio de control y autocontrol de los procesos de calidad a cargo de la territorial
9. Consolidar y actualizar bases de datos con la información relativa a la gestión comercial
realizada con IES, aliados estratégicos, entes territoriales y demás grupos de interés, en los
formatos y medios establecidos por la entidad. 
10. Participar en los procesos formativos programados por la entidad.    
11. Realizar el debido proceso de gestión documental y envío al archivo único de la entidad de  las actividades delegadas a su cargo, al igual que la presentación de los informes requeridos derivados de la ejecución presente contrato. 
12. Ejecutar los procedimientos operativos de las tareas asignadas a su cargo y adecuada
gestión de los diferentes aplicativos de la entidad, tales como: a) correo electrónico, b) gestión documental, c) aplicativo cosmos, d) archivo único, e) SISGESTION, f) demás aplicativos de gestión definidos por la entidad y asignados por su supervisor. 
13. Desplazarse a las diferentes ciudades y municipios del país, en caso de ser necesario para la debida ejecución del contrato, previa coordinación con el supervisor. 
14. Las demás que sean inherentes para el logro del objeto contratado, asignadas por el
supervisor del contrato. 
15. Cumplir con los indicadores de gestión establecidos
</t>
  </si>
  <si>
    <t>20243030008259-I Id: 4768054</t>
  </si>
  <si>
    <t>2024-0840</t>
  </si>
  <si>
    <t>800178148-8</t>
  </si>
  <si>
    <t>FIDUCIARIA COLOMBIANA DE COMERCIO EXTERIOR S.A. – FIDUCOLDEX</t>
  </si>
  <si>
    <t>MARCELA ROCÍO MÁRQUEZ ARENAS</t>
  </si>
  <si>
    <t>CONSTITUIR Y REGULAR UN FONDO EN ADMINISTRACIÓN DENOMINADO: “FNTP- 157-2023 PROFESIONALIZACIÓN DEL SECTOR TURÍSTICO A TRAVÉS DE LA ENTREGA DE BECAS EDUCATIVAS EN TODA COLOMBIA”, CON LOS RECURSOS GIRADOS POR EL CONSTITUYENTE AL ICETEX QUIEN ACTUARÁ COMO ADMINISTRADOR – MANDATARIO.</t>
  </si>
  <si>
    <t>10.42</t>
  </si>
  <si>
    <t>2024-0841</t>
  </si>
  <si>
    <t>CD-835-2024</t>
  </si>
  <si>
    <t>LIZETH YURANY VEGA GUTIÉRREZ</t>
  </si>
  <si>
    <t>CDEF- 899-2024</t>
  </si>
  <si>
    <t xml:space="preserve">1.	Proyectar las propuestas y demás documentos que permitan acceder a recursos externos para fomentar el acceso y permanencia a educación superior conforme los lineamientos definidos por la entidad.
2.	Acompañar las mesas de trabajo que se adelanten con los potenciales aliados y efectuar recomendaciones frente a las condiciones de los nuevos fondos, convenios y contratos que fomenten la educación superior.
3. Proyectar los Reglamentos Operativos derivados de la constitución de nuevos fondos, contratos o convenios suscritos la Vicepresidencia de Fondos en Administración.
4. Entregar y socializar a los colaboradores de la Vicepresidencia de Fondos los documentos que contengan las condiciones técnicas, administrativas, jurídicas y demás requeridos para la ejecución de los fondos, convenios y contratos que suscriba la Vicepresidencia.
5. Registrar la información relacionada con los nuevos convenios o contratos que suscriba la Vicepresidencia de Fondos en Administración, en las herramientas internas de la entidad que le sean indicadas.
6. Crear los expedientes de los fondos en los repositorios de información de la Vicepresidencia de Fondos en Administración y los demás sistemas que lo requieran y hacer correcto uso de las mismas.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Las demás asignadas por el supervisor y que tengan relación con el objeto del presente contrato.
</t>
  </si>
  <si>
    <t>20243030008361-I Id: 4774775</t>
  </si>
  <si>
    <t>10.93</t>
  </si>
  <si>
    <t>2024-0842</t>
  </si>
  <si>
    <t>CD-836-2024</t>
  </si>
  <si>
    <t>CINDY VANESSA MUÑOZ QUINTERO</t>
  </si>
  <si>
    <t>PRESTAR SUS SERVICIOS PROFESIONALES APOYANDO ACTIVIDADES RELACIONADAS CON EL ANÁLISIS Y REPORTE DE INFORMACIÓN ESTADÍSTICA DERIVADA DE LOS FONDOS ADMINISTRADOS POR LA VICEPRESIDENCIA DE FONDOS EN ADMINISTRACIÓN</t>
  </si>
  <si>
    <t>CDEF- 866-2024</t>
  </si>
  <si>
    <t xml:space="preserve">1.	Brindar Apoyo técnico para la producción, limpieza, y verificación de la integridad y consistencia de los datos cualitativos y cuantitativos, derivados de los distintos procesos desarrollados por la Vicepresidencia de Fondos en Administración.
2.	Desarrollar algoritmos y documentación de sintaxis requeridos para el apoyo del procesamiento de las bases datos de la Vicepresidencia de Fondos en Administración.
3.	Aplicar técnicas y métodos estadísticos para analizar los datos recopilados, que contribuyan a la toma de decisiones estratégicas de la Vicepresidencia con base en información.
4.	Apoyar la elaboración y actualización de tableros de control y visualizadores de información de la Vicepresidencia de Fondos en Administración.
5.	Apoyar la elaboración de manuales, instructivos y protocolos asociados a la gobernanza de datos y la gestión del conocimiento y la información, derivados de los procesos desarrollados desde la Vicepresidencia de Fondos en Administración.
6.	Suministrar los insumos para dar respuesta a peticiones internas y externas, que le sean requeridos y que guarden relación con los procesos a cargo de la Vicepresidencia de Fondos en Administración.
7.	Garantizar la confidencialidad, reserva y privacidad de la información que por razón de sus actividades deba manejar en desarrollo del contrato.
8.	Asistir y/o participar en los comités, mesas de trabajo y demás reuniones relacionadas con el objeto contractual.
9.	Desplazarse en oficinas institucionales ubicadas en ciudades o municipios distintos a Bogotá D.C, por solicitud del supervisor, previo el otorgamiento de la correspondiente autorización de desplazamiento.
10.	10.	Las demás asignadas por el supervisor y que tengan relación con el objeto del presente contrato.
</t>
  </si>
  <si>
    <t>20243030008400-I Id: 4776007</t>
  </si>
  <si>
    <t>2024-0843</t>
  </si>
  <si>
    <t>2024-0844</t>
  </si>
  <si>
    <t>CD-837-2024</t>
  </si>
  <si>
    <t>NIKY ALEXANDER MURCIA SUÁREZ</t>
  </si>
  <si>
    <t>ACUERDO ESTRATÉGICO PARA IMPLEMENTAR LA ESTRATEGIA 1 “SISTEMAS DE EDUCACIÓN MEDIA Y SUPERIOR SIMES - TRIANGULO DE TELEMBÍ.”, DERIVADO DEL FONDO ADMINISTRADO POR EL ICETEX, PARA PROMOVER ESTRATEGIAS QUE PERMITAN LA CALIDAD, EL ACCESO, EL REINTEGRO, Y LA PERMANENCIA AL SISTEMA EDUCATIVO DE LAS Y LOS JÓVENES DEL PAÍS Y FAVOREZCAN EL TRÁNSITO A LA EDUCACIÓN POSMEDIA Y SUPERIOR.</t>
  </si>
  <si>
    <t>1001105937401 Anexo: 1.</t>
  </si>
  <si>
    <t>2024-0845</t>
  </si>
  <si>
    <t>CD-839-2024</t>
  </si>
  <si>
    <t xml:space="preserve">LIZETH CAROLINA RODRIGUEZ SUAREZ </t>
  </si>
  <si>
    <t>CDEF- 824-2024</t>
  </si>
  <si>
    <t xml:space="preserve">1.	Cumplir con el plan de trabajo entregado por la supervisión en el cual se relacionen los objetivos y metas a desarrollar durante la vigencia del contrato.  
2.	Gestionar de manera oportuna los requerimientos gerenciales asociados a la planeación estratégica, comités, juntas y demás políticas y demás requerimientos organizacionales y normativos del ICETEX 
3.	Apoyar el mejoramiento del sistema de gestión de calidad a través de la ingeniería de procesos (rapidez, solución de problemas, prevención del riesgo, optimización de KPI´S y las demás aplicables) que permita desarrollar la planificación, diseño y toma de decisiones para la mejora continua y la correcta atención de los grupos de interés del ICETEX. 
4.	Atender de manera oportuna los requerimientos y solicitudes de los diferentes entes de control para la correcta atención y gestión de los grupos de interés del ICETEX. 
5.	Apoyar la gestión de auditorías en el marco de los procesos y procedimientos de la Oficina comercial y de Mercadeo o en las que ella participe. 
6.	Apoyar la gestión del riesgo en el marco de los procesos y procedimientos de la Oficina comercial y de Mercadeo o en las que ella participe. 
7.	Aplicar de forma completa, correcta y oportuna la gestión documental para el manejo, organización y evidencia de la documentación producida y recibida desde su origen hasta su destino final con el objeto de facilitar su utilización y conservación como actas, memorias, documentos asociados a la gestión contractual de la oficina comercial y de mercadeo, y las demás asociadas con los lineamientos de la Entidad. 
8.	Participar activamente en construcción, metodología y gestión de acciones asociadas al Sistema de Atención al Consumidor Financiero en el marco de los procesos y procedimientos de la Oficina comercial y de Mercadeo o en las que ella participe. 
9.	Desplazarse a las diferentes ciudades del país, en caso de ser necesario para la debida ejecución del contrato, previa coordinación con el supervisor.  
10.	Las demás que sean inherentes para el logro del objeto contratado, asignadas por el supervisor del contrato.
</t>
  </si>
  <si>
    <t>20243030008543-I Id: 4840828</t>
  </si>
  <si>
    <t>13.145</t>
  </si>
  <si>
    <t>2024-0846</t>
  </si>
  <si>
    <t>IS-773-2024</t>
  </si>
  <si>
    <t>830.002.115-9</t>
  </si>
  <si>
    <t>JUAN BAUTISTA SALUD OCUPACIONAL S.A.S</t>
  </si>
  <si>
    <t>OLGA PATRICIA FERNÁNDEZ MORENO</t>
  </si>
  <si>
    <t>PRESTAR SERVICIOS DE MEDICINA PREVENTIVA Y DEL TRABAJO Y OTROS COMPLEMENTARIOS PARA LOS FUNCIONARIOS DEL INSTITUTO COLOMBIANO DE CRÉDITO EDUCATIVO Y ESTUDIOS TÉCNICOS EN EL EXTERIOR - ICETEX A NIVEL NACIONAL.</t>
  </si>
  <si>
    <t xml:space="preserve">CDEF-881 -2024
VF-2024-008
</t>
  </si>
  <si>
    <t>IG311002004021009</t>
  </si>
  <si>
    <t>8.10</t>
  </si>
  <si>
    <t>2024-0847</t>
  </si>
  <si>
    <t>CD-840-2024</t>
  </si>
  <si>
    <t>ELIANA CRISTINA VERA PEREA</t>
  </si>
  <si>
    <t>PRESTAR SUS SERVICIOS PROFESIONALES APOYANDO LAS ACTIVIDADES ADMINISTRATIVAS A CARGO DEL DESPACHO DE PRESIDENCIA DEL ICETEX</t>
  </si>
  <si>
    <t>2 FUNCIONAMIENTO</t>
  </si>
  <si>
    <t>CDEF- 896-2024</t>
  </si>
  <si>
    <t>G312001020200012</t>
  </si>
  <si>
    <t xml:space="preserve">1. Apoyar los tramites presupuestales del área de presidencia.
2. Apoyar las actividades administrativas relacionadas con el sistema de Gestión Documental de la entidad, conforme los procedimientos vigentes
3. Recibir, radicar, distribuir y efectuar el seguimiento de la correspondencia a cargo del Despacho de Presidencia del ICETEX.
4. Apoyar el trámite de comisiones adelantados por el Despacho de Presidencia.
5. Proyectar los memorandos y documentos internos solicitados por el Despacho de presidencia.
6. Garantizar la confidencialidad, reserva y privacidad de la información que por razón de sus actividades deba manejar en desarrollo del contrato.
7. Asistir y/o participar en las capacitaciones, talleres y demás reuniones que relacionadas con el objeto contractual
8. Cumplir con los entregables e indicadores de gestión establecidos
9. Elaborar y presentar los informes que requieran los entes de control y demás autoridades, además de dar trámite
a los requerimientos que le sean asignados por su competencia.
10. Las demás que se requieran de acuerdo con la naturaleza del objeto y las obligaciones del contrato.
</t>
  </si>
  <si>
    <t>20243030008630-I Id: 4843907</t>
  </si>
  <si>
    <t>2024-0848</t>
  </si>
  <si>
    <t>900477169-8</t>
  </si>
  <si>
    <t>AGENCIA PARA LA REINCORPORACIÓN Y LA NORMALIZACIÓN - ARN</t>
  </si>
  <si>
    <t>PAULA CAMILA CAMPOS ABRIL</t>
  </si>
  <si>
    <t>CONSTITUIR Y REGULAR UN FONDO EN ADMINISTRACIÓN DENOMINADO “FONDO EN ADMINISTRACIÓN ICETEX - ARN”, CON LOS RECURSOS GIRADOS POR LA ARN AL ICETEX QUIEN ACTUARÁ COMO ADMINISTRADOR – MANDATARIO, DESTINADOS A FINANCIAR CRÉDITOS EDUCATIVOS CONDONABLES PARA LAS Y LOS EMPLEADOS DE LA ENTIDAD DE ACUERDO CON EL PLAN DE BIENESTAR SOCIAL E INCENTIVOS.</t>
  </si>
  <si>
    <t>13.171</t>
  </si>
  <si>
    <t>2024-0849</t>
  </si>
  <si>
    <t>CD-841-2024</t>
  </si>
  <si>
    <t>2 COMODATO</t>
  </si>
  <si>
    <t>901786880- 6</t>
  </si>
  <si>
    <t>DIRECCIÓN SECCIONAL DE ADMINISTRACIÓN JUDICIAL DE QUIBDÓ</t>
  </si>
  <si>
    <t>WALTER ENRIQUE BRAVO CHAMORRO</t>
  </si>
  <si>
    <t>ENTREGAR A TÍTULO DE COMODATO O PRÉSTAMO DE USO A LA RAMA JUDICIAL QUIBDÓ - CHOCÓ, EL PREDIO UBICADO EN LA CIUDAD DE QUIBDÓ UBICADOS EN LA CARRERA 2 NO. 24-14, OFICINAS 209 Y 210 DE PROPIEDAD DEL INSTITUTO COLOMBIANO DE CRÉDITO EDUCATIVO Y ESTUDIOS EN EL EXTERIOR “MARIANO OSPINA PÉREZ” -ICETEX– .</t>
  </si>
  <si>
    <t>CHOCÓ</t>
  </si>
  <si>
    <t>11.21</t>
  </si>
  <si>
    <t>2024-0850</t>
  </si>
  <si>
    <t>CD-844-2024</t>
  </si>
  <si>
    <t xml:space="preserve">830020062-3 </t>
  </si>
  <si>
    <t>SOLUSOFT DE COLOMBIA SAS</t>
  </si>
  <si>
    <t>RENOVACIÓN DEL SOPORTE Y ACTUALIZACIÓN DE VERSIONES VIGIA RIESGOS Y MONITOREO Y CONTROL DE ICETEX</t>
  </si>
  <si>
    <t>CDEF- 891-2024</t>
  </si>
  <si>
    <t>2024-0851</t>
  </si>
  <si>
    <t>CD-845-2024</t>
  </si>
  <si>
    <t>LILIA PATRICIA ARANDA MONTAÑEZ</t>
  </si>
  <si>
    <t>PRESTAR LOS SERVICIOS PROFESIONALES ESPECIALIZADOS PARA EL DISEÑO, IMPLEMENTACIÓN, EJECUCIÓN, SUPERVISIÓN, CONTROL Y MEJORA CONTINUA DE ESTRATEGIAS COMERCIALES ORIENTADAS A LA PROMOCIÓN Y OTORGAMIENTO DE LOS CRÉDITOS EDUCATIVOS DEL ICETEX A TRAVÉS DE FONDOS EN ADMINISTRACIÓN, CON EL FIN DE FOMENTAR EL ACCESO A LA EDUCACIÓN MEDIANTE EL FINANCIAMIENTO ADECUADO PARA LOS ESTUDIANTES</t>
  </si>
  <si>
    <t>CDEF- 911-2024</t>
  </si>
  <si>
    <t xml:space="preserve">
1.	Elaborar y entregar plan de trabajo y cronograma de actividades para aprobación de la supervisión del contrato, de conformidad con las estipulaciones contractuales. 
2.	Estructurar y desarrollar estrategias comerciales para el cumplimiento de los objetivos establecidos en la Entidad con respecto al portafolio de productos y servicios que ofrece el ICETEX en Fondos en Administración. 
3.	Realizar análisis y seguimiento de los resultados obtenidos a través del proceso comercial establecido, identificando oportunidades de mejora y ejecutando acciones correctivas. 
4.	Realizar seguimiento del equipo comercial y su desempeño en la Entidad con respecto a los Fondos en Administración, brindando retroalimentación y apoyo para su desarrollo y mejora en el desempeño en este producto específico. 
5.	Estructurar e implementar estrategias para el aumento del otorgamiento de los Fondos en Administración del ICETEX en las regiones, en el marco del plan comercial y de mercadeo de la Entidad. 
6.	Apoyar la supervisión de los contratos, en caso de ser requerido por la supervisión del contrato, desde el punto de vista técnico, administrativo, financiero y contable, de conformidad con lo establecido en el Manual de Contratación de la Entidad. 
7.	Apoyar el acompañamiento, gestión y documentación de proceso (s) y procedimiento (s), cumplimiento de los indicadores, planes de acción, planes de mejoramiento, reportes, auditorias de calidad, autocontrol de los macroprocesos de la Oficina de Comercial y de Mercadeo. 
8.	Realizar las labores de acompañamiento en reuniones o comités, de conformidad con las necesidades de la Entidad y la designación de supervisor del contrato.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que sean inherentes para el logro del objeto contratado, asignadas por el supervisor del contrato. 
</t>
  </si>
  <si>
    <t>20243030008776-I Id: 4852573</t>
  </si>
  <si>
    <t>2024-0852</t>
  </si>
  <si>
    <t>CD-846-2024</t>
  </si>
  <si>
    <t>PRESTAR SERVICIOS PROFESIONALES ESPECIALIZADOS PARA LA GESTIÓN DEL TALENTO HUMANO Y EL SEGUIMIENTO PRESUPUESTAL EN PROCURA DEL MEJORAMIENTO CONTINUO Y EN EL MARCO DE LA POLÍTICA DE GESTIÓN DEL TALENTO HUMANO</t>
  </si>
  <si>
    <t>CDEF- 921-2024</t>
  </si>
  <si>
    <t xml:space="preserve"> 
HONORARIOS - SGN
</t>
  </si>
  <si>
    <t xml:space="preserve">1.	Apoyar en la elaboración de los contratos que se deben generar en el marco de la ejecución del Plan Estratégico de Talento Humano. 
2.	Asistir y participar en los comités, reuniones, talleres, juntas y demás eventos que le indique el supervisor y se relacionen con el objeto del contrato. 
3.	Analizar, revisar y corregir el presupuesto de cada Grupo de Trabajo del Grupo de Talento Humano. 
4.	Realizar seguimiento y control al proceso de dotación de los servidores de la entidad. 
5.	Analizar y proyectar respuestas a solicitudes internas, externas y entes de control de competencia del Grupo de Talento Humano. 
6.	Apoyar la ejecución y control de las actividades correspondientes a los procedimientos de selección de personal y nombramiento y posesión, aplicando las normas que rigen el empleo público, directrices de la Entidad y los procedimientos establecidos. 
7.	Realizar el seguimiento y control a cada uno de los proyectos que le sean asignados en el marco de la gestión del talento humano, velando por el cumplimiento de los compromisos e indicadores en los plazos establecidos en los respectivos cronogramas. 
8.	Realizar el seguimiento, control y propuesta de mejora en los planes de mejoramiento y austeridad al gasto de competencia del Grupo de Talento Humano. 
9.	Apoyar en la supervisión de contratos y/o convenio del Grupo De Talento Humano. 
10.	Apoyar las actividades que le sean requeridas desde la Secretaría General y la Coordinación de Talento Humano, acorde con el objeto contractual y previa coordinación con el supervisor del contrato.
1.	Informe mensual de gestión de cobro. 
2.	Informe Trimestral de ejecución presupuestal de cada proyecto de Talento Humano 
3.	Informe mensual del avance de las actividades asignadas por el supervisor del contrato. 
4.	 Informe definitivo al culminar el plazo del contrato, donde se consoliden las actividades realizadas durante la ejecución del proyecto de fortalecimiento de capacidades institucionales.
</t>
  </si>
  <si>
    <t>6.23</t>
  </si>
  <si>
    <t>2024-0853</t>
  </si>
  <si>
    <t>CD-847-2024</t>
  </si>
  <si>
    <t>VANESSA PAULIN RODRÍGUEZ PRASCA</t>
  </si>
  <si>
    <t>PRESTAR LOS SERVICIOS PROFESIONALES PARA APOYAR A LA OFICINA DE RELACIONES INTERNACIONALES DEL ICETEX EN EL DESARROLLO DE ACTIVIDADES POSCONTRACTUALES PARA EL CIERRE Y/O LIQUIDACIÓN DE CONVENIOS, ACUERDOS ESTRATÉGICOS Y CONTRATOS</t>
  </si>
  <si>
    <t>CDEF- 878-2024</t>
  </si>
  <si>
    <t xml:space="preserve">1.	Realizar las actividades post-contractuales que se requieran para obtener el cierre y/o liquidación de convenios, acuerdos estratégicos y contratos a cargo de la Oficina de Relciones Internacionales.
2.	Gestionar el cierre y/o liquidación de los convenios, acuerdos estratégicos y contratos a cargo de la Oficina de Relaciones Internacionales.
3.	Cumplir con el plan de trabajo realizado en conjunto con el Supervisor para el desarrollo de las actividades post-contractuales para obtener el cierre y/o liquidación de convenios, acuerdos estratégicos y contratos a cargo de la Oficina de Relaciones Internacionales.
4.	Realizar la elaboración de informes y presentaciones requeridos por el Supervisor que se relacionen con el objeto del contrato. 
5.	Obtener las actas de cierre y/o liquidación, debidamente perfeccionadas, de los convenios, acuerdos estratégicos y contratos a cargo de la Oficina de Relaciones Internacionales. 
6.	Gestionar toda la documentación necesaria con los aliados, contratistas, terceros así como con el personal del ICETEX para obtener el cierre y/o liquidación de convenios, acuerdos estratégicos y contratos a cargo de la Oficina de Relaciones Internacionales. 
7.	Realizar el apoyo a la supervisión técnica de los contratos o acuerdos asignados por la Jefe de la Oficina de Relaciones internacionales relacionados con el objeto del contrato. 
8.	Apoyar y participar en las diferentes reuniones y comités que le indique el Supervisor.
9.	Realizar las demás actividades que le sean requeridas por el Supervisor del contrato y se relacionen con el objeto del contrato.
: 
</t>
  </si>
  <si>
    <t>13.129</t>
  </si>
  <si>
    <t>2024-0854</t>
  </si>
  <si>
    <t>CD-848-2024</t>
  </si>
  <si>
    <t>JHON ALEXANDER RAMÍREZ MENDIETA</t>
  </si>
  <si>
    <t>PRESTAR LOS SERVICIOS PROFESIONALES EN EL DESARROLLO Y EJECUCIÓN TÉCNICA DEL PROYECTO DE INVERSIÓN DENOMINADO “MEJORAMIENTO DE SEDES” CORRESPONDIENTE A LA GESTIÓN DEL GRUPO DE ADMINISTRACIÓN DE RECURSOS FÍSICOS PARA EL APOYO DE LOS SUBPROYECTOS EN LA INFRAESTRUCTURA TENDIENTE A CONTRIBUIR Y MEJORAR LA OPORTUNIDAD DE LOS SERVICIOS QUE PRESTA LA ENTIDAD.</t>
  </si>
  <si>
    <t>CDEF- 916-2024</t>
  </si>
  <si>
    <t>ADECUACION E INTERVENTORIA PTOS DE ATENCIÓN</t>
  </si>
  <si>
    <t>13.139</t>
  </si>
  <si>
    <t>2024-0855</t>
  </si>
  <si>
    <t>CD-849-2024</t>
  </si>
  <si>
    <t>HEINER GIOVANNI ROJAS CORRRA</t>
  </si>
  <si>
    <t>PRESTAR LOS SERVICIOS PROFESIONALES ESPECIALIZADOS PARA GESTIONAR Y APOYAR TÉCNICAMENTE LA GESTIÓN DEL GRUPO DE ADMINISTRACIÓN DE RECURSOS FÍSICOS EN EL MARCO DEL PROYECTO DE INVERSIÓN DENOMINADO “MEJORAMIENTO DE SEDES”, SIMPLIFICACIÓN DE PROCESOS Y CONTRIBUIR A LA MEJORA DE LOS SERVICIOS QUE PRESTA LA ENTIDAD</t>
  </si>
  <si>
    <t>CDEF- 915-2024</t>
  </si>
  <si>
    <t>11.35</t>
  </si>
  <si>
    <t>2024-0856</t>
  </si>
  <si>
    <t>CD-850-2024</t>
  </si>
  <si>
    <t>830034230-5</t>
  </si>
  <si>
    <t>INTEGRA TECNOLOGIA SAS (INPROCESS)</t>
  </si>
  <si>
    <t>FRANCISCO HERRERA MEDINA</t>
  </si>
  <si>
    <t>SERVICIO DE MANTENIMIENTO, ACTUALIZACIONES Y SOPORTE DEL SOFTWARE INPROCESS - GESTIÓN DE CALIDAD DE ICETEX</t>
  </si>
  <si>
    <t>CDEF- 892-2024</t>
  </si>
  <si>
    <t>2024-0857</t>
  </si>
  <si>
    <t>800182554-0</t>
  </si>
  <si>
    <t>CORPORACIÓN PARA EL DESARROLLO SOCIAL Y CULTURAL DEL VALLE DEL CAUCA - CORPOVALLE</t>
  </si>
  <si>
    <t>ADRIAN FERNANDO ZAMORA DUQUE</t>
  </si>
  <si>
    <t>CONSTITUIR Y REGULAR UN FONDO EN ADMINISTRACIÓN DENOMINADO "DIGICAMPUS" DENTRO DEL PROYECTO "IMPLEMENTACIÓN DE LA ESTRATEGIA DE GOBIERNO DIGITAL PARA LA REDUCCIÓN DE LA BRECHA DE CAPITAL HUMANO Y LA TRANSFORMACIÓN DEL DEPARTAMENTO DEL VALLE DEL CAUCA" CON LOS RECURSOS GIRADOS POR EL CONSTITUYENTE AL ICETX QUIEN ACTUARÁ COMO ADMINISTRADOR - MANDATARIO.</t>
  </si>
  <si>
    <t>11.40</t>
  </si>
  <si>
    <t>2024-0858</t>
  </si>
  <si>
    <t>IP-825-2024</t>
  </si>
  <si>
    <t>800058607-2</t>
  </si>
  <si>
    <t>ADRIANA MÁRQUEZ PARDO</t>
  </si>
  <si>
    <t>RENOVACIÓN DEL LICENCIAMIENTO DE MICROSOFT PARA EL ICETEX</t>
  </si>
  <si>
    <t>CDEF- 882-2024</t>
  </si>
  <si>
    <t>2024-0859</t>
  </si>
  <si>
    <t>CD-852-2024</t>
  </si>
  <si>
    <t>860531081-5</t>
  </si>
  <si>
    <t>FUNDACION UNIVERSITARIA AGRARIA DE COLOMBIA- UNIAGRARIA</t>
  </si>
  <si>
    <t>JORGE ORLANDO GAITAN ARCINIEGAS</t>
  </si>
  <si>
    <t>EL OBJETO DEL PRESENTE DOCUMENTO ES PRORROGAR EL PLAZO ESTABLECIDO EN LA CLÁUSULA QUINTA Y MODIFICAR EL ANEXO B - FÓRMULA APÓRTE IES DEL ACUERDO ESTRATÉGICO No 2024-0859</t>
  </si>
  <si>
    <t>4.110</t>
  </si>
  <si>
    <t>2024-0860</t>
  </si>
  <si>
    <t>CD-853-2024</t>
  </si>
  <si>
    <t>PABLO ALEXANDER TENJO VILLALBA</t>
  </si>
  <si>
    <t>PRESTAR LOS SERVICIOS PROFESIONALES PARA LA ACTUALIZACIÓN Y PUBLICACIÓN DE CONTENIDOS DENTRO DEL PORTAL WEB DE ICETEX</t>
  </si>
  <si>
    <t>CDEF- 913-2024</t>
  </si>
  <si>
    <t xml:space="preserve">1. Realizar la actualización y difusión de contenidos en las diferentes estructuras del portal web institucional del ICETEX, apoyando esta divulgación en otros canales requeridos por la supervisión del contrato, y que este dentro de los tiempos establecidos dentro de los procesos del sistema de gestión de calidad.  
2. Apoyar el diseño de piezas publicitarias que se requieran para ser divulgadas a través de canales (impresos o digitales), cuando sea requerido por la supervisión del contrato.  
3. Apoyo a las estrategias de marketing digital para el cumplimiento de la meta comercial. 
4. Apoyar en la implementación secciones y módulos del portal web institucional, conforme al plan comercial y de mercadeo y las solicitudes radicadas en Aranda por las distintas áreas de la entidad. 
5. Apoyar en la implementación maquetaciones y diseños web en HTML, CSS, Bootstrap para correos institucionales y páginas de aterrizaje. 
6. Mantener la accesibilidad web del portal web durante las actualizaciones de conformidad con la normatividad vigente sobre la materia (Resolución 1519 de 2020). 
7. Aplicar mejoras de usabilidad para la experiencia de usuario, según secciones escogidas para el apoyo a las estrategias digitales del portal web institucional. 
8. Realizar las labores de acompañamiento en reuniones o comités, de conformidad con las necesidades de la entidad y la designación de supervisor del contrato. 
9. Las demás que sean inherentes para el logro del objeto contratado, asignadas por el supervisor del contrato.  
</t>
  </si>
  <si>
    <t>20243030008842-I Id: 4856087</t>
  </si>
  <si>
    <t>12.23</t>
  </si>
  <si>
    <t>2024-0861</t>
  </si>
  <si>
    <t>CD-854-2024</t>
  </si>
  <si>
    <t xml:space="preserve">MARIA DANIELA CORTES LANCHEROS </t>
  </si>
  <si>
    <t xml:space="preserve">
PRESTAR LOS SERVICIOS PROFESIONALES PARA LA OPTIMIZACIÓN DE LAS FUNCIONES FINANCIERAS ASOCIADAS A CUENTAS ABANDONADAS Y LOS PROCESOS DE OPERACIONES TESORALES, A PARTIR DE LA SISTEMATIZACIÓN Y ANÁLISIS DE INFORMACIÓN FINANCIERA EN EL MARCO DEL PROYECTO DE INVERSIÓN DE BANCA ABIERTA Y TRANSPARENTE E INHOUSE BANKING
</t>
  </si>
  <si>
    <t>CDEF-329-2024</t>
  </si>
  <si>
    <t xml:space="preserve">1.	Apoyar las conciliaciones de las operaciones realizas en la Dirección de Tesorería, manteniendo los registros actualizados.
2.	Apoyar el seguimiento y control presupuestal de los rubros a cargo de la Dirección de Tesorería, validando las proyecciones según las necesidades del área.
3.	Apoyar la resolución de los requerimientos realizados a la Dirección de Tesorería, proporcionando la información solicitada en el marco del proyecto de Banca abierta y transparente e Inhouse Banking.
4.	Apoyar la generación de reportes financieros, informes de control, estadísticas y documentos necesarios en el marco del proyecto de Banca abierta y transparente e Inhouse Banking.
5.	Apoyar en la realización de los arqueos mensuales, reportando cualquier novedad y/o hallazgo a la Dirección de Tesorería.
6.	Apoyar la gestión documental de las operaciones de la Dirección de Tesorería, manteniendo actualizados y en el respectivo repositorio los soportes de la operación.
7.	Apoyar el punteo y validación de operaciones realizadas en la Dirección de Tesorería, para garantizar el control dual en virtud del proyecto de Banca abierta y transparente e Inhouse Banking.
8.	Apoyar las operaciones asociadas al cumplimiento de la ley 1777 de 2016 proyecto cuentas abandonadas.
9.	Dar cumplimiento a los indicadores de gestión establecidos en el contrato.
10.	Las demás actividades asignadas por el supervisor del contrato.
</t>
  </si>
  <si>
    <t>11.29</t>
  </si>
  <si>
    <t>2024-0862</t>
  </si>
  <si>
    <t>IMC-828-2024</t>
  </si>
  <si>
    <t>900550039-0</t>
  </si>
  <si>
    <t>ARTEMISA TECH S.A.S</t>
  </si>
  <si>
    <t>MAURICIO ADELMO CORAL LOZADA</t>
  </si>
  <si>
    <t>SOPORTE INTEGRAL ESPECIALIZADO PARA LA PLATAFORMA DE CONTENEDORES Y BUS DE SERVICIOS DEL ICETEX</t>
  </si>
  <si>
    <t>CDEF-821-2024</t>
  </si>
  <si>
    <t>OTROS SERVICIOS OPERATIVOS-VOT</t>
  </si>
  <si>
    <t>$287.531.900</t>
  </si>
  <si>
    <t>IG312001020510100</t>
  </si>
  <si>
    <t>11.20</t>
  </si>
  <si>
    <t>2024-0863</t>
  </si>
  <si>
    <t>CD-855-2024</t>
  </si>
  <si>
    <t>06-1818168</t>
  </si>
  <si>
    <t>BLOOMBERG FINANCE L.P</t>
  </si>
  <si>
    <t>SUSCRIPCIÓN AL SUMINISTRO DE INFORMACIÓN DE NOTICIAS, INFORMACIÓN FINANCIERA Y OTRAS FUNCIONES TRANSACCIONALES PARA LA NEGOCIACIÓN DE DIVISAS Y DE VALORES DE RENTA FIJA EN EL MERCADO LOCAL EN LA PLATAFORMA DE BLOOMBERG PROFESSIONAL.</t>
  </si>
  <si>
    <t>CDEF-919-2024</t>
  </si>
  <si>
    <t>10.43</t>
  </si>
  <si>
    <t>2024-0864</t>
  </si>
  <si>
    <t>CD-856-2024</t>
  </si>
  <si>
    <t>ELDA PATRICIA CASTAÑEDA MONROY</t>
  </si>
  <si>
    <t>PRESTAR SUS SERVICIOS PROFESIONALES APOYANDO LAS ACTIVIDADES RELACIONADAS CON LOS FONDOS, CONVENIOS, CONTRATOS, ALIANZAS Y/O PROYECTOS, A CARGO DE LA VICEPRESIDENCIA DE FONDOS EN ADMINISTRACIÓN, ESPECIALMENTE EN LO RELACIONADO CON LOS TRÁMITES DE CARTERA, CONFORME LOS PROCEDIMIENTOS ESTABLECIDOS POR EL ICETEX</t>
  </si>
  <si>
    <t>CDEF-806-2024</t>
  </si>
  <si>
    <t xml:space="preserve">. Apoyar la identificación y seguimiento a los beneficiarios de los Fondos en Administración susceptibles de paso al cobro.
2.	Efectuar el seguimiento al estado de recuperación de cartera de los beneficiarios de Fondos en Administración, en época de amortización.
3.	Proponer estrategias de normalización de la cartera de Fondos en Administración, acorde con las condiciones de los respectivos convenios y reglamentos operativos.
4.	Apoyar la socialización de las estrategias de normalización de cartera ante las instancias de decisión del fondo. 
5.	Apoyar las actividades relacionadas con los fondos, convenios, contratos, alianzas y/o proyectos, a cargo de la Vicepresidencia de Fondos en Administración en los aspectos relacionados con cartera.
6.	Proyectar y revisar oficios y a los requerimientos de los constituyentes, entes de control que le sean solicitados.  
7.	Acompañar y efectuar recomendaciones en los Comités o Juntas Administradoras donde sea solicitada su participación.   
8.	Apoyar la supervisión de los contratos y/o convenios que le sean asignados, relacionados con el objeto contractual.   
9.	Garantizar la confidencialidad, reserva y privacidad de la información que por razón de sus actividades deba manejar en desarrollo del contrato. 
10.	Asistir y/o participar en los comités, mesas de trabajo y demás reuniones relacionadas con el objeto contractual. 
11.	Desplazarse en oficinas institucionales ubicadas en ciudades o municipios distintos a Bogotá D.C, por solicitud del supervisor, previo el otorgamiento de la correspondiente autorización de desplazamiento.  
12.	Las demás asignadas por el supervisor y que tengan relación con el objeto del presente contrato.
</t>
  </si>
  <si>
    <t>20243030009042-I Id: 4870792</t>
  </si>
  <si>
    <t>2024-0865</t>
  </si>
  <si>
    <t>CD-858-2024</t>
  </si>
  <si>
    <t>830018780-7</t>
  </si>
  <si>
    <t>CORPORACIÓN UNIVERSITARIA DE CIENCIA Y DESARROLLO - UNICIENCIA</t>
  </si>
  <si>
    <t>MARÍA ALEJANDRA
RODRÍGUEZ DUARTE</t>
  </si>
  <si>
    <t>EL OBJETO DEL PRESENTE CONVENIO ES CONSTITUIR UNA ALIANZA ESTRATÉGICA ENTRE EL ICETEX Y LA INSTITUCIÓN DE EDUCACIÓN SUPERIOR – 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t>
  </si>
  <si>
    <t>12.11</t>
  </si>
  <si>
    <t>2024-0866</t>
  </si>
  <si>
    <t>CD-859-2024</t>
  </si>
  <si>
    <t>ANDRES FELIPE LONDOÑO ARIZA</t>
  </si>
  <si>
    <t>PRESTAR LOS SERVICIOS PROFESIONALES ESPECIALIZADOS PARA APOYAR LA GESTIÓN FINANCIERA A PARTIR DEL ANÁLISIS Y SISTEMATIZACIÓN DE INFORMACIÓN PARA LA TOMA DE DECISIONES BASADA EN EVIDENCIAS Y NUEVOS MODELOS DE NEGOCIO, EN EL MARCO DE LA MODERNIZACIÓN DE LAS FUNCIONES FINANCIERAS DEL INSTITUTO</t>
  </si>
  <si>
    <t>CDEF-313-2024</t>
  </si>
  <si>
    <t xml:space="preserve">1.	Realizar la estructuración y colaborar en la apropiación de lineamientos, acuerdos de nivel de servicio e indicadores que permitan fortalecer la sistematización de información financiera del Instituto para la apropiación de buenas prácticas y estándares en el marco de los principios de Banca Abierta y Transparente.
2.	Apoyar la articulación entre las áreas que intervienen en los procesos financieros, de causación, impuestos, de cierre contable y procesamiento de información, para la sistematización, estandarización y automatización de procesos, lineamientos y estándares para la gestión contable.
3.	Elaborar los insumos técnicos para la apropiación de lineamientos, estándares y mecanismos que propendan por la sistematización de la información contable y financiera del Instituto, para la producción de información, reportes e indicadores para la toma de decisiones basada en datos.
4.	Gestionar el seguimiento y control de la información a través de las herramientas, tableros de control, y sistemas que soportan la operación contable y financiera del Instituto, a través de la verificación y conciliación del recaudo, cuentas puentes, cuentas por cobrar, cuentas por pagar, entre otros.
5.	Realizar la consolidación, revisión y registro de las partidas conciliatorias derivado del proceso de sostenibilidad y regularización de la información contable y financiera del Instituto, en los estados financieros que apliquen, con el objetivo de garantizar la calidad de la información.
6.	Apoyar en la implementación de mecanismos de participación y divulgación que permitan la mejora de la transparencia y oportunidad en la entrega de la información para los grupos de incidencia de la Vicepresidencia Financiera. 
7.	Apoyar la implementación de iniciativas, programas y proyectos en el marco de las acciones para la modernización de las funciones financieras, a partir de la apropiación de buenas prácticas, estándares y la optimización de procesos en el marco del proyecto de inversión para la diversificación de fuentes de fondeo.
8.	Gestionar información y elaborar la respuesta de requerimientos de información solicitados por entes internos y/o externos. 
9.	Contribuir con la Vicepresidencia Financiera en la gestión de los proyectos que surjan en ejercicio de sus labores. 
10.	Cumplir con los indicadores de gestión establecidos.
</t>
  </si>
  <si>
    <t>20243030009174-I Id: 4874091</t>
  </si>
  <si>
    <t>10.94</t>
  </si>
  <si>
    <t>2024-0867</t>
  </si>
  <si>
    <t>CD-862-2024</t>
  </si>
  <si>
    <t>GRACE TATIANA RUIZ SANTAMARIA</t>
  </si>
  <si>
    <t>CDEF-934-2024</t>
  </si>
  <si>
    <t xml:space="preserve">
1.	Apoyar la gestión, administración, seguimiento y control de los convenios y contratos a cargo de la Vicepresidencia de Fondos en Administración, que le sean asignados. 
2.	Efectuar seguimiento a los trámites administrativos para las modificaciones de los convenios, contratos y reglamentos de los fondos a cargo de la Vicepresidencia de Fondos en Administración. 
3.	Revisar desde el punto de visto técnico de los Reglamentos Operativos de los fondos administrados por la Vicepresidencia de Fondo en Administración que le sean asignados. 
4.	Revisar los informes financieros y de gestión conforme las condiciones y periodicidad establecida en cada convenio, contrato y reglamentos operativos y efectuar seguimiento a la remisión de los mismos a los constituyentes. 
5.	Revisar las cuentas de cobro que deben remitirse a los constituyentes y efectuar seguimiento de las mismas. 
6.	Revisar los cronogramas y términos de referencia de las convocatorias requeridas para la adjudicación de los recursos de los fondos asignados y asegurar que el fondo cuente con los recursos disponibles para garantizar los giros que se requieran. 
7.	Revisar la calificación efectuada en la Vicepresidencia de Fondos en Administración, conforme con las condiciones establecidas en los reglamentos operativos y los procedimientos establecidos por el ICETEX. 
8.	Validar las proyecciones financieras y flujo de caja previamente proyectados contra los datos históricos y los apoyos económicos en proceso de adjudicación y renovación. 
9.	Efectuar seguimiento mensual a la gestión de los procesos de otorgamiento, legalización, renovación, desembolsos, condonaciones y pasos al cobro de los fondos administrados por la Vicepresidencia de Fondos en Administración que le sean asignados. 
10.	Efectuar seguimiento a los compromisos derivados de los Comités o Juntas Administradoras de los fondos que le sean asignados. 
11.	Revisar respuestas a los requerimientos de los constituyentes, entes de control que le sean solicitados. 
12.	Acompañar y efectuar recomendaciones en los Comités o Juntas Administradoras donde sea solicitada su participación. 
13.	Apoyar la supervisión de los contratos y/o convenios que le sean asignados, relacionados con el objeto contractual. 
14.	Garantizar la confidencialidad, reserva y privacidad de la información que por razón de sus actividades deba manejar en desarrollo del contrato. 
15.	Asistir y/o participar en los comités, mesas de trabajo y demás reuniones relacionadas con el objeto contractual. 
16.	Desplazarse en oficinas institucionales ubicadas en ciudades o municipios distintos a Bogotá D.C, por solicitud del supervisor, previo el otorgamiento de la correspondiente autorización de desplazamiento. 
17.	Las demás asignadas por el supervisor y que tengan relación con el objeto del presente contrato. 
</t>
  </si>
  <si>
    <t>2024-0868</t>
  </si>
  <si>
    <t>CD-863-2024</t>
  </si>
  <si>
    <t>ACUERDO ESTRATÉGICO PARA IMPLEMENTAR LA ESTRATEGIA 1 “SISTEMAS DE EDUCACIÓN MEDIA Y SUPERIOR SIMES – GUAINÍA.” DERIVADA DEL FONDO ADMINISTRADO POR EL ICETEX, PARA PROMOVER ESTRATEGIAS QUE PERMITAN LA CALIDAD, EL ACCESO, EL REINTEGRO, Y LA PERMANENCIA AL SISTEMA EDUCATIVO DE LAS Y LOS JÓVENES DEL PAÍS Y FAVOREZCAN EL TRÁNSITO A LA EDUCACIÓN POSMEDIA Y SUPERIOR.</t>
  </si>
  <si>
    <t>1001105957801 Certificado: 0.</t>
  </si>
  <si>
    <t>2024-0869</t>
  </si>
  <si>
    <t>CD-864-2024</t>
  </si>
  <si>
    <t>JAIME LEON GÓMEZ SALAZAR</t>
  </si>
  <si>
    <t>PRESTAR LOS SERVICIOS PROFESIONALES ESPECIALIZADOS EN EL GRUPO DE ADMINISTRACIÓN DE RECURSOS FÍSICOS DE LA SECRETARÍA GENERAL, APOYANDO LA IDENTIFICACIÓN, REALIZACIÓN, SEGUIMIENTO Y EJECUCIÓN DE LOS PROCESOS ADMINISTRATIVOS DEL ICETEX.</t>
  </si>
  <si>
    <t>CDEF-947-2024</t>
  </si>
  <si>
    <t xml:space="preserve">1.	Proyectar, analizar y consolidar la información necesaria para la elaboración de informes relacionados con la ejecución de planes, programas, proyectos y actividades propias de los procesos del Grupo de Administración de Recursos Físicos
2.	Presentar los informes que le sean solicitados por parte del Coordinador de Recursos Físicos sobre sus funciones y desarrollo de planes en línea con la austeridad y control del gasto
3.	Apoyar a la Coordinación del Grupo de Administración de Recursos Físicos en la Supervisión de contratos que le sean asignados al área
4.	. Elaborar proyectos de planes de acción y de mejoramiento, programas del Grupo de Administración de Recursos Físicos
5.	Elaborar los documentos requeridos para la formulación y actualización de los procedimientos, metodologías y demás documentos que se requieran para la ejecución de las diferentes actividades del proceso de permanencia que lidera la Coordinación de Administración de Recursos Físicos, de acuerdo con los lineamientos que para ello defina la Oficina Asesora de Planeación.
6.	. Realizar seguimiento a las actividades, metas y controles definidos en los planes institucionales, indicadores y riesgos, de acuerdo con los lineamientos definidos por la Oficina Asesora de Planeación.
7.	Las demás que le asigne el supervisor del contrato
</t>
  </si>
  <si>
    <t>20243030009387-I Id: 4879664</t>
  </si>
  <si>
    <t>10.77</t>
  </si>
  <si>
    <t>2024-0870</t>
  </si>
  <si>
    <t>CD-865-2024</t>
  </si>
  <si>
    <t>ELENA CAROLINA OROZCO CASTELLANO</t>
  </si>
  <si>
    <t>CDEF-924-2024</t>
  </si>
  <si>
    <t xml:space="preserve">
1.	Apoyar la gestión en la identificación de nuevas propuestas para la constitución de nuevos fondos en administración con entidades públicas y privadas.
2.	Proponer los cronogramas de las convocatorias requeridas para la adjudicación de los recursos de los fondos asignados y proyectar los términos de referencia de los mismos y aprobación de los colaboradores designados por el Vicepresidente de Fondos en Administración.
3.	Apoyar los trámites relacionados con la modificación y actualización de los convenios, contratos, alianzas, proyectos y reglamentos a cargo de Vicepresidencia de Fondos en Administración, teniendo en cuenta los procedimientos establecidos por el ICETEX.
4.	Efectuar seguimiento mensual de los fondos asignados, informando al Despacho las novedades que impidan la correcta ejecución de los mismos.
5.	Adelantar y/o apoyar los procesos de convocatoria, calificación y adjudicación relacionados con Fondos asignados, conforme con las condiciones establecidas en los reglamentos operativos y los procedimientos establecidos por el ICETEX.
6.	Efectuar la legalización, renovación, giro, paso al cobro, de conformidad con el Reglamento Operativo de cada fondo a su cargo y los procedimientos establecidos por el ICETEX.
7.	Realizar la proyección financiera de los fondos asignados, manteniendo actualizada la información.
8.	Proponer flujo de caja de los fondos asignados y realizar seguimiento a la ejecución del mismo de manera mensual, conforme los lineamientos de la Vicepresidencia de Fondos en Administración.
9.	Efectuar el proceso oportuno de validación, solicitud y seguimiento de los desembolsos y pago de facturas a proveedores cuando aplique.
10.	Identificar los beneficiarios susceptibles de condonación, informar a la instancia correspondiente de acuerdo con el Reglamento Operativo y efectuar el seguimiento hasta culminar dicho proceso.
11.	Realizar seguimiento a la gestión de cartera de los fondos asignados, actualizar la información en los informes de gestión y monitorear de manera mensual el movimiento financiero del fondo.
12.	Efectuar el seguimiento a los rendimientos financieros y los trámites relacionados con reintegros a los entes que correspondan, de acuerdo con lo establecido en el Reglamento Operativo, la normatividad vigente y los procedimientos del ICETEX.
13.	Convocar las mesas de trabajo de manera presencial o virtual con los constituyentes de los fondos a su cargo, y elaborar las actas de los Comités y Juntas Administradoras en los que el ICETEX tenga a cargo la Secretaria Técnica.
14.	Incorporar a los expedientes de los fondos y las carpetas compartidas de la Vicepresidencia de Fondos en Administración la información que surja en el desarrollo del objeto contractual y hacer correcto uso de las mismas.
15.	Proyectar las respuestas a las peticiones de los constituyentes y brindar los insumos para atender los requerimientos de entes de control, usuarios, Defensor del Consumidor Financiero, SIC, Acciones de Tutela y demás solicitudes; así como los requeridos para la liquidación de los fondos.
16.	Garantizar la confidencialidad, reserva y privacidad de la información que por razón de sus actividades deba manejar en desarrollo del contrato.
17.	Asistir y/o participar en los comités, mesas de trabajo y demás reuniones relacionadas con el objeto contractual.
18.	Desplazarse a las diferentes ciudades del país, en caso de ser necesario para la debida ejecución del contrato, previa coordinación con el supervisor.
19.	Las demás asignadas por el supervisor y que tengan relación con el objeto del presente contrato.
</t>
  </si>
  <si>
    <t>JIRLENA SMITH BALLESTEROS CELIS</t>
  </si>
  <si>
    <t>6.24</t>
  </si>
  <si>
    <t>2024-0871</t>
  </si>
  <si>
    <t>CD-866-2024</t>
  </si>
  <si>
    <t>DIANA MILENA OCHOA PARRA</t>
  </si>
  <si>
    <t>PRESTAR LOS SERVICIOS PROFESIONALES PARA APOYAR A LA OFICINA DE RELACIONES INTERNACIONALES DEL ICETEX EN EL DESARROLLO DE ACTIVIDADES POSCONTRACTUALES PARA EL CIERRE Y/O LIQUIDACIÓN DE CONVENIOS, ACUERDOS ESTRATÉGICOS Y CONTRATOS.</t>
  </si>
  <si>
    <t>CDEF-879-2024</t>
  </si>
  <si>
    <t xml:space="preserve">1.	Realizar las actividades post-contractuales que se requieran para obtener el cierre y/o liquidación de convenios, acuerdos estratégicos y contratos a cargo de la Oficina de Relaciones Internacionales. 
2.	Gestionar el cierre y/o liquidación de los convenios, acuerdos estratégicos y contratos a cargo de la Oficina de Relaciones Internacionales. 
3.	Cumplir con el plan de trabajo realizado en conjunto con el Supervisor para el desarrollo de las actividades post-contractuales para obtener el cierre y/o liquidación de convenios, acuerdos estratégicos y contratos a cargo de la Oficina de Relaciones Internacionales. 
4.	Realizar la elaboración de informes y presentaciones requeridos por el Supervisor que se relacionen con el objeto del contrato. 
5.	Obtener las actas de cierre y/o liquidación, debidamente perfeccionadas, de los convenios, acuerdos estratégicos y contratos a cargo de la Oficina de Relaciones Internacionales. 
6.	Gestionar toda la documentación necesaria con los aliados, contratistas, terceros así como con el personal del ICETEX para obtener el cierre y/o liquidación de convenios, acuerdos estratégicos y contratos a cargo de la Oficina de Relaciones Internacionales. 
7.	Realizar el apoyo a la supervisión técnica de los contratos o acuerdos asignados por la Jefe de la Oficina de Relaciones internacionales relacionados con el objeto del contrato. 
8.	Apoyar y participar en las diferentes reuniones y comités que le indique el Supervisor. 
9.	Realizar las demás actividades que le sean requeridas por el Supervisor del contrato y se relacionen con el objeto del contrato. 
</t>
  </si>
  <si>
    <t>20242700009397-I Id: 4880124</t>
  </si>
  <si>
    <t>10.91</t>
  </si>
  <si>
    <t>2024-0872</t>
  </si>
  <si>
    <t>CD-867-2024</t>
  </si>
  <si>
    <t>LINA MARIA TELLEZ LESMES</t>
  </si>
  <si>
    <t>PRESTAR SUS SERVICIOS PROFESIONALES APOYANDO EL LEVANTAMIENTO DE PROCESOS ASOCIADOS A LA ADMINISTRACIÓN DE FONDOS CON RECURSOS DE TERCEROS ASÍ, COMO LA IDENTIFICACIÓN DE OPORTUNIDADES DE MEJORA QUE CONTRIBUYAN A LA EFICIENCIA DE LOS MISMOS</t>
  </si>
  <si>
    <t>CDEF-942-2024</t>
  </si>
  <si>
    <t>4.28</t>
  </si>
  <si>
    <t>2024-0873</t>
  </si>
  <si>
    <t>CD-868-2024</t>
  </si>
  <si>
    <t>JORGE HERNANDO CHÁVEZ CAMARGO</t>
  </si>
  <si>
    <t>PRESTAR SERVICIOS PROFESIONALES PARA APOYAR AL GRUPO DE GESTIÓN ESTRATÉGICA DE PQRS O AL QUE LO REEMPLACE, EN LAS ACTIVIDADES NECESARIAS PARA LA IDENTIFICACIÓN, ARTICULACIÓN Y ELABORACIÓN DE TABLEROS DE CONTROL Y ANÁLISIS DE DATA EN LAS ACTIVIDADES DE APOYO A LA SUPERVISIÓN DE LOS CONTRATOS A CARGO DE ESTE GRUPO Y DEL SEGUIMIENTO DE PQRS, DESDE EL FRENTE DE TECNOLOGÍA</t>
  </si>
  <si>
    <t>CDEF-944-2024</t>
  </si>
  <si>
    <t xml:space="preserve">1.	Brindar apoyo técnico continuo al supervisor del contrato, asegurando la identificación y documentación de los Acuerdos de Nivel de Servicio (ANS) vinculados a los contratos supervisados por esta dependencia. 
2.	Proponer y gestionar tableros de control, realizando análisis exhaustivo de los datos representados, validando y monitoreando los KPIs relacionados con los planes de acción y los SLAs de los contratos. 
3.	Analizar los resultados de los KPIs, monitoreando su desempeño y generando informes periódicos que faciliten la toma de decisiones, con recomendaciones basadas en los hallazgos de los análisis de datos. 
4.	Automatizar procesos de análisis y reportes, implementando metodologías que minimicen la intervención manual y optimicen la eficiencia en la actualización de estos. 
5.	Identificar y evaluar riesgos a través del análisis de datos, detectando posibles desviaciones en el cumplimiento de los SLAs y proponiendo acciones correctivas oportunas basadas en datos. 
6.	Apoyar la gestión de los contratos a cargo del área, así como las actividades operativas relacionadas, asegurando la construcción y análisis de reportes de los planes de acción, entre otras tareas asignadas por el supervisor del contrato.
7.	Brindar soporte y capacitación a otros miembros del equipo en la interpretación de los resultados de los tableros y en el uso de datos para la toma de decisiones.
8.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obligaciones que sean acordes con el objeto contractual asignado por quien ejerza la función de la Supervisión del Contrato.
</t>
  </si>
  <si>
    <t>20243030009405-I Id:
4880578</t>
  </si>
  <si>
    <t>4.184</t>
  </si>
  <si>
    <t>2024-0874</t>
  </si>
  <si>
    <t>CD-869-2024</t>
  </si>
  <si>
    <t>ESNEIDER ALBERTO ROSADO GALINDO</t>
  </si>
  <si>
    <t>PRESTAR SERVICIOS PROFESIONALES ESPECIALIZADOS PARA APOYAR AL GRUPO DE GESTIÓN ESTRATÉGICA DE PQRS O AL QUE LO REEMPLACE, EN LAS ACTIVIDADES NECESARIAS PARA LA IDENTIFICACIÓN, ARTICULACIÓN, DOCUMENTACIÓN Y ELABORACIÓN DE PLANES DE EJECUCIÓN DE LAS POLÍTICAS DE SERVICIO AL CIUDADANO.</t>
  </si>
  <si>
    <t>CDEF-940-2024</t>
  </si>
  <si>
    <t>SERVICIO DE ATENCIÓN AL USUARIO</t>
  </si>
  <si>
    <t>IG 332550004</t>
  </si>
  <si>
    <t xml:space="preserve">ICETEX pagará al CONTRATISTA el valor del contrato mediante PAGOS MENSUALES por valor de SIETE MILLONES CIENTO DOCE MIL PESOS M/CTE. ($ 7.112.000,00), por concepto de honorarios y demás impuestos y retenciones a cargo del Contratista o en forma proporcional por el tiempo que efectivamente EL CONTRATISTA preste sus servicios profesionales (mes o fracción de mes), de la siguiente manera: a) Un primer pago con corte al 24 del primer mes de ejecución; b) Pagos mensuales del 25 al 24 de cada mes.
PARÁGRAFO PRIMERO: Cada uno de los pagos se hará previa presentación de los siguientes documentos: (i) La factura o cuenta de cobro; (ii) Los informes solicitados durante el mes de ejecución; (iii) Los recibos de pago de los aportes a la seguridad social de conformidad con lo dispuesto en el literal e) del numeral 12.3.2 del artículo 12.3 del Manual de Contratación del Icetex; (iv) Certificado de cumplimiento expedido por el supervisor delegado.
PARÁGRAFO SEGUNDO: El pago de los honorarios se efectuará con corte a 24 de cada mes y el último pago con corte a 30 del último mes de ejecución, en caso de que la ejecución se pacte hasta el mes de diciembre y, en todo caso, cuando no se ejecute el contrato durante un mes completo se pagará a prorrata por los días efectivamente ejecutados en la jornada de pago del mes siguiente.
Para efectos del presente contrato, se entenderá que los meses constan de 30 días. En los eventos en que se tenga que fraccionar el mismo, se tomará el valor de los honorarios mensuales, dividirlos en treinta y multiplicar el resultado por el número de días efectivamente prestados.
PARÁGRAFO TERCERO: Cuando el último pago se pacte para el mes de diciembre, la cuenta deberá ser presentada en las fechas previstas para la última jornada de recepción de cuentas, de conformidad con la Circular de Apertura y Cronogramas de la Vicepresidencia Financiera, emitida para cada vigencia fiscal.
PARÁGRAFO CUARTO: Una vez realizado el primer pago del presente contrato, considerando la prorrata derivada del valor diario en este, los saldos sin ejecutar que hubieren sido asignados para el mismo, serán liberados por el Grupo de Presupuesto del ICETEX, con el fin de garantizar la adecuada gestión de los recursos durante la presente vigencia.
PARÁGRAFO QUINTO: Si en desarrollo de las obligaciones del CONTRATISTA, se requiere su desplazamiento fuera del lugar acordado para la prestación del servicio, el ICETEX reconocerá como gastos de viaje, de conformidad con la metodología reglamentada por la Entidad para los contratistas personas naturales.
Nota: Para contratistas personas naturales, deberán presentar junto con el informe final como requisito para el último pago, el respectivo paz y salvo de conformidad con el formato dispuesto por la entidad. “Formato Paz y Salvo Contratistas prestación de servicios profesionales o apoyo a la gestión” (F509), cuyo diligenciamiento se realizará conforme al Instructivo I509.
1.	Realizar la identificación de Políticas de Servicio al Ciudadano, a partir  del análisis de normativas y regulaciones: Colaborar, de acuerdo con lo solicitado por el supervisor del contrato, en la revisión de normativas, leyes y regulaciones vigentes que impacten el servicio al ciudadano, identificando políticas relevantes.
2.	Brindar soporte en la investigación y evaluación de mejores prácticas nacionales e internacionales, con el objetivo de identificar oportunidades de mejora en la articulación, implementación y ejecución de las políticas de relacionamiento al ciudadano.
3.	Facilitar, la coordinación y colaboración entre distintas áreas y entidades para asegurar la alineación de las políticas de servicio al ciudadano.
4.	Contribuir en la integración de las políticas de servicio al ciudadano con otros planes estratégicos de la entidad, siguiendo las indicaciones del supervisor del contrato.
5.	Asistir en la redacción de documentos técnicos detallando las políticas de servicio al ciudadano, según las directrices del supervisor del contrato.
6.	Colaborar en la creación de manuales, guías y protocolos para facilitar la comprensión y aplicación de las políticas, bajo la orientación del supervisor del contrato.
7.	Contribuir al desarrollo de planes de implementación detallados, incluyendo cronogramas y recursos, siguiendo las instrucciones del supervisor del contrato.
8.	Participar en el seguimiento de la ejecución de los planes, realizando propuestas de mejora, conforme lo solicite el supervisor del contrato.
9.	Colaborar en la organización y ejecución de sesiones de capacitación y sensibilización para el personal, bajo la supervisión y guía del supervisor del contrato.
10.	Proveer asistencia técnica continua al grupo de trabajo, siguiendo las instrucciones del supervisor del contrato, y resolviendo dudas y problemas relacionados con la implementación de las políticas.
11.	Colaborar en la evaluación periódica del impacto de las políticas de servicio al ciudadano, proponiendo mejoras según las indicaciones del supervisor del contrato.
12.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13.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14.	Las demás obligaciones que sean acordes con el objeto contractual asignado por quien ejerza la función de la Supervisión del Contrato.
</t>
  </si>
  <si>
    <t>20243030009427-I Id:
4881295</t>
  </si>
  <si>
    <t>13.81</t>
  </si>
  <si>
    <t>2024-0875</t>
  </si>
  <si>
    <t>CD-870-2024</t>
  </si>
  <si>
    <t>WILLIAM ALFONSO OLMOS MORA</t>
  </si>
  <si>
    <t>CDEF-910-2024</t>
  </si>
  <si>
    <t>GESTION DOCUMENTAL</t>
  </si>
  <si>
    <t xml:space="preserve">1.	Apoyar el desarrollo de las actividades relacionadas con la clasificación, consulta y envío alarchivo de los documentos requeridos dentro del proceso de gestión documental, de conformidad con la normatividad vigente y los estándares establecidos por la entidad. 
2.	Apoyar la creación y/o actualización de los expedientes físicos y electrónicos, acorde a las Tablas de Retención Documental (TRD), aprobadas en el ICETEX porel Archivo General de la Nación y los procedimientos establecidos por la entidad para el manejo documental. 
3.	Apoyar técnicamente en los procesos de organización, ordenación, restauración, inventario documental y descripción archivística de los expedientes pertenecientes al archivo histórico del ICETEX para su entrega al Archivo General de la Nación dentro del componente documental con el propósito de fortalecer la política de Gestión Documental de MIPG 
4.	Mantener actualizado el inventario documental (FUID) de la entidad, con el fin de garantizar la oportunidad en la consulta y transferencia de documentos, así como controlar el acervo documental. 
5.	Apoyar las transferencias documentales una vez cumplidos los tiempos de retenciónsegún lo dispuesto en las Tablas de Retención Documental. 
6.	Apoyar la atención de solicitudes de consultas realizadas por las áreas de la entidad,dando cumplimento a los procedimientos establecidos.
7.	Apoyar técnicamente los procesos de digitalización de los expedientes y carpetas pertenecientes al archivo de gestión de la entidad dentro del componente tecnológico con el fin de fortalecer la política de gestión documental de MIPG 
8.	 Las demás obligaciones que sean acordes con el objeto contractual y que sean asignadas por quien ejerza la función de la supervisión del contrato
</t>
  </si>
  <si>
    <t>13.13</t>
  </si>
  <si>
    <t>2024-0876</t>
  </si>
  <si>
    <t>CD-871-2024</t>
  </si>
  <si>
    <t>830504600-4</t>
  </si>
  <si>
    <t>BELISARIO VELASQUEZ &amp; ASOCIADOS SAS</t>
  </si>
  <si>
    <t>PRESTACIÓN DE SERVICIOS PROFESIONALES ESPECIALIZADOS Y DE ASESORÍA PARA EL ACOMPAÑAMIENTO EN TEMAS SINDICALES DEL INSTITUTO COLOMBIANO DE CRÉDITO EDUCATIVO Y ESTUDIOS TÉCNICOS EN EL EXTERIOR –ICETEX.</t>
  </si>
  <si>
    <t>CDEF-946-2024</t>
  </si>
  <si>
    <t>HONORARIOS-SGN</t>
  </si>
  <si>
    <t xml:space="preserve">1.	Emitir conceptos y recomendaciones en asuntos directamente relacionados con la organización sindical existente en el Icetex. 
2.	Elaborar y proyectar respuestas a los diferentes requerimientos del sindicato del Icetex y aquellos que su supervisor requiera de acuerdo con el objeto del contrato. 
3.	Asesorar estratégicamente en temas referentes a derecho laboral colectivo, incluye revisión de comunicaciones, asesoría frente a permisos sindicales, asesoría frente a comunicaciones y demás inquietudes respecto de la administración y seguimiento a asuntos relacionados con la organización sindical. 
4.	Realizar acompañamiento en las que reuniones que se requieran por parte del Icetex en relación con la organización sindical. 
5.	Prestar asesoria juridica en temas relacionados con derecho laboral colectivo, minimizando cualquier riesgo de sanción para el Instituto o vulneracion de los derechos laborales. 
6.	Las demás que le sean solicitadas por la supervisión del contrato y que tengan relación con el objeto contractual.
NOTA: Estas obligaciones especificas se ejecutarán dentro del alcance previsto en la propuesta del contratista.
</t>
  </si>
  <si>
    <t>20243040009428-I Id: 4881362</t>
  </si>
  <si>
    <t>10.95</t>
  </si>
  <si>
    <t>2024-0877</t>
  </si>
  <si>
    <t>CD-872-2024</t>
  </si>
  <si>
    <t>PRESTAR SUS SERVICIOS PROFESIONALES APOYANDO EL PROCESO DE SENSIBILIZACIÓN, APROPIACIÓN Y EN LA EJECUCIÓN DE LOS FONDOS A CARGO DE LA VICEPRESIDENCIA DE FONDOS EN ADMINISTRACIÓN.</t>
  </si>
  <si>
    <t>CDEF-935-2024</t>
  </si>
  <si>
    <t xml:space="preserve">
1.	Elaborar e implementar la estrategia de capacitación de las herramientas y procesos requeridos para administrar los fondos de la Vicepresidencia de Fondos en Administración. 
2.	Apoyar en la construcción del material de capacitación del uso de las herramientas y procesos requeridos por la Vicepresidencia de Fondos en Administración
3.	Orientar y efectuar capacitación a los nuevos profesionales del área, de las herramientas, procesos y procedimientos para la administración de los fondos de la Vicepresidencia de Fondos en Administración.
4.	Efectuar acompañamiento a los nuevos profesionales del área, frente al entendimiento de las herramientas y procesos utilizados para administrar los fondos de la Vicepresidencia de Fondos en Administración. 
5.	Apoyar y brindar la información requerida para la elaboración y/o actualizaciones de los procesos y procedimientos a cargo de la Vicepresidencia de Fondos en Administración.
6.	Efectuar seguimiento a la implementación de nuevas herramientas, procesos y procedimientos de la entidad o actualización de los mismos, relacionados con los procesos a cargo de la Vicepresidencia de Fondo en Administración.
7.	Acompañar y efectuar capacitación de nuevas herramientas, procesos y procedimientos o actualizaciones de los mismos, a los miembros del equipo de la Vicepresidencia de Fondos en Administración, cuando sea requerido
8.	Garantizar la confidencialidad, reserva y privacidad de la información que por razón de sus actividades deba manejar en desarrollo del contrato. 
9.	Asistir y/o participar en mesas de trabajo y demás reuniones relacionadas con el objeto contractual. 
10.	Desplazarse en oficinas institucionales ubicadas en ciudades o municipios distintos a Bogotá D.C, por solicitud del supervisor, previo el otorgamiento de la correspondiente autorización de desplazamiento. 
11.	Las demás asignadas por el supervisor y que tengan relación con el objeto del presente contrato. 
</t>
  </si>
  <si>
    <t>20243030009429-I Id: 4881366</t>
  </si>
  <si>
    <t>10.78</t>
  </si>
  <si>
    <t>2024-0878</t>
  </si>
  <si>
    <t>CD-873-2024</t>
  </si>
  <si>
    <t>ANDRÉS FELIPE TIUSO REAL</t>
  </si>
  <si>
    <t>CDEF-925-2024</t>
  </si>
  <si>
    <t>4.182</t>
  </si>
  <si>
    <t>2024-0879</t>
  </si>
  <si>
    <t>CD-874-2024</t>
  </si>
  <si>
    <t>HAZEL BRINNETH MURILLO CANCINO</t>
  </si>
  <si>
    <t>PRESTAR SERVICIOS PROFESIONALES ESPECIALIZADOS PARA APOYAR AL GRUPO DE GESTIÓN ESTRATÉGICA DE PQRS O AL QUE LO REEMPLACE, EN LAS ACTIVIDADES DE VIGILANCIA JURÍDICA PARA LA SUPERVISIÓN DEL CONTRATO DE INTERVENTORÍA AL CONTRATO DE ATENCIÓN AL USUARIO Y DEMÁS ACTIVIDADES RELACIONADAS ADSCRITAS AL GRUPO</t>
  </si>
  <si>
    <t>CDEF-938-2024</t>
  </si>
  <si>
    <t xml:space="preserve">1.	Apoyar en la Vigilancia Jurídica de cumplimiento contractual: Colaborar en el apoyo a la supervisión del contrato de interventoría al contrato del proveedor de atención al usuario, asegurando que se cumplan las especificaciones y requisitos establecidos, bajo la dirección del supervisor del contrato de interventoría.
2.	Apoyar en la elaboración de documentos, estudios de mercado y demás actividades necesarias para elaborar los estudios previos de los contratos a cargo del área y que le sean asignados por el Supervisor del contrato o a quien el designe. 
3.	Apoyar en la Identificación y Gestión de Riesgos Jurídicos: Asistir en la identificación y evaluación de riesgos legales asociados a la interventoría al contrato del proveedor de atención al usuario y los demás contratos a cargo del área, proponiendo medidas correctivas y mejoras conforme a las indicaciones del supervisor del contrato o a quien el designe. 
4.	Apoyar en la Realización de Auditorías Contractuales: Contribuir en la planificación y propuestas de auditorías internas y externas para asegurar el cumplimiento de las normativas contractuales, siguiendo las directrices del supervisor del contrato. 
5.	Apoyar en la emisión de conceptos jurídicos respecto a los alcances y cumplimiento de las obligaciones del contrato de interventoría al contrato del proveedor de atención al usuario
6.	Apoyar en la Elaboración de Reportes y Documentación: Asistir en la preparación y revisión de reportes detallados sobre el estado del contrato de interventoría al contrato del proveedor de atención al usuario, asegurando que toda la documentación esté completa y actualizada, conforme a las directrices del supervisor del contrato. 
7.	Apoyar en la gestión de modificaciones contractuales: Contribuir en la gestión y seguimiento de las modificaciones contractuales, de los contratos a cargo del Grupo, incluyendo la evaluación y ajuste de garantías según las indicaciones del supervisor del contrato. 
8.	Apoyar en la capacitación y transferencia de conocimientos: Asistir en la organización y ejecución de sesiones de capacitación para el personal involucrado en la gestión de los contratos del Grupo, asegurando la transferencia efectiva de conocimientos clave. 
9.	Apoyar en la evaluación del impacto del contrato: Contribuir en la evaluación periódica del impacto del contrato de interventoría al contrato del proveedor de atención al usuario, analizando los resultados y proponiendo mejoras según las indicaciones del supervisor del contrato.
10.	Apoyar en la asistencia jurídica continua: Proveer asistencia jurídica continua al grupo de trabajo, resolviendo dudas y problemas relacionados con la vigilancia dando alcance de las obligaciones contractuales y las condiciones de ejecución del contrato, siguiendo las indicaciones del supervisor del contrato a quien designe.
11.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12.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13.	Las demás obligaciones que sean acordes con el objeto contractual asignado por quien ejerza la función de la Supervisión del Contrato.
</t>
  </si>
  <si>
    <t>20243030009458-I Id:
4881788</t>
  </si>
  <si>
    <t>2024-0880</t>
  </si>
  <si>
    <t>CD-875-2024</t>
  </si>
  <si>
    <t>LUIS ALEJANDRO ZALDUA CAMARGO</t>
  </si>
  <si>
    <t>PRESTAR SERVICIOS PROFESIONALES PARA APOYAR AL GRUPO DE GESTIÓN ESTRATÉGICA DE PQRS O AL QUE LO REEMPLACE, EN LAS ACTIVIDADES NECESARIAS PARA LA ELABORACIÓN Y SEGUIMIENTO DE PLANES DE TRABAJO QUE PERMITAN LA EJECUCIÓN DE LAS POLÍTICAS DE SERVICIO AL CIUDADANO EN LA ENTIDAD.</t>
  </si>
  <si>
    <t>CDEF-953-2024</t>
  </si>
  <si>
    <t>IG 312001020240100</t>
  </si>
  <si>
    <t>Brindar apoyo en la recopilación y análisis de información relevante para el desarrollo de
políticas de servicio al ciudadano, garantizando la adecuada documentación de procesos, la
consolidación de lecciones aprendidas y la identificación de buenas prácticas.
2. Elaborar y dar seguimiento a los planes de trabajo requeridos para la implementación de
políticas de servicio al ciudadano, asegurando su alineación con los objetivos estratégicos de
la entidad y promoviendo la mejora continua en la gestión de PQRS.
3. Participar activamente en comités y reuniones de trabajo relacionadas con la gestión
estratégica de PQRS, aportando su experiencia en políticas públicas y relaciones
internacionales para mejorar la calidad del servicio al ciudadano y contribuir a la toma de
decisiones informadas, vinculadas y concordantes con la Política de Servicio al Ciudadano.
4. Apoyar en la implementación y evaluación de los planes de acción de la entidad,
proporcionando seguimiento continuo y retroalimentación para asegurar su efectividad y
alineación con las políticas de servicio al ciudadano.
5. Facilitar la comunicación y coordinación entre los diferentes grupos de trabajo y
dependencias involucradas en la ejecución de las políticas de servicio al ciudadano, asegurando
la coherencia y consistencia en la aplicación de dichas políticas.
6. Proponer y gestionar la organización de mesas de trabajo entre distintas áreas y entidades
para asegurar la alineación de las políticas de servicio al ciudadano.
7. Colaborar en la integración de las políticas de servicio al ciudadano con otros planes
estratégicos de la entidad, siguiendo las indicaciones del supervisor del contrato.
8. Apoyar en la evaluación periódica del impacto de las políticas de servicio al ciudadano,
proponiendo mejoras según las indicaciones del supervisor del contrato.
9.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obligaciones que sean acordes con el objeto contractual asignado por quien
ejerza la función de la Supervisión del Contrato.</t>
  </si>
  <si>
    <t>2024-0881</t>
  </si>
  <si>
    <t>IS-843-2024</t>
  </si>
  <si>
    <t>19322393-0</t>
  </si>
  <si>
    <t>JAMES RIVEROS TELLEZ</t>
  </si>
  <si>
    <t>CONTRATAR EL MANTENIMIENTO PREVENTIVO Y CORRECTIVO DE LAS PLANTAS ELÉCTRICAS DE ICETEX, ASÍ COMO EL SUMINISTRO DE LOS REPUESTOS QUE SEAN NECESARIOS PARA SU CORRECTO FUNCIONAMIENTO.</t>
  </si>
  <si>
    <t>CDEF-914-2024</t>
  </si>
  <si>
    <t>MANTENIMIENTO DE BIENES MUEBLES, EQUIPOS</t>
  </si>
  <si>
    <t>IG311002004005002</t>
  </si>
  <si>
    <t>4.181</t>
  </si>
  <si>
    <t>2024-0882</t>
  </si>
  <si>
    <t>CD-878-2024</t>
  </si>
  <si>
    <t>MARTHA ELENA HURTADO HERNÁNDEZ</t>
  </si>
  <si>
    <t> PRESTAR SERVICIOS PROFESIONALES ESPECIALIZADOS PARA APOYAR AL GRUPO DE GESTIÓN ESTRATÉGICA DE PQRS O AL QUE LO REEMPLACE, EN LAS ACTIVIDADES DE VIGILANCIA ADMINISTRATIVA PARA LA SUPERVISIÓN DEL CONTRATO DE INTERVENTORÍA AL CONTRATO DE ATENCIÓN AL USUARIO Y DEMÁS ACTIVIDADES RELACIONADAS ADSCRITAS AL GRUPO</t>
  </si>
  <si>
    <t>CDEF-937-2024</t>
  </si>
  <si>
    <t xml:space="preserve">1.	Colaborar con la vigilancia administrativa del contrato de interventoría, asegurando el cumplimiento de las obligaciones contractuales en el frente de los proyectos y la vigilancia administrativa, revisando y analizando los informes de interventoría para identificar riesgos o incumplimientos, y proponiendo acciones correctivas en desarrollo de la designación de responsabilidades. 
2.	Asistir al supervisor en la coordinación y seguimiento de las actividades relacionadas con la gestión de Peticiones, Quejas y Recursos (PQRs), contribuyendo a la optimización de los procesos de seguimiento apoyando la definición, documentación y cumplimiento de los planes de acción.
3.	Preparar informes periódicos sobre el estado del contrato de interventoría, incluyendo avances, dificultades y recomendaciones, utilizando herramientas de gestión, documentación y presentación para facilitar la toma de decisiones, en desarrollo de la asignación de responsabilidades.
4.	Asistir al supervisor en la definición, monitoreo y seguimiento de proyectos de mejora continua, relacionados con el cumplimiento del contrato de interventoría, de los contratos a cargo del Grupo y con los temas de atención al usuario, colaborando en la implementación de nuevas herramientas o sistemas para mejorar la eficiencia en su seguimiento, en apoyo a las responsabilidades del supervisor.
5.	Asistir al supervisor en la identificación de oportunidades de mejora en los procesos de vigilancia administrativa, proponiendo y apoyando en la ejecución de planes de capacitación para el personal involucrado, en apoyo a las responsabilidades designadas.
6.	Monitorear la calidad de los servicios prestados y asegurar el cumplimiento de los Acuerdos de Nivel de Servicio (SLA).
7.	Colaborar en la planeación para los procesos de contratación que se encuentren en trámite en especial el contrato de la Defensoría del Consumidor Financiero, elaborando la propuesta del plan de trabajo. 
8.	Colaborar en la gestión de riesgos contractuales, proponiendo medidas correctivas y mejoras en la ejecución del contrato.
9.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10.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11.	Las demás obligaciones que sean acordes con el objeto contractual asignado por quien ejerza la función de la Supervisión del Contrato.
</t>
  </si>
  <si>
    <t>4.180</t>
  </si>
  <si>
    <t>2024-0883</t>
  </si>
  <si>
    <t>CD-879-2024</t>
  </si>
  <si>
    <t xml:space="preserve">LUISA MARCELA MARTINEZ LOPEZ </t>
  </si>
  <si>
    <t xml:space="preserve">PRESTAR SERVICIOS TÉCNICOS PARA APOYAR AL GRUPO DE GESTIÓN ESTRATÉGICA DE PQRS O AL QUE LO REEMPLACE, EN LAS ACTIVIDADES DE GESTIÓN DOCUMENTAL Y TAREAS ADMINISTRATIVAS QUE ASEGUREN LOS EXPEDIENTES Y CUMPLIMIENTO DE LAS ACTIVIDADES DE APOYO PARA LA SUPERVISIÓN DEL CONTRATO DE INTERVENTORÍA DEL CONTRATO DE ATENCIÓN AL USUARIO </t>
  </si>
  <si>
    <t xml:space="preserve">
1. Prestar apoyo tecnico al supervisor del contrato, con la gestión documental y los expedientes de la dependencia.
2. Diseñar y elaborar presentaciones visualmente atractivas, con un mensaje claro y contundente, alineadas con los objetivos del área o proyecto.
3. Colaborar con los integrantes del equipo de trabajo para garantizar que el contenido de las presentaciones sea preciso y esté correctamente estructurado.
4. Organizar y mantener actualizada la documentación del grupo (actas, correspondencia de entrada y salida, informes, etc), asegurando su disponibilidad y accesibilidad.
5. Digitalizar, archivar y gestionar documentos de acuerdo con las políticas y procedimientos establecidos.
6. Brindar soporte en las actividades administrativas del área, incluyendo la coordinación de reuniones, la redacción de actas, y el seguimiento de tareas asignadas.
7. Colaborar en la preparación y organización de eventos, talleres o capacitaciones que requieran soporte logístico y documental.
8.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9.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10. Las demás obligaciones que sean acordes con el objeto contractual asignado por quien ejerza la función de la Supervisión del Contrato.
</t>
  </si>
  <si>
    <t>13.165</t>
  </si>
  <si>
    <t>2024-0884
OC 133234</t>
  </si>
  <si>
    <t>3 COMPRAVENTA</t>
  </si>
  <si>
    <t>2 RUT - REGISTRO ÚNICO TRIBUTARIO</t>
  </si>
  <si>
    <t>PROVEER INSTITUCIONAL SAS</t>
  </si>
  <si>
    <t>PAULO CESAR CARVAJAL LARA</t>
  </si>
  <si>
    <t>ADQUISICIÓN DE CANECAS PLÁSTICAS PARA SEPARAR LOS RESIDUOS SÓLIDOS GENERADOS EN LAS OFICINAS DEL ICETEX A NIVEL NACIONAL, DE ACUERDO A LO ESTABLECIDO EN LA RESOLUCIÓN 2184 DE 2019 DEL MINISTERIO DE AMBIENTE Y DESARROLLO SOSTENIBLE.</t>
  </si>
  <si>
    <t>CDEF-793-2024</t>
  </si>
  <si>
    <t>OTROS MATERIALES Y SUMINISTROS</t>
  </si>
  <si>
    <t>IG 311002004004023</t>
  </si>
  <si>
    <t>11.10</t>
  </si>
  <si>
    <t>2024-0885</t>
  </si>
  <si>
    <t>CD-880-2024</t>
  </si>
  <si>
    <t>APOTEOSYS DE HEINSOHN BUSINESS TECHNOLOGY S.A.</t>
  </si>
  <si>
    <t>SERVICIO DE MANTENIMIENTO, ACTUALIZACIONES Y SOPORTE DE SERVICIO DE ACTUALIZACIÓN, MANTENIMIENTO Y SOPORTE A DISTANCIA DEL SISTEMA FINANCIERO APOTEOSYS DEL ICETEX.</t>
  </si>
  <si>
    <t>CDEF-888-2024
VF-2024-012</t>
  </si>
  <si>
    <t>20245000009605-I Id: 4888509</t>
  </si>
  <si>
    <t>2024-0886</t>
  </si>
  <si>
    <t>CD-882-2024</t>
  </si>
  <si>
    <t>830137819-5</t>
  </si>
  <si>
    <t>FUNDACIÓN CAROLINA COLOMBIA</t>
  </si>
  <si>
    <t>DIANA CAROLINA OLARTE HERNÁNDEZ</t>
  </si>
  <si>
    <t>ACUERDO ESTRATÉGICO PARA EL OTORGAMIENTO DE BECAS QUE PERMITAN REALIZAR ESTUDIOS EN LA UNIVERSIDAD DE ZARAGOZA (UZ) EN EL MARCO DE LA IMPLEMENTACIÓN DEL PROGRAMA DE BECAS INSTITUCIONALES ICETEX – FUNDACIÓN CAROLINA COLOMBIA</t>
  </si>
  <si>
    <t>CDEF-2024-522</t>
  </si>
  <si>
    <t>RECIP.EXTRANJ. - MOVILIDAD INTERNACIONAL</t>
  </si>
  <si>
    <t>4.29</t>
  </si>
  <si>
    <t>2024-0887</t>
  </si>
  <si>
    <t>CD-881-2024</t>
  </si>
  <si>
    <t>PRESTAR SERVICIOS PROFESIONALES PARA APOYAR AL GRUPO DE GESTIÓN ESTRATEGICA DE PQRS O AL QUE LO REEMPLACE, EN LAS ACTIVIDADES NECESARIAS PARA LA VIGILANCIA ADMINISTRATIVA DEL CONTRATO DE LA INTEVENTORÍA AL CONTRATO DE ATENCIÓN AL USUARIO Y LA DOCUMENTACIÓN Y SEGUIMIENTO DE LOS PLANES DE IMPLEMENTACIÓN DE LAS POLÍTICAS DE SERVICIO AL CIUDADANO.</t>
  </si>
  <si>
    <t>CDEF-945-2024</t>
  </si>
  <si>
    <t xml:space="preserve">1.	Prestar apoyo en la revisión y evaluación de informes administrativos, realizando un análisis detallado de los informes presentados para asegurar que cumplan con los requisitos establecidos en el contrato, conforme a las instrucciones del supervisor del presente contrato. 
2.	Colaborar en los procesos de control presupuestal de los contratos a cargo de la dependencia, verificando los estados financieros de los contratos, su ejecución y generando las alertas necesarias para el correcto y oportuno control y ejecución presupuestal de los contratos.
3.	Elaborar los reportes de seguimiento, contribuyendo en la redacción de reportes periódicos sobre el estado de la ejecución de los contratos a cargo del área, destacando desviaciones, avances y áreas de mejora, y asegurando que estos reportes reflejen con precisión las instrucciones del supervisor del contrato. 
4.	Colaborar en la identificación y evaluación de riesgos administrativos, asistiendo en la detección de posibles riesgos que puedan afectar la ejecución de los contratos a cargo del área y proponiendo medidas correctivas en línea con lo solicitado por el supervisor del presente contrato.: 
5.	Asistir en la creación y mantenimiento de documentos que reflejen los procesos y resultados de la supervisión administrativa, siguiendo las directrices y formatos establecidos por el supervisor del presente contrato. 
6.	Proveer asesoría profesional continua en temas relacionados con la vigilancia administrativa del contrato y la implementación de las políticas de relacionamiento al ciudadano en los mismos, resolviendo consultas, brindando soporte técnico en temas relacionados con los informes, control presupuestal y vigilancia administrativa de los contratos del área. 
7.	Colaborar en la elaboración, ejecución y seguimiento a los planes de acción necesarios para el cumplimiento de los hallazgos y/o requerimientos que se reciban en el marco de la ejecución de los contratos de la dependencia, de manera especial de las alertas que emitan entes de control y/o la oficina de Control Interno de la entidad. 
8.	Brindar apoyo verificando que los soportes documentales y los informes mensuales presentados por los contratistas corresponden a los requeridos según las normas internas, las obligaciones contractuales y los entregables definidos en cada contrato. 
9.	Colaborar para asegurar con el contratista responsable del apoyo técnico administrativo que en el expediente de cada contrato reposen los soportes documentales correspondientes a los informes y pagos realizados. 
10.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11.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12.	Las demás obligaciones que sean acordes con el objeto contractual asignado por quien ejerza la función de la Supervisión del Contrato
</t>
  </si>
  <si>
    <t>20243030008736-I Id: 4849874</t>
  </si>
  <si>
    <t>11.197</t>
  </si>
  <si>
    <t>2024-0888</t>
  </si>
  <si>
    <t>CD-883-2024</t>
  </si>
  <si>
    <t>JORGE IVAN MARIN GUZMAN</t>
  </si>
  <si>
    <t>Prestación de servicios profesionales para la gestión de los servicios
de tecnología en Sistemas de Información de la Dirección de Tecnología de la
Vicepresidencia de Operaciones y Tecnología del ICETEX._x000D_</t>
  </si>
  <si>
    <t>CDEF-955-2024</t>
  </si>
  <si>
    <t>1. Apoyar el control y entrega de los servicios de tecnológicos de cada proyecto o contrato
asignado por el coordinador del grupo de infraestructura tecnológica, asegurando que se
cumplan las obligaciones, tiempos y niveles de servicio acordados contractualmente.
2. Cooperar en la gestión de los equipos de trabajo de los contratos o proyectos asignados,
con el objetivo de proporcionar orientación y apoyo para garantizar la correcta operación de
los servicios ofrecidos por el grupo de infraestructura.
3. Soportar técnica y operativamente, la planeación de actividades de acuerdo con las
necesidades y expectativas para garantizar que los servicios de TI se alineen con los
objetivos de la entidad; esto incluye entre otros, la identificación de los requerimientos de
infraestructura tecnológica (software, hardware, redes, servicios y licenciamientos.
4. Apoyar y participar en la definición de la estrategia de TI del grupo de infraestructura
identificando oportunidades de mejora, proponiendo el diseño e implementación de
indicadores, garantizando que los servicios de TI respalden los objetivos de la Entidad en
cumplimiento de la normatividad.
5. Soportar la gestión y seguimiento a los presupuestos de los contratos y proyectos asignados;
brindando apoyo en la administración del presupuesto, monitoreando los costos, aplicación
de ANS, ejecución de bolsas de recursos, logrando que se lleven a cabo los pagos de los
servicios contratados de acuerdo con los cronogramas de facturación establecidos por la
entidad.
6. Apoyar la gestión de riesgos y seguridad de los contratos y proyectos asignados, para
garantizar la continuidad de la operación, garantizando el cumplimiento de las normativas y
estándares de seguridad. 7. Reportar y comunicar a las partes interesadas, la información sobre el estado de los servicios
de TI, de los proyectos en curso y cualquier problema o riesgo identificado, lo anterior
generando correos electrónicos, informes, reportes o respuestas a los diferentes
requerimientos que se generen sobre los contratos o proyectos asignados.</t>
  </si>
  <si>
    <t>4.183</t>
  </si>
  <si>
    <t>2024-0889</t>
  </si>
  <si>
    <t>CD-884-2024</t>
  </si>
  <si>
    <t>MARIO ALONSO MATEUS GÓMEZ</t>
  </si>
  <si>
    <t>PRESTAR SERVICIOS PROFESIONALES ESPECIALIZADOS PARA APOYAR AL GRUPO DE GESTIÓN ESTRATÉGICA DE PQRS O AL QUE LO REEMPLACE EN LAS ACTIVIDADES DE VIGILANCIA TECNOLÓGICA PARA LA SUPERVISIÓN DEL CONTRATO DE INTERVENTORÍA AL CONTRATO DE ATENCIÓN AL USUARIO Y DEMÁS ACTIVIDADES RELACIONADAS ADSCRITAS AL GRUPO</t>
  </si>
  <si>
    <t>CDEF-939-2024</t>
  </si>
  <si>
    <t xml:space="preserve">OBLIGACIONES ESPECÍFICAS DEL CONTRATISTA	1.	Realizar la validación para establecer si las especificaciones tecnológicas y de servicio establecidas en el contrato de la interventoría, se cumplen según lo acordado. 
2.	Hacer el monitoreo de los reportes de la Infraestructura Tecnológica emitidos por la interventoría, generando los requerimientos y las alertas que permitan verificar el correcto funcionamiento y mantenimiento de la infraestructura tecnológica utilizada en la ejecución del contrato de Comware, incluyendo servidores, redes, y sistemas. 
3.	Colaborar en la Gestión de Riesgos Tecnológicos, requiriendo los informes y las evidencias de la identificación, evaluación y gestión de los riesgos tecnológicos que puedan afectar el cumplimiento del contrato de la Interventoria y del proveedor de atención al usuario, evaluar las medidas correctivas cuando sea necesario y proponer desde su experticia acciones de mejora adicionales. 
4.	Proponer y documentar las necesidades de ejecución de auditorías periódicas de los sistemas y procesos tecnológicos que debe realizar la interventoría para asegurar la conformidad con las normativas y estándares de calidad en la ejecución del contrato de atención al usuario. 
5.	Identificar y solicitar los informes de Control de Calidad y Desempeño que deben ser requeridos y emitir su evaluación respecto al contenido de estos con alcance de los servicios tecnológicos prestados, identificando si cumplen con los niveles de servicio (SLA) y estándares de calidad establecidos en el contrato: presentar informes periódicos al supervisor y recomendaciones para generar mejoras.
6.	Revisar e informar al supervisor respecto al estado de actualización de la documentación técnica y los reportes periódicos sobre el estado del proyecto, hallazgos y recomendaciones. 
7.	Facilitar la comunicación entre las partes involucradas en el contrato, incluyendo preparación de los temas del frente tecnológico y participación en reuniones de seguimiento y la coordinación de acciones correctivas o mejoras. 
8.	Validar y emitir informes al supervisor respecto al cumplimiento de las normativas vigentes de seguridad de la información y protección de datos en los procesos y tecnologías implementadas en el contrato del proveedor de atención al usuario.
9.	Proponer Innovaciones Tecnológicas, apoyando en la elaboración de su plan de trabajo y análisis de impacto potencial. 
10.	Emitir sus evaluaciones independientes al Supervisor del contrato de la Interventoria respecto a la implementación de nuevas tecnologías y proponer mejoras que optimicen el cumplimiento del contrato y la calidad del servicio prestado. 
11.	Documentar y entregar un informe mensual de buenas prácticas y/o lecciones aprendidas en el desarrollo de las responsabilidades asignadas, entendidas como todo aquel conocimiento adquirido a través de experiencias en el proceso de ejecución de las obligaciones establecidas en este contrato, para el mejoramiento de futuras ejecuciones. Para el mismo se deberán aplicar la metodología establecida por la entidad. 
12.	Desplazarse a las diferentes ciudades del país, en caso de ser necesario para la debida ejecución del contrato, previa coordinación con el supervisor. Para tal fin, el ICETEX apropiará y reconocerá con cargo al presupuesto de la presente vigencia fiscal los recursos para cubrir dichos gastos. 
13.	Las demás obligaciones que sean acordes con el objeto contractual asignado por quien ejerza la función de la Supervisión del Contrato.
</t>
  </si>
  <si>
    <t>20243030009783-I Id: 4970111</t>
  </si>
  <si>
    <t>2024-0890</t>
  </si>
  <si>
    <t>CD-886-2024</t>
  </si>
  <si>
    <t>800176983-2</t>
  </si>
  <si>
    <t>COMISIÓN PARA EL INTERCAMBIO EDUCATIVO ENTRE LOS ESTADOS UNIDOS DE AMÉRICA Y COLOMBIA – FULBRIGHT COLOMBIA</t>
  </si>
  <si>
    <t>GIOVANNI ANZOLA PARDO</t>
  </si>
  <si>
    <t>ACUERDO ESTRATÉGICO ENTRE EL ICETEX Y FULBRIGHT COLOMBIA, PARA EL FOMENTO DE LA INTERNACIONALIZACIÓN DE LA EDUCACIÓN SUPERIOR EN COLOMBIA A TRAVÉS DE LA CAPACITACIÓN Y MOVILIDAD ACADÉMICA DE CIUDADANOS ESTADOUNIDENSES Y COLOMBIANOS A TRAVÉS DE LOS PROGRAMAS US SCHOLAR, US STUDENT, US SPECIALIST, ENGLISH TEACHING ASSISTANT (ETA) PARA LA VIGENCIA 2024-2025.</t>
  </si>
  <si>
    <t>2024-0891</t>
  </si>
  <si>
    <t>IMC-842-2024</t>
  </si>
  <si>
    <t>900220002-3</t>
  </si>
  <si>
    <t xml:space="preserve">
TEAM MANAGEMENT INFRASTRUCTURE
</t>
  </si>
  <si>
    <t>SERVICIOS ESPECIALIZADOS PARA LA ADMINISTRACIÓN DE LOS SERVIDORES, PLATAFORMAS Y AMBIENTES QUE SOPORTAN LOS SERVICIOS DE VIRTUALIZACIÓN DEL ICETEX</t>
  </si>
  <si>
    <t>CDEF-2024-842
VF-2024-0010</t>
  </si>
  <si>
    <t>2024-0892</t>
  </si>
  <si>
    <t>IS-877-2024</t>
  </si>
  <si>
    <t>901.376.413-0</t>
  </si>
  <si>
    <t xml:space="preserve">CONTINENTAL DE PARTES Y SERVICIOS SAS  </t>
  </si>
  <si>
    <t xml:space="preserve">YULI ALZATE HURTADO </t>
  </si>
  <si>
    <t>CONTRATAR EL MANTENIMIENTO PREVENTIVO Y CORRECTIVO, LAVADO Y REVISIÓN TÉCNICO-MECÁNICA, INCLUIDA MANO DE OBRA, SUMINISTRO DE REPUESTOS ORIGINALES NUEVOS Y DEMÁS SERVICIOS COMPLEMENTARIOS DE MANTENIMIENTO REQUERIDOS PARA EL PARQUE AUTOMOTOR DE ICETEX.</t>
  </si>
  <si>
    <t>CDEF-2024-832</t>
  </si>
  <si>
    <t>MANTENIMIENTO Y EQUIPO DE TRANSPORTE</t>
  </si>
  <si>
    <t xml:space="preserve">IG 311002004005006 </t>
  </si>
  <si>
    <t>11.45</t>
  </si>
  <si>
    <t>2024-0893</t>
  </si>
  <si>
    <t>IMC-838-2024</t>
  </si>
  <si>
    <t>900360482-5</t>
  </si>
  <si>
    <t>ENTELGY COLOMBIA S.A.S. REDHAT</t>
  </si>
  <si>
    <t>RENOVACIÓN DE LA SUSCRIPCIÓN Y SOPORTE DE LOS SISTEMAS OPERATIVOS LINUX Y PLATAFORMA DE CONTENEDORES OPENSHIF DE RED HAT, PARA LOS SISTEMAS PRODUCTIVOS DEL ICETEX</t>
  </si>
  <si>
    <t>2024-0894</t>
  </si>
  <si>
    <t>CD-889-2024</t>
  </si>
  <si>
    <t>860007759-3
860521808-1</t>
  </si>
  <si>
    <t>UNIVERSIDAD COLEGIO MAYOR DE
NUESTRA SEÑORA DEL ROSARIO
ORGANIZACIÓN NACIONAL
INDIGENA DE COLOMBIA – ONIC.</t>
  </si>
  <si>
    <t>GUSTAVO ADOLFO QUINTERO HERNANDEZ
ORLANDO RAYO ACOSTA</t>
  </si>
  <si>
    <t>11293256
15878465</t>
  </si>
  <si>
    <t>EL OBJETO DEL PRESENTE ACUERDO ESTRATÉGICO ES AUNAR ESFUERZOS ENTRE EL ICETEX, LA IES UNIVERSIDAD COLEGIO MAYOR NUESTRA SEÑORA DEL ROSARIO Y LA ONIC, PARA PROMOVER Y GARANTIZAR EL ACCESO Y PERMANENCIA EN LOS PROGRAMAS DE EDUCACIÓN SUPERIOR DE PREGRADO QUE OFRECE LA INSTITUCIÓN DE EDUCACIÓN SUPERIOR COLEGIO MAYOR DE NUESTRA SEÑORA DEL ROSARIO A ESTUDIANTES PERTENECIENTES A LAS COMUNIDADES INDÍGENAS DE COLOMBIA, EN CONDICIONES DE RECONOCIMIENTO Y RESPETO DE SUS LÓGICAS, FORMAS DE VIDA, VALORES Y SABERES, A TRAVÉS DE UN MODELO DE FINANCIACIÓN EN EL CUAL SE COFINANCIE EL 100% DEL VALOR DE LA MATRÍCULA, PARA LA CONTINUIDAD Y PROGRESO EN LA EDUCACIÓN SUPERIOR.</t>
  </si>
  <si>
    <t>CDEF-2024-807</t>
  </si>
  <si>
    <t>ACCES PREGR PAIS REMB.NACIÓN IMPLANTAC
ACCES PREGR PAIS REMB.REC PROPIOS</t>
  </si>
  <si>
    <t>IG331610031001211
IG331610031001201</t>
  </si>
  <si>
    <t xml:space="preserve"> CUANTÍA INDETERMINADA PERO DETERMINABLE AL MOMENTO DE SU LIQUIDACIÓN </t>
  </si>
  <si>
    <t>12.55</t>
  </si>
  <si>
    <t>2024-0895</t>
  </si>
  <si>
    <t>CD-890-2024</t>
  </si>
  <si>
    <t>800182091-2</t>
  </si>
  <si>
    <t>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t>
  </si>
  <si>
    <t>CDEF-2024-906
VF-016-2024</t>
  </si>
  <si>
    <t>12.54</t>
  </si>
  <si>
    <t>2024-0896</t>
  </si>
  <si>
    <t>CD-891-2024</t>
  </si>
  <si>
    <t>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t>
  </si>
  <si>
    <t>CDEF-2024-907
VF-017-2024</t>
  </si>
  <si>
    <t>12.56</t>
  </si>
  <si>
    <t>2024-0897</t>
  </si>
  <si>
    <t>CD-892-2024</t>
  </si>
  <si>
    <t>CDEF-2024-927
VF-018-2024</t>
  </si>
  <si>
    <t>2024-0898</t>
  </si>
  <si>
    <t>IP-826-2024</t>
  </si>
  <si>
    <t>901.874.760-8</t>
  </si>
  <si>
    <t xml:space="preserve"> UNIÓN TEMPORAL CONTACT CENTER ICETEX 2024</t>
  </si>
  <si>
    <t xml:space="preserve">ARMANDO FLÓREZ PINZÓN </t>
  </si>
  <si>
    <t>PRESTAR LOS SERVICIOS ESPECIALIZADOS DE CENTRO DE CONTACTO O BPO PARA EL PROCESO DE RECUPERACIÓN DE CARTERA EN GESTIÓN ADMINISTRATIVA</t>
  </si>
  <si>
    <t>CDE-850-2024
VF-2024-009</t>
  </si>
  <si>
    <t>GESTION COBRANZA ADMINISTRATIVA</t>
  </si>
  <si>
    <t>IG312001020600081</t>
  </si>
  <si>
    <t>2024-0899</t>
  </si>
  <si>
    <t>CD-895-2024</t>
  </si>
  <si>
    <t>891500319-2</t>
  </si>
  <si>
    <t>UNIVERSIDAD DEL CAUCA</t>
  </si>
  <si>
    <t>DEIBAR RENE HURTADO HERRERA</t>
  </si>
  <si>
    <t>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</si>
  <si>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EL OBJETO DEL PRESENTE DOCUMENTO ES PRORROGAR EL PLAZO ESTABLECIDO EN LA CLÁUSULA QUINTA Y MODIFICAR EL ANEXO DEL ACUERDO ESTRATÉGICO No 2024-0899</t>
  </si>
  <si>
    <t>12.70</t>
  </si>
  <si>
    <t>2024-0900</t>
  </si>
  <si>
    <t>CD-893-2024</t>
  </si>
  <si>
    <t xml:space="preserve">
800214001-9
</t>
  </si>
  <si>
    <t>FITCH RATINGS COLOMBIA S.A</t>
  </si>
  <si>
    <t>MONICA JIMENA SAAVEDRA POVEDA</t>
  </si>
  <si>
    <t>PRESTACIÓN DE SERVICIOS PROFESIONALES ESPECIALIZADOS PARA LA CALIFICACIÓN DEL RIESGO CREDITICIO DE CORTO Y LARGO PLAZO DEL INSTITUTO, LA REVISIÓN DE LA CALIFICACIÓN DE EMISIONES EN CIRCULACIÓN DE BONOS ORDINARIOS Y CALIFICACIÓN INICIAL DE LAS EMISIONES CON CARGO AL PROGRAMA DE EMISIÓN Y COLOCACIÓN - PEC DEL ICETEX EN EL MERCADO LOCAL COLOMBIANO, CONFORME A LAS METODOLOGÍAS DEBIDAMENTE APROBADAS POR LA CALIFICADORA Y LA REGULACIÓN VIGENTE.</t>
  </si>
  <si>
    <t>CDE-949-2024
VF-2024-015</t>
  </si>
  <si>
    <t>ESTRUCTURACIÓN NUEVO
ENDEUDAMIENTO</t>
  </si>
  <si>
    <t>20243030010333-I Id: 5001750</t>
  </si>
  <si>
    <t>2024-0901</t>
  </si>
  <si>
    <t>CD-898-2024</t>
  </si>
  <si>
    <t>860402193-9</t>
  </si>
  <si>
    <t>NSTITUTO NACIONAL DE FORMACIÓN TÉCNICA PROFESIONAL DE SAN JUAN DEL CESAR – INFOTEP</t>
  </si>
  <si>
    <t>LUIS ALFONSO PÉREZ GUERRA</t>
  </si>
  <si>
    <t>2024-0902</t>
  </si>
  <si>
    <t>CD-899-2024</t>
  </si>
  <si>
    <t>890304042-4</t>
  </si>
  <si>
    <t>DIOCÉSIS DE BUENAVENTURA</t>
  </si>
  <si>
    <t>RUBÉN JARAMILLO MONTOYA</t>
  </si>
  <si>
    <t>ACUERDO ESTRATÉGICO PARA APOYAR EL ACCESO AL PORTAFOLIO DE SERVICIOS DEL ICETEX DE LAS Y LOS JÓVENES, UBICADOS EN LA ZONA RURAL DEL DISTRITO DE BUENAVENTURA Y SUS ZONAS ALEDAÑAS</t>
  </si>
  <si>
    <t>CDEF-876-2024</t>
  </si>
  <si>
    <t>CT-100004464</t>
  </si>
  <si>
    <t>13.149</t>
  </si>
  <si>
    <t>2024-0903</t>
  </si>
  <si>
    <t>IS-851-2024</t>
  </si>
  <si>
    <t>900.585.357-9</t>
  </si>
  <si>
    <t>S&amp;S SUMINISTROS EMPRESARIALES SAS</t>
  </si>
  <si>
    <t>JOSÉ ALEJANDRO GÓMEZ RUEDA</t>
  </si>
  <si>
    <t>SUMINISTRAR LOS ELEMENTOS DE PROTECCIÓN, EMERGENCIAS Y DE SEGURIDAD INDUSTRIAL PARA DAR CUMPLIMIENTO AL SISTEMA DE GESTIÓN DE SEGURIDAD Y SALUD EN EL TRABAJO DEL ICETEX</t>
  </si>
  <si>
    <t>CDEF- 885-2024</t>
  </si>
  <si>
    <t>IG 311002004021009</t>
  </si>
  <si>
    <t>2.31</t>
  </si>
  <si>
    <t>2024-0904</t>
  </si>
  <si>
    <t>CD- 901-2024</t>
  </si>
  <si>
    <t>899999027-8</t>
  </si>
  <si>
    <t>DEPARTAMENTO ADMINISTRATIVO DE ESTADÍSTICA NACIONAL DANE</t>
  </si>
  <si>
    <t>LEONARD PAEZ RAMIREZ</t>
  </si>
  <si>
    <t>PRESTAR LOS SERVICIOS DEL DANE PARA REALIZAR LA EVALUACIÓN DE LA CALIDAD DEL PROCESO ESTADÍSTICO IMPLEMENTADO EN LA OPERACIÓN DE CRÉDITO EDUCATIVO A CARGO DE ICETEX, EN EL MARCO DE LOS REQUISITOS ESTABLECIDOS EN LA NORMA TÉCNICA DE LA CALIDAD DEL PROCESO ESTADÍSTICO (NTC PE 1000:2020).</t>
  </si>
  <si>
    <t>CDEF-894-2024</t>
  </si>
  <si>
    <t>OTROS SERVICIOS OPERATIVOS</t>
  </si>
  <si>
    <t>IG312001020210100</t>
  </si>
  <si>
    <t>2024-0905</t>
  </si>
  <si>
    <t>CD-902-2024</t>
  </si>
  <si>
    <t>IHE DELFT INSTITUTE FOR WATER EDUCATION</t>
  </si>
  <si>
    <t>EDUARDUS JOHANNES MOORS</t>
  </si>
  <si>
    <t>AUNAR ESFUERZOS PARA LA IMPLEMENTACION DE PROGRAMAS QUE PERMITAN A CIUDADANOS COLOMBIANOS, MEDIANTE ACCESO A BECAS Y AYUDAS FINANCIERAS, REALIZAR ESTUDIOS EN EDUCACION EN IHE DELFT</t>
  </si>
  <si>
    <t>2024-0906</t>
  </si>
  <si>
    <t>CD-903-2024</t>
  </si>
  <si>
    <t>WHITECLIFFE EDUCATION LIMITED</t>
  </si>
  <si>
    <t>ALI FEROZ RAHAT</t>
  </si>
  <si>
    <t>RA747843</t>
  </si>
  <si>
    <t>AUNAR ESFUERZOS PARA LA IMPLEMENTACIÓN DE PROGRAMAS QUE PERMITAN A CIUDADANOS COLOMBIANOS, MEDIANTE EL ACCESO A BECAS Y AYUDAS FINANCIERAS, REALIZAR ESTUDIOS EN EDUCACIÓN SUPERIOR EN WHITECLIFFE COLLEGE.</t>
  </si>
  <si>
    <t>2.30</t>
  </si>
  <si>
    <t>2024-0907</t>
  </si>
  <si>
    <t>CD-904-2024</t>
  </si>
  <si>
    <t>860.012.336-1</t>
  </si>
  <si>
    <t>INSTITUTO COLOMBIANO DE NORMAS TECNICAS Y CERTIFICACION ICONTEC, O ICONTEC O ICONTEC INTERNACIONAL</t>
  </si>
  <si>
    <t>CLAUDIA PEREZ  SANTOS</t>
  </si>
  <si>
    <t>PRESTAR SERVICIO DE AUDITORÍA DE SEGUIMIENTO DEL CERTIFICADO NO. SC7150-1, PARA EL SISTEMA DE GESTIÓN DE CALIDAD DEL ICETEX BAJO LA NORMA ISO 9001:2015, EN LA VIGENCIA 2024.</t>
  </si>
  <si>
    <t>EF2024-930</t>
  </si>
  <si>
    <t>OTROS SERVICIOS OPERATIVOS OAP</t>
  </si>
  <si>
    <t>2024-0908</t>
  </si>
  <si>
    <t>CD-907-2024</t>
  </si>
  <si>
    <t>891701932-0</t>
  </si>
  <si>
    <t>INSTITUTO NACIONAL DE FORMACION TECNICA PROFESIONAL "HUMBERTO VELASQUEZ GARCIA"</t>
  </si>
  <si>
    <t>LEONARDO FABIO PEREZ SUESCUN</t>
  </si>
  <si>
    <t>EL OBJETO DEL PRESENTE CONVENIO ES CONSTITUIR UNA ALIANZA ESTRATÉGICA ENTRE EL ICETEX Y LA INSTITUCIÓN DE EDUCACIÓN SUPERIOR-IES,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t>
  </si>
  <si>
    <t>12.57</t>
  </si>
  <si>
    <t>2024-0909</t>
  </si>
  <si>
    <t>CD-906-2024</t>
  </si>
  <si>
    <t>INFORMACIÓN GERENCIAL LTDA</t>
  </si>
  <si>
    <t>ELIECER CAMACHO CORTES</t>
  </si>
  <si>
    <t>SOPORTE, MANTENIMIENTO Y ACTUALIZACIÓN CONFORME LAS NORMAS IMPARTIDAS POR LOS ENTES DE CONTROL Y VIGILANCIA DE LOS SERVICIOS CONTRATADOS A IGSEVINPRO (SISTEMAS DE ADMINISTRACIÓN Y VALORACIÓN DE PORTAFOLIO) E IGMETRICA (SISTEMA DE ADMINISTRACIÓN DE RIESGOS DE MERCADO Y LIQUIDEZ).</t>
  </si>
  <si>
    <t>CDEF 952-2024
VF-2024-028</t>
  </si>
  <si>
    <t>JEFE OFICINA DE RIESGOS</t>
  </si>
  <si>
    <t>2024-0910</t>
  </si>
  <si>
    <t>CD-908-2024</t>
  </si>
  <si>
    <t>832005942-4</t>
  </si>
  <si>
    <t>INSTITUCIÓN DE EDUCACIÓN TECNOLÓGICA INTERNACIONAL – UNIVERSAE</t>
  </si>
  <si>
    <t>RODRIGO FERNANDO ACOSTA TRUJILLO</t>
  </si>
  <si>
    <t>2024-0911</t>
  </si>
  <si>
    <t>CD-909-2024</t>
  </si>
  <si>
    <t>900152794-6</t>
  </si>
  <si>
    <t>FUNDACIÓN TALENTO LATAM</t>
  </si>
  <si>
    <t>JUAN DAVID ARISTIZABAL OSPINA</t>
  </si>
  <si>
    <t>ACUERDO ESTRATÉGICO PARA GUIAR A LOS BENEFICIARIOS DE ICETEX EN EL DESARROLLO DE SU PROPIO PLAN DE CARRERA, PROYECCIÓN PROFESIONAL Y HABILIDADES FUNDAMENTALES PARA LA EMPLEABILIDAD.</t>
  </si>
  <si>
    <t>CDEF-969-2024</t>
  </si>
  <si>
    <t>11-45-101153943</t>
  </si>
  <si>
    <t>2024-0912</t>
  </si>
  <si>
    <t>CD-910-2024</t>
  </si>
  <si>
    <t>900805096-7</t>
  </si>
  <si>
    <t>FIDEM SOLUTIONS S.A.S.</t>
  </si>
  <si>
    <t>ANDRÉS MAURICIO HEREDIA CASTRO</t>
  </si>
  <si>
    <t>ACUERDO ESTRATÉGICO PARA CONSTRUIR E IMPLEMENTAR ESTRATEGIAS DE EDUCACIÓN FINANCIERA PARA LOS USUARIOS DE COMUNIDAD ICETEX Y SUS FAMILIAS, A LO LARGO DEL TERRITORIO NACIONAL.</t>
  </si>
  <si>
    <t>CDEF-968-2024</t>
  </si>
  <si>
    <t>C-100085707- Certificado 10327491_x000D_</t>
  </si>
  <si>
    <t>12.51</t>
  </si>
  <si>
    <t>2024-0913</t>
  </si>
  <si>
    <t>CD-911-2024</t>
  </si>
  <si>
    <t>860005216-7</t>
  </si>
  <si>
    <t>BANCO DE LA REPÚBLICA</t>
  </si>
  <si>
    <t>MARCELA OCAMPO DUQUE</t>
  </si>
  <si>
    <t>POR MEDIO DEL PRESENTE DOCUMENTO EL DEPOSITANTE CONFIERE A EL DEPOSITARIO LA FACULTAD EXPRESA DE REALIZAR LAS OPERACIONES QUE SE DERIVAN DE UN ENDOSO EN ADMINISTRACIÓN EN RELACIÓN CON LOS VALORES REPRESENTADOS EN DERECHOS QUE SE CONSTITUYAN PRIMARIAMENTE Y LOS QUE LE SEAN TRANSFERIDOS COMO RESULTADO DE OPERACIONES CON OTROS DEPOSITANTES VINCULADOS CON EL DEPÓSITO CENTRAL DE VALORES DEL BANCO DE LA REPÚBLICA. CUANDO SE TRATE DE TÍTULOS FÍSICOS QUE DEBAN SER TRANSFORMADOS EN DERECHOS, EL DEPOSITANTE HARÁ LA ENTREGA DE CADA UNO DE ELLOS, DEBIDAMENTE ENDOSADOS EN ADMINISTRACIÓN A FAVOR DEL BANCO DE LA REPÚBLICA - DEPÓSITO CENTRAL DE VALORES. SI ALGUNO DE LOS TÍTULOS FUERE ADQUIRIDO EN EL MERCADO SECUNDARIO A TRAVÉS DE SISTEMAS DE NEGOCIACIÓN DE VALORES O DE REGISTRO DE OPERACIONES SOBRE VALORES Y NO SE ENCUENTRA EN EL DEPÓSITO CENTRAL DE VALORES DEL BANCO DE LA REPÚBLICA, EL COMPRADOR, AL TENER LA CALIDAD DE DEPOSITANTE DIRECTO COMO CONSECUENCIA DEL PRESENTE CONTRATO, SERÁ QUIEN ENDOSE Y ENTREGUE EL TÍTULO AL DEPÓSITO</t>
  </si>
  <si>
    <t>CDEF-2024-943
VF- 2024- 030</t>
  </si>
  <si>
    <t>ADMÓN. Y CUSTODIA TÍTULOS
VALORES</t>
  </si>
  <si>
    <t>IG 312001020400032</t>
  </si>
  <si>
    <t>12.50</t>
  </si>
  <si>
    <t>2024-0914</t>
  </si>
  <si>
    <t>CD-912-2024</t>
  </si>
  <si>
    <t>BANCO DE LA REPUBLICA</t>
  </si>
  <si>
    <t>EN VIRTUD DEL PRESENTE CONTRATO, EL DEPOSITANTE ADQUIERE LA FACULTAD DE ABRIR Y MANEJAR CUENTAS DE DEPÓSITO EN EL BANCO, PARA DEPOSITAR EN ELLAS SUMAS DE DINERO EN MONEDA LEGAL COLOMBIANA, A TRAVÉS DE TRANSFERENCIAS DE FONDOS, CONSIGNACIONES EN EFECTIVO SUJETAS A VERIFICACIÓN DE ACUERDO CON LOS PROCEDIMIENTOS QUE ESTABLEZCA EL BANCO PARA TAL FIN O A TRAVÉS DE CUALQUIER OTRO MECANISMO QUE SE ESTABLEZCA EN EL FUTURO Y DISPONER TOTAL O PARCIALMENTE DE SUS SALDOS POR LOS MEDIOS PREVISTOS EN ESTE CONTRATO, QUE NO INCLUYE EL GIRO DE CHEQUES LIBRADOS CONTRA EL BANCO. NO SE RECIBIRÁN EN LAS CUENTAS DE DEPÓSITO DE EL DEPOSITANTE CONSIGNACIONES O ACREDITACIONES EN CHEQUE O CUALQUIER OTRO INSTRUMENTO DE PAGO COMPENSABLE, NI CONSIGNACIONES EN EFECTIVO A TRAVÉS DE LAS VENTANILLAS DE SERVICIO AL PÚBLICO DE EL BANCO.</t>
  </si>
  <si>
    <t>CDEF-2024-908
VF-2024-031</t>
  </si>
  <si>
    <t>ADMÓN. Y CUSTODIA
TÍTULOS VALORES</t>
  </si>
  <si>
    <t>219 DE 30.10.2024</t>
  </si>
  <si>
    <t>899999007-0</t>
  </si>
  <si>
    <t>SUPERINTENDENCIA DE NOTARIADO Y REGISTRO</t>
  </si>
  <si>
    <t>WILLIAM PÉREZ CASTAÑEDA</t>
  </si>
  <si>
    <t>PERMITIR AL INSTITUTO COLOMBIANO DE CRÉDITO EDUCATIVO Y ESTUDIOS TÉCNICOS EN EL EXTERIOR MARIANO OSPINA PEREZ ICETEX, LA CONSULTA VÍA WEB DE LA INFORMACIÓN DISPONIBLE EN EL SISTEMA DE INFORMACIÓN REGISTRAL, DE ACUERDO CON LA TECNOLOGÍA E INFRAESTRUCTURA CON QUE CUENTA LA SUPERINTENDENCIA DE NOTARIADO Y REGISTRO, A TRAVÉS DE LOS SISTEMAS DE INFORMACIÓN DISPONIBLES PARA TAL FIN; DE CONFORMIDAD CON LOS NIVELES DE SERVICIO Y CONFIDENCIALIDAD ESTABLECIDOS EN EL ANEXO TÉCNICO Y CLAUSULAS ADICIONALES CONTENIDOS EN EL FORMATO SOLICITUD ACUERDO DE SERVICIOS QUE HACE PARTE INTEGRAL DE PRESENTE ACUERDO, DE TAL FORMA QUE DICHA INFORMACIÓN PUEDE SER CONSULTADA POR: NÚMERO DE FOLIO DE MATRÍCULA INMOBILIARIA, NÚMERO DE DOCUMENTO DE IDENTIDAD, REFERENCIA CATASTRAL, CÉDULA CATASTRAL Y DATOS DEL PROPIETARIO NATURAL O JURÍDICO. LOS ACCESOS ESTARÁN SUPEDITADOS A LA DISPONIBILIDAD DE LOS RECURSOS TÉCNICOS, TECNOLÓGICOS Y HUMANOS CON QUE CUENTE LA SUPERINTENDENCIA DE NOTARIADO Y REGISTRO</t>
  </si>
  <si>
    <t>TRAMITADO POR EL ÁREA</t>
  </si>
  <si>
    <t>11.28</t>
  </si>
  <si>
    <t>2024-0915</t>
  </si>
  <si>
    <t>CD-913-2024</t>
  </si>
  <si>
    <t>SOCIEDAD CAMERAL DE CERTIFICACIÓN DIGITA CERTICAMARA S.A</t>
  </si>
  <si>
    <t>ADQUISICIÓN, RENOVACIÓN Y SOPORTE DE CERTIFICADOS DIGITALES SSL PARA LOS SERVICIOS TIPO WEB DE ICETEX</t>
  </si>
  <si>
    <t>CDEF-957-2024</t>
  </si>
  <si>
    <t>13.103</t>
  </si>
  <si>
    <t>2024-0916
OC 135578</t>
  </si>
  <si>
    <t>CD-964-2024</t>
  </si>
  <si>
    <t>890921246-6</t>
  </si>
  <si>
    <t>IMPLESEG SAS</t>
  </si>
  <si>
    <t>EMMANUEL MONSALVE MONTOYA</t>
  </si>
  <si>
    <t>CONTRATAR EL MANTENIMIENTO, RECARGA, SUMINISTRO E INSTALACIÓN, DE LOS EXTINTORES NECESARIOS PARA TODAS LAS SEDES Y EL PARQUE AUTOMOTOR DE LA ENTIDAD</t>
  </si>
  <si>
    <t>CDEF-964-2024</t>
  </si>
  <si>
    <t>MANTENIMIENTO DE BIENES MUEBLES Y EQUIPOS</t>
  </si>
  <si>
    <t>G 311002004005002</t>
  </si>
  <si>
    <t>12.53</t>
  </si>
  <si>
    <t>2024-0917</t>
  </si>
  <si>
    <t>CD-914-2024</t>
  </si>
  <si>
    <t>PRESTAR EL SERVICIO DE CUSTODIA DE LOS TÍTULOS VALORES DESMATERIALIZADOS CONFIADOS EN DEPÓSITO POR EL ICETEX Y LOS QUE LE SEAN TRANSFERIDOS COMO RESULTADO DE LAS OPERACIONES CON OTROS DEPOSITANTES, A TRAVÉS DEL ENDOSO DE LOS FÍSICOS U ORDEN DE ABONO O CARGO POR ANOTACIÓN EN CUENTA DE LOS TÍTULOS VALORES O VALORES DESMATERIALIZADOS U OTROS DERECHOS FINANCIEROS POR PARTE DEL ICETEX.</t>
  </si>
  <si>
    <t xml:space="preserve">CDEF-2024-929
CCVF-2024-033
</t>
  </si>
  <si>
    <t>12.73</t>
  </si>
  <si>
    <t>2024-0918</t>
  </si>
  <si>
    <t>CD-915-2024</t>
  </si>
  <si>
    <t>901000330-4</t>
  </si>
  <si>
    <t>ICETEX-BANCOLOMBIA S.A -KUSHKI SAS</t>
  </si>
  <si>
    <t>LUIS ARMANDO QUINTERO PATIÑO Y ALEJANDRO VILLEGAS CALERO</t>
  </si>
  <si>
    <t>1032366311
6384456</t>
  </si>
  <si>
    <t>EL OBJETO ES LA PRESTACIÓN POR PARTE DE EL BANCO DEL SERVICIO DE RECAUDO DE LAS SUMAS QUE CANCELEN LOS DEUDORES Y/O USUARIOS POR LOS CRÉDITOS EDUCATIVOS, SEAN O NO CLIENTES DE EL BANCO, A TRAVÉS DEL USO DE EL SOFTWARE O PLATAFORMA INTEGRAL (EL CUAL INCLUYE LICENCIA DE USO, SOPORTE, MANTENIMIENTO Y ACTUALIZACIONES) DE EL PROVEEDOR, BAJO EL MODELO GATEWAY, QUE PERMITE LA OPTIMIZACIÓN DEL PROCESO DE RECAUDO ELECTRÓNICO CON INTEGRACIÓN AL BOTÓN PSE, LA NOTIFICACIÓN Y CONCILIACIÓN AUTOMATIZADA DE LAS TRANSACCIONES, CUALQUIERA QUE FUERE EL MONTO DEL PAGO Y SIN CARGO ALGUNO PARA LOS DEUDORES Y/O USUARIOS, LOGRANDO UNA MAYOR EFICIENCIA EN LOS PROCESOS DE CONCILIACIÓN TRANSACCIONAL Y DE TESORERÍA DE LAS OPERACIONES QUE EJECUTEN. EL SERVICIO DE RECAUDO ELECTRÓNICO DE LOS CRÉDITOS EDUCATIVOS SE PRESTARÁ A TRAVÉS DEL BOTÓN PSE Y SE HARÁ SOBRE UN PROMEDIO DE OPERACIONES MENSUALES ACORDE CON LO SEÑALADO EN LA CLÁUSULA DÉCIMA PRIMERA DEL PRESENTE CONVENIO.</t>
  </si>
  <si>
    <t>4.164</t>
  </si>
  <si>
    <t>2024-0919</t>
  </si>
  <si>
    <t>CD-916-2024</t>
  </si>
  <si>
    <t>809012688-3_x000D_</t>
  </si>
  <si>
    <t>DISTRIBUIDORA MULTITOYS S.A.S.</t>
  </si>
  <si>
    <t>MARTHA DIGNORA CASTRO CRUZ_x000D_</t>
  </si>
  <si>
    <t>ARRENDAR UN INMUEBLE EN LA CIUDAD DE YOPAL, EL CUAL SERÁ EXCLUSIVAMENTE DESTINADO PARA LA OFICINA DEL PUNTO DE ATENCIÓN AL CLIENTE DEL ICETEX.</t>
  </si>
  <si>
    <t>YOPAL</t>
  </si>
  <si>
    <t xml:space="preserve">CDEF-2024-880
CCVF-2024-020
</t>
  </si>
  <si>
    <t>ARRENDAMIENTO DE BIENES E INMUEBLES</t>
  </si>
  <si>
    <t>12.52</t>
  </si>
  <si>
    <t>2024-0920</t>
  </si>
  <si>
    <t>CD-917-2024</t>
  </si>
  <si>
    <t>BANCO DE LA REPUBLICA DCV</t>
  </si>
  <si>
    <t>EN VIRTUD DEL PRESENTE CONTRATO, EL BANCO SE COMPROMETE A PERMITIR A EL USUARIO EL ACCESO Y LA UTILIZACIÓN DEL SISTEMA DENOMINADO SERVICIOS ELECTRÓNICOS DEL BANCO DE LA REPÚBLICA, SEBRA.</t>
  </si>
  <si>
    <t>13.117</t>
  </si>
  <si>
    <t>2024-0921</t>
  </si>
  <si>
    <t>IMC-887-202</t>
  </si>
  <si>
    <t>901885397-4</t>
  </si>
  <si>
    <t xml:space="preserve">CONSORCIO ICETEX EDIFICACIONES </t>
  </si>
  <si>
    <t xml:space="preserve">JUAN PABLO MUÑOZ ANDRADE </t>
  </si>
  <si>
    <t>CONTRATAR LA INTERVENTORÍA PARA EL CONTRATO DE MANTENIMIENTO PREVENTIVO, CORRECTIVO, REPARACIONES LOCATIVAS DE LAS SEDES DEL INSTITUTO COLOMBIANO DE CRÉDITO EDUCATIVO Y ESTUDIOS TÉCNICOS EN EL EXTERIOR “MARIANO OSPINA PÉREZ” – ICETEX, ASÍ COMO LA ADECUACIÓN DE LOS MISMOS.</t>
  </si>
  <si>
    <t xml:space="preserve">CDEF-2024-900
CCVF-2024-014
</t>
  </si>
  <si>
    <t>9.26</t>
  </si>
  <si>
    <t>2024-0922</t>
  </si>
  <si>
    <t>CD-918-2024</t>
  </si>
  <si>
    <t>ANDRES RESTREPO MOLINA</t>
  </si>
  <si>
    <t>PRESTAR EL SERVICIO DE ADMINISTRACIÓN DEL PROCESO DE EMISIÓN DE PAGARÉS DESMATERIALIZADOS QUE FUNGEN COMO
GARANTÍA DE LOS CRÉDITOS EDUCATIVOS QUE OTORGA EL ICETEX, ASÍ COMO SU CUSTODIA Y ADMINISTRACIÓN POR CUENTA PROPIA Y/O DE TERCEROS Y REGISTRO DE LOS TÍTULOS BAJO EL SISTEMA DE ANOTACIÓN EN CUENTA, DE CONFORMIDAD CON LO REGULADO EN LAS LEYES 27 DE 1990, 527 DE 1999, 964 DE 2005, EL DECRETO 2555 DE 2010, EL REGLAMENTO DE OPERACIONES DE DECEVAL Y DEMÁS NORMAS QUE SE OCUPEN O SE LLEGAREN A OCUPAR DEL TEMA</t>
  </si>
  <si>
    <t xml:space="preserve">CDEF-2024-988 
VF- 2024-035 </t>
  </si>
  <si>
    <t>OTROS SERVICIOS OPERATIVOS VFA-VCC</t>
  </si>
  <si>
    <t>IG312001020600100_x000D_</t>
  </si>
  <si>
    <t>13.113</t>
  </si>
  <si>
    <t>2024-0923</t>
  </si>
  <si>
    <t>IP-876-2024</t>
  </si>
  <si>
    <t>901882531-1</t>
  </si>
  <si>
    <t>CONSORCIO GUADAÑA 2024</t>
  </si>
  <si>
    <t xml:space="preserve">HUGO ANDREY CASTILLO PEÑA </t>
  </si>
  <si>
    <t>CONTRATAR EL MANTENIMIENTO PREVENTIVO, CORRECTIVO, REPARACIONES LOCATIVAS DE LAS SEDES DEL INSTITUTO COLOMBIANO DE CRÉDITO EDUCATIVO Y ESTUDIOS TÉCNICOS EN EL EXTERIOR "MARIANO OSPINA PÉREZ</t>
  </si>
  <si>
    <t>VF-2024-013
CDEF-2024-839 CDEF-2024-840</t>
  </si>
  <si>
    <t>IG332113020090</t>
  </si>
  <si>
    <t>13.95</t>
  </si>
  <si>
    <t>2024-0924</t>
  </si>
  <si>
    <t>IS-894-2024</t>
  </si>
  <si>
    <t>830113914-3</t>
  </si>
  <si>
    <t>INSTITUCIONAL STAR SERVICES LTDA</t>
  </si>
  <si>
    <t>LILIANA YANNETH UNIBIO CAMARGO</t>
  </si>
  <si>
    <t>CONTRATAR EL SUMINISTRO DE PAPELERÍA, EQUIPOS, ÚTILES Y ACCESORIOS DE OFICINA, NECESARIOS PARA EL NORMAL FUNCIONAMIENTO DE ICETEX</t>
  </si>
  <si>
    <t>CDEF-2024-922</t>
  </si>
  <si>
    <t>IG 311002004004015</t>
  </si>
  <si>
    <t>2024-0925</t>
  </si>
  <si>
    <t>CD-921-2024</t>
  </si>
  <si>
    <t>890399010-6</t>
  </si>
  <si>
    <t>UNIVERSIDAD DEL VALLE</t>
  </si>
  <si>
    <t>GUILLERMO MURILLO VARGAS</t>
  </si>
  <si>
    <t>ACUERDO ESTRATÉGICO PARA IMPLEMENTAR LA ESTRATEGIA 2 “TRÁNSITO EDUCATIVO CON PERTINENCIA EN ZONAS RURALES” DERIVADA DEL FONDO ADMINISTRADO POR EL ICETEX, PARA PROMOVER ESTRATEGIAS QUE PERMITAN LA CALIDAD, EL ACCESO, EL REINTEGRO, Y LA PERMANENCIA AL SISTEMA EDUCATIVO DE LAS Y LOS JÓVENES DEL PAÍS Y FAVOREZCAN EL TRÁNSITO A LA EDUCACIÓN POSMEDIA Y SUPERIOR.</t>
  </si>
  <si>
    <t>EL OBJETO DEL PRESENTE OTROSÍ No 01 ES PRORROGAR EL PLAZO ESTABLECIDO EN LA CLÁUSULA CUARTA DEL ACUERDO ESTRATÉGICO CON SOCIO IMPLEMENTADOR EN TERRITORIO No 2024-0925</t>
  </si>
  <si>
    <t>OTROSÍ No 2. PRORROGAR EL PLAZO ESTABLECIDO EN LA CLAUSULA CUARTA DEL ACUERDOS ESTRATÉGICO CON SOCIO IMPLEMENTADOR EN TERRITORIO No 2024-0925</t>
  </si>
  <si>
    <t>11.18</t>
  </si>
  <si>
    <t>2024-0926</t>
  </si>
  <si>
    <t>CD-922-2024</t>
  </si>
  <si>
    <t>INFÓRMESE S.A.S.</t>
  </si>
  <si>
    <t>JUAN SEBASTIAN ESTEVEZ</t>
  </si>
  <si>
    <t>MANTENIMIENTO DE LA LICENCIA DEL SOFTWARE MODELER (PASW) PARA LA OFICINA DE RIESGOS DE ICETEX.</t>
  </si>
  <si>
    <t>CDEF-2024-890</t>
  </si>
  <si>
    <t>MANTENIMIENTO SOFTWARE</t>
  </si>
  <si>
    <t xml:space="preserve">IG 311002004005003 </t>
  </si>
  <si>
    <t>11.42</t>
  </si>
  <si>
    <t>2024-0927</t>
  </si>
  <si>
    <t>IS-905-2024</t>
  </si>
  <si>
    <t xml:space="preserve">900352786-5 </t>
  </si>
  <si>
    <t xml:space="preserve">RISKS INTERNATIONAL SAS </t>
  </si>
  <si>
    <t>SERVICIOS DE ACCESO A LA BASE DE DATOS DE LISTAS DE CONTROL ON-LINE PARA CONSULTA, ACTUALIZACIÓN, SOPORTE Y CRUCES BATCH DE LOS CLIENTES DE ICETEX</t>
  </si>
  <si>
    <t>CDEF-2024-954</t>
  </si>
  <si>
    <t>11.47</t>
  </si>
  <si>
    <t>2024-0928</t>
  </si>
  <si>
    <t>IMC-900-2024</t>
  </si>
  <si>
    <t>830075303-1</t>
  </si>
  <si>
    <t>ARIA PSW S.A.S</t>
  </si>
  <si>
    <t>LUIS HERNANDO BONILLA CUERVO</t>
  </si>
  <si>
    <t xml:space="preserve">                         
                          19142548
</t>
  </si>
  <si>
    <t>SERVICIOS ESPECIALIZADOS PARA EL GESTOR DE CONTENIDOS (LIFERAY) DE LOS PORTALES ICETEX.</t>
  </si>
  <si>
    <t>CDEF-2024-829</t>
  </si>
  <si>
    <t>2024-0929</t>
  </si>
  <si>
    <t>2024-0930</t>
  </si>
  <si>
    <t>2024-0931</t>
  </si>
  <si>
    <t>CD-929-2024</t>
  </si>
  <si>
    <t>MONROE COLLEGE</t>
  </si>
  <si>
    <t>EVAN JEROME</t>
  </si>
  <si>
    <t>AUNAR ESFUERZOS PARA LA IMPLEMENTACION DE PROGRAMAS QUE PERMITAN A CIUDADANOS COLOMBIANOS, MEDIANTE EL ACCESO A BECAS, REALIZAR ESTUDIOS EN EDUCACION SUPERIOR EN MONROE COLLEGE.</t>
  </si>
  <si>
    <t>13.150</t>
  </si>
  <si>
    <t>2024-0932</t>
  </si>
  <si>
    <t>IS-897-2024</t>
  </si>
  <si>
    <t xml:space="preserve">900810402-8 </t>
  </si>
  <si>
    <t xml:space="preserve">REN CONSULTORES S.A.S </t>
  </si>
  <si>
    <t xml:space="preserve">PRESTAR SERVICIOS PARA EL DISEÑO, PLANEACIÓN Y EJECUCIÓN DEL PLAN DE INTERVENCIÓN DEL RIESGO PSICOSOCIAL, CON BASE EN LOS RESULTADOS DE LA EVALUACIÓN DE FACTORES DE RIESGO </t>
  </si>
  <si>
    <t>CDEF-2024-932</t>
  </si>
  <si>
    <t>2024-0933</t>
  </si>
  <si>
    <t>890399029-5</t>
  </si>
  <si>
    <t>DEPARTAMENTO DEL VALLE DEL CAUCA SECRETARIA DE TURISMO</t>
  </si>
  <si>
    <t>JULIAN FELIPE FRANCO RESTREPO</t>
  </si>
  <si>
    <t>CONSTITUIR Y REGULAR UN FONDO EN ADMINISTRACIÓN DENOMINADO "VALLE PRO 2.0" DENTRO DEL PROYECTO "FORMACIÓN A NIVEL DE MAESTRÍA PARA EL CAPITAL HUMANO DEL SECTOR TURISMO DEL VALLE DEL CAUCA", CON LOS RECURSOS GIRADOS POR EL CONSTITUYENTE AL ICETEX QUIEN ACTUARÁ COMO ADMINISTRADOR - MANDATARIO,</t>
  </si>
  <si>
    <t>2024-0934</t>
  </si>
  <si>
    <t>890201235-6</t>
  </si>
  <si>
    <t>DEPARTAMENTO DE SANTANDER</t>
  </si>
  <si>
    <t>MARIA PAOLA SUÁREZ MORALES</t>
  </si>
  <si>
    <t>CONSTITUIR Y REGULAR UN FONDO EN ADMINSITRACIÓN DENOMINADO "FONDO DEPARTAMENTAL DE APOYO PARA LA PERMANENCIA EN LA EDUCACIÓN SUPERIOR", CON LOS RECURSOS GIRADOS POR LA GOBERNACIÓN DE SANTANDER COMO CONSTITUYENTE, AL ICETEX QUIEN ACTUARÁ COMO ADMINISTRADOR - MANDATARIO.</t>
  </si>
  <si>
    <t>13.107</t>
  </si>
  <si>
    <t>2024-0935</t>
  </si>
  <si>
    <t>IP-919-2024</t>
  </si>
  <si>
    <t>860002400-2</t>
  </si>
  <si>
    <t>LA PREVISORA S.A. COMPAÑÍA DE SEGUROS</t>
  </si>
  <si>
    <t>RAFAEL ARMANDO RODRÍGUEZ MENDEZ</t>
  </si>
  <si>
    <t>CONTRATAR UNA O VARIAS COMPAÑÍAS DE SEGUROS PARA LA ADQUISICIÓN DE LAS PÓLIZAS QUE CONFORMAN EL PROGRAMA DE SEGUROS QUE CUBRA LOS BIENES E INTERESES PATRIMONIALES DEL INSTITUTO COLOMBIANO DE CRÉDITO EDUCATIVO Y ESTUDIOS TÉCNICOS EN EL EXTERIOR "MARIANO OSPINA PÉREZ" - ICETEX Y AQUELLOS POR LOS CUALES SEA O LLEGARE A SER LEGALMENTE RESPONSABLE DENTRO Y FUERA DEL TERRITORIO NACIONAL, Y CUALQUIER OTRA PÓLIZA QUE REQUIERA LA ENTIDAD EN EL DESARROLLO DE SU ACTIVIDAD.</t>
  </si>
  <si>
    <t>CDEF-2024-983</t>
  </si>
  <si>
    <t>IG 1002004009011</t>
  </si>
  <si>
    <t>13.167</t>
  </si>
  <si>
    <t>2024-0936</t>
  </si>
  <si>
    <t>CDEF-2024-926</t>
  </si>
  <si>
    <t>13.109</t>
  </si>
  <si>
    <t>2024-0937</t>
  </si>
  <si>
    <t xml:space="preserve">890.903.407-9 </t>
  </si>
  <si>
    <t>SEGUROS GENERALES SURAMERICANA S.A</t>
  </si>
  <si>
    <t>CLEYA JOHANNA MARTINEZ CANTI</t>
  </si>
  <si>
    <t>CDEF-2024-982</t>
  </si>
  <si>
    <t>2024-0938</t>
  </si>
  <si>
    <t>901733502-1</t>
  </si>
  <si>
    <t>MINISTERIO DE IGUALDAD Y EQUIDAD</t>
  </si>
  <si>
    <t>CLAUDIA JINETH ÁLVAREZ BENÍTEZ</t>
  </si>
  <si>
    <t>CONSTITUIR Y REGULAR UN FONDO EN ADMINISTRACIÓN DENOMINADO "EDUMINIGUALDAD" PARA LA DISMINUCIÓN DE BRECHAS EN LA EDUCACIÓN SUPERIOR DE LA POBLACIÓN CON DISCAPACIDAD Y POBLACIÓN LGBTIQ+, CON LOS RECURSOS GIRADOS POR EL MINISTERIO DE IGUALDAD Y EQUIDAD COMO CONSTITUYENTE AL ICETEX QUIEN ACTUARÁ COMO ADMINISTRADOR – MANDATARIO.</t>
  </si>
  <si>
    <t>Modificar la CLÁUSULA SÉPTIMA - OBLIGACIONES
DE LA JUNTA ADMINISTRADORA DEL FONDO adicionando una nueva
obligación</t>
  </si>
  <si>
    <t>2024-0939</t>
  </si>
  <si>
    <t>800215546-5</t>
  </si>
  <si>
    <t>INSTITUTO NACIONAL PENITENCIARIO Y CARCELARIO - INPEC</t>
  </si>
  <si>
    <t>DANIEL FERNANDO GUTIÉRREZ ROJAS</t>
  </si>
  <si>
    <t>CONSTITUIR Y REGULAR UN FONDO EN ADMINISTRACIÓN DENOMINADO "RENACER", ORIENTADO A LA FORMACIÓN EN EDUCACIÓN SUPERIOR Y A LA FORMACIÓN PARA EL TRABAJO Y EL DESARROLLO HUMANO DE PERSONAS PROIVADAS DE LA LIBERTAD, CON LOS RECURSOS GIRADOS POR EL INSTITUTO NACIONAL PENITENCIARIO Y CARCELARIO  - INPEC-  COMO CONSTITUYENTE, AL IETEX QUIEN ACTUARÁ COMO ADMINISTRADOR - MANDATARIO</t>
  </si>
  <si>
    <t>2024-0940</t>
  </si>
  <si>
    <t>800028393-3</t>
  </si>
  <si>
    <t>MUNICIPIO DE CAMPOHERMOSO , BOYACÁ</t>
  </si>
  <si>
    <t>DARÍO MONTAÑEZ PEÑA</t>
  </si>
  <si>
    <t>CONSTITUIR Y REGULAR UN FONDO EN ADMINISTRACIÓN DENOMINADO "PROFESIONALIZANDO CAMPOHERMOSO", CON LOS RECURSOS GIRADOS POR EL MUNICIPIO DE CAMPOHERMOSO COMO CONSTITUYENTE AL ICETEX QUIEN ACTUARÁ COMO ADMINISTRADOR - MANDATARIO</t>
  </si>
  <si>
    <t>12.58</t>
  </si>
  <si>
    <t>2024-0941</t>
  </si>
  <si>
    <t>IS-920-2024</t>
  </si>
  <si>
    <t>900.307.711-2</t>
  </si>
  <si>
    <t xml:space="preserve">PROVEEDOR INTEGRAL DE PRECIOS COLOMBIA PROVEEDOR DE PRECIOS PARA VALORACION S.A. 
</t>
  </si>
  <si>
    <t>FABIAN YANZA BERMUDEZ</t>
  </si>
  <si>
    <t>PRESTAR EL SERVICIO PARA ACCEDER A LOS ARCHIVOS DE RENTA FIJA, NECESARIOS PARA LA VALORACIÓN DE LOS TÍTULOS VALORES QUE TIENE VIGENTES EL ICETEX, MEDIANTE EL ACCESO A TRAVÉS DE LA PÁGINA WEB DEL PROVEEDOR.</t>
  </si>
  <si>
    <t>VF-2024-036</t>
  </si>
  <si>
    <t>SUMINISTRO INFORMACIÓN BOLSA DE VALORES</t>
  </si>
  <si>
    <t xml:space="preserve">IG312001020400033 </t>
  </si>
  <si>
    <t>11.12</t>
  </si>
  <si>
    <t>2024-0942</t>
  </si>
  <si>
    <t>CD-932-2024</t>
  </si>
  <si>
    <t>830042244-1</t>
  </si>
  <si>
    <t>DIGITAL WARE S.A.S</t>
  </si>
  <si>
    <t>SERVICIO DE MANTENIMIENTO A DISTANCIA DEL SISTEMA DE INFORMACIÓN KACTUS-HCM</t>
  </si>
  <si>
    <t>CDEF 611-2024</t>
  </si>
  <si>
    <t>MANTENIMIENTO SOFTARE Y SUMINISTRO</t>
  </si>
  <si>
    <t>4.179</t>
  </si>
  <si>
    <t>2024-0943</t>
  </si>
  <si>
    <t>CD-934-2024</t>
  </si>
  <si>
    <t>XIMENA GECNNY GOMEZ VELEZ</t>
  </si>
  <si>
    <t>ARRENDAR UN INMUEBLE EN LA CIUDAD DE ARAUCA, EL CUAL SERÁ EXCLUSIVAMENTE DESTINADO PARA LA OFICINA DEL PUNTO DE ATENCIÓN AL CLIENTE DEL ICETEX</t>
  </si>
  <si>
    <t>ARAUCA</t>
  </si>
  <si>
    <t>CDEF-972-2024
CVFF 2024-038</t>
  </si>
  <si>
    <t>11.5</t>
  </si>
  <si>
    <t>2024-0944</t>
  </si>
  <si>
    <t>IP-896-2024</t>
  </si>
  <si>
    <t>830039811-7</t>
  </si>
  <si>
    <t>DB SYSTEM S.A.S</t>
  </si>
  <si>
    <t>SISTEMA DE OBSERVACIÓN AUTOMÁTICA E INTELIGENTE PARA LOS SERVICIOS Y SISTEMAS DEL ICETEX.</t>
  </si>
  <si>
    <t>CDEF 843-2024</t>
  </si>
  <si>
    <t>12,60</t>
  </si>
  <si>
    <t>2024-0945</t>
  </si>
  <si>
    <t>CD-937-2024</t>
  </si>
  <si>
    <t xml:space="preserve">900.975.817-9 </t>
  </si>
  <si>
    <t>CR CONSULTORIA CONTABLE Y FINANCIERA S.A.S</t>
  </si>
  <si>
    <t xml:space="preserve">SUSCRIPCIÓN AL SUMINISTRO DE INFORMACIÓN EN ACTUALIZACIÓN NORMATIVA Y EL CUMPLIMIENTO DE OBLIGACIONES TRIBUTARIAS TERRITORIALES, A TRAVÉS DE LA PLATAFORMA SIMPLICA, CON DISPONIBILIDAD PARA LOS USUARIOS REQUERIDOS POR EL ICETEX. </t>
  </si>
  <si>
    <t>CDEF- 984-2024</t>
  </si>
  <si>
    <t>2024-0946</t>
  </si>
  <si>
    <t>899999001-7
800215546-5</t>
  </si>
  <si>
    <t>MINISTERIO DE EDUCACIÓN NACIONAL
INSTITUTO NACIONAL PENITENCIARIO Y CARCELARIO - INPEC</t>
  </si>
  <si>
    <t>RICARDO MOREO PATIÑO
DANIEL FERNANDO GUTIERREZ ROJAS</t>
  </si>
  <si>
    <t>80239226
80124113</t>
  </si>
  <si>
    <t>AUNAR ESFUERZOS TÉCNICOS, FINANCIEROS Y ADMINISTRATIVOS ENTRE EL MINISTERIO DE EDUCACIÓN NACIONAL, EL INSTITUTO COLOMBIANO DE CRÉDITO EDUCATIVO Y ESTUDIOS TÉCNICOS EN EL EXTERIOR - ICETEX - Y EL INSTITUTO NACIONAL PENITENCIARIO Y CARCELARIO - INPEC-, PARA LA CONSTITUCIÓN Y REGULACIÓN DEL FONDO EN ADMINISTRACIÓN DENOMINADO "CODISO DE PAZ" PARA EL OTORGAMIENTO DE SUBSIDIOS DE MATRICULA EN PROGRAMAS DE PREGRADO QUE PROMUEVAN EL ACCESO Y PERMANENCIA EN LA EDUCACIÓN SUPERIOR</t>
  </si>
  <si>
    <t>2024-0947</t>
  </si>
  <si>
    <t>CD-939-2024</t>
  </si>
  <si>
    <t>GERMAN FELIX CALVO SARMIENTO</t>
  </si>
  <si>
    <t>CONTRATAR EL ARRENDAMIENTO DE UN INMUEBLE COMPLETAMENTE ADECUADO PARA EL PUNTO DE ATENCIÓN AL USUARIO DE ICETEX EN LA CIUDAD DE CALI</t>
  </si>
  <si>
    <t xml:space="preserve">VF-2024-021
VF-2024-021
</t>
  </si>
  <si>
    <t xml:space="preserve">ARRENDAMIENTOS BIENES INMUEBLES </t>
  </si>
  <si>
    <t>2024-0948</t>
  </si>
  <si>
    <t>CD-940-2024</t>
  </si>
  <si>
    <t>900.015.479-4</t>
  </si>
  <si>
    <t xml:space="preserve">CONSORCIO ADMINISTRADOR H Y C </t>
  </si>
  <si>
    <t>CONTRATAR EL ARRENDAMIENTO DE UN INMUEBLE PARA EL FUNCIONAMIENTO DE LAS OFICINAS DE LA ASOCIACIÓN PANAMERICANA DE INSTITUCIONES DE CRÉDITO EDUCATIVO – APICE.</t>
  </si>
  <si>
    <t>CVFF 2024-039</t>
  </si>
  <si>
    <t>11.38</t>
  </si>
  <si>
    <t>2024-0949</t>
  </si>
  <si>
    <t>IMC-930-2024</t>
  </si>
  <si>
    <t>REDNEET S.A.S.</t>
  </si>
  <si>
    <t>SUSCRIPCIONES HERRAMIENTAS TECNOLÓGICAS PARA EL ICETEX</t>
  </si>
  <si>
    <t>CDEF-2024-918</t>
  </si>
  <si>
    <t>2.29</t>
  </si>
  <si>
    <t>2024-0950</t>
  </si>
  <si>
    <t>IMC-926-2024</t>
  </si>
  <si>
    <t>860600063-9</t>
  </si>
  <si>
    <t>BDO AUDIT S.A.S</t>
  </si>
  <si>
    <t>EMITIR UNA OPINIÓN PROFESIONAL (O UNA ASEVERACIÓN ACERCA DE LA IMPOSIBILIDAD DE EXPRESAR LA MISMA SI ELLO FUERA NECESARIO) SOBRE SI LOS ESTADOS FINANCIEROS DE PROPÓSITO ESPECIAL DEL PRÉSTAMO BIRF 8836-CO Y RECURSOS DE CONTRAPARTIDA), HAN SIDO PREPARADOS, EN TODOS SUS ASPECTOS IMPORTANTES, DE CONFORMIDAD CON LOS REQUERIMIENTOS DEL MARCO DE INFORMACIÓN FINANCIERA APLICABLE Y DE ACUERDO CON LOS REQUISITOS DE LOS CONTRATOS DE PRÉSTAMOS CON EL BANCO MUNDIAL Y EL ICETEX; Y EVALUAR Y CONCEPTUAR SOBRE LA EFECTIVIDAD DEL SISTEMA DE CONTROL INTERNO QUE DEBERÁ EFECTUAR CON EL ALCANCE PREVISTO EN LAS NORMAS INTERNACIONALES DE AUDITORÍA PARA LAS VIGENCIAS 2024, 2025 Y EL PERIODO DE GRACIA.</t>
  </si>
  <si>
    <t>VF-2024-034</t>
  </si>
  <si>
    <t>AUDITORIA EXTERNA</t>
  </si>
  <si>
    <t>IG332031004006</t>
  </si>
  <si>
    <t>8.13</t>
  </si>
  <si>
    <t>2024-0951</t>
  </si>
  <si>
    <t>CD-941-2024</t>
  </si>
  <si>
    <t>DANIELA BUENO FLORES</t>
  </si>
  <si>
    <t>PRESTAR SERVICIOS PROFESIONALES ESPECIALIZADOS PARA APOYAR Y BRINDAR ASESORÍA JURÍDICA EN EL DESARROLLO, SEGUIMIENTO Y REVISIÓN DE LOS ASUNTOS DE COMPETENCIA DE LA PRESIDENCIA DEL ICETEX.</t>
  </si>
  <si>
    <t>CDEF-2024- 1014</t>
  </si>
  <si>
    <t>IG 312001020200012</t>
  </si>
  <si>
    <t>Proyectar y/o revisar los oficios de respuesta, actos administrativos y demás documentos
que le sean asignados por el supervisor y que tengan relación con el objeto del presente
contrato.
2. Apoyar la supervisión de los contratos a cargo de presidencia.
3. Proyectar y/o revisar las actas derivadas de los comités, mesas de trabajo y demás
reuniones que le sean solicitadas por el supervisor del contrato.
4. Crear un repositorio en la que se cargue la información relacionada con los comités en los
que participa el Despacho de presidencia y ponerla a disposición del Despacho.
5. Asistir y/o participar en los comités, mesas de trabajo y demás reuniones relacionadas con
el objeto contractual.
6. Apoyar el seguimiento de los compromisos adquiridos por diferentes actores con la
presidencia del ICETEX en mesas de trabajo que le sean asignados.
7. Las demás asignadas por el supervisor y que tengan relación con el objeto contractual</t>
  </si>
  <si>
    <t>2024-0952</t>
  </si>
  <si>
    <t>CD-942-2024</t>
  </si>
  <si>
    <t>INSTITUTO TECNOLÓGICO Y DE ESTUDIOS SUPERIORES DE MONTERREY</t>
  </si>
  <si>
    <t>JOAQUIN ALEJANDRO GUERRA ACHEM</t>
  </si>
  <si>
    <t>AUNAR ESFUERZOS PARA EL OTORGAMIENTO DE BECAS TOTALES Y/O PARCIALES EN PROGRAMAS ACADÉMICOS QUE PERMITAN A CIUDADANOS COLOMBIANOS, REALIZAR ESTUDIOS EN EL ITESM</t>
  </si>
  <si>
    <t>11.32</t>
  </si>
  <si>
    <t>2024-0953</t>
  </si>
  <si>
    <t>CD-943-2024</t>
  </si>
  <si>
    <t>830.045.792-1</t>
  </si>
  <si>
    <t>CALLTECH S.A; CALL PROCESSING TECHNOLOGIES S.A</t>
  </si>
  <si>
    <t>RENOVAR EL SERVICIO DE SOPORTE AL SISTEMA DE GRABADOR DE LLAMADAS PARA EL SEGUIMIENTO A LAS TRANSACCIONES FINANCIERAS DEL ICETEX.</t>
  </si>
  <si>
    <t>CDEF-2024-1002</t>
  </si>
  <si>
    <t>8.11</t>
  </si>
  <si>
    <t>2024-0954</t>
  </si>
  <si>
    <t>CD-944-2024</t>
  </si>
  <si>
    <t>VANESSA CAICEDO SÁNCHEZ</t>
  </si>
  <si>
    <t>PRESTAR SERVICIOS PROFESIONALES ESPECIALIZADOS PARA BRINDAR ASESORÍA A LA PRESIDENCIA DEL ICETEX EN LA GESTIÓN Y TRÁMITE DEL RELACIONAMIENTO DE LA ENTIDAD CON DIFERENTES ACTORES ESTRATÉGICOS.</t>
  </si>
  <si>
    <t>CDEF-2024- 1012</t>
  </si>
  <si>
    <t>⁠Apoyar a la Presidencia del ICETEX, en la proyección, análisis y revisiones de conceptos
respecto de su experticia.
2. Realizar el seguimiento oportuno de los derechos de petición radicados en el ICETEX los
cuales deben ser gestionados por la Presidencia y que dicha respuesta se encuentre dentro
de los términos de Ley requeridos.
3. Realizar el debido seguimiento y reporte de los compromisos adquiridos en diversas
reuniones donde participa el Presidente
4. ⁠Apoyar el acompañamiento, gestión y documentación de los procesos y procedimientos
administrativos que se encuentran bajo la dirección de la Presidencia del ICETEX.
5. ⁠Solicitar y compilar la información necesaria de las distintas áreas de la entidad para la
elaboración de los informes que le sean requeridos.
6. ⁠Preparar los insumos esenciales para las actividades realizadas por parte de la Presidencia
del ICETEX.
7. Apoyar a la Presidencia del ICETEX en mesas de trabajo, reuniones y espacios de
articulación interinstitucional en el que se le sea convocado para el cumplimiento del objeto
8. Cumplir con las demás obligaciones que sean requeridas por el supervisor del contrato y/o
el Presidente de la Entidad, y que estén relacionadas con el objeto del contrato.</t>
  </si>
  <si>
    <t>8.9</t>
  </si>
  <si>
    <t>2024-0955</t>
  </si>
  <si>
    <t>CD-945-2024</t>
  </si>
  <si>
    <t>HAROLD YESSID LÓPEZ FIGUEROA</t>
  </si>
  <si>
    <t>PRESTAR SERVICIOS PROFESIONALES PARA BRINDAR APOYO EN EL SEGUIMIENTO INTEGRAL Y ATENCIÓN ADMINISTRATIVA DE LAS DIFERENTES ACTIVIDADES A CARGO DE LA PRESIDENCIA DEL ICETEX CON EL FIN DE FORTALECER EL CUMPLIMIENTO DE LA EJECUCIÓN DEL PLAN ESTRATÉGICO DE LA ENTIDAD</t>
  </si>
  <si>
    <t>CDEF-2024- 1013</t>
  </si>
  <si>
    <t>Desarrollar actividades profesionales para el control y seguimiento de la ejecución y
avance de la implementación de planes, programas, estrategias y herramientas que
faciliten el cumplimiento del objeto misional del ICETEX, de conformidad con las
directrices impartidas por la presidencia.
2. Elaborar y preparar informes que sean requeridos por la Presidencia del ICETEX, para
adelantar actividad, reunión u encuentro externo.
3. Elaborar las bases de datos o matriz para el control y seguimiento de los compromisos
que sean asignados a Presidencia, con el fin de poder implementar los objetivos
institucionales de ICETEX.
4. Proyectar los documentos que se relacionen con las actividades que le sean
encomendadas por el supervisor del contrato, en el marco del objeto contractual.
5. Realizar aportes a las diferentes respuestas a los requerimientos internos y externos,
así como a derechos de petición, consultas y demás solicitudes relacionadas con la
Presidencia.
6. Acompañar los comités, mesas de trabajo y reuniones de coordinación, seguimiento o
información que se programen en el marco de las actividades del presidente de la
entidad, efectuando los reportes e informes pertinentes que le sean solicitados.
7. Las demás obligaciones que sean acordes con el objeto contractual asignado por quien
ejerza la función de la Supervisión del Contrato.</t>
  </si>
  <si>
    <t>2024-0956</t>
  </si>
  <si>
    <t>2024-0957</t>
  </si>
  <si>
    <t>CD-947-2024</t>
  </si>
  <si>
    <t>CESTE - ESCUELA INTERNACIONAL DE NEGOCIOS</t>
  </si>
  <si>
    <t>MIGUEL MARÍN VELÁZQUEZ</t>
  </si>
  <si>
    <t>AUNAR ESFUERZOS PARA LA IMPLEMENTACIÓN DE PROGRAMAS QUE PERMITAN A CIUDADANOS COLOMBIANOS, MEDIANTE EL ACCESO A BECAS Y AYUDAS FINANCIERAS, REALIZAR ESTUDIOS EN EDUCACIÓN SUPERIOR EN CESTE, ESCUELA INTERNACIONAL DE NEGOCIOS.</t>
  </si>
  <si>
    <t>13.96</t>
  </si>
  <si>
    <t>2024-0958</t>
  </si>
  <si>
    <t>UNION TEMPORAL SOLUCION FERRETERIA PARA COLOMBIA</t>
  </si>
  <si>
    <t>DANIEL AUGUSTO TARAZONA PEDRAZA</t>
  </si>
  <si>
    <t>CONTRATAR EL SUMINISTRO DE ELEMENTOS DE FERRETERÍA PARA EL SOSTENIMIENTO Y CORRECTO FUNCIONAMIENTO DE LAS DIFERENTES SEDES DE ICETEX A NIVEL NACIONAL</t>
  </si>
  <si>
    <t>CDEF-887-2024</t>
  </si>
  <si>
    <t>13-106</t>
  </si>
  <si>
    <t>2024-0959</t>
  </si>
  <si>
    <t>IP-925-2024</t>
  </si>
  <si>
    <t>901901157-2</t>
  </si>
  <si>
    <t>UNION TEMPORAL S2000</t>
  </si>
  <si>
    <t xml:space="preserve"> HENRY ALBERTO SAETHER PIZARRO</t>
  </si>
  <si>
    <t>CONTRATAR EL SERVICIO ESPECIALIZADO DE VIGILANCIA Y SEGURIDAD PRIVADA ARMADA,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</si>
  <si>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CDEF905-2024
VF 2024-011</t>
  </si>
  <si>
    <t>SERVICIO DE SEGURIDAD Y VIGILANCIA</t>
  </si>
  <si>
    <t xml:space="preserve">IG 311002004005010 </t>
  </si>
  <si>
    <t>2024-0960</t>
  </si>
  <si>
    <t>CD-948-2024</t>
  </si>
  <si>
    <t>901428945-1</t>
  </si>
  <si>
    <t>CONTROL ONLINE INTERNATIONAL SAS</t>
  </si>
  <si>
    <t>BERTHA CAROLINA MOGOLLON</t>
  </si>
  <si>
    <t>RENOVACIÓN DE LAS LICENCIAS DE SUSCRIPCIÓN ANUAL POR USUARIO PARA USO DEL GESTOR DOCUMENTAL SGDEA - CONTROLDOC</t>
  </si>
  <si>
    <t>CDEF-2024-1015</t>
  </si>
  <si>
    <t>2024-0961</t>
  </si>
  <si>
    <t>CD-949-2024</t>
  </si>
  <si>
    <t>COORPORACIÓN UNIVERSITARIA MINUTO DE DIOS</t>
  </si>
  <si>
    <t>DE JESÚS CASTILLA DEVOZ</t>
  </si>
  <si>
    <t>El objeto del presente Otrosí No. 01 es prorrogar el plazo de ejecución del ACUERDO ESTRATÉGICO CON SOCIO IMPLEMENTADOR EN TERRITORIO No. 2024-0961, suscrito entre EL INSTITUTO COLOMBIANO DE CRÉDITO EDUCATIVO Y ESTUDIOS TÉCNICOS EN EL EXTERIOR “MARIANO OSPINA PÉREZ”–ICETEX y la CORPORACIÓN UNIVERSITARIA MINUTO DE DIOS – UNIMINUTO, por las consideraciones expuestas en el presente documento.</t>
  </si>
  <si>
    <t>4.132</t>
  </si>
  <si>
    <t>2024-0962</t>
  </si>
  <si>
    <t>CD-950-2024</t>
  </si>
  <si>
    <t>GLADIS MARIELA CHAMORRO FUERTES</t>
  </si>
  <si>
    <t>CONTRATAR EL ARRENDAMIENTO DE UN INMUEBLE COMPLETAMENTE ADECUADO PARA EL PUNTO DE ATENCIÓN AL USUARIO DE ICETEX EN LA CIUDAD DE POPAYÁN</t>
  </si>
  <si>
    <t>VF-2024-022</t>
  </si>
  <si>
    <t xml:space="preserve">IG311002004010002 – </t>
  </si>
  <si>
    <t>13.112</t>
  </si>
  <si>
    <t>2024-0963</t>
  </si>
  <si>
    <t>IS-935-2024</t>
  </si>
  <si>
    <t>901245493-8</t>
  </si>
  <si>
    <t>CO2CERO S.A.S</t>
  </si>
  <si>
    <t>EDGAR MAURICIO RODRIGUEZ CASTRO</t>
  </si>
  <si>
    <t>COMPRA DE BONOS DE CARBONO VERIFICADOS COMO MEDIDA DE COMPENSACIÓN DE LA HUELLA DE CARBONO CORPORATIVA, GENERADA POR EL DESARROLLO DE LAS ACTIVIDADES MISIONALES EN LAS SEDES DE BOGOTÁ DURANTE EL AÑO 2022</t>
  </si>
  <si>
    <t>CDEF-2024-980</t>
  </si>
  <si>
    <t xml:space="preserve"> OTROS SERVICIOS OPERATIVOS - SGN</t>
  </si>
  <si>
    <t>IG 312001020300100</t>
  </si>
  <si>
    <t>2024-0964</t>
  </si>
  <si>
    <t>CD-951-2024</t>
  </si>
  <si>
    <t>CONTRATAR EL ARRENDAMIENTO DE UN INMUEBLE COMPLETAMENTE ADECUADO PARA EL PUNTO DE ATENCIÓN AL USUARIO DE ICETEX EN LETICIA</t>
  </si>
  <si>
    <t>VF-2024-025</t>
  </si>
  <si>
    <t>11.46</t>
  </si>
  <si>
    <t>2024-0965
140042</t>
  </si>
  <si>
    <t>CD- 952-2024</t>
  </si>
  <si>
    <t>901312112-4</t>
  </si>
  <si>
    <t>CAMERFIRMA COLOMBIA S.A.S</t>
  </si>
  <si>
    <t>NUBIA BAUTISTA</t>
  </si>
  <si>
    <t>ADQUISICIÓN DE CERTIFICADOS PARA LAS FIRMAS DIGITALES Y LOS COMPONENTES TECNOLÓGICOS NECESARIOS PARA LA OPERACIÓN DEL PROCESO DE FIRMADO DIGITAL EN EL ICETEX</t>
  </si>
  <si>
    <t>CDEF-2024-1006</t>
  </si>
  <si>
    <t>4.171</t>
  </si>
  <si>
    <t>2024-0966</t>
  </si>
  <si>
    <t>CD-953-2024</t>
  </si>
  <si>
    <t>INVERSIONES M.K.S. SAS</t>
  </si>
  <si>
    <t>Mohamad Kamel Saleh</t>
  </si>
  <si>
    <t>CONTRATAR EL ARRENDAMIENTO DE UN INMUEBLE COMPLETAMENTE ADECUADO PARA EL PUNTO DE ATENCIÓN AL USUARIO DE ICETEX EN LA CIUDAD DE SAN ANDRÉS</t>
  </si>
  <si>
    <t>SAN ANDRES</t>
  </si>
  <si>
    <t>VF-2024-024</t>
  </si>
  <si>
    <t>11.48</t>
  </si>
  <si>
    <t>2024-0967</t>
  </si>
  <si>
    <t>IMC- 936-2024</t>
  </si>
  <si>
    <t>ICXAR SAS</t>
  </si>
  <si>
    <t>RENOVACIÓN DEL LICENCIAMIENTO DE PRODUCTOS WSO2 PARA LOS SERVICIOS DE INTEROPERABILIDAD DE LA PLATAFORMA DE CONTENEDORES Y BUS DE SERVICIOS DEL ICETEX.</t>
  </si>
  <si>
    <t>CDEF-2024-1004</t>
  </si>
  <si>
    <t>2024-0968
OC 140964</t>
  </si>
  <si>
    <t>ORGANIZACIÓN TERPEL</t>
  </si>
  <si>
    <t>JEIMMY MARCELA ROJAS LOPEZ</t>
  </si>
  <si>
    <t>VF-2024-040</t>
  </si>
  <si>
    <t xml:space="preserve">IG311002004004001 </t>
  </si>
  <si>
    <t>2024-0969</t>
  </si>
  <si>
    <t>899999003-1</t>
  </si>
  <si>
    <t>MINISTERIO DE DEFENSA NACIONAL</t>
  </si>
  <si>
    <t>AUNAR ESFUERZOS ENTRE EL INSTITUTO COLOMBIANO DE CRÉDITO EDUCATIVO Y ESTUDIOS TÉCNICOS EN EL EXTERIOR – “MARIANO OSPINA PÉREZ “ ICETEX Y EL MINISTERIO DE DEFENSA NACIONAL PARA PROMOVER Y GARANTIZAR EL ACCESO Y PERMANENCIA EN LOS PROGRAMAS DE EDUCACIÓN SUPERIOR, EN PREGRADO (NIVEL TÉCNICO PROFESIONAL, TECNÓLOGO, PROFESIONAL UNIVERSITARIO) Y PROGRAMAS DE POSGRADO (ESPECIALIZACIÓN Y MAESTRÍA), PARA LOS MIEMBROS ACTIVOS DE LA FUERZA PÚBLICA, FAVORECIENDO EL DESARROLLO DE LAS CAPACIDADES MISIONALES DE LAS FUERZAS, A TRAVÉS DE UN MODELO DE FINANCIACIÓN EN EL CUAL SE COFINANCIE EL VALOR DE LA MATRÍCULA DE ACUERDO A LAS CONDICIONES ESTABLECIDAS EN EL ACUERDO ESTRATÉGICO Y/O CONVENIO.</t>
  </si>
  <si>
    <t>4.115</t>
  </si>
  <si>
    <t>2024-0970</t>
  </si>
  <si>
    <t>IMC-933-2024</t>
  </si>
  <si>
    <t>900.860.807-0</t>
  </si>
  <si>
    <t>INNOVA TECH IT S.A.S</t>
  </si>
  <si>
    <t>VF-2024-029</t>
  </si>
  <si>
    <t>IMPRESIÓN, ALISTAMIENTO, DISTRIBUCIÓN Y</t>
  </si>
  <si>
    <t>IG311002004007017</t>
  </si>
  <si>
    <t>4.131</t>
  </si>
  <si>
    <t>2024-0971</t>
  </si>
  <si>
    <t>CD-954-2024</t>
  </si>
  <si>
    <t>INVERSIONES ALIANZA S.A</t>
  </si>
  <si>
    <t>RODRIGO DE JESUS SALAZAR GIRALDO</t>
  </si>
  <si>
    <t>ARRENDAR UN INMUEBLE EN LA CIUDAD DE BUENAVENTURA, EL CUAL SERÁ EXCLUSIVAMENTE DESTINADO PARA LA OFICINA DEL PUNTO DE ATENCIÓN AL CLIENTE DE ICETEX EN BUENAVENTURA, VALLE DEL CAUCA.</t>
  </si>
  <si>
    <t>VF-2024-027</t>
  </si>
  <si>
    <t xml:space="preserve">IG311002004010002 </t>
  </si>
  <si>
    <t>2024-0972</t>
  </si>
  <si>
    <t>830115226-3</t>
  </si>
  <si>
    <t>MINISTERIO DE TRABAJO</t>
  </si>
  <si>
    <t>CARLOS EDUARDO UMAÑA LIZARAZO</t>
  </si>
  <si>
    <t xml:space="preserve">CONSTITUIR Y GESTIONAR EL FONDO EDUCATIVO DENOMINADO MINTRABAJO – ICETEX, CON LOS RECURSOS GIRADOS POR EL MINISTERIO DEL TRABAJO AL ICETEX, QUIEN ACTUARA COMO ADMINISTRADOR – MANDATARIO. </t>
  </si>
  <si>
    <t>13.111</t>
  </si>
  <si>
    <t>2024-0973</t>
  </si>
  <si>
    <t>CD-955-2024</t>
  </si>
  <si>
    <t>JAVIER EDUARDO TORRES CASTILLO</t>
  </si>
  <si>
    <t>CONTRATAR EL ARRENDAMIENTO DE LA OFICINA CON PARQUEADEROS PARA EL FUNCIONAMIENTO DE LA SEDE ALTERNA DE ICETEX</t>
  </si>
  <si>
    <t>VF-2024-041</t>
  </si>
  <si>
    <t>4.144</t>
  </si>
  <si>
    <t>2024-0974</t>
  </si>
  <si>
    <t>CD-956-2024</t>
  </si>
  <si>
    <t>900205407-1</t>
  </si>
  <si>
    <t>SOCIEDAD OPERADORA DE AEROPUERTOS CENTRO NORTE S.A.S (AIRPLAN S.A.S)</t>
  </si>
  <si>
    <t>SARA INÉS RAMÍREZ RESTREPO</t>
  </si>
  <si>
    <t>CONTRATAR EL ARRENDAMIENTO DE UN INMUEBLE COMPLETAMENTE ADECUADO PARA EL PUNTO DE ATENCIÓN AL USUARIO DE ICETEX EN QUIBDÓ</t>
  </si>
  <si>
    <t>QUIBDO</t>
  </si>
  <si>
    <t>VF-2024-026</t>
  </si>
  <si>
    <t>4.172</t>
  </si>
  <si>
    <t>2024-0975</t>
  </si>
  <si>
    <t>CD-957-2024</t>
  </si>
  <si>
    <t>3900067874-3</t>
  </si>
  <si>
    <t>AGENCIA INMOBILIARIA MAR CARIBE S.A.S</t>
  </si>
  <si>
    <t>MARTHA CECILIA PACHECO OSPINO</t>
  </si>
  <si>
    <t>CONTRATAR EL ARRENDAMIENTO DE UN INMUEBLE COMPLETAMENTE ADECUADO PARA EL PUNTO DE ATENCIÓN AL USUARIO DE ICETEX EN LA CIUDAD DE RIOHACHA</t>
  </si>
  <si>
    <t>RIOHACHA</t>
  </si>
  <si>
    <t>VF-2024-023</t>
  </si>
  <si>
    <t>2024-0976</t>
  </si>
  <si>
    <t>892400038-2</t>
  </si>
  <si>
    <t>DEPARTAMENTO ARCHIPIÉLAGO DE SAN ANDRÉS, PROVIDENCIA Y SANTA CATALINA</t>
  </si>
  <si>
    <t>JOSE NORRELL MITCHELL NELSON</t>
  </si>
  <si>
    <t>CONSTITUIR Y REGULAR UN FONDO EN ADMINISTRACIÓN DENOMINADO “EL ARCHIPIÉLAGO AVANZA”, CON LOS RECURSOS GIRADOS POR LA GOBERNACIÓN DEL DEPARTAMENTO ARCHIPIÉLAGO DE SAN ANDRÉS, PROVIDENCIA Y SANTA CATALINA COMO CONSTITUYENTE, AL ICETEX QUIEN ACTUARÁ COMO ADMINISTRADOR – MANDATARIO.</t>
  </si>
  <si>
    <t>2024-0977</t>
  </si>
  <si>
    <t>Se anulo debido a que la Entidad no realizo la publicación en el secop.</t>
  </si>
  <si>
    <t>2024-0978</t>
  </si>
  <si>
    <t>2024-0979</t>
  </si>
  <si>
    <t>2024-0980</t>
  </si>
  <si>
    <t>2024-0981</t>
  </si>
  <si>
    <t>2024-0982</t>
  </si>
  <si>
    <t>2024-0983</t>
  </si>
  <si>
    <t>2024-0984</t>
  </si>
  <si>
    <t>2024-0985</t>
  </si>
  <si>
    <t>2024-0986</t>
  </si>
  <si>
    <t>2024-0987</t>
  </si>
  <si>
    <t>2024-0988</t>
  </si>
  <si>
    <t>2024-0989</t>
  </si>
  <si>
    <t>2024-0990</t>
  </si>
  <si>
    <t>2024-0991</t>
  </si>
  <si>
    <t>2024-0992</t>
  </si>
  <si>
    <t>2024-0993</t>
  </si>
  <si>
    <t>2024-0994</t>
  </si>
  <si>
    <t>2024-0995</t>
  </si>
  <si>
    <t>2024-0996</t>
  </si>
  <si>
    <t>2024-0997</t>
  </si>
  <si>
    <t>2024-0998</t>
  </si>
  <si>
    <t>2024-0999</t>
  </si>
  <si>
    <t>2024-1000</t>
  </si>
  <si>
    <t xml:space="preserve">CLASE DE PROCESO </t>
  </si>
  <si>
    <t>No. Del Proceso</t>
  </si>
  <si>
    <t>Objeto del Contrato</t>
  </si>
  <si>
    <t>FORMULADO</t>
  </si>
  <si>
    <t>CD</t>
  </si>
  <si>
    <t>001</t>
  </si>
  <si>
    <t>002</t>
  </si>
  <si>
    <t>003</t>
  </si>
  <si>
    <t>004</t>
  </si>
  <si>
    <t>005</t>
  </si>
  <si>
    <t>006</t>
  </si>
  <si>
    <t>007</t>
  </si>
  <si>
    <t>008</t>
  </si>
  <si>
    <t>009</t>
  </si>
  <si>
    <t>010</t>
  </si>
  <si>
    <t>011</t>
  </si>
  <si>
    <t>012</t>
  </si>
  <si>
    <t>013</t>
  </si>
  <si>
    <t>014</t>
  </si>
  <si>
    <t>015</t>
  </si>
  <si>
    <t>016</t>
  </si>
  <si>
    <t>017</t>
  </si>
  <si>
    <t>018</t>
  </si>
  <si>
    <t>019</t>
  </si>
  <si>
    <t>020</t>
  </si>
  <si>
    <t>021</t>
  </si>
  <si>
    <t>PRESTAR LOS SERVICIOS PROFESIONALES ESPECIALIZADOS PARA LA ESTRUCTURACIÓN, SEGUIMIENTO Y CONTROL TÉCNICO Y PRESUPUESTAL DE INICIATIVAS RELACIONADAS CON LA EJECUCIÓN DE PROYECTOS ESTRATÉGICOS Y
DE INVERSIÓN A CARGO DE LA VICEPRESIDENCIA FINANCIERA, BASADOS EN LA OPTIMIZACIÓN DE PROCEDIMIENTOS PARA LA GENERACIÓN DE SOLUCIONES FINANCIERAS ACORDES A LAS NECESIDADES DE LOS GRUPOS DE INCIDENCIA PARA LA OPTIMIZACIÓN DE LA ESTRUCTURA PASIVO Y DIVERSIFICACIÓN DE LAS FUENTES DE FONDEO.</t>
  </si>
  <si>
    <t>022</t>
  </si>
  <si>
    <t>PRESTACIÓN DE SERVICIOS DE APOYO TÉCNICO A LA GESTIÓN DE LA POLÍTICA DE COMPRAS PÚBLICAS Y DE CONTRATACIÓN EN EL MARCO DEL PROYECTO DENOMINADOFORTALECIMIENTO ORGANIZACIONAL DEL ICETEX</t>
  </si>
  <si>
    <t>023</t>
  </si>
  <si>
    <t>PRESTAR LOS SERVICIOS PROFESIONALES; PARA LA CONSTRUCCIÓN DE BASES HISTÓRICAS QUE PERMITAN LA EVALUACIÓN, SEGUIMIENTO Y ANÁLISIS DE LOS DIFERENTES COMPONENTES DE LOS MODELOS DE LOS SISTEMAS DE RIESGOS QUE SE ADMINISTRAN EN EL
ICETEX.</t>
  </si>
  <si>
    <t>024</t>
  </si>
  <si>
    <t>025</t>
  </si>
  <si>
    <t>026</t>
  </si>
  <si>
    <t>027</t>
  </si>
  <si>
    <t>028</t>
  </si>
  <si>
    <t>029</t>
  </si>
  <si>
    <t>030</t>
  </si>
  <si>
    <t>031</t>
  </si>
  <si>
    <t>032</t>
  </si>
  <si>
    <t>033</t>
  </si>
  <si>
    <t>034</t>
  </si>
  <si>
    <t>035</t>
  </si>
  <si>
    <t>036</t>
  </si>
  <si>
    <t>037</t>
  </si>
  <si>
    <t>038</t>
  </si>
  <si>
    <t>039</t>
  </si>
  <si>
    <t>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t>
  </si>
  <si>
    <t>040</t>
  </si>
  <si>
    <t>041</t>
  </si>
  <si>
    <t>042</t>
  </si>
  <si>
    <t>043</t>
  </si>
  <si>
    <t>044</t>
  </si>
  <si>
    <t>045</t>
  </si>
  <si>
    <t>046</t>
  </si>
  <si>
    <t>PRESTAR LOS SERVICIOS PROFESIONALES ESPECIALIZADOS
PARA ORIENTAR Y TRAMITAR LOS PROCESOS QUE EN MATERIA
DE CONTRATACIÓN POR PRESTACIÓN DE SERVICIOS REQUIERE
EL GRUPO DE CRÉDITO, ASÍ COMO REALIZAR SEGUIMIENTO Y
CONTROL DE LOS PROCESOS DEL SISTEMA DE GESTIÓN DE
CALIDAD.</t>
  </si>
  <si>
    <t>047</t>
  </si>
  <si>
    <t xml:space="preserve">PRESTAR SUS SERVICIOS PROFESIONALES ESPECIALIZADOS, APOYANDO LA GESTIÓN JURÍDICA DE LOS FONDOS A CARGO DE LA VICEPRESIDENCIA DE FONDOS EN ADMINISTRACIÓN; ASÍ COMO LOS TEMAS RELACIONADOS CON LOS PROCESOS DE CONTRATACIÓN A SU CARGO. 
</t>
  </si>
  <si>
    <t>048</t>
  </si>
  <si>
    <t>049</t>
  </si>
  <si>
    <t>050</t>
  </si>
  <si>
    <t>051</t>
  </si>
  <si>
    <t>IMC</t>
  </si>
  <si>
    <t>052</t>
  </si>
  <si>
    <t>SELECCIONAR UNA COMPAÑÍA DE SEGUROS PARA LA CONTRATACIÓN DE UN SEGURO QUE AMPARE A LOS EXTRANJEROS BENEFICIAROS DEL ICETEX EN TODO EL TERRITORIO NACIONAL, DESDE EL MOMENTO EN QUE INGRESAN AL PAÍS Y HASTA LA FECHA DE SALIDA HACIA SU PAÍS DE ORIGEN, FRENTE A TODOS LOS RIESGOS Y EVENTOS CUBIERTOS EN LA PÓLIZA</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</si>
  <si>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</si>
  <si>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</si>
  <si>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</si>
  <si>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</si>
  <si>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</si>
  <si>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</si>
  <si>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</si>
  <si>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</si>
  <si>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</si>
  <si>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</si>
  <si>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</si>
  <si>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</si>
  <si>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</si>
  <si>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</si>
  <si>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</si>
  <si>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</si>
  <si>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</si>
  <si>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</si>
  <si>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</si>
  <si>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</si>
  <si>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</si>
  <si>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</si>
  <si>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</si>
  <si>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</si>
  <si>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</si>
  <si>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</si>
  <si>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</si>
  <si>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</si>
  <si>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</si>
  <si>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</si>
  <si>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</si>
  <si>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</si>
  <si>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</si>
  <si>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</si>
  <si>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</si>
  <si>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</si>
  <si>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</si>
  <si>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</si>
  <si>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</si>
  <si>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</si>
  <si>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</si>
  <si>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</si>
  <si>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</si>
  <si>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</si>
  <si>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</si>
  <si>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</si>
  <si>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 xml:space="preserve">SUMINISTRO DE TIQUETES AÉREOS EN RUTAS NACIONALES E INTERNACIONALES PARA LOS FUNCIONARIOS Y CONTRATISTAS DEL ICETEX, CUANDO EL EJERCICIO DE SUS FUNCIONES U OBLIGACIONES ASÍ LO EXIJA Y SUMINISTRO DE TIQUETES AÉREOS EN RUTAS NACIONALES E INTERNACIONALES PARA LOS BENEFICIARIOS DE LOS PROGRAMAS DEL PORTAFOLIO INTERNACIONAL DEL ICETEX
</t>
  </si>
  <si>
    <t>099</t>
  </si>
  <si>
    <t>100</t>
  </si>
  <si>
    <t>101</t>
  </si>
  <si>
    <t>102</t>
  </si>
  <si>
    <t>103</t>
  </si>
  <si>
    <t>104</t>
  </si>
  <si>
    <t>105</t>
  </si>
  <si>
    <t>106</t>
  </si>
  <si>
    <t>107</t>
  </si>
  <si>
    <t>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t>
  </si>
  <si>
    <t>108</t>
  </si>
  <si>
    <t>109</t>
  </si>
  <si>
    <t>110</t>
  </si>
  <si>
    <t>111</t>
  </si>
  <si>
    <t>112</t>
  </si>
  <si>
    <t>113</t>
  </si>
  <si>
    <t>114</t>
  </si>
  <si>
    <t>115</t>
  </si>
  <si>
    <t>116</t>
  </si>
  <si>
    <t>117</t>
  </si>
  <si>
    <t>118</t>
  </si>
  <si>
    <t>119</t>
  </si>
  <si>
    <t>120</t>
  </si>
  <si>
    <t>121</t>
  </si>
  <si>
    <t xml:space="preserve">PRESTAR SUS SERVICIOS PROFESIONALES APOYANDO LAS ACTIVIDADES ADMINISTRATIVAS Y EL SEGUIMIENTO A LA EJECUCIÓN DE LAS METAS A CARGO LA VICEPRESIDENCIA DE FONDOS EN ADMINISTRACIÓN. 
</t>
  </si>
  <si>
    <t>122</t>
  </si>
  <si>
    <t>123</t>
  </si>
  <si>
    <t>124</t>
  </si>
  <si>
    <t>125</t>
  </si>
  <si>
    <t xml:space="preserve">PRESTAR SERVICIOS PROFESIONALES PARA EL SEGUIMIENTO, CONTROL Y MITIGACIÓN DE LA RADICACIÓN DE PQRSD Y REQUERIMIENTOS DE ENTES DE CONTROL Y CANAL SIC FACILITA: ANÁLISIS CAUSA RAÍZ. APOYO GESTIÓN DOCUMENTAL DEL CONTRATO 2023 - 0704; UT INTERVENTORÍA BOP 2023."
</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</si>
  <si>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</si>
  <si>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</si>
  <si>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</si>
  <si>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</si>
  <si>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</si>
  <si>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</si>
  <si>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</si>
  <si>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</si>
  <si>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</si>
  <si>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</si>
  <si>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</si>
  <si>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</si>
  <si>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</si>
  <si>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</si>
  <si>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</si>
  <si>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</si>
  <si>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</si>
  <si>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</si>
  <si>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</si>
  <si>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</si>
  <si>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</si>
  <si>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</si>
  <si>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</si>
  <si>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</si>
  <si>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</si>
  <si>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</si>
  <si>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</si>
  <si>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</si>
  <si>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</si>
  <si>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</si>
  <si>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</si>
  <si>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</si>
  <si>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</si>
  <si>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</si>
  <si>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</si>
  <si>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</si>
  <si>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</si>
  <si>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</si>
  <si>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</si>
  <si>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</si>
  <si>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</si>
  <si>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</si>
  <si>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</si>
  <si>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</si>
  <si>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</si>
  <si>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 xml:space="preserve">PRESTAR SUS SERVICIOS PROFESIONALES EN LA FORMULACIÓN, SEGUIMIENTO Y ACTUALIZACIÓN DE LAS ESTRATEGIAS QUE PERMITAN EL ÓPTIMO DESARROLLO DE LA OPERACIÓN, ASEGURANDO EL CUMPLIMIENTO DE LOS RESULTADOS ESPERADOS EN LOS PROCESOS A CARGO DE LA VICEPRESIDENCIA DE FONDOS EN ADMINISTRACIÓN, ALINEADOS CON EL SISTEMA INTEGRADO DE GESTIÓN Y CALIDAD DE LA ENTIDAD. 
</t>
  </si>
  <si>
    <t>171</t>
  </si>
  <si>
    <t>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</si>
  <si>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</si>
  <si>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</si>
  <si>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</si>
  <si>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</si>
  <si>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</si>
  <si>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</si>
  <si>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</si>
  <si>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</si>
  <si>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</si>
  <si>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</si>
  <si>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</si>
  <si>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</si>
  <si>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</si>
  <si>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</si>
  <si>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</si>
  <si>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</si>
  <si>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</si>
  <si>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</si>
  <si>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</si>
  <si>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</si>
  <si>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</si>
  <si>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</si>
  <si>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</si>
  <si>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</si>
  <si>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</si>
  <si>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</si>
  <si>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</si>
  <si>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</si>
  <si>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</si>
  <si>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</si>
  <si>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</si>
  <si>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</si>
  <si>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PRESTAR SERVICIOS PROFESIONALES ESPECIALIZADOS COMO ANALISTA TECNOLÓGICO PARA LA CONSTRUCCIÓN DE REQUERIMIENTOS, PROTOTIPOS, REALIZACIÓN DE PRUEBAS, SOPORTE FUNCIONAL Y TÉCNICO DE ACUERDO CON LO
REQUERIDO EN LAS ACTIVIDADES Y PROYECTOS QUE DESARROLLE O APOYE EL EQUIPO DE INNOVACIÓN DE LA ENTIDAD.</t>
  </si>
  <si>
    <t>204</t>
  </si>
  <si>
    <t>205</t>
  </si>
  <si>
    <t>206</t>
  </si>
  <si>
    <t>207</t>
  </si>
  <si>
    <t>PRESTAR LOS SERVICIOS PROFESIONALES PARA LA DOCUMENTACIÓN DE PROCESOS, TAREAS,OPERACIONES Y ACTIVIDADES RELACIONADOS CON LAS AUDITORÍAS, POLÍTICAS PÚBLICAS, GESTIÓN DEL RIESGO,GESTIÓN DEL CRÉDITO Y DEMÁS PLANES DE GESTIÓN Y AUTOCONTROL, DE CONFORMIDAD CON LOS REQUERIMIENTOS ORGANIZACIONALES Y NORMATIVOS DEL ICETEX</t>
  </si>
  <si>
    <t>208</t>
  </si>
  <si>
    <t xml:space="preserve">PRESTACIÓN DE SERVICIOS TÉCNICOS DE APOYO PARA EL TRÁMITE DE ACTIVIDADES ADMINISTRATIVAS PROPIAS DEL ICETEX </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</si>
  <si>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</si>
  <si>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</si>
  <si>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</si>
  <si>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</si>
  <si>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</si>
  <si>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</si>
  <si>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</si>
  <si>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</si>
  <si>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</si>
  <si>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</si>
  <si>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</si>
  <si>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</si>
  <si>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</si>
  <si>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</si>
  <si>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</si>
  <si>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</si>
  <si>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</si>
  <si>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</si>
  <si>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</si>
  <si>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</si>
  <si>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</si>
  <si>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</si>
  <si>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</si>
  <si>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</si>
  <si>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</si>
  <si>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</si>
  <si>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</si>
  <si>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</si>
  <si>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</si>
  <si>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</si>
  <si>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</si>
  <si>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</si>
  <si>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</si>
  <si>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</si>
  <si>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PRESTAR LOS SERVICIOS PROFESIONALES ESPECIALIZADOS GENERAR CONTENIDOS GRÁFICOS PARA LA DIVULGACIÓN DE LA GESTIÓN E INFORMACIÓN DE LA ENTIDAD, DE ACUERDO A LOS LINEAMIENTOS DE LA OFICINA ASESORA DE COMUNICACIONES.</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</si>
  <si>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</si>
  <si>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</si>
  <si>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</si>
  <si>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</si>
  <si>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</si>
  <si>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</si>
  <si>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</si>
  <si>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</si>
  <si>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</si>
  <si>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</si>
  <si>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</si>
  <si>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</si>
  <si>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</si>
  <si>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</si>
  <si>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</si>
  <si>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</si>
  <si>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</si>
  <si>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</si>
  <si>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</si>
  <si>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</si>
  <si>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</si>
  <si>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</si>
  <si>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</si>
  <si>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</si>
  <si>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</si>
  <si>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</si>
  <si>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</si>
  <si>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</si>
  <si>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</si>
  <si>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</si>
  <si>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</si>
  <si>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</si>
  <si>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</si>
  <si>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</si>
  <si>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</si>
  <si>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</si>
  <si>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</si>
  <si>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</si>
  <si>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</si>
  <si>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</si>
  <si>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</si>
  <si>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 xml:space="preserve">
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t>
  </si>
  <si>
    <t>284</t>
  </si>
  <si>
    <t>285</t>
  </si>
  <si>
    <t>286</t>
  </si>
  <si>
    <t>287</t>
  </si>
  <si>
    <t>288</t>
  </si>
  <si>
    <t>289</t>
  </si>
  <si>
    <t>290</t>
  </si>
  <si>
    <t>291</t>
  </si>
  <si>
    <t>292</t>
  </si>
  <si>
    <t>293</t>
  </si>
  <si>
    <t>294</t>
  </si>
  <si>
    <t>295</t>
  </si>
  <si>
    <t>296</t>
  </si>
  <si>
    <t>297</t>
  </si>
  <si>
    <t>298</t>
  </si>
  <si>
    <t>299</t>
  </si>
  <si>
    <t>300</t>
  </si>
  <si>
    <t>301</t>
  </si>
  <si>
    <t xml:space="preserve">PRESTAR SUS SERVICIOS DE APOYO TÉCNICO EN LOS TEMAS OPERATIVOS RELACIONADOS CON LA ADMINISTRACIÓN DE CONVENIOS, CONTRATOS, FONDOS, ALIANZAS Y/O PROYECTOS A CARGO LA VICEPRESIDENCIA DE FONDOS EN ADMINISTRACIÓN.
</t>
  </si>
  <si>
    <t>302</t>
  </si>
  <si>
    <t xml:space="preserve">PRESTAR LOS SERVICIOS TÉCNICOS EN LA ATENCIÓN DE PQRS Y REQUERIMIENTOS INTERNOS Y EXTERNOS CORRESPONDIENTES AL GRUPO DE CRÉDITO A CARGO DE LA VICEPRESIDENCIA DE CRÉDITO Y COBRANZA. 
</t>
  </si>
  <si>
    <t>303</t>
  </si>
  <si>
    <t>304</t>
  </si>
  <si>
    <t>305</t>
  </si>
  <si>
    <t>306</t>
  </si>
  <si>
    <t>307</t>
  </si>
  <si>
    <t>308</t>
  </si>
  <si>
    <t>309</t>
  </si>
  <si>
    <t>310</t>
  </si>
  <si>
    <t>311</t>
  </si>
  <si>
    <t>312</t>
  </si>
  <si>
    <t>313</t>
  </si>
  <si>
    <t>314</t>
  </si>
  <si>
    <t>315</t>
  </si>
  <si>
    <t>PRESTAR SERVICIOS PROFESIONALES ESPECIALIZADOS PARA EFECTUAR ANÁLISIS DE CONTEXTO, MERCADO, Y SOPORTE PARA ELABORACIÓN DE ESTUDIOS TÉCNICOS EN EL PROCESO DE FORMULACIÓN DE INICIATIVAS Y PROYECTOS QUE
DESDE EL EQUIPO DE INNOVACIÓN SE LIDEREN O CUANDO SE APOYE TRANSVERSALMENTE PROYECTOS CON COMPONENTES DE INNOVACIÓN.</t>
  </si>
  <si>
    <t>316</t>
  </si>
  <si>
    <t>317</t>
  </si>
  <si>
    <t>318</t>
  </si>
  <si>
    <t>319</t>
  </si>
  <si>
    <t>320</t>
  </si>
  <si>
    <t>321</t>
  </si>
  <si>
    <t>322</t>
  </si>
  <si>
    <t>323</t>
  </si>
  <si>
    <t>324</t>
  </si>
  <si>
    <t>325</t>
  </si>
  <si>
    <t>326</t>
  </si>
  <si>
    <t>327</t>
  </si>
  <si>
    <t>328</t>
  </si>
  <si>
    <t>329</t>
  </si>
  <si>
    <t>330</t>
  </si>
  <si>
    <t>331</t>
  </si>
  <si>
    <t>332</t>
  </si>
  <si>
    <t>333</t>
  </si>
  <si>
    <t>334</t>
  </si>
  <si>
    <t>335</t>
  </si>
  <si>
    <t>336</t>
  </si>
  <si>
    <t>337</t>
  </si>
  <si>
    <t>PRESTAR LOS SERVICIOS PROFESIONALES PLANIFICAR Y DESARROLLAR CONTENIDOS E INSUMOS PARA LA IMPLEMENTACIÓN DE ESTRATEGIAS DE COMUNICACIÓN INTERNA DE LA ENTIDAD EN ARTICULACIÓN CON LAS DIFERENTES DEPENDENCIAS INVOLUCRADAS, DE ACUERDO A LOS LINEAMIENTOS DE LA OFICINA ASESORA DE
COMUNICACIONES</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</si>
  <si>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</si>
  <si>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</si>
  <si>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</si>
  <si>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</si>
  <si>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</si>
  <si>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</si>
  <si>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</si>
  <si>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</si>
  <si>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</si>
  <si>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</si>
  <si>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</si>
  <si>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</si>
  <si>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</si>
  <si>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</si>
  <si>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</si>
  <si>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</si>
  <si>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</si>
  <si>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</si>
  <si>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</si>
  <si>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</si>
  <si>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</si>
  <si>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</si>
  <si>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</si>
  <si>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</si>
  <si>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</si>
  <si>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</si>
  <si>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</si>
  <si>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</si>
  <si>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</si>
  <si>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</si>
  <si>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</si>
  <si>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</si>
  <si>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</si>
  <si>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</si>
  <si>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</si>
  <si>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</si>
  <si>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</si>
  <si>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</si>
  <si>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</si>
  <si>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</si>
  <si>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</si>
  <si>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</si>
  <si>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</si>
  <si>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</si>
  <si>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</si>
  <si>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</si>
  <si>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</si>
  <si>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</si>
  <si>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</si>
  <si>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</si>
  <si>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</si>
  <si>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</si>
  <si>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</si>
  <si>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</si>
  <si>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</si>
  <si>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</si>
  <si>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</si>
  <si>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PRESTAR LOS SERVICIOS PROFESIONALES PARA LA IMPLEMENTACIÓN Y ESTABILIZACIÓN DE LOS SISTEMAS DE INFORMACIÓN CONTABLE Y TRIBUTARIA COMO PARTE DEL MODELO DE GESTIÓN Y DE CONTROL EN EL MARCO DE INICIATIVAS DE SIMPLIFICACIÓN Y AUTOMATIZACIÓN DE PROCESOS DE LA DIRECCIÓN DE CONTABILIDAD Y DEL PROYECTO DE INVERSIÓN BANCA ABIERTA Y
TRANSPARENTE E INHOUSE BANKING</t>
  </si>
  <si>
    <t>395</t>
  </si>
  <si>
    <t>396</t>
  </si>
  <si>
    <t>PRESTAR LOS SERVICIOS PROFESIONALES PARA LA OPTIMIZACIÓN
DEL PROCESO DE PARAMETRIZACIÓN DE TERCEROS Y LA SISTEMATIZACIÓN DE DATOS, PARA FORTALECER EL ANÁLISIS Y PROCESAMIENTO DE INFORMACIÓN CONTABLE Y LA ACTUALIZACIÓN NORMATIVA APLICABLE AL INSTITUTO, CON EL FIN DE OPTIMIZAR EL PROCESO DE PRESENTACIÓN DE INFORMACIÓN EXÓGENA,
DECLARACIONES TRIBUTARIAS Y DEMÁS OBLIGACIONES A CARGO DE ICETEX.</t>
  </si>
  <si>
    <t>397</t>
  </si>
  <si>
    <t>PRESTAR LOS SERVICIOS PROFESIONALES PARA LA GENERACIÓN DE
CONTENIDO GRÁFICO, ANIMANDO Y MULTIMEDIA RELACIONADO CON LA GESTIÓN E INFORMACIÓN DE LA ENTIDAD DE ACUERDO CON LOS LINEAMIENTOS DE LA OFICINA ASESORA DE COMUNICACIONES</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</si>
  <si>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</si>
  <si>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</si>
  <si>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</si>
  <si>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</si>
  <si>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</si>
  <si>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</si>
  <si>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</si>
  <si>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</si>
  <si>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</si>
  <si>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</si>
  <si>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</si>
  <si>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</si>
  <si>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</si>
  <si>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</si>
  <si>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</si>
  <si>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</si>
  <si>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</si>
  <si>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</si>
  <si>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</si>
  <si>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</si>
  <si>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</si>
  <si>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</si>
  <si>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</si>
  <si>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</si>
  <si>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</si>
  <si>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</si>
  <si>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</si>
  <si>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</si>
  <si>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</si>
  <si>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</si>
  <si>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</si>
  <si>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</si>
  <si>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</si>
  <si>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</si>
  <si>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</si>
  <si>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</si>
  <si>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</si>
  <si>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</si>
  <si>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</si>
  <si>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</si>
  <si>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</si>
  <si>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</si>
  <si>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</si>
  <si>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</si>
  <si>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</si>
  <si>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OBJETO: 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</si>
  <si>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</si>
  <si>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</si>
  <si>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</si>
  <si>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</si>
  <si>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</si>
  <si>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</si>
  <si>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</si>
  <si>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</si>
  <si>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</si>
  <si>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</si>
  <si>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</si>
  <si>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</si>
  <si>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</si>
  <si>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</si>
  <si>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</si>
  <si>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</si>
  <si>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</si>
  <si>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</si>
  <si>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</si>
  <si>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</si>
  <si>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</si>
  <si>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</si>
  <si>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</si>
  <si>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</si>
  <si>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</si>
  <si>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</si>
  <si>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</si>
  <si>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</si>
  <si>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</si>
  <si>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PRESTAR SERVICIOS PROFESIONALES PARA LA GESTIÓN DE ALIANZAS EN EL MARCO DEL DESARROLLO DEL PLAN ESTRATÉGICO DE LA ENTIDAD Y LA "POLÍTICA DE GUÍA, INFORMACIÓN Y ACOMPAÑAMIENTO</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</si>
  <si>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</si>
  <si>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</si>
  <si>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</si>
  <si>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</si>
  <si>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</si>
  <si>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</si>
  <si>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</si>
  <si>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</si>
  <si>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</si>
  <si>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</si>
  <si>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</si>
  <si>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</si>
  <si>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</si>
  <si>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</si>
  <si>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</si>
  <si>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</si>
  <si>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</si>
  <si>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</si>
  <si>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</si>
  <si>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</si>
  <si>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</si>
  <si>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</si>
  <si>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</si>
  <si>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</si>
  <si>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</si>
  <si>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</si>
  <si>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</si>
  <si>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</si>
  <si>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</si>
  <si>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</si>
  <si>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</si>
  <si>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</si>
  <si>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</si>
  <si>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</si>
  <si>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</si>
  <si>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</si>
  <si>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</si>
  <si>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</si>
  <si>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</si>
  <si>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</si>
  <si>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</si>
  <si>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</si>
  <si>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APOYO EN LA GESTIÓN DE ASEGURAMIENTO DE PROYECTOS DE INNOVACIÓN DE LA ENTIDAD Y EN GENERAL DE TODOS LOS REQUERIMIENTOS DE PROCESOS EN LA VERIFICACIÓN DE RIESGOS, GESTIÓN DE CAMBIO Y GESTIÓN DE PROYECTOS DE LA ENTIDAD, DE IGUAL FORMA DE APOYO A LOS REQUERIMIENTOS QUE SE SOLICITEN DE LOS SISTEMAS DE RIESGOS.</t>
  </si>
  <si>
    <t>514</t>
  </si>
  <si>
    <t>515</t>
  </si>
  <si>
    <t>516</t>
  </si>
  <si>
    <t>517</t>
  </si>
  <si>
    <t>518</t>
  </si>
  <si>
    <t>519</t>
  </si>
  <si>
    <t>520</t>
  </si>
  <si>
    <t>521</t>
  </si>
  <si>
    <t>522</t>
  </si>
  <si>
    <t>523</t>
  </si>
  <si>
    <t>524</t>
  </si>
  <si>
    <t>525</t>
  </si>
  <si>
    <t>526</t>
  </si>
  <si>
    <t>527</t>
  </si>
  <si>
    <t>528</t>
  </si>
  <si>
    <t>529</t>
  </si>
  <si>
    <t>530</t>
  </si>
  <si>
    <t>531</t>
  </si>
  <si>
    <t>532</t>
  </si>
  <si>
    <t>533</t>
  </si>
  <si>
    <t>PRESTAR LOS SERVICIOS PROFESIONALES PARA APOYAR Y DESARROLLAR LAS ACTIVIDADES INHERENTES A LOS PROGRAMAS PARA COLOMBIANOS DEL PORTAFOLIO INTERNACIONAL QUE CONTRIBUYAN AL FORTALECIMIENTO DE LA POLÍTICA DE COOPERACIÓN ACADÉMICA INTERNACIONAL E INTERINSTITUCIONAL DEL ICETEX</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</si>
  <si>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</si>
  <si>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</si>
  <si>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</si>
  <si>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</si>
  <si>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</si>
  <si>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</si>
  <si>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</si>
  <si>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</si>
  <si>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</si>
  <si>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</si>
  <si>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</si>
  <si>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</si>
  <si>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</si>
  <si>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</si>
  <si>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</si>
  <si>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</si>
  <si>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</si>
  <si>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</si>
  <si>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</si>
  <si>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</si>
  <si>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</si>
  <si>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</si>
  <si>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</si>
  <si>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</si>
  <si>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</si>
  <si>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</si>
  <si>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</si>
  <si>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</si>
  <si>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</si>
  <si>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</si>
  <si>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</si>
  <si>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</si>
  <si>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</si>
  <si>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</si>
  <si>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</si>
  <si>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</si>
  <si>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 xml:space="preserve">PRESTAR LOS SERVICIOS PROFESIONALES PARA APOYAR A LA VICEPRESIDENCIA DE OPERACIÓN Y TECNOLOGÍA EN LA DEFINICIÓN, ARTICULACIÓN, DISEÑO E IMPLEMENTACIÓN DE LOS SERVICIOS DE INTEROPERABILIDAD, SIGUIENDO LOS LINEAMIENTOS ESTABLECIDOS POR MINTIC Y EL ICETEX PARA LA INTEGRACIÓN CON LOS SISTEMAS INTERNOS Y LAS ENTIDADES EXTERNAS GARANTIZANDO LA OPERACIÓN DE LOS PROCESOS MISIONALES Y NO MISIONALES.
</t>
  </si>
  <si>
    <t>570</t>
  </si>
  <si>
    <t>571</t>
  </si>
  <si>
    <t>572</t>
  </si>
  <si>
    <t>573</t>
  </si>
  <si>
    <t>574</t>
  </si>
  <si>
    <t>575</t>
  </si>
  <si>
    <t>576</t>
  </si>
  <si>
    <t>577</t>
  </si>
  <si>
    <t>578</t>
  </si>
  <si>
    <t>579</t>
  </si>
  <si>
    <t>580</t>
  </si>
  <si>
    <t>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t>
  </si>
  <si>
    <t>581</t>
  </si>
  <si>
    <t>: PRESTAR SUS SERVICIOS PROFESIONALES PARA LA ATENCIÓN DE PQRSD, CONDONACIONES Y DEMÁS TRÁMITES RELACIONADOS A CARGO DE LA VICEPRESIDENCIA DE FONDOS EN ADMINISTRACIÓN</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</si>
  <si>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</si>
  <si>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</si>
  <si>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</si>
  <si>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</si>
  <si>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</si>
  <si>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</si>
  <si>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</si>
  <si>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</si>
  <si>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</si>
  <si>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</si>
  <si>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</si>
  <si>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</si>
  <si>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</si>
  <si>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</si>
  <si>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</si>
  <si>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</si>
  <si>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</si>
  <si>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</si>
  <si>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</si>
  <si>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</si>
  <si>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</si>
  <si>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</si>
  <si>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</si>
  <si>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</si>
  <si>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</si>
  <si>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</si>
  <si>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</si>
  <si>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</si>
  <si>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</si>
  <si>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</si>
  <si>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</si>
  <si>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</si>
  <si>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</si>
  <si>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</si>
  <si>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</si>
  <si>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</si>
  <si>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</si>
  <si>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</si>
  <si>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</si>
  <si>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</si>
  <si>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</si>
  <si>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</si>
  <si>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</si>
  <si>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</si>
  <si>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</si>
  <si>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</si>
  <si>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</si>
  <si>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</si>
  <si>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</si>
  <si>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</si>
  <si>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</si>
  <si>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</si>
  <si>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</si>
  <si>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</si>
  <si>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 xml:space="preserve">PRESTAR SUS SERVICIOS PROFESIONALES PARA LA ATENCIÓN DE PQRSD, CONDONACIONES Y DEMÁS TRÁMITES RELACIONADOS A CARGO DE LA VICEPRESIDENCIA DE FONDOS EN ADMINISTRACIÓN.
</t>
  </si>
  <si>
    <t>636</t>
  </si>
  <si>
    <t>637</t>
  </si>
  <si>
    <t>638</t>
  </si>
  <si>
    <t>639</t>
  </si>
  <si>
    <t>640</t>
  </si>
  <si>
    <t>641</t>
  </si>
  <si>
    <t>642</t>
  </si>
  <si>
    <t>643</t>
  </si>
  <si>
    <t>644</t>
  </si>
  <si>
    <t>645</t>
  </si>
  <si>
    <t>646</t>
  </si>
  <si>
    <t>647</t>
  </si>
  <si>
    <t>648</t>
  </si>
  <si>
    <t>649</t>
  </si>
  <si>
    <t>650</t>
  </si>
  <si>
    <t>PRESTACIÓN DE SERVICIOS PROFESIONALES ESPECIALIZADOS EN LA ADMINISTRACIÓN DE PROYECTOS, CORRECCIÓN DE PROBLEMAS DE CONFIABILIDAD, SEGUIMIENTO DEL PROGRESO, ADMINISTRACIÓN DE
RECURSOS Y EJECUCIÓN DE LOS PROCESOS EN EL ICETEX.</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</si>
  <si>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</si>
  <si>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</si>
  <si>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</si>
  <si>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</si>
  <si>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</si>
  <si>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</si>
  <si>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</si>
  <si>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</si>
  <si>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</si>
  <si>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</si>
  <si>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</si>
  <si>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</si>
  <si>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</si>
  <si>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</si>
  <si>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</si>
  <si>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</si>
  <si>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</si>
  <si>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</si>
  <si>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</si>
  <si>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</si>
  <si>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</si>
  <si>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</si>
  <si>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</si>
  <si>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</si>
  <si>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</si>
  <si>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PRESTAR LOS SERVICIOS PROFESIONALES A LA OFICINA DE RELACIONES INTERNACIONALES PARA REALIZAR APOYO TÉCNICO, ESTRATÉGICO Y DE SEGUIMIENTO A LOS PROGRAMAS ESPECIALES DE COOPERACIÓN INTERNACIONAL EN EL MARCO DE LA POLÍTICA DE COOPERACIÓN ACADÉMICA INTERNACIONAL E
INTERINSTITUCIONAL DEL ICETEX.</t>
  </si>
  <si>
    <t>676</t>
  </si>
  <si>
    <t>677</t>
  </si>
  <si>
    <t>678</t>
  </si>
  <si>
    <t>679</t>
  </si>
  <si>
    <t>680</t>
  </si>
  <si>
    <t>681</t>
  </si>
  <si>
    <t>682</t>
  </si>
  <si>
    <t>683</t>
  </si>
  <si>
    <t>684</t>
  </si>
  <si>
    <t>685</t>
  </si>
  <si>
    <t>686</t>
  </si>
  <si>
    <t>687</t>
  </si>
  <si>
    <t>688</t>
  </si>
  <si>
    <t>689</t>
  </si>
  <si>
    <t>690</t>
  </si>
  <si>
    <t>691</t>
  </si>
  <si>
    <t>692</t>
  </si>
  <si>
    <t>693</t>
  </si>
  <si>
    <t>IS</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</si>
  <si>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</si>
  <si>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</si>
  <si>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</si>
  <si>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</si>
  <si>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</si>
  <si>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</si>
  <si>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</si>
  <si>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</si>
  <si>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</si>
  <si>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</si>
  <si>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</si>
  <si>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</si>
  <si>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</si>
  <si>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</si>
  <si>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</si>
  <si>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</si>
  <si>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</si>
  <si>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</si>
  <si>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</si>
  <si>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</si>
  <si>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</si>
  <si>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</si>
  <si>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</si>
  <si>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</si>
  <si>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</si>
  <si>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</si>
  <si>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</si>
  <si>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</si>
  <si>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</si>
  <si>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</si>
  <si>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</si>
  <si>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</si>
  <si>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</si>
  <si>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</si>
  <si>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</si>
  <si>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</si>
  <si>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</si>
  <si>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IP</t>
  </si>
  <si>
    <t>731</t>
  </si>
  <si>
    <t>732</t>
  </si>
  <si>
    <t>733</t>
  </si>
  <si>
    <t>ACUERDOS ESTRATEGICOS</t>
  </si>
  <si>
    <t>734</t>
  </si>
  <si>
    <t>PRESTACIÓN DE SERVICIOS PROFESIONALES PARA LA EDICIÓN DE
CONTENIDOS AUDIOVISUALES GESTIONADOS POR LA OFICINA
ASESORA DE COMUNICACIONES.</t>
  </si>
  <si>
    <t>735</t>
  </si>
  <si>
    <t>736</t>
  </si>
  <si>
    <t>737</t>
  </si>
  <si>
    <t>738</t>
  </si>
  <si>
    <t>739</t>
  </si>
  <si>
    <t>PRESTAR EL SERVICIO PERMANENTE DE MONITOREO, CLASIFICACIÓN, ANÁLISIS Y SEGUIMIENTO DE LAS NOTICIAS Y MENCIONES DEL ICETEX QUE SE PUBLICAN EN LOS MEDIOS DE COMUNICACIÓN A NIVEL NACIONAL Y REGIONAL (ESCRITOS, DIGITALES, TELEVISIVOS Y RADIALES), ASÍ COMO EN REDES SOCIALES</t>
  </si>
  <si>
    <t>740</t>
  </si>
  <si>
    <t>741</t>
  </si>
  <si>
    <t>742</t>
  </si>
  <si>
    <t>743</t>
  </si>
  <si>
    <t>744</t>
  </si>
  <si>
    <t>745</t>
  </si>
  <si>
    <t>746</t>
  </si>
  <si>
    <t>CONTRATAR LA PRESTACIÓN DE SERVICIOS PROFESIONALES ESPECIALIZADOS DE REVISORÍA FISCAL PARA EL PERIODO 2024-2026 DEL ICETEX</t>
  </si>
  <si>
    <t>747</t>
  </si>
  <si>
    <t>748</t>
  </si>
  <si>
    <t>749</t>
  </si>
  <si>
    <t>750</t>
  </si>
  <si>
    <t>751</t>
  </si>
  <si>
    <t>752</t>
  </si>
  <si>
    <t xml:space="preserve">PRESTAR SUS SERVICIOS PROFESIONALES ESPECIALIZADOS BRINDANDO ACOMPAÑAMIENTO INTEGRAL EN LA GESTIÓN, ADMINISTRACIÓN, SEGUIMIENTO Y CONTROL DE LOS CONVENIOS, CONTRATOS, FONDOS, ALIANZAS Y/O PROYECTOS A CARGO DE LA VICEPRESIDENCIA DE FONDOS EN ADMINISTRACIÓN CONFORME CON LOS PROCEDIMIENTOS ESTABLECIDOS POR EL ICETEX
</t>
  </si>
  <si>
    <t>753</t>
  </si>
  <si>
    <t>754</t>
  </si>
  <si>
    <t>PRESTAR LOS SERVICIOS ESPECIALIZADOS PARA LA INVESTIGACIÓN DE BIENES DE LOS DEUDORES PRINCIPALES Y SOLIDARIOS DE LAS OBLIGACIONES OBJETO DE JUDICIALIZACIÓN, ASÍ COMO A LOS DEUDORES DENTRO DE LOS PROCESOS DE COBRO COACTIVO DEL ICETEX.</t>
  </si>
  <si>
    <t>755</t>
  </si>
  <si>
    <t>756</t>
  </si>
  <si>
    <t>757</t>
  </si>
  <si>
    <t>758</t>
  </si>
  <si>
    <t>759</t>
  </si>
  <si>
    <t>760</t>
  </si>
  <si>
    <t>761</t>
  </si>
  <si>
    <t>762</t>
  </si>
  <si>
    <t xml:space="preserve">PRESTAR LOS SERVICIOS PROFESIONALES ESPECIALIZADOS EN LA ARTICULACIÓN CON DIFERENTES ACTORES Y ACOMPAÑAMIENTO DE LAS ACTIVIDADES QUE REALIZA EL PRESIDENTE DE LA ENTIDAD, ASÍ COMO LA REVISIÓN DE LOS DOCUMENTOS.
</t>
  </si>
  <si>
    <t>763</t>
  </si>
  <si>
    <t>764</t>
  </si>
  <si>
    <t>765</t>
  </si>
  <si>
    <t>766</t>
  </si>
  <si>
    <t>767</t>
  </si>
  <si>
    <t>768</t>
  </si>
  <si>
    <t>769</t>
  </si>
  <si>
    <t>770</t>
  </si>
  <si>
    <t>771</t>
  </si>
  <si>
    <t>772</t>
  </si>
  <si>
    <t>PRESTAR LOS SERVICIOS ESPECIALIZADOS PARA SUMINISTRAR LA INFORMACIÓN DEL VALOR DEL SALARIO DE NUESTROS USUARIOS.</t>
  </si>
  <si>
    <t>773</t>
  </si>
  <si>
    <t>PRESTAR SERVICIOS DE MEDICINA PREVENTIVA Y DEL TRABAJO Y OTROS COMPLEMENTARIOS PARA LOS FUNCIONARIOS DEL INSTITUTO COLOMBIANO DE CRÉDITO EDUCATIVO Y ESTUDIOS TÉCNICOS EN EL EXTERIOR - ICETEX A NIVEL NACIONAL</t>
  </si>
  <si>
    <t>774</t>
  </si>
  <si>
    <t>775</t>
  </si>
  <si>
    <t>776</t>
  </si>
  <si>
    <t>777</t>
  </si>
  <si>
    <t>778</t>
  </si>
  <si>
    <t>779</t>
  </si>
  <si>
    <t>PRESTAR LOS SERVICIOS ESPECIALIZADOS PARA FORTALECER LA CONTABILIDAD DE LOS USUARIOS DE LA ENTIDAD.</t>
  </si>
  <si>
    <t>780</t>
  </si>
  <si>
    <t>781</t>
  </si>
  <si>
    <t>782</t>
  </si>
  <si>
    <t>783</t>
  </si>
  <si>
    <t>784</t>
  </si>
  <si>
    <t>785</t>
  </si>
  <si>
    <t>CONTRATAR LOS SERVICIOS PARA LA EJECUCIÓN DE LAS ACTIVIDADES ENMARCADAS O DESCRITAS EN EL PLAN DE BIENESTAR DEL ICETEX.</t>
  </si>
  <si>
    <t>786</t>
  </si>
  <si>
    <t>PRESTAR LOS SERVICIOS PROFESIONALES ESPECIALIZADOS A LA SECRETARÍA GENERAL PARA GESTIONAR Y ACOMPAÑAR EL SEGUIMIENTO Y CONTROL A LA ACTIVIDAD CONTABLE, FINANCIERA, PRESUPUESTAL DE LAS ÁREAS DE LA DEPENDENCIA, ASÍ COMO PRESTAR APOYO FINANCIERO A LA SUPERVISIÓN DE LA INTERVENTORÍA DEL CONTRATO 2023-0704.</t>
  </si>
  <si>
    <t>787</t>
  </si>
  <si>
    <t>788</t>
  </si>
  <si>
    <t>SOPORTE INTEGRAL ESPECIALIZADO PARA LA PLATAFORMA DE CONTENEDORES Y BUS DE SERVICIOS DEL ICETEX.</t>
  </si>
  <si>
    <t>789</t>
  </si>
  <si>
    <t>790</t>
  </si>
  <si>
    <t>EL OBJETO DEL PRESENTE CONVENIO ES LA PRESTACIÓN DEL SERVICIO DE RECAUDO POR PARTE DE EL BANCO DE LOS PAGOS EFECTUADOS AL ICETEX POR PARTE DE SUS USUARIOS, PARA POSTERIORMENTE ABONAR DICHOS RECAUDOS A CUENTAS DE DEPÓSITO DE ICETEX EN EL BANCO PREVIAMENTE ACORDADA EN LA SOLICITUD DE AFILIACIÓN, PAGOS QUE SE PODRÁN EFECTUAR EN EFECTIVO O EN CHEQUE. PARA USUARIOS DEL ICETEX QUE A SU VEZ SEAN CLIENTES DE EL BANCO, EN ADELANTE CLIENTES COMUNES SE ENTENDERÁN COMO MEDIOS DE PAGO, ADEMÁS DE LOS ANTERIORES, EL DÉBITO A CUENTA CORRIENTE O DE AHORROS, EL CARGO A UNA TARJETA DE CRÉDITO EMITIDA POR EL BANCO O CUALQUIER OTRA FACILIDAD DE CRÉDITO O SERVICIO ADICIONAL OFRECIDO POR EL BANCO A DICHOS CLIENTES COMUNES, EL BANCO SE RESERVA EL DERECHO DE DEFINIR E IMPLEMENTAR MEDIOS DE PAGO, SEGÚN LA MODALIDAD DE RECAUDO, LO CUAL LE SERÁ INFORMADO POR ESCRITO AL ICETEX.</t>
  </si>
  <si>
    <t>791</t>
  </si>
  <si>
    <t>792</t>
  </si>
  <si>
    <t>RENOVAR LA AFILIACIÓN DEL ICETEX A LA ORGANIZACIÓN GS1 PARA DAR CONTINUIDAD EN EL USO DEL PREFIJO DE ÚNICO OTORGADO A LA ENTIDAD, LO ANTERIOR CON EL FIN DE UTILIZAR LOS CÓDIGOS DE BARRAS REQUERIDOS POR LA ENTIDAD.</t>
  </si>
  <si>
    <t>793</t>
  </si>
  <si>
    <t>794</t>
  </si>
  <si>
    <t>PRESTAR SERVICIOS PROFESIONALES ESPECIALIZADOS CON EL FIN DE RESPALDAR LAS FUNCIONES DE GRUPO DE GESTIÓN ESTRATÉGICA DE PQRSD O DEL QUE HAGA SUS VECES, CON ÉNFASIS EN EL APOYO A LA SUPERVISIÓN DEL CONTRATO 2023-0704 DE LA UT INTERVENTORÍA BPO 2023, HACIENDO SEGUIMIENTO EN LA GESTIÓN INTEGRAL REQUERIDA PARA EL CUMPLIMIENTO Y EL ADECUADO DESARROLLO DEL OBJETO CONTRACTUAL.</t>
  </si>
  <si>
    <t>795</t>
  </si>
  <si>
    <t>PRESTAR SUS SERVICIOS PROFESIONALES APOYANDO LAS ACTIVIDADES ADMINISTRATIVAS, OPERATIVAS, F INANCIERAS RELACIONADAS CON LOS FONDOS, CONVENIOS, CONTRATOS, ALIANZAS Y/O PROYECTOS ADMINISTRADOS POR LA VICEPRESIDENCIA DE FONDOS EN ADMINISTRACIÓN CONFORME LOS PROCEDIMIENTOS ESTABLECIDOS POR EL ICETEX.</t>
  </si>
  <si>
    <t>796</t>
  </si>
  <si>
    <t>797</t>
  </si>
  <si>
    <t>798</t>
  </si>
  <si>
    <t>PRESTAR LOS SERVICIOS PROFESIONALES PARA APOYAR A LA OFICINA DE RELACIONES INTERNACIONALES DEL ICETEX EN EL DISEÑO, DESARROLLO, ARTICULACIÓN Y SEGUIMIENTO ASOCIADO AL PROCESO DE PUESTA EN MARCHA DEL SISTEMA NACIONAL DE INFORMACIÓN DE BECAS Y CRÉDITOS EDUCATIVOS-SNIBCE.</t>
  </si>
  <si>
    <t>799</t>
  </si>
  <si>
    <t>PRESTACIÓN DE SERVICIOS PROFESIONALES ESPECIALIZADOS PARA LA GESTIÓN DE SERVICIOS DE TECNOLOGÍAS DE LA INFORMACIÓN DE LA DIRECCIÓN DE TECNOLOGÍA DE LA VICEPRESIDENCIA DE OPERACIONES Y TECNOLOGÍA DEL ICETEX.</t>
  </si>
  <si>
    <t>800</t>
  </si>
  <si>
    <t>801</t>
  </si>
  <si>
    <t>802</t>
  </si>
  <si>
    <t>803</t>
  </si>
  <si>
    <t>804</t>
  </si>
  <si>
    <t>805</t>
  </si>
  <si>
    <t>806</t>
  </si>
  <si>
    <t>807</t>
  </si>
  <si>
    <t>CONTRATAR LA ADQUISICIÓN DE MOBILIARIO PARA LAS SEDES
ICETEX A NIVEL NACIONAL.</t>
  </si>
  <si>
    <t>808</t>
  </si>
  <si>
    <t>PRESTACIÓN DE SERVICIOS PROFESIONALES COMO ABOGADO PARA APOYAR EL DESARROLLO Y SEGUIMIENTO DE LA ACTIVIDAD CONTRACTUAL EN EL MARCO DEL PROYECTO DE FORTALECIMIENTO ORGANIZACIONAL Y LA IMPLEMENTACIÓN DE LA POLÍTICA DE COMPRAS PÚBLICAS Y DE CONTRATACIÓN DEL ICETEX.</t>
  </si>
  <si>
    <t>809</t>
  </si>
  <si>
    <t>810</t>
  </si>
  <si>
    <t>811</t>
  </si>
  <si>
    <t>812</t>
  </si>
  <si>
    <t>813</t>
  </si>
  <si>
    <t>814</t>
  </si>
  <si>
    <t>815</t>
  </si>
  <si>
    <t>816</t>
  </si>
  <si>
    <t>CONTRATAR LA PRESTACIÓN DEL SERVICIO DE CAPACITACIÓN PARA ADQUIRIR CONOCIMIENTOS, CAPACIDAD TÉCNICA Y EL ENTRENAMIENTO ADECUADO EN ASPECTOS DE PRIMEROS AUXILIOS, COMBATE Y CONTROL DE INCENDIOS, EVACUACIÓN RESCATE Y SALVAMENTO</t>
  </si>
  <si>
    <t>817</t>
  </si>
  <si>
    <t>818</t>
  </si>
  <si>
    <t>819</t>
  </si>
  <si>
    <t xml:space="preserve">PRESTAR SUS SERVICIOS PROFESIONALES ORIENTANDO LAS ACTIVIDADES RELACIONADAS CON LA ATENCIÓN OPORTUNA Y EFICIENTE DE LAS PETICIONES QUE DEBAN SER ATENDIDAS EN LA VICEPRESIDENCIA DE FONDOS EN ADMINISTRACIÓN; ASÍ COMO EN LA GESTIÓN DE CONDONACIONES DERIVADAS DE LOS FONDOS ADMINISTRADOS POR LA VICEPRESIDENCIA.
</t>
  </si>
  <si>
    <t>820</t>
  </si>
  <si>
    <t>821</t>
  </si>
  <si>
    <t>822</t>
  </si>
  <si>
    <t>823</t>
  </si>
  <si>
    <t>824</t>
  </si>
  <si>
    <t>825</t>
  </si>
  <si>
    <t>826</t>
  </si>
  <si>
    <t>827</t>
  </si>
  <si>
    <t>828</t>
  </si>
  <si>
    <t>829</t>
  </si>
  <si>
    <t>830</t>
  </si>
  <si>
    <t>831</t>
  </si>
  <si>
    <t>CONTRATAR EL SERVICIO ESPECIALIZADO DE VIGILANCIA Y SEGURIDAD PRIVADA ARMADA,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</si>
  <si>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832</t>
  </si>
  <si>
    <t>833</t>
  </si>
  <si>
    <t>834</t>
  </si>
  <si>
    <t>835</t>
  </si>
  <si>
    <t xml:space="preserve">PRESTAR SUS SERVICIOS PROFESIONALES APOYANDO LA ESTRUCTURACIÓN DE PROPUESTAS Y PROYECTOS DE FINANCIACIÓN ORIENTADOS A FOMENTAR EL ACCESO Y PERMANENCIA EDUCATIVA CONFORME LAS POLÍTICAS Y PROCEDIMIENTOS DEL ICETEX.
</t>
  </si>
  <si>
    <t>836</t>
  </si>
  <si>
    <t>837</t>
  </si>
  <si>
    <t>838</t>
  </si>
  <si>
    <t>RENOVACIÓN DE LA SUSCRIPCIÓN Y SOPORTE DE LOS SISTEMAS OPERATIVOS LINUX Y PLATAFORMA DE CONTENEDORES OPENSHIF DE RED HAT PARA LOS SISTEMAS PRODUCTIVOS DEL ICETEX</t>
  </si>
  <si>
    <t>839</t>
  </si>
  <si>
    <t>840</t>
  </si>
  <si>
    <t>841</t>
  </si>
  <si>
    <t>842</t>
  </si>
  <si>
    <t>843</t>
  </si>
  <si>
    <t>844</t>
  </si>
  <si>
    <t>845</t>
  </si>
  <si>
    <t>846</t>
  </si>
  <si>
    <t>847</t>
  </si>
  <si>
    <t>848</t>
  </si>
  <si>
    <t>PRESTAR LOS SERVICIOS PROFESIONALES EN EL DESARROLLO Y EJECUCIÓN TÉCNICA DEL PROYECTO DE INVERSIÓN
DENOMINADO “MEJORAMIENTO DE SEDES” CORRESPONDIENTE A LA GESTIÓN DEL GRUPO DE ADMINISTRACIÓN
DE RECURSOS FÍSICOS PARA EL APOYO DE LOS SUBPROYECTOS EN LA INFRAESTRUCTURA TENDIENTE A CONTRIBUIR
Y MEJORAR LA OPORTUNIDAD DE LOS SERVICIOS QUE PRESTA LA ENTIDAD.</t>
  </si>
  <si>
    <t>849</t>
  </si>
  <si>
    <t>PRESTAR LOS SERVICIOS PROFESIONALES ESPECIALIZADOS PARA GESTIONAR Y APOYAR TÉCNICAMENTE LA GESTIÓN
DEL GRUPO DE ADMINISTRACIÓN DE RECURSOS FÍSICOS EN EL MARCO DEL PROYECTO DE INVERSIÓN DENOMINADO
“MEJORAMIENTO DE SEDES”, SIMPLIFICACIÓN DE PROCESOS Y CONTRIBUIR A LA MEJORA DE LOS SERVICIOS QUE
PRESTA LA ENTIDAD</t>
  </si>
  <si>
    <t>850</t>
  </si>
  <si>
    <t>851</t>
  </si>
  <si>
    <t>852</t>
  </si>
  <si>
    <t>853</t>
  </si>
  <si>
    <t>854</t>
  </si>
  <si>
    <t>855</t>
  </si>
  <si>
    <t>856</t>
  </si>
  <si>
    <t>857</t>
  </si>
  <si>
    <t>858</t>
  </si>
  <si>
    <t>859</t>
  </si>
  <si>
    <t>860</t>
  </si>
  <si>
    <t>861</t>
  </si>
  <si>
    <t>PRESTAR SERVICIOS PARA EL DISEÑO, PLANEACIÓN Y EJECUCIÓN DE LAS ACTIVIDADES DE LA SEMANA DE LA SEGURIDAD Y LA SALUD EN EL TRABAJO DEL INSTITUTO COLOMBIANO DE CRÉDITO EDUCATIVO Y ESTUDIOS TÉCNICOS EN EL EXTERIOR – ICETEX</t>
  </si>
  <si>
    <t>862</t>
  </si>
  <si>
    <t>863</t>
  </si>
  <si>
    <t>864</t>
  </si>
  <si>
    <t>865</t>
  </si>
  <si>
    <t>866</t>
  </si>
  <si>
    <t>867</t>
  </si>
  <si>
    <t>868</t>
  </si>
  <si>
    <t>869</t>
  </si>
  <si>
    <t>870</t>
  </si>
  <si>
    <t>871</t>
  </si>
  <si>
    <t>872</t>
  </si>
  <si>
    <t>873</t>
  </si>
  <si>
    <t>874</t>
  </si>
  <si>
    <t>875</t>
  </si>
  <si>
    <t>876</t>
  </si>
  <si>
    <t>877</t>
  </si>
  <si>
    <t>878</t>
  </si>
  <si>
    <t>879</t>
  </si>
  <si>
    <t>880</t>
  </si>
  <si>
    <t>881</t>
  </si>
  <si>
    <t>882</t>
  </si>
  <si>
    <t>883</t>
  </si>
  <si>
    <t>Prestación de servicios profesionales para la gestión de los servicios de tecnología en Sistemas de Información de la Dirección de Tecnología de la Vicepresidencia de Operaciones y Tecnología del ICETEX.</t>
  </si>
  <si>
    <t>884</t>
  </si>
  <si>
    <t>885</t>
  </si>
  <si>
    <t xml:space="preserve">PRESTAR SERVICIOS PARA LA REALIZACIÓN DE LOS ENTRENAMIENTOS EN PISTA, EN MANEJO DE EQUIPOS DE EMERGENCIA Y EN MANEJO DE SIMULACROS PARA LA BRIGADA DE EMERGENCIAS DEL ICETEX </t>
  </si>
  <si>
    <t>886</t>
  </si>
  <si>
    <t>887</t>
  </si>
  <si>
    <t>888</t>
  </si>
  <si>
    <t>Renovación de la suscripción y soporte de los sistemas operativos Linux y plataforma de contenedores OpenShif de RED HAT, para los sistemas productivos del ICETEX</t>
  </si>
  <si>
    <t>889</t>
  </si>
  <si>
    <t>El objeto del presente Acuerdo Estratégico es aunar esfuerzos entre el ICETEX, LA IES UNIVERSIDAD COLEGIO MAYOR NUESTRA SEÑORA DEL ROSARIO y LA ONIC, para promover y garantizar el acceso y permanencia en los programas de educación superior de pregrado que ofrece la Institución de Educación Superior Colegio Mayor de Nuestra Señora del Rosario a estudiantes pertenecientes a las comunidades indígenas de Colombia, en condiciones de reconocimiento y respeto de sus lógicas, formas de vida, valores y saberes, a través de un modelo de financiación en el cual se cofinancie el 100% del valor de la matrícula, para la continuidad y progreso en la educación superior.</t>
  </si>
  <si>
    <t>890</t>
  </si>
  <si>
    <t>891</t>
  </si>
  <si>
    <t>892</t>
  </si>
  <si>
    <t>893</t>
  </si>
  <si>
    <t>894</t>
  </si>
  <si>
    <t>895</t>
  </si>
  <si>
    <t>896</t>
  </si>
  <si>
    <t>SISTEMA DE OBSERVACIÓN AUTOMÁTICA E INTELIGENTE PARA LOS SERVICIOS Y SISTEMAS DEL ICETEX</t>
  </si>
  <si>
    <t>897</t>
  </si>
  <si>
    <t>898</t>
  </si>
  <si>
    <t>899</t>
  </si>
  <si>
    <t>900</t>
  </si>
  <si>
    <t>901</t>
  </si>
  <si>
    <t>902</t>
  </si>
  <si>
    <t>AUNAR ESFUERZOS PARA LA IMPLEMENTACION DE PROGRAMAS QUE PERMITAN A CIUDADANOS COLOMBIANOS, MEDIANTE EL ACCESO A BECAS Y AYUDAS FINANCIERAS, REALIZAR ESTUDIOS EN EDUCACION EN IHE DELFT</t>
  </si>
  <si>
    <t>903</t>
  </si>
  <si>
    <t>904</t>
  </si>
  <si>
    <t>905</t>
  </si>
  <si>
    <t>SERVICIOS DE ACCESO A LA BASE DE DATOS DE LISTAS DE CONTROL ON-LINE PARA CONSULTA, ACTUALIZACIÓN, SOPORTE Y CRUCES BATCH DE LOS CLIENTES DE LA ENTIDAD.</t>
  </si>
  <si>
    <t>906</t>
  </si>
  <si>
    <t>907</t>
  </si>
  <si>
    <t>908</t>
  </si>
  <si>
    <t>909</t>
  </si>
  <si>
    <t>910</t>
  </si>
  <si>
    <t>911</t>
  </si>
  <si>
    <t>912</t>
  </si>
  <si>
    <t>913</t>
  </si>
  <si>
    <t>914</t>
  </si>
  <si>
    <t>915</t>
  </si>
  <si>
    <t>916</t>
  </si>
  <si>
    <t>917</t>
  </si>
  <si>
    <t>918</t>
  </si>
  <si>
    <t>919</t>
  </si>
  <si>
    <t>920</t>
  </si>
  <si>
    <t>921</t>
  </si>
  <si>
    <t>ACUERDO ESTRATÉGICO PARA IMPLEMENTAR LA ESTRATEGIA 2 “TRÁNSITO
EDUCATIVO CON PERTINENCIA EN ZONAS RURALES” DERIVADA DEL FONDO ADMINISTRADO POR EL ICETEX, PARA PROMOVER ESTRATEGIAS QUE PERMITAN LA CALIDAD, EL ACCESO, EL REINTEGRO, Y LA PERMANENCIA AL SISTEMA EDUCATIVO DE LAS Y LOS JÓVENES DEL PAÍS Y FAVOREZCAN EL TRÁNSITO A LA EDUCACIÓN POSMEDIA Y SUPERIOR.</t>
  </si>
  <si>
    <t>922</t>
  </si>
  <si>
    <t>923</t>
  </si>
  <si>
    <t>924</t>
  </si>
  <si>
    <t>PRESTACIÓN DE SERVICIOS PROFESIONALES ESPECIALIZADOS PARA SOPORTE Y CONTINUIDAD EN LA IMPLEMENTACIÓN DE LA PLATAFORMA DE ARANDA SERVICE MANAGEMENT SUITE VIGENTE, ASSET MANAGEMENT, DEVICE MANAGEMENT Y LA CMDB, QUE PERMITE APOYAR LA GESTIÓN Y ESTANDARIZACIÓN DE LOS PROCESOS DE TI</t>
  </si>
  <si>
    <t>925</t>
  </si>
  <si>
    <t>926</t>
  </si>
  <si>
    <t>EMITIR UNA OPINIÓN PROFESIONAL (O UNA ASEVERACIÓN ACERCA DE LA IMPOSIBILIDAD DE EXPRESAR LA MISMA SI ELLO FUERA NECESARIO) SOBRE SI LOS ESTADOS FINANCIEROS DE PROPÓSITO ESPECIAL DEL PRÉSTAMO BIRF 8836-CO Y RECURSOS DE CONTRAPARTIDA), HAN SIDO PREPARADOS, EN TODOS SUS ASPECTOS IMPORTANTES, DE CONFORMIDAD CON LOS REQUERIMIENTOS DEL MARCO DE INFORMACIÓN FINANCIERA APLICABLE Y DE ACUERDO CON LOS REQUISITOS DE LOS CONTRATOS DE PRÉSTAMOS CON EL BANCO MUNDIAL Y EL ICETEX; Y EVALUAR Y CONCEPTUAR SOBRE LA EFECTIVIDAD DEL SISTEMA DE CONTROL INTERNO QUE DEBERÁ EFECTUAR CON EL ALCANCE PREVISTO EN LAS NORMAS INTERNACIONALES DE AUDITORÍA PARA LAS VIGENCIAS 2024, 2025 Y EL PERIODO DE GRACIA</t>
  </si>
  <si>
    <t>927</t>
  </si>
  <si>
    <t>PRESTACIÓN DE SERVICIOS PROFESIONALES ESPECIALIZADOS PARA LA ADMINISTRACIÓN, ACTUALIZACIÓN, DESARROLLO Y SOPORTE TÉCNICO DEL CRM MICROSOFT DYNAMICS DE ICETEX.</t>
  </si>
  <si>
    <t>928</t>
  </si>
  <si>
    <t>CONTRATAR LA INSTALACIÓN DEL SISTEMA DE CONTROL, DETECCIÓN Y EXTINCIÓN DE INCENDIOS DE ICETEX</t>
  </si>
  <si>
    <t>929</t>
  </si>
  <si>
    <t>AUNAR ESFUERZOS PARA LA IMPLEMENTACION DE PROGRMAS QUE PERMITAN A CIUDADANOS COLOMBIANOS, MEDIANTE EL ACCESO A BECAS, REALIZAR ESTUDIOS EN EDUCACION SUPERIOR EN MONROE COLLEGE.</t>
  </si>
  <si>
    <t>930</t>
  </si>
  <si>
    <t>SUSCRIPCIONES HERRAMIENTAS TECNOLÓGICAS OFICINA COMERCIAL Y DE MERCADEO</t>
  </si>
  <si>
    <t>931</t>
  </si>
  <si>
    <t>932</t>
  </si>
  <si>
    <t>933</t>
  </si>
  <si>
    <t>PRESTACIÓN DE SERVICIOS PARA LA RECEPCIÓN, CONFIGURACIÓN Y ENVÍO DEL RECIBO DE PAGO, COMUNICACIONES Y CAMPAÑAS POR CORREO ELECTRÓNICO U OTROS MEDIOS DIGITALES BAJO LAS POLÍTICAS Y PARÁMETROS FIJADOS POR EL ICETEX</t>
  </si>
  <si>
    <t>934</t>
  </si>
  <si>
    <t>935</t>
  </si>
  <si>
    <t>936</t>
  </si>
  <si>
    <t>937</t>
  </si>
  <si>
    <t>938</t>
  </si>
  <si>
    <t>CONTRATAR LA INSTALACIÓN Y PUESTA EN FUNCIONAMIENTO DEL SISTEMA DE ACCESO Y SEGURIDAD (PUERTA) PARA EL PRIMER PISO Y SEGUNDO PISO DE LA SEDE AGUAS DEL INSTITUTO COLOMBIANO DE CRÉDITO EDUCATIVO Y ESTUDIOS TÉCNICOS EN EL EXTERIOR "MARIANO OSPINA PÉREZ" - ICETEX, UBICADA EN BOGOTÁ.</t>
  </si>
  <si>
    <t>939</t>
  </si>
  <si>
    <t>940</t>
  </si>
  <si>
    <t>941</t>
  </si>
  <si>
    <t>942</t>
  </si>
  <si>
    <t>943</t>
  </si>
  <si>
    <t>944</t>
  </si>
  <si>
    <t>945</t>
  </si>
  <si>
    <t>946</t>
  </si>
  <si>
    <t>RENOVACIÓN DEL SOPORTE Y LICENCIAMIENTO DE LA PLATAFORMA DE TRANSFERENCIA SEGURA DE ARCHIVOS ENTRE ENTIDADES GOANYWHERE DEL ICETEX.</t>
  </si>
  <si>
    <t>947</t>
  </si>
  <si>
    <t>948</t>
  </si>
  <si>
    <t>949</t>
  </si>
  <si>
    <t>950</t>
  </si>
  <si>
    <t>951</t>
  </si>
  <si>
    <t>952</t>
  </si>
  <si>
    <t>953</t>
  </si>
  <si>
    <t>954</t>
  </si>
  <si>
    <t>955</t>
  </si>
  <si>
    <t>956</t>
  </si>
  <si>
    <t>957</t>
  </si>
  <si>
    <t>958</t>
  </si>
  <si>
    <t>INPEC</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</si>
  <si>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</si>
  <si>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</si>
  <si>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</si>
  <si>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</si>
  <si>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</si>
  <si>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</si>
  <si>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</si>
  <si>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</si>
  <si>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</si>
  <si>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</si>
  <si>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</si>
  <si>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</si>
  <si>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</si>
  <si>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</si>
  <si>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</si>
  <si>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</si>
  <si>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</si>
  <si>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</si>
  <si>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</si>
  <si>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</si>
  <si>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</si>
  <si>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</si>
  <si>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</si>
  <si>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</si>
  <si>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</si>
  <si>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</si>
  <si>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</si>
  <si>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</si>
  <si>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</si>
  <si>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</si>
  <si>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</si>
  <si>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</si>
  <si>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</si>
  <si>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</si>
  <si>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</si>
  <si>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</si>
  <si>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</si>
  <si>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</si>
  <si>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</si>
  <si>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</si>
  <si>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TIPO DE OTROSÍ</t>
  </si>
  <si>
    <r>
      <rPr>
        <b/>
        <sz val="8"/>
        <color theme="7"/>
        <rFont val="Arial"/>
        <family val="2"/>
      </rPr>
      <t>CONTRATISTA</t>
    </r>
    <r>
      <rPr>
        <b/>
        <sz val="8"/>
        <color indexed="9"/>
        <rFont val="Arial"/>
        <family val="2"/>
      </rPr>
      <t>: NATURALEZA</t>
    </r>
  </si>
  <si>
    <r>
      <rPr>
        <b/>
        <sz val="8"/>
        <color theme="7"/>
        <rFont val="Arial"/>
        <family val="2"/>
      </rPr>
      <t>CONTRATISTA:</t>
    </r>
    <r>
      <rPr>
        <b/>
        <sz val="8"/>
        <color indexed="9"/>
        <rFont val="Arial"/>
        <family val="2"/>
      </rPr>
      <t xml:space="preserve"> TIPO IDENTIFICACIÓN</t>
    </r>
  </si>
  <si>
    <r>
      <rPr>
        <b/>
        <sz val="8"/>
        <color theme="7"/>
        <rFont val="Arial"/>
        <family val="2"/>
      </rPr>
      <t>CONTRATISTA</t>
    </r>
    <r>
      <rPr>
        <b/>
        <sz val="8"/>
        <color indexed="9"/>
        <rFont val="Arial"/>
        <family val="2"/>
      </rPr>
      <t>: NÚMERO DE IDENTIFICACIÓN</t>
    </r>
  </si>
  <si>
    <r>
      <rPr>
        <b/>
        <sz val="8"/>
        <color rgb="FFFFC000"/>
        <rFont val="Arial"/>
        <family val="2"/>
      </rPr>
      <t xml:space="preserve">CONTRATISTA </t>
    </r>
    <r>
      <rPr>
        <b/>
        <sz val="8"/>
        <color rgb="FFFFFFFF"/>
        <rFont val="Arial"/>
        <family val="2"/>
      </rPr>
      <t>: NOMBRE COMPLETO O RAZON SOCIAL</t>
    </r>
  </si>
  <si>
    <t>FECHA DE SUSCRIPCIÓN DEL OTROSÍ</t>
  </si>
  <si>
    <t>FECHA DE SUSCRIPCIÓN DEL CONTRATO</t>
  </si>
  <si>
    <t>FECHA DE INICIO DEL CONTRATO</t>
  </si>
  <si>
    <t>PLAZO INICIAL</t>
  </si>
  <si>
    <t>PLAZO FINAL</t>
  </si>
  <si>
    <t>DIAS ADICIONADOS</t>
  </si>
  <si>
    <t>CDP´S RELACIONADOS</t>
  </si>
  <si>
    <t>VALOR INICIAL CONTRATO + ADICIONES</t>
  </si>
  <si>
    <t>VALOR ADICIÓN CONTRATO</t>
  </si>
  <si>
    <t>CDP ADICIÓN</t>
  </si>
  <si>
    <t>VALOR TOTAL CONTRATO
INICIAL</t>
  </si>
  <si>
    <t>ABOGADO ELABORO EL OTROSI</t>
  </si>
  <si>
    <t>VALOR EJECUTADO</t>
  </si>
  <si>
    <t>FECHA DE TERMINACIÓN</t>
  </si>
  <si>
    <t>VALOR PROGRAMADO</t>
  </si>
  <si>
    <t>N°REGISTRO PRESUPUESTAL -2023</t>
  </si>
  <si>
    <t>2023-0722</t>
  </si>
  <si>
    <t>PRO</t>
  </si>
  <si>
    <t>800175087-3</t>
  </si>
  <si>
    <t>GOMEZ – PINZÓN ABOGADOS S.A.S</t>
  </si>
  <si>
    <t>PRÓRROGAR EL PLAZO DE EJECUCIÓN DEL CONTRATO N° 2023-0722 POR EL TERMINO DE TRES (3) MESES MÁS.</t>
  </si>
  <si>
    <t>CDEF-2023-771</t>
  </si>
  <si>
    <t>2022-0705</t>
  </si>
  <si>
    <t>AD Y PRO</t>
  </si>
  <si>
    <t>899999035-7</t>
  </si>
  <si>
    <t>ASECOLBAS LTDA</t>
  </si>
  <si>
    <t>OTROSÍ No. 04 DE ADICIÓN Y PRÓRROGA AL CONTRATO DE PRESTACIÓN DE SERVICIOS
No. 2022-0705, CUYO OBJETO ES: PRESTAR EL SERVICIO INTEGRAL DE ASEO Y CAFETERÍA EN LAS SEDES DE ICETEX Y A NIVEL NACIONAL.</t>
  </si>
  <si>
    <t>CDEF-762-2024</t>
  </si>
  <si>
    <t>&lt;</t>
  </si>
  <si>
    <t>2023-0637</t>
  </si>
  <si>
    <t>AD</t>
  </si>
  <si>
    <t>900.264.538-8</t>
  </si>
  <si>
    <t>RST ASOCIADOS PROJECTS S.A.S.</t>
  </si>
  <si>
    <t>otrosí No. 1 de adición AL CONTRATO DE PRESTACIÓN DE SERVICIOS No. 2023-0637 QUE TIENE POR OBJETO; CONTRATAR LOS SERVICIOS DE GESTIÓN DE RECUPERACIÓN DE CARTERA PARA LA ETAPA PREJURÍDICA PARA EL RECAUDO DE LA CARTERA DEL ICETEX A NIVEL NACIONAL</t>
  </si>
  <si>
    <t xml:space="preserve">CDEF-768-2023 
VF-2023-004 </t>
  </si>
  <si>
    <t>CDEF-659-2024</t>
  </si>
  <si>
    <t>OTROSÍ No. 02 DE ADICIÓN AL CONTRATO DE PRESTACIÓN DE SERVICIOS No. 2023-0637 QUE TIENE POR OBJETO; CONTRATAR LOS SERVICIOS DE GESTIÓN DE RECUPERACIÓN DE CARTERA PARA LA ETAPA PREJURÍDICA PARA EL RECAUDO DE LA CARTERA DEL ICETEX A NIVEL NACIONAL</t>
  </si>
  <si>
    <t xml:space="preserve">CDEF-659-2024
CDEF-768-2023 
VF-2023-004 </t>
  </si>
  <si>
    <t>CDEF-756-2024</t>
  </si>
  <si>
    <t>2023-0600</t>
  </si>
  <si>
    <t>EVALUA SALUD IPS</t>
  </si>
  <si>
    <t>OTROSÍ N° 02PRORROGA DEL CONTRATO DE PRESTACIÓN DE SERVICIOS No. 2023-0600</t>
  </si>
  <si>
    <t>VF-2023-053</t>
  </si>
  <si>
    <t>2023-0736</t>
  </si>
  <si>
    <t>901734008-7</t>
  </si>
  <si>
    <t>UNION TEMPORAL UNIDOS POR EL ICETEX 2023</t>
  </si>
  <si>
    <t xml:space="preserve">OTROSÍ N° 2 DE ADICIÓN Y PRÓRROGA AL CONTRATO DE PRESTACIÓN DE SERVICIOS No. 2023-0736, SUSCRITO ENTRE EL INSTITUTO COLOMBIANO DE CRÉDITO EDUCATIVO Y ESTUDIOS TÉCNICOS EN EL EXTERIOR “MARIANO OSPINA PÉREZ” – ICETEX y LA UNION TEMPORAL UNIDOS POR EL ICETEX 2023
</t>
  </si>
  <si>
    <t>CDEF- 792-2024
CDEF-795-2024</t>
  </si>
  <si>
    <t>2023-0690</t>
  </si>
  <si>
    <t>860.524.654-6</t>
  </si>
  <si>
    <t xml:space="preserve">ASEGURADORA SOLIDARIA
DE COLOMBIA EC </t>
  </si>
  <si>
    <t>Contratar una o varias compañías de seguros para la adquisición de las pólizas que conforman el programa de seguros que cubra los bienes e intereses patrimoniales del instituto colombiano de crédito educativo y estudios técnicos en el exterior "mariano Ospina Pérez" - Icetex y aquellos por los cuales sea o llegare a ser legalmente responsable dentro y fuera del territorio naciona</t>
  </si>
  <si>
    <t>CDEF-805-2024</t>
  </si>
  <si>
    <t xml:space="preserve"> $      1,679,473,424</t>
  </si>
  <si>
    <t xml:space="preserve"> $               221,187,706</t>
  </si>
  <si>
    <t xml:space="preserve"> CDEF-762-2024 </t>
  </si>
  <si>
    <t xml:space="preserve"> $                1,900,661,130</t>
  </si>
  <si>
    <t xml:space="preserve"> $             1,850,608,051</t>
  </si>
  <si>
    <t>2023-0559</t>
  </si>
  <si>
    <t>901.693.915-5</t>
  </si>
  <si>
    <t>UNIÓN TEMPORAL SERVIR.</t>
  </si>
  <si>
    <t>OTROSÍ N° 1 DE ADICIÓN Y PRÓRROGA AL CONTRATO DE PRESTACIÓN DE SERVICIOS No. 2023-0559 CUYO OBJETO ES: “Contratar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</si>
  <si>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CDP-CDEF-815</t>
  </si>
  <si>
    <t>DIANA JALLER</t>
  </si>
  <si>
    <t xml:space="preserve"> $             3,702,314,699</t>
  </si>
  <si>
    <t>2023-0692</t>
  </si>
  <si>
    <t>IP-665-2023</t>
  </si>
  <si>
    <t>890903407-9</t>
  </si>
  <si>
    <t>SEGUROS GENERALES SURAMERICANA SA</t>
  </si>
  <si>
    <t>OTROSÍ No. 01 DE ADICIÓN Y PRÓRROGA AL CONTRATO DE SEGUROS No. 2023-0692 CUYO OBJETO ES: CONTRATAR UNA O VARIAS COMPAÑÍAS DE SEGUROS PARA LA ADQUISICIÓN DE LAS PÓLIZAS QUE CONFORMAN EL PROGRAMA DE SEGUROS QUE CUBRA LOS BIENES E INTERESES PATRIMONIALES DEL INSTITUTO COLOMBIANO DE CRÉDITO EDUCATIVO Y ESTUDIOS TÉCNICOS EN EL EXTERIOR "MARIANO OSPINA PÉREZ" - ICETEX Y AQUELLOS POR LOS CUALES SEA O LLEGARE A SER LEGALMENTE RESPONSABLE DENTRO Y FUERA DEL TERRITORIO NACIONAL</t>
  </si>
  <si>
    <t>CDEF-2023-823</t>
  </si>
  <si>
    <t>CDP-CDEF-852</t>
  </si>
  <si>
    <t>900380150-0</t>
  </si>
  <si>
    <t>OTROSÍ N° 03 PRORROGA DEL CONTRATO DE PRESTACIÓN DE SERVICIOS No. 2023-0600</t>
  </si>
  <si>
    <t>860524654-6</t>
  </si>
  <si>
    <t>ASEGURADORA SOLIDARIA DE COLOMBIA EC</t>
  </si>
  <si>
    <t>OTROSÍ No. 02 DE ADICIÓN AL CONTRATO DE SEGUROS No. 2023-0690 CUYO OBJETO ES: CONTRATAR UNA O VARIAS COMPAÑÍAS DE SEGUROS PARA LA ADQUISICIÓN DE LAS PÓLIZAS QUE CONFORMAN EL PROGRAMA DE SEGUROS QUE CUBRA LOS BIENES E INTERESES PATRIMONIALES DEL INSTITUTO COLOMBIANO DE CRÉDITO EDUCATIVO Y ESTUDIOS TÉCNICOS EN EL EXTERIOR "MARIANO OSPINA PÉREZ" - ICETEX Y AQUELLOS POR LOS CUALES SEA O LLEGARE A SER LEGALMENTE RESPONSABLE DENTRO Y FUERA DEL TERRITORIO NACIONAL</t>
  </si>
  <si>
    <t>CDEF-2024-805</t>
  </si>
  <si>
    <t>901693915-5</t>
  </si>
  <si>
    <t>OTROSÍ N° 2 DE ADICIÓN Y PRÓRROGA AL CONTRATO DE PRESTACIÓN DE SERVICIOS No. 2023-0559 CUYO OBJETO ES: “Contratar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</si>
  <si>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 xml:space="preserve">      15/072024</t>
  </si>
  <si>
    <t>CDEF-2023-823
CDEF-2023-852</t>
  </si>
  <si>
    <t>CDP-CDEF-967</t>
  </si>
  <si>
    <t xml:space="preserve"> $   43,192,109</t>
  </si>
  <si>
    <t>2023-0565</t>
  </si>
  <si>
    <t>IS-538-2023</t>
  </si>
  <si>
    <t>SOCIEDAD CAMERAL DE CERTIFICACION DIGITAL CERTICAMARA S.A.</t>
  </si>
  <si>
    <t>OTROSÍ No. 3 DEL CONTRATO No. 2023-0565, SUSCRITO ENTRE EL INSTITUTO COLOMBIANO DE CRÉDITO EDUCATIVO Y ESTUDIOS TÉCNICOS EN EL EXTERIOR “MARIANO OSPINA PÉREZ” – ICETEX Y LA SOCIEDAD CAMERAL DE CERTIFICACION DIGITAL CERTICAMARA S A cuyo objeto es: SERVICIO DE PLATAFORMA TECNOLÓGICA PARA LA REALIZACIÓN DE SUBASTAS INVERSAS ELECTRÓNICAS DEL ICETEX</t>
  </si>
  <si>
    <t xml:space="preserve">$47.529.000 </t>
  </si>
  <si>
    <t xml:space="preserve"> $     5,234,482</t>
  </si>
  <si>
    <t>OTROSÍ N° 3 DE ADICIÓN Y PRÓRROGA AL CONTRATO DE PRESTACIÓN DE SERVICIOS No. 2023-0559 CUYO OBJETO ES: “Contratar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</si>
  <si>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 xml:space="preserve"> $ 4,047,733,567.00 </t>
  </si>
  <si>
    <t>OTROSÍ N° 4 DE ADICIÓN Y PRÓRROGA AL CONTRATO DE PRESTACIÓN DE SERVICIOS No. 2023-0559 CUYO OBJETO ES: “Contratar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</si>
  <si>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CDEF-815-2024</t>
  </si>
  <si>
    <t xml:space="preserve"> $ 560,000,000.00 </t>
  </si>
  <si>
    <t>OTROSÍ N° 5 DE ADICIÓN Y PRÓRROGA AL CONTRATO DE PRESTACIÓN DE SERVICIOS No. 2023-0559 CUYO OBJETO ES: “Contratar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</si>
  <si>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CDEF-987-2024</t>
  </si>
  <si>
    <t xml:space="preserve"> $ 486,965,150.00 </t>
  </si>
  <si>
    <t>2023-0841</t>
  </si>
  <si>
    <t>IS-828-2023</t>
  </si>
  <si>
    <t>83011014-1</t>
  </si>
  <si>
    <t>RISK CONSULTING COLOMBIA S.A.S</t>
  </si>
  <si>
    <t xml:space="preserve">
SERVICIOS DE ACCESO A LA BASE DE DATOS DE LISTAS DE CONTROL ON-LINE PARA CONSULTA, ACTUALIZACIÓN, SOPORTE Y CRUCES BATCH DE LOS CLIENTES DE LA ENTIDAD.
</t>
  </si>
  <si>
    <t>CDEF-2023-957</t>
  </si>
  <si>
    <t>CDEF-978-2024</t>
  </si>
  <si>
    <t xml:space="preserve">  13,078,100.00 </t>
  </si>
  <si>
    <t>2023-0843
116994</t>
  </si>
  <si>
    <t>900711074-</t>
  </si>
  <si>
    <t>SKG TECNOLOGIA SAS</t>
  </si>
  <si>
    <t>SERVICIOS DE ADMINISTRACIÓN DE LA SOLUCIÓN GOOGLE CLOUD PLATAFORM DATALAKE PARA EL ICETEX</t>
  </si>
  <si>
    <t>CDEF-2023-869</t>
  </si>
  <si>
    <t xml:space="preserve"> $     399,609,234.19</t>
  </si>
  <si>
    <t>2022-0587</t>
  </si>
  <si>
    <t>IS-535-2022</t>
  </si>
  <si>
    <t>900345851-7</t>
  </si>
  <si>
    <t xml:space="preserve">GSC OUTSOURCING S.A.S. </t>
  </si>
  <si>
    <t>PRESTAR LOS SERVICIOS ESPECIALIZADOS PARA LA INVESTIGACIÓN DE BIENES DE LOS DEUDORES PRINCIPALES Y SOLIDARIOS DE LAS OBLIGACIONES OBJETO DE JUDICIALIZACIÓN, ASÍ COMO A LOS DEUDORES DENTRO DE LOS PROCESOS DE COBRO COACTIVO DEL ICETEX</t>
  </si>
  <si>
    <t>2023-0652</t>
  </si>
  <si>
    <t>4 INTERADMINISTRATIVO</t>
  </si>
  <si>
    <t>89502163-1</t>
  </si>
  <si>
    <t>EMPRESA DE TELECOMUNICACIONES DE POPAYAN S,A  EMTEL E.S.P</t>
  </si>
  <si>
    <t>PRESTAR LOS SERVICIOS ESPECIALIZADOS DE GESTIÓN DOCUMENTAL PARA EL DEPÓSITO, CUSTODIA Y ADMINISTRACIÓN DEL ARCHIVO DEL ICETEX</t>
  </si>
  <si>
    <t>CDEF-2023-666
VF-2023-007</t>
  </si>
  <si>
    <t>LINA MARIA CRUZ SILVA</t>
  </si>
  <si>
    <t xml:space="preserve">2024-0373 </t>
  </si>
  <si>
    <t>BMI COLOMBIA COMPAÑIA DE SEGUROS DE VIDA S.A.</t>
  </si>
  <si>
    <t>MARÍA FRANCISCA CEPEDA QUINTERO</t>
  </si>
  <si>
    <t>2023-0892</t>
  </si>
  <si>
    <t>900.312.827-8</t>
  </si>
  <si>
    <t>ASOCIACIÓN DE RECICLADORES CRECER SIN FRONTERAS - ARCRECIFRONT</t>
  </si>
  <si>
    <t>PRESTAR LOS SERVICIOS DE RECOLECCIÓN, TRANSPORTE, CLASIFICACIÓN Y APROVECHAMIENTO DE LOS RESIDUOS SÓLIDOS APROVECHABLES DE CARÁCTER NO PELIGROSO, GENERADOS EN LAS SEDES DONDE FUNCIONA EL ICETEX, EN LA CIUDAD DE BOGOTÁ D.C</t>
  </si>
  <si>
    <t>UNIÓN TEMPORAL SERVIR</t>
  </si>
  <si>
    <t>FIDUCIARIA CENTRAL S.A</t>
  </si>
  <si>
    <t>EDGAR ANTONIO GÓMEZ ÁLVAREZ</t>
  </si>
  <si>
    <t>DECEVAL</t>
  </si>
  <si>
    <t>DORIS POVEDA BELTRÁN</t>
  </si>
  <si>
    <t>JAMES RIVEROS
TÉLLEZ</t>
  </si>
  <si>
    <t>TATIANA FORERO TORRES</t>
  </si>
  <si>
    <t xml:space="preserve">2024-0761 </t>
  </si>
  <si>
    <t>ALVARO HERNAN URQUIJO GOMEZ</t>
  </si>
  <si>
    <t>VIAJA POR EL MUNDO</t>
  </si>
  <si>
    <t>Cod FONDO</t>
  </si>
  <si>
    <r>
      <rPr>
        <b/>
        <sz val="8"/>
        <color theme="7"/>
        <rFont val="Arial"/>
        <family val="2"/>
      </rPr>
      <t xml:space="preserve">CONTRATISTA </t>
    </r>
    <r>
      <rPr>
        <b/>
        <sz val="8"/>
        <color indexed="9"/>
        <rFont val="Arial"/>
        <family val="2"/>
      </rPr>
      <t>: NOMBRE COMPLETO O RAZON SOCIAL</t>
    </r>
  </si>
  <si>
    <t>FECHA DE SUSCRIPCIÓN DEL CONVENIO INICIAL</t>
  </si>
  <si>
    <t>FECHA DE INICIO DEL CONVENIO</t>
  </si>
  <si>
    <t>PLAZO DE LA PRORROGA</t>
  </si>
  <si>
    <t xml:space="preserve">VALOR INICIAL CONVENIO </t>
  </si>
  <si>
    <t>VALOR ADICIÓN CONVENIO</t>
  </si>
  <si>
    <t>VALOR TOTAL CONVENIO</t>
  </si>
  <si>
    <t>ABOGADO ELABORO EL CTO</t>
  </si>
  <si>
    <t>VALOR DESEMBOLSADO</t>
  </si>
  <si>
    <t>2022-0789</t>
  </si>
  <si>
    <t>899999061-9</t>
  </si>
  <si>
    <t>SECRETARÍA DISTRITAL DE HACIENDA-SDH</t>
  </si>
  <si>
    <t>MODIFICACION 1: POR SOLICITUD DEL SUPERVISOR SE PROCEDE A MODIFICAR LA CLÁUSULA QUINTA. - DURACIÓN DEL CONVENIO. EL PRESENTE CONVENIO TENDRÁ UNA DURACIÓN DE DOS (02) AÑOS, CONTADO A PARTIR DE SU PERFECCIONAMIENTO CON EL FIN DE GARANTIZAR LA SOSTENIBILIDAD DE LAS COHORTES O HASTA EL AGOTAMIENTO DE LOS RECURSOS DEL FONDO, LO QUE OCURRA PRIMERO. NUEVA FECHA DE VENCIMIENTO 11-01-2025.</t>
  </si>
  <si>
    <t>2023-0687</t>
  </si>
  <si>
    <t>890399011-3</t>
  </si>
  <si>
    <t>DISTRITO ESPECIAL DE SANTIAGO DE CALI</t>
  </si>
  <si>
    <t>MODIFICACION 1: MODIFICAR LA CLÁUSULA SEGUNDA – FINALIDAD DEL FONDO EN EL SENTIDO DE ESPECIFICAR LOS COMPONENTES DEL VALOR DEL CONVENIO, SUPRIMIR LA CLÁUSULA DECIMA SEGUNDA – PRIMA DE SEGURO POR NO APLICARSE AL PRESENTE ALCANCE CONTRACTUAL, EN RAZÓN A QUE EL PRESENTE CONVENIO OTORGA APOYOS ECONÓMICOS EN LA MODALIDAD DE SUBSIDIOS.</t>
  </si>
  <si>
    <t>MOD</t>
  </si>
  <si>
    <t>2007/045</t>
  </si>
  <si>
    <t>900572445-2</t>
  </si>
  <si>
    <t>CENTRAL DE INFORMACIÓN FINANCIERA - CIFIN S.A.S</t>
  </si>
  <si>
    <t>OTROSÍ No 4. EL OBJETO DEL PRESENTE OTROSÍ No 4 DE MODIFICACIÓN AL CONVENIO ES (i) MODIFICAR EL PLAZO DEL CONVENIO (II) INCLUIR NUEVAS OBLIGACIONES (III)MODIFICAR LA TERMINACIÓN ANTICIPADA DEL CONVENIO (IV) INCLUIR LAS CLAUSULA DEL USO DE LA PLATAFORMA ACTUAL, CLAUSULA DE EVENTO O INCIDENTE DE SEGURIDAD DE LA INFORMACIÓN, CLAUSULA DE SEGURIDAD Y PRIVACIDAD DE LA INFORMACIÓN Y CLAUSULA CONTINUIDAD DEL NEGOCIO</t>
  </si>
  <si>
    <t>PRO Y MOD</t>
  </si>
  <si>
    <t>2020-0440</t>
  </si>
  <si>
    <t>FUNDACIÓN PARA EL FUTURO DE COLOMBIA COLFUTURO</t>
  </si>
  <si>
    <t>OTROSI NO. 3 EL OBJETO DEL PRESENTE OTROSÍ ES ADICIONAR EL VALOR ESTABLECIDO EN LA CLAUSULA QUINTA Y PRORROGAR EL PLAZO DE LA ALIANZA ESTRATÉGICA No 2020-0440</t>
  </si>
  <si>
    <t>2014-0127</t>
  </si>
  <si>
    <t>800131648-6</t>
  </si>
  <si>
    <t>FONDO ÚNICO DE TECNOLOGÍAS DE LA
INFORMACIÓN Y LAS COMUNICACIONES</t>
  </si>
  <si>
    <t>OTROSÍ NO 5. PRORROGAR EL PLAZO DEL CONVENIO INTERADMINISTRATIVO NO. 000432 DE 2014 FONTIC / NO. 2014-0127-ICETEX, HASTA EL 30 DE JUNIO DE 2027, PREVIO CUMPLIMIENTO DE LOS REQUISITOS DE PERFECCIONAMIENTO Y EJECUCIÓN DEL CONVENIO.</t>
  </si>
  <si>
    <t xml:space="preserve">OTROSÍ NO 5.PARA TODOS LOS EFECTOS, EL OBJETO DEL PRESENTE OTROSÍ NO. 05 ES EL DE MODIFICAR LAS FECHAS DE DESCONEXIÓN DE LA PLATAFORMA VIGENTE, ESTABLECIDAS EN LAS CLÁUSULAS TERCERA Y SÉPTIMA DEL OTROSÍ NO. 04 DEL 26 DE FEBRERO DE 2024, MODIFICATORIO DEL CONVENIO NO 2007/045 (CEDIDO POR CONTRATO DE CESIÓN NO. 2013-007), ASÍ: (I) MODIFICAR LA FECHA DE ENTRADA EN VIGENCIA DE LAS NUEVAS OBLIGACIONES INCLUIDAS EN LA CLÁUSULA SÉPTIMA– OBLIGACIONES DE LAS PARTES, A PARTIR DEL 16 DE ABRIL DE 2024; Y (II) MODIFICAR LA FECHA LÍMITE DE ACCESO A LA PLATAFORMA ACTUALMENTE VIGENTE, ESTABLECIDA EN LA NUEVA CLÁUSULA VIGÉSIMA SEXTA. - USO DE LA PLATAFORMA ACTUAL, LO CUAL OCURRIRÁ HASTA EL 15 DE ABRIL DEL 2024, QUEDANDO LAS RESPECTIVAS CLÁUSULAS DE LA SIGUIENTE FORMA Y POR LAS CONSIDERACIONES EXPUESTAS EN EL PRESENTE DOCUMENTO.
</t>
  </si>
  <si>
    <t>2023-0828</t>
  </si>
  <si>
    <t>830054060-5
899999296-2</t>
  </si>
  <si>
    <t>FIDUCOLDEX S.A. ACTUANDO COMO VOCERA Y ADMINISTRADORA DEL FONDO NACIONAL DE FINANCIAMIENTO PARA LA CIENCIA, LA TECNOLOGÍA Y LA INNOVACIÓN, FONDO FRANCISCO JOSÉ DE CALDAS
MINISTERIO DE CIENCIA, TECNOLOGÍA E
INNOVACIÓN (MINCIENCIAS)</t>
  </si>
  <si>
    <t>SE ADICIONA AL VALOR DEL CONVENIO ESPECIAL DE COOPERACIÓN NO. 112721-193-2023 (ICETEX NO. 0828-2023) LA SUMA DE ($53.965.265.580), DE ACUERDO CON EL CUPO DE VIGENCIAS FUTURAS AUTORIZADO MEDIANTE RADICADO NO. 2-2023-054135 CON FECHA DEL 12 DE OCTUBRE DE 2023. PARA UN NUEVO VALOR TOTAL DEL CONVENIO POR LA SUMA DE ($119.521.335.758).</t>
  </si>
  <si>
    <t>277 DE 2019</t>
  </si>
  <si>
    <t>899999001-7</t>
  </si>
  <si>
    <t>MINISTERIO DE EDUCACION NACIONAL</t>
  </si>
  <si>
    <t>MODIFICACION NO. 10 PRORROGAR EL PLAZO DE EJECUCIÓN DEL CONVENIO HASTA EL TREINTA (30) DE JUNIO DE 2025.</t>
  </si>
  <si>
    <t>2015-0136</t>
  </si>
  <si>
    <t>FONDO ÚNICO DE TECNOLOGÍAS DE LA INFORMACIÓN Y LAS
COMUNICACIONES</t>
  </si>
  <si>
    <t>PRORROGAR EL PLAZO DEL CONVENIO INTERADMINISTRATIVO NO. 426 DE 2015 / 2015-0136 ICETEX, HASTA EL 30 DE JUNIO DE 2031, PREVIO CUMPLIMIENTO DE LOS REQUISITOS DE PERFECCIONAMIENTO Y EJECUCIÓN DEL CONVENIO,</t>
  </si>
  <si>
    <t>00/11/94/098</t>
  </si>
  <si>
    <t>INSTITUTO COLOMBIANO DE BIENESTAR FAMILIAR -ICBF</t>
  </si>
  <si>
    <t>OTROSÍ NO 24. PRORROGAR EL PLAZO DE EJECUCIÓN DEL CONVENIO INTERADMINISTRATIVO NO. 00/11/94/098 POR TRES (3) AÑOS, ES DECIR HASTA EL VEINTIDÓS (22) DE ABRIL DE 2027</t>
  </si>
  <si>
    <t>2013-0245
186 DE 2013</t>
  </si>
  <si>
    <t xml:space="preserve">830127607-8 </t>
  </si>
  <si>
    <t>AGENCIA NACIONAL DE HIDROCARBUROS - ANH</t>
  </si>
  <si>
    <t>OTROSI NO. 13 EL OBJETO DEL PRESENTE OTROSÍ NO. 13 TIENE POR FINALIDAD ADICIONAR EL VALOR ESTABLECIDO EN LA CLÁUSULA TERCERA. - VALOR DEL FONDO Y FORMA DE DESEMBOLSO DEL CONVENIO NO. 2013-0245 ICETEX/186 DE 2013 AGENCIA ANH SUSCRITO ENTRE ICETEX Y LA AGENCA NACIONAL DE HIDROCARBUROS ANH, (CÓDIGO CONTABLE 121796), POR LAS CONSIDERACIONES EXPUESTAS EN EL PRESENTE DOCUMENTO.</t>
  </si>
  <si>
    <t>2015-0355</t>
  </si>
  <si>
    <t>830144890-8</t>
  </si>
  <si>
    <t>METROVIVIENDA, HOY EMPRESA DE RENOVACIÓN Y DESARROLLO
URBANO DE BOGOTÁ D.C. – ERU.</t>
  </si>
  <si>
    <t>OTROSÍ No 07. EL OBJETO DEL PRESENTE OTROSÍ ES ADICIONAR EL VALOR ESTABLECIDO EN LA CLÁUSULA TERCERA DEL CONVENIO 2015-0355 ( COD 121876) SUSCRITO EL 30 DE DICIEMBRE DE 2015</t>
  </si>
  <si>
    <t>2016-0391</t>
  </si>
  <si>
    <t>SECRETARÍA DE EDUCACIÓN DEL DISTRITO</t>
  </si>
  <si>
    <t>OTROSÍ NO 12 ADICIONAR EL VALOR DEL CONVENIO EN LA SUMA DE CUATRO MIL CIENTO SESENTA Y DOS MILLONES TRESCIENTOS VEINTITRES MIL PESOS M/CTE ($4.162.323.000)</t>
  </si>
  <si>
    <t>2012-0402</t>
  </si>
  <si>
    <t>OTROSÍ NO 17. ADICIONAR EL VALOR DEL CONVENIO EN LA SUMA DE $2.325.128.000 M/CTE. Y, POR LO TANTO, EL VALOR TOTAL DEL FONDO OBJETO DEL CONVENIO CORRESPONDERÁ A LA SUMA DE $162.343.086.325 M/CTE.</t>
  </si>
  <si>
    <t>2019-0298</t>
  </si>
  <si>
    <t>899991091-9</t>
  </si>
  <si>
    <t>DEPARTAMENTO ADMINISTRATIVO DEL SERVICIO CIVIL DISTRITAL</t>
  </si>
  <si>
    <t>OTROSÍ NO 6. MODIFICAR LA CLÁUSULA TERCERA DEL CONVENIO INTERADMINISTRATIVO NO. 065 DE 2019 (NUMERACIÓN DASCD) 20190298 (NUMERACIÓN ICETEX) INCREMENTANDO EL VALOR DE LOS RECURSOS DEL FONDO EDUCATIVO DEL DISTRITO PARA HIJOS DE EMPLEADOS - FEDHE EN LA SUMA DE MIL QUINIENTOS MILLONES DE PESOS MONEDA LEGAL COLOMBIANA ($1.500.000.000,00).</t>
  </si>
  <si>
    <t>2015-0244</t>
  </si>
  <si>
    <t>OTROSÍ 1, PRORROGAR EL PLAZO DE EJECUCIÓN DEL CONVENIO INTERADMINISTRATIVO MARCO DE COOPERACIÓN NÚMERO 1275 DE 2015, HASTA EL TREINTA (30) DE JUNIO DE 2025.</t>
  </si>
  <si>
    <t>0009 DE 2017
2017-0225</t>
  </si>
  <si>
    <t>OTROSÍ NO 4.PRORROGAR EL PLAZO DEL CONVENIO INTERADMINISTRATIVO NO. 0000009 DE 2017 (20170225 ICETEX), HASTA EL 11 DE NOVIEMBRE DE 2024.</t>
  </si>
  <si>
    <t>2014-0306</t>
  </si>
  <si>
    <t>OTROSÍ NO 13. MODIFICAR LA CLÁUSULA TERCERA DEL CONVENIO NO. 038 (NUMERACIÓN DASCD), 2014- 306 (NUMERACIÓN ICETEX) INCREMENTANDO EL VALOR DE LOS RECURSOS DEL FONDO EDUCATIVO PARA CAPACITACIÓN EDUCATIVA DE LOS EMPLEADOS PÚBLICOS DEL DISTRITO CAPITAL - FRADEC EN LA SUMA DE DOS MIL QUINIENTOS MILLONES DE PESOS MONEDA LEGAL COLOMBIANA ($2.500.000.000).</t>
  </si>
  <si>
    <t>2021-1094</t>
  </si>
  <si>
    <t>899999296-2 
890980040-8</t>
  </si>
  <si>
    <t>MINISTERIO DE CIENCIA, TECNOLOGÍA E INNOVACIÓN 
UNIVERSIDAD DE ANTIOQUIA</t>
  </si>
  <si>
    <t>EL OBJETO DE PRESENTE OTROSÍ No 1 ES MODIFICAR LA CLAUSULA SEXTA Y OCTAVA Y PRORROGAR EL PLAZO DEL CONTRATO ESTABLECIDO EN LA CLAUSULA SEPTIMA PLAZO DEL CONTRATO EN 12 MESES MAS</t>
  </si>
  <si>
    <t>2013-0286</t>
  </si>
  <si>
    <t>900474727-4</t>
  </si>
  <si>
    <t>MINISTERIO DE SALUD Y PROTECCIÓN SOCIAL</t>
  </si>
  <si>
    <t>OTROSÍ NO 10. ADICIONAR EL VALOR DEL CONVENIO 2013-0286 EN SUMA DE (800.000.000,00)</t>
  </si>
  <si>
    <t>2021-1093</t>
  </si>
  <si>
    <t>EL OBJETO DEL PRESENTE DOCUMENTO ES PRORROGAR EL PLAZO ESTABLECIDO EN LA CLÁUSULA SÉPTIMA DEL CONTRATO DE FINANCIAMIENTO DE RECUPERACIÓN CONTINGENTE N° 2021-1093 (PROYECTO 82592).</t>
  </si>
  <si>
    <t>2023-0631</t>
  </si>
  <si>
    <t>899999296-2
890980040-8</t>
  </si>
  <si>
    <t>EL OBJETO DEL PRESENTE OTROSÍ NO. 01 ES MODIFICAR LAS CLÁUSULAS: CUARTA -VALOR DEL CONTRATO Y DESEMBOLSOS; CLÁUSULA QUINTA – CONTRAPARTIDA; CLÁUSULA SEXTA - CONDICIONES DE FINANCIAMIENTO Y CLÁUSULA OCTAVA - PRODUCTOS ESPERADOS, DEL CONTRATO DE FINANCIAMIENTO DE RECUPERACIÓN CONTINGENTE NO. 2023-0631</t>
  </si>
  <si>
    <t>2014-0260</t>
  </si>
  <si>
    <t>MINISTERIO DE TECNOLOGÍAS DE LA INFORMACIÓN Y
LAS COMUNICACIONES</t>
  </si>
  <si>
    <t>OTROSÍ NO 8. PRORROGAR EL PLAZO DEL CONVENIO INTERADMINISTRATIVO NO. 000017 DE 2014 (PARA EL ICETEX NO 2014-0260), HASTA EL 25 DE JULIO DE 2025.</t>
  </si>
  <si>
    <t>2021-1012</t>
  </si>
  <si>
    <t>899999296-2 
899999063-3</t>
  </si>
  <si>
    <t>MINISTERIO DE CIENCIA, TECNOLOGÍA E INNOVACIÓN UNIVERSIDAD NACIONAL DE COLOMBIA SEDE BOGOTÁ</t>
  </si>
  <si>
    <t>OTROSÍ NO 1.  EL OBJETO DEL PRESENTE DOCUMENTO ES PRORROGAR EL PLAZO ESTABLECIDO EN LA CLÁUSULA SÉPTIMA DEL CONTRATO DE FINANCIAMIENTO DE RECUPERACIÓN CONTINGENTE N° 2021-1012 (PROYECTO 82305).</t>
  </si>
  <si>
    <t>2021-1013</t>
  </si>
  <si>
    <t>OTROSÍ NO 1. EL OBJETO DEL PRESENTE DOCUMENTO ES PRORROGAR EL PLAZO ESTABLECIDO EN LA CLÁUSULA SÉPTIMA DEL CONTRATO DE FINANCIAMIENTO DE RECUPERACIÓN CONTINGENTE N° 2021-1013 (PROYECTO 82237).</t>
  </si>
  <si>
    <t>2022-0455</t>
  </si>
  <si>
    <t>OTROSÍ NO 1. EL OBJETO DEL PRESENTE DOCUMENTO ES PRORROGAR EL PLAZO ESTABLECIDO EN LA CLÁUSULA SÉPTIMA DEL CONTRATO DE FINANCIAMIENTO DE RECUPERACIÓN CONTINGENTE N° 2022-0455 (PROYECTO 82349).</t>
  </si>
  <si>
    <t>2021-1014</t>
  </si>
  <si>
    <t>OTROSÍ NO 1. EL OBJETO DEL PRESENTE DOCUMENTO ES PRORROGAR EL PLAZO ESTABLECIDO EN LA CLÁUSULA SÉPTIMA DEL CONTRATO DE FINANCIAMIENTO DE RECUPERACIÓN CONTINGENTE N° 2021-1014 (PROYECTO 82512).</t>
  </si>
  <si>
    <t>2022-0456</t>
  </si>
  <si>
    <t>OTROSÍ NO 1. EL OBJETO DEL PRESENTE DOCUMENTO ES MODIFICAR EL ÍTEM 2 DEL CUADRO DE DIÁLOGO DENOMINADO “FORMACIÓN DE RECURSO HUMANO” DE LA CLÁUSULA OCTAVA. - PRODUCTOS ESPERADOS DEL CONTRATO DE FINANCIAMIENTO DE RECUPERACIÓN CONTINGENTE N° 2022-0456 (PROYECTO 82487).</t>
  </si>
  <si>
    <t>2018-0410
414 DE 2018</t>
  </si>
  <si>
    <t>899999114-0</t>
  </si>
  <si>
    <t>DEPARTAMENTO DE CUNDINAMARCA</t>
  </si>
  <si>
    <t>OTROSÍ NO 7. EL PRESENTE DOCUMENTO TIENE COMO FINALIDAD ADICIONARL LA CLÁUSULA TERCERA - VALOR Y FORMA DE DESEMBOLSO DEL CONV 2018-0410</t>
  </si>
  <si>
    <t>2022-0743</t>
  </si>
  <si>
    <t>899999296-2
899999063-3</t>
  </si>
  <si>
    <t>MINISTERIO DE CIENCIA, TECNOLOGÍA E INNOVACIÓN
UNIVERSIDAD NACIONAL DE COLOMBIA - SEDE MANIZALES</t>
  </si>
  <si>
    <t>OTROSÍ No 1. EL OBJETO DEL PRESENTE OTROSÍ 1 ES EL DE PRORROGAR EL CONTRATO ESTABLECIDO EN LA CLAUSULA SEPTIM - PLAZO DEL  CONTRATO , EN SEIS MESES MAS</t>
  </si>
  <si>
    <t>2015-0332
1467 DE 2015</t>
  </si>
  <si>
    <t>MINISTERIO DE EDUCACIÓN NACIONAL</t>
  </si>
  <si>
    <t>OTROSÍ NO 3, PRORROGAR EL PLAZO DE EJECUCIÓN DEL CONVENIO INTERADMINISTRATIVO 1467 DE 2015 (MEN) - (20150332 ICETEX) HASTA EL 30 DE JUNIO DE 2025.</t>
  </si>
  <si>
    <t>2023-0585</t>
  </si>
  <si>
    <t>899999083-1</t>
  </si>
  <si>
    <t>DEPARTAMENTO ADMINISTRATIVO DE LA PRESIDENCIA DE LA REPÚBLICA DAPRE</t>
  </si>
  <si>
    <t>OTROSÍ NO 2. PRÓRROGAR EL PLAZO PARA LA EJECUCIÓN DE LOS RECURSOS ASIGNADOS, CONFORME LO DISPUESTO EN EL PARÁGRAFO DE LA CLÁUSULA QUINTA DEL CONVENIO INTERADMINISTRATIVO DAPRE NO. 138-23 / ICETEX NO. 0585-2023, HASTA EL 31 DE DICIEMBRE DE 2025.</t>
  </si>
  <si>
    <t>2016-0380
246 INPEC</t>
  </si>
  <si>
    <t>OTROSÍ No 10. EL OBJETO DEL PRESENTE DOCUMENTO ES ADICIONAR EL VALOR ESTABLECIDO EN LA CLÁUSULA TERCERA DEL CONVENIO No 2016-0380 DEL 23 DE NOVIEMBRE DE 2016</t>
  </si>
  <si>
    <t>2008-0031
7.026-2008</t>
  </si>
  <si>
    <t>899999090-2</t>
  </si>
  <si>
    <t>MINISTERIO DE HACIENDA Y CRÉDITO PÚBLICO</t>
  </si>
  <si>
    <t>OTROSÍ NO. 16 ADICIONAR EL VALOR DEL CONV 7.026-2008 MINHACIENDA / 2008-0031 ICETEX, EN LA SUMA DE ($131.000.000,00) PARA LA VIGENCIA 2024, PARA UIN VALOR TOTAL ACUMULADOI DE ($2.283.110.281,00)</t>
  </si>
  <si>
    <t>2019-0283
7.002-2019</t>
  </si>
  <si>
    <t>OTROSÍ No 6. ADICIONAR EL VALOR DEL CONVENIO 7.002-2019 MINHACIENDA / 2019-0283 ICETEX, EN LA SUMA DE ($242.781.000,00) PARA LA VIGENCIA 2024, PARA UN VALOR TOTAL ACUMULADO ($1.295.781.000,00)</t>
  </si>
  <si>
    <t>2022-0733</t>
  </si>
  <si>
    <t>899999296-2
891780111-8</t>
  </si>
  <si>
    <t>MINISTERIO DE CIENCIA, TECNOLOGÍA E INNOVACIÓN 
UNIVERSIDAD DEL MAGDALENA - UNIMAGDALENA</t>
  </si>
  <si>
    <t>OTROSÍ NO 1. MODIFICAR LAS CLÁUSULAS: CLAÚSULA CUARTA - CONTRATO Y DESEMBOLSOS; CLÁUSULA QUINTA – CONTRAPARTIDA; CLÁUSULA SEXTA - CONDICIONES DE FINANCIAMIENTO Y</t>
  </si>
  <si>
    <t>2021-1028</t>
  </si>
  <si>
    <t>899999296-2 
891780111-8</t>
  </si>
  <si>
    <t>MINISTERIO DE CIENCIA, TECNOLOGÍA E INNOVACIÓN 
UNIVERSIDAD DEL MAGDALENA</t>
  </si>
  <si>
    <t>OTROSÍ NO 1, EL OBJETO DEL PRESENTE DOCUMENTO ES PRORROGAR EL PLAZO ESTABLECIDO EN LA CLÁUSULA SÉPTIMA DEL CONTRATO DE FINANCIAMIENTO DE RECUPERACIÓN CONTINGENTE N° 2021-1028 (PROYECTO 82503).</t>
  </si>
  <si>
    <t>2018-0386</t>
  </si>
  <si>
    <t>890102257-3</t>
  </si>
  <si>
    <t>UNIVERSIDAD DEL ATLÁNTICO</t>
  </si>
  <si>
    <t>OTROSÍ No 4. EL OBJETO DEL PRESENTE OTROSÍ No 4 ES ADICIONAR EL VALOR ESTABLECIDO EN LA CLAUSULA TERCERA - VALOR DEL FONDO Y FORMA DE DESEMBOLSO DEL CONVENIO No 2018-0386, DEL 26 DE NOVIEMBRE DE 2018</t>
  </si>
  <si>
    <t>1619 DE 2011</t>
  </si>
  <si>
    <t>2011-0299</t>
  </si>
  <si>
    <t>899.999.061-9
901.508.361-4</t>
  </si>
  <si>
    <t>LA SECRETARÍA DE EDUCACIÓN DEL DISTRITO SED, (ENTIDAD SUBROGANTE)
LA AGENCIA DISTRITAL PARA LA EDUCACIÓN SUPERIOR, LA CIENCIA Y LA TECNOLOGÍA ATENEA</t>
  </si>
  <si>
    <t>OTROSÍ NO 6. PRORROGAR LA DURACIÓN ESTABLECIDA EN LA CLÁUSULA CUARTA DEL CONVENIO N° 1619 DE 2011 ATENEA.</t>
  </si>
  <si>
    <t>2020-0391
CO1.PCCNTR.1641029 DE 2020</t>
  </si>
  <si>
    <t>OTROSÍ NO 12. AUMENTAR LOS RECURSOS DEL FONDO SOLIDARIO PARA LA EDUCACIÓN, EN LA LÍNEA 3 D AUXILIO ECONÓMICO PARA EL PAGO DE LA MATRÍCULA DE LOS JÓVENES EN CONDICIÓN DE VULNERABILIDAD, EN INSTITUCIONES DE EDUCACIÓN SUPERIOR PÚBLICA EN LA SUMA DE  ($81.954.446.101))</t>
  </si>
  <si>
    <t>2017-0468
1462 DE 2017</t>
  </si>
  <si>
    <t>PRORROGAR EL PLAZO DE EJECUCIÓN DEL CONVENIO INTERADMINISTRATIVO NO. 1462-2017 (MEN) / 2017 0468 (ICETEX), HASTA EL 31 DE DICIEMBRE DE 2027. ADICIONAR AL VALOR DEL CONVENIO LA SUMA DE SETENTA Y SEIS MILLONES SEISCIENTOS DOS MIL OCHOCIENTOS TRES PESOS M/CTE ($76.602.803).</t>
  </si>
  <si>
    <t>1189 DE 2015</t>
  </si>
  <si>
    <t>OTROSÍ NO 6. ADICIONAR AL VALOR DEL CONTRATO INTERADMINISTRATIVO NO. 1189 DE 2015 LA SUMA DE MIL SEISCIENTOS OCHO MILLONES NOVECIENTOS SETENTA Y OCHO MIL SEISCIENTOS TREINTA Y SIETE PESOS M/CTE. ($1.608.978.637).</t>
  </si>
  <si>
    <t xml:space="preserve">2013-0141
389 DE 2013 </t>
  </si>
  <si>
    <t>OTROSÍ No 19. ADICIONAR EL VALOR DEL CONVENIO No. 389 DE 2013 EN LA SUMA DE ($102.572.730.000), CON CARGO A RECURSOS DEL MINISTERIO DE EDUCACIÓN NACIONAL.</t>
  </si>
  <si>
    <t>2023-0904</t>
  </si>
  <si>
    <t xml:space="preserve">INSTITUTO COLOMBIANO DE BIENESTAR FAMILIAR CECILIA DE LA FUENTE DE LLERAS – ICBF </t>
  </si>
  <si>
    <t>MODIFICACIÓN NO 1. MODIFICAR LA CLÁUSULA SEGUNDA DEL CONVENIO INTERADMINISTRATIVO NO. 01018542023 ICBF ICETEX 2023-0904</t>
  </si>
  <si>
    <t>2023-0899</t>
  </si>
  <si>
    <t>SERVICIO ALEMAN DE INTERCAMBIO ACADEMICO DAAD</t>
  </si>
  <si>
    <t>OTROSÍ No 1. EL OBJETO DEL PRESENTE OTROSÍ No 1, DE MODIFICACIÓN AL ACUERDO ESTRATÉGICO No 2023-0899 ES MODIFICAR EL ANEXO 1B DEL ACUERDO ESTRATÉGICO E INCORPORAR LOS RECURSOS DE PARTE DE ICETEX PARA LA VIGENCIA 2024</t>
  </si>
  <si>
    <t>AD Y MOD</t>
  </si>
  <si>
    <t>OTROSÍ NO 3. MODIFICAR LAS CLÁUSULAS SEGUNDA Y SEXTA DEL CONVENIO INTERADMINISTRATIVO DAPRE NO.138-23 / ICETEX NO.0585-2023, DE ACUERDO CON LA SOLICITUD Y JUSTIFICACIÓN PRESENTADA POR LA SUPERVISIÓN DEL CONVENIO.</t>
  </si>
  <si>
    <t>2019-0205
0001 DE 2019</t>
  </si>
  <si>
    <t>900039533-8</t>
  </si>
  <si>
    <t>DEPARTAMENTO ADMINISTRATIVO PARA LA PROSPERIDAD SOCIAL</t>
  </si>
  <si>
    <t>MODIFICACION NO. 13. REDUCIR AL VALOR DEL CONVENIO INTERADMINISTRATIVO LA SUMA DE UN BILLÓN CUATROCIENTOS VEINTISÉIS MIL CUATROCIENTOS CUATRO MILLONES NOVECIENTOS DIECISÉIS MIL
CIENTO VEINTIDÓS PESOS M/CTE ($1.426.404.916.122).</t>
  </si>
  <si>
    <t>2021-0871</t>
  </si>
  <si>
    <t>AGENCIA PARA LA REINCORPORACIÓN Y LA NORMALIZACIÓN (ARN)</t>
  </si>
  <si>
    <t>OTROSÍ NO 2. EL OBJETO DEL PRESENTE DOCUMENTO, ES ADICIONAR EL VALOR ESTABLECIDO EN LA CLÁUSULA TERCERA Y PRORROGAR EL PLAZO PACTADO EN LA CLÁUSULA QUINTA DEL ANEXO DE CONDICIONES CONTRACTUALES DEL CONTRATO INTERADMINISTRATIVO ARN NO. 1549-2021 – ICETEX NO. 2021-0871, DEL 30 DE JULIO DE 2021.</t>
  </si>
  <si>
    <t>2022-0670</t>
  </si>
  <si>
    <t>899999296-2
899999230-7</t>
  </si>
  <si>
    <t>MINISTERIO DE CIENCIA, TECNOLOGÍA E INNOVACIÓN 
UNIVERSIDAD DISTRITAL FRANCISCO JOSÉ DE CALDAS</t>
  </si>
  <si>
    <t xml:space="preserve">OTROSÍ No 1. EL OBJETO DEL PRESENTE DOCUMENTO ES PRORROGAR EL PLAZO ESTABLECIDO EN LA CLÁUSULA SÉPTIMA DEL CONTRATO DE FINANCIAMIENTO DE RECUPERACIÓN CONTINGENTE No 2022-0670 </t>
  </si>
  <si>
    <t>0009 DE 2020 2020-0757</t>
  </si>
  <si>
    <t>899999001-7
800176983-2</t>
  </si>
  <si>
    <t>MINISTERIO DE EDUCACIÓN NACIONAL
FULBRIGHT COLOMBIA</t>
  </si>
  <si>
    <t>OTROSÍ NO 4. PRORROGAR EL PLAZO DE EJECUCIÓN DEL CONVENIO DE COOPERACIÓN, HASTA EL 23 DE AGOSTO DE 2034</t>
  </si>
  <si>
    <t>2022-0803</t>
  </si>
  <si>
    <t>899999296-2
890501510-4</t>
  </si>
  <si>
    <t>MINISTERIO DE CIENCIA, TECNOLOGÍA E INNOVACIÓN 
UNIVERSIDAD DE PAMPLONA</t>
  </si>
  <si>
    <t>OTROSÍ NO 1. EL OBJETO DEL PRESENTE OTROSÍ NO. 01 ES MODIFICAR LA CLÁUSULA SEXTA - CONDICIONES DE FINANCIAMIENTO, DEL CONTRATO DE FINANCIAMIENTO DE RECUPERACIÓN CONTINGENTE NO. 2022-0803</t>
  </si>
  <si>
    <t>2023-0894</t>
  </si>
  <si>
    <t xml:space="preserve">MINISTERIO DE EDUCACIÓN NACIONAL </t>
  </si>
  <si>
    <t>OTROSÍ NO 1. ADICIONAR AL VALOR DEL CONTRATO INTERADMINISTRATIVO NO. CO1.PCCNTR.5682762 DE 2023 LA SUMA DE OCHO MIL OCHOCIENTOS SETENTA MILLONES SESENTA MIL TRESCIENTOS CUARENTA Y CINCO PESOS CON VEINTIÚN CENTAVOS M/CTE ($8.870.060.345,21).</t>
  </si>
  <si>
    <t>2007-0081</t>
  </si>
  <si>
    <t>830025406-6</t>
  </si>
  <si>
    <t>U.A.E. – CONTADURÍA GENERAL DE LA NACIÓN</t>
  </si>
  <si>
    <t>OTROSÍ NO 19. MODIFICAR LA CLÁUSULA SEGUNDA – FINALIDAD DEL CONVENIO NO. 2007-081</t>
  </si>
  <si>
    <t>2022-0741</t>
  </si>
  <si>
    <t>899999296-2
890700640-7</t>
  </si>
  <si>
    <t>MINISTERIO DE CIENCIA, TECNOLOGÍA E INNOVACIÓN
UNIVERSIDAD DEL TOLIMA</t>
  </si>
  <si>
    <t>OTROSÍ NO 1. EL OBJETO DEL PRESENTE DOCUMENTO ES PRORROGAR EL PLAZO ESTABLECIDO EN LA CLÁUSULA SÉPTIMA DEL CONTRATO DE FINANCIAMIENTO DE RECUPERACIÓN CONTINGENTE N° 2022-0740 (PROYECTO 82729).</t>
  </si>
  <si>
    <t>2015-0169</t>
  </si>
  <si>
    <t>890480184-4</t>
  </si>
  <si>
    <t>DISTRITO TURÍSTICO Y CULTURAL DE CARTAGENA DE INDIAS</t>
  </si>
  <si>
    <t>OTROSÍ No 21. ADICIONAR EL VALOR DEL FONDO DEMONIDADO "FONDO EDUCATIVO BICENTENARIO DISTRITO DE CARTAGENA", ESTABLECIDO EN LA CLÁUSULA TERCERA DEL CONV 2015-0169</t>
  </si>
  <si>
    <t>121961
121969</t>
  </si>
  <si>
    <t>2010-0356
044 DE 2010</t>
  </si>
  <si>
    <t>OITROSÍ NO 22. ADICIONAR AL CONVENIO NO. 044 DE 2010 COMO APORTE DEL MINISTERIO DE EDUCACIÓN NACIONAL, LA SUMA DE TRES MIL SETECIENTOS CINCUENTA Y SEIS MILLONES CUATROCIENTOS CUARENTA Y UN MIL TRESCIENTOS DOCE PESOS M/CTE ($3.756.441.312).</t>
  </si>
  <si>
    <t>2014-0365</t>
  </si>
  <si>
    <t>SECRETARÍA DISTRITAL DE HACIENDA - SDH</t>
  </si>
  <si>
    <t>OTROSÍ NO 8. EL OBJETO DEL PRESENTE DOCUMENTO DE OTROSÍ N°8, ES ADICIONAR EL VALOR DEL "FONDO CUENTA CONCEJO DE BOGOTA D.C. SECRETARÍA DISTRITAL DE HACIENDA-ICETEX" CONSTITUIDO A TRAVÉS DEL CONVENIO NO. 2014-0365-ICETEX/ 140422-0- 2014 SDH DE FECHA 29 DE DICIEMBRE DE 2014, DE CONFORMIDAD CON LAS CONSIDERACIONES EXPUESTAS.</t>
  </si>
  <si>
    <t>2003-0296</t>
  </si>
  <si>
    <t>OTROSÍ No 13. EL VALOR DEL PRESENTE DOCUMENTO ES ADICIONAR EL VALOR ACTUAL DEL CONVENIO ESTABLECIDO EN LA CLÁUSULA SEGUNDA VALOR</t>
  </si>
  <si>
    <t>281 DE 2019 MEN</t>
  </si>
  <si>
    <t>OTROSÍ NO 6. ADICIONAR AL VALOR DEL CONVENIO LA SUMA DE CINCO MIL CUATROCIENTOS SETENTA Y SIETE MILLONES SETECIENTOS SEIS MIL PESOS M/CTE ($5.477.706.000).</t>
  </si>
  <si>
    <t>2022-0767</t>
  </si>
  <si>
    <t>800176089-2</t>
  </si>
  <si>
    <t>SUPERINTENDENCIA DE INDUSTRIA Y COMERCIO</t>
  </si>
  <si>
    <t>OTROSÍ NO 2. EL OBJETO DEL PRESENTE OTROSÍ NO. 02 ES ADICIONAR EL VALOR ESTABLECIDO EN LA CLÁUSULA SÉPTIMA - VALOR DEL CONVENIO INTERADMINISTRATIVO NO. 1576 DE 2022 (SUPERINTENDENCIA) - NO. 2022-0767 (ICETEX), DEL 23 DE DICIEMBRE DE 2022 (CÓDIGO CONTABLE NO. 122124).</t>
  </si>
  <si>
    <t>2022-0802</t>
  </si>
  <si>
    <t>MINISTERIO DE CIENCIA, TECNOLOGÍA E INNOVACIÓN 
UNIVERSIDAD NACIONAL DE COLOMBIA - SEDE BOGOTÁ</t>
  </si>
  <si>
    <t>OTROSÍ NO 1. EL OBJETO DEL PRESENTE DOCUMENTO ES PRORROGAR EL PLAZO ESTABLECIDO EN LA CLÁUSULA SÉPTIMA DEL CONTRATO DE FINANCIAMIENTO DE RECUPERACIÓN CONTINGENTE N° 2022-0802 (PROYECTO 82674).</t>
  </si>
  <si>
    <t>2007-0199</t>
  </si>
  <si>
    <t>800250984-6</t>
  </si>
  <si>
    <t>SUPERINTENDENCIA DE SERVICIOS PÚBLICOS DOMICILIARIOS</t>
  </si>
  <si>
    <t>OTROSÍ NO 19. EL OBJETO DEL PRESENTE OTROSÍ ES ADICIONAR EL CONVENIO DE ACUERDO A LO ESTABLECIDO EN LA CLÁUSULA TERCERA DEL CONVENIO CÓDIGO CONTABLE N° 120906 (SUSCRITO EL 28 DE MAYO DE 1996).</t>
  </si>
  <si>
    <t>2017-0418</t>
  </si>
  <si>
    <t>899999336-9</t>
  </si>
  <si>
    <t>DEPARTAMENTO DEL AMAZONAS</t>
  </si>
  <si>
    <t>OTROSÍ No 2. EL OBJETO DEL PRESENTE OTROSÍ ES MODIFICAR LA CLAUSULA SEXTA - PLAZO DEL CONV 2017-0418 SUSCRITO EL 10 DE NOVIEMBRE DE 2017</t>
  </si>
  <si>
    <t>2017-0406</t>
  </si>
  <si>
    <t>890102006-1</t>
  </si>
  <si>
    <t>DEPARTAMENTO DEL ATLÁNTICO</t>
  </si>
  <si>
    <t>OTROSÍ No 5 EL OBJETO DEL PRESENTE OTROSÍ ES PRÓRROGAR EL PLAZO ACORDADO EN LA CLÁUSULA QUINTA DEL CONVENIO INTERADMINISTRATIVO No 2017-0406</t>
  </si>
  <si>
    <t>018F-2001</t>
  </si>
  <si>
    <t>890900286-0</t>
  </si>
  <si>
    <t>DEPARTAMENTO DE ANTIOQUIA</t>
  </si>
  <si>
    <t>OTROSÍ No 18. EL OBJETO DEL PRESENTE OTROSÍ ES ADICIONAR EL VALOR ESTABLECIDO EN LA CLAUSULA TERCERA Y PRORROGAR EL PLAZO ACORDADO EN LA CLÁUSULA DÉCIMA PRIMERA DEL CONVENIO No 018F-2001</t>
  </si>
  <si>
    <t>2021-1031</t>
  </si>
  <si>
    <t>OTROSÍ NO 1. EL OBJETO DEL PRESENTE DOCUMENTO ES PRORROGAR EL PLAZO ESTABLECIDO EN LA CLÁUSULA SÉPTIMA DEL CONTRATO DE FINANCIAMIENTO DE RECUPERACIÓN CONTINGENTE N° 2021-1031 (PROYECTO 82723).</t>
  </si>
  <si>
    <t>2016-0097</t>
  </si>
  <si>
    <t>MINISTERIO DE DEFENSA NACIONAL - MDN</t>
  </si>
  <si>
    <t>OTROSÍ No 11. ADICIONAR EL VALOR DE EL FONDO ESTABLECIDO EN LA CLAUSULA CUART DEL CONVENIO 2016-0097 EN LA SUMA (5.000.000.000,00), CORRESPONDIENTES A RECURSOS DE EL CONSTITUYENTE PARA LA VIGENCIA FISCAL 2024</t>
  </si>
  <si>
    <t>2022-0636</t>
  </si>
  <si>
    <t>FONDO DE DESARROLLO LOCAL DE USAQUÉN</t>
  </si>
  <si>
    <t>OTROSÍ 2. EL OBJETO DEL PRESENTE OTROSÍ ES ADICIONAR EL VALOR DEFINIDO EN LA CLÁUSULA CUARTA Y PRORROGAR EL PLAZO, ESTABLECIDO EN LA CLÁUSULA SEGUNDA DEL CONVENIO INTERADMINISTRATIVO NO. 2022-0636 ICETEX/ CI-546-2022 FDLUS, SUSCRITO EL DÍA 23 DE SEPTIEMBRE DE 2022.</t>
  </si>
  <si>
    <t>2021-1070</t>
  </si>
  <si>
    <t>899999296-2 
891480035-9</t>
  </si>
  <si>
    <t>MINISTERIO DE CIENCIA, TECNOLOGÍA E INNOVACIÓN 
UNIVERSIDAD TECNOLOGICA DE PEREIRA</t>
  </si>
  <si>
    <t>OTROSÍ NO 1. EL OBJETO DEL PRESENTE OTROSÍ NO. 01 ES MODIFICAR LAS CLÁUSULAS: CUARTA -VALOR DEL CONTRATO Y DESEMBOLSOS; CLÁUSULA QUINTA – CONTRAPARTIDA; CLÁUSULA SEXTA - CONDICIONES DE FINANCIAMIENTO Y PRORROGAR EL PLAZO ESTABLECIDO EN LA CLÁUSULA SÉPTIMA DEL CONTRATO DE FINANCIAMIENTO DE RECUPERACIÓN CONTINGENTE NO. 2021-1070</t>
  </si>
  <si>
    <t>2017-0411</t>
  </si>
  <si>
    <t>891580016-8</t>
  </si>
  <si>
    <t>DEPARTAMENTO DEL CAUCA</t>
  </si>
  <si>
    <t>OTROSÍ No 2. EL OBJETO DEL PRESENTE DOCUMENTO ES PRORROGAR EL PLAZO ESTABLECIDO EN LA CLÁUSULA SEXTA DEL CONVENIO INTERADMINISTRATIVO 2017-0411</t>
  </si>
  <si>
    <t>2016-0421
1400 DE 2016</t>
  </si>
  <si>
    <t>OTROSÍ NO 16. ADICIONAR EL VALOR DEL CONTRATO INTERADMINISTRATIVO EN LA SUMA DE DIEZ MIL MILLONES DE PESOS ($10.000.000.000 M/CTE.), RECURSOS QUE CORRESPONDEN AL CÓDIGO CONTABLE 121909.</t>
  </si>
  <si>
    <t>2017-0410</t>
  </si>
  <si>
    <t>DEPARTAMENTO DEL VALLE DEL CAUCA</t>
  </si>
  <si>
    <t>OTROSÍ No 2. EL OBJETO DEL PRESENTE OTROSÍ ES MODIFICAR LAS SIGUIENTES CLÁUSULAS DEL CONVENIO INTERADMINISTRATIVO No 2017-0410: VALOR Y FORMA DE DESEMBOLSO</t>
  </si>
  <si>
    <t>OTROSÍ NO 5.EL OBJETO DEL PRESENTE OTROSÍ NO. 05 ES PRORROGAR LA DURACIÓN ESTABLECIDA EN LA CLÁUSULA QUINTA DEL CONVENIO NO. 2018-0386, DEL 26 DE NOVIEMBRE DE 2018 (CÓDIGO CONTABLE NO. 121979).</t>
  </si>
  <si>
    <t>2011-0333
70004-2011</t>
  </si>
  <si>
    <t>OTROSÍ No 19. ADICIONAR AL CONVENIO INTERADMINISTRATIVO No 7.004-2011 MINHACIENDA / 2011-0333 ICETEX, LA SUMA DE ($2.200.566.684), PARA UN VALOR TOTAL ACUMULADO DE (13.449.182.109,41)</t>
  </si>
  <si>
    <t>2022-0457</t>
  </si>
  <si>
    <t>899999296-2 
891190346-1</t>
  </si>
  <si>
    <t>MINISTERIO DE CIENCIA, TECNOLOGÍA E INNOVACIÓN 
UNIVERSIDAD DE LA AMAZONIA</t>
  </si>
  <si>
    <t>OTROSÍ No 1. MODIFICAR LA CLAUSULA OCTAVA - PRODUCTOS ESPERADOS, EN LA SECCIÓN DE APROPIACIÓN SOCIAL DEL CONOCIMIENTO DEL CONTRATO DE FINANCIAMIENTO DE RECUPERACIÓN CONTINGENTE</t>
  </si>
  <si>
    <t>2018-0455</t>
  </si>
  <si>
    <t>860024575-7</t>
  </si>
  <si>
    <t>COOPERATIVA ALIANZA</t>
  </si>
  <si>
    <t>OTROSÍ NO 2. EL OBJETO DEL PRESENTE DOCUMENTO ES PRORROGAR LA DURACIÓN DEL CONVENIO NO. 2018-0455 (CÓDIGO 122053), ESTABLECIDA EN LA CLAUSULA QUINTA.</t>
  </si>
  <si>
    <t>2015-0354</t>
  </si>
  <si>
    <t xml:space="preserve">830034348-5 
860014918-7 </t>
  </si>
  <si>
    <t>MINISTERIO DE CULTURA
UNIVERSIDAD EXTERNADO DE COLOMBIA</t>
  </si>
  <si>
    <t>OTROSÍ NO 5. MODIFICAR LA CLÁUSULA QUINTA DEL CONVENIO DE COOPERACIÓN INTERINSTITUCIONAL NRO. 3027-15 (2015/0354 ICETEX) EN EL SENTIDO DE PRORROGAR EL PLAZO DE EJECUCIÓN POR EL TÉRMINO DE DOS (2) AÑOS.</t>
  </si>
  <si>
    <t>OTROSÍ NO 13. PRORROGAR EL PLAZO DE EJECUCIÓN DEL CONVENIO CO1.PCCNTR.1641029 DE 2020, HASTA EL 30 DE JUNIO DE 2026</t>
  </si>
  <si>
    <t>2015-0230
COD 121861</t>
  </si>
  <si>
    <t>830000167-2</t>
  </si>
  <si>
    <t>INSTITUTO NACIONAL DE VIGILANCIA DE  MEDICAMENTOS Y ALIMENTOS - INVIMA</t>
  </si>
  <si>
    <t>OTROSÍ No 11. EL OBJETO DEL PRESENTE DOCUMENTO ES ADICIONAR EL VALOR ESTABLECIDO EN LA CLÁUSULA TERCERA Y PRORROGAR LA DURACIÓN DEL CONVENIO PACTADO EN LA CLÁUSULA QUINTA DLE FONDO CONSTITUIDO MEDIANTE EL CONVENIO 2015-0230 ICETEX / 395 INVIMA (COD 121861) SUSCRITO ENTRE EL ICETEX Y EL INVIMA</t>
  </si>
  <si>
    <t>OTROSÍ No 17. ADICIONAR EL VALOR DEL CONTRATO INTERADMINISTRATIVO EN LA SUMA DE ($2.400.000.000 M/Cte)</t>
  </si>
  <si>
    <t>2023-0674</t>
  </si>
  <si>
    <t>OTROSÍ NO 1. EL OBJETO DEL PRESENTE DOCUMENTO, ES ADICIONAR EL VALOR ESTABLECIDO EN LA CLÁUSULA TERCERA Y MODIFICAR LA CLÁUSULA VIGÉSIMA PRIMERA DEL CONVENIO INTERADMINISTRATIVO NO. 046 CONSTITUYENTE Y NO. 2023-0674 ICETEX.</t>
  </si>
  <si>
    <t>OTROSÍ NO 2. EL OBJETO DEL PRESENTE DOCUMENTO, ES ADICIONAR EL VALOR ESTABLECIDO EN LA CLÁUSULA TERCERA DEL CONVENIO INTERADMINISTRATIVO NO. 046 CONSTITUYENTE Y NO. 2023-0674.</t>
  </si>
  <si>
    <t>041F-1991</t>
  </si>
  <si>
    <t>SUPERINTENDENCIA DE NOTARIADO Y REGISTRO - SNR</t>
  </si>
  <si>
    <t>OTROSÍ No 26. EL OBJETO DEL PRESENTE OTROSÍ No 26 ES ADICIONAR EL VALOR ESTABLECIDO EN LA CLÁUSULA TERCERA DEL CONV 041 F-91 DE 1991 SUSCRITO EL 27 DE DICIEMBRE DE 1991</t>
  </si>
  <si>
    <t>267 DE 2006
122 DE 2006 ICETEX</t>
  </si>
  <si>
    <t>OTROSÍ No 14. PRORROGAR EL PLAZO DEL CONVENIO INTERADMINISTRATIVO NO 267 DE 2006 (122 ICETEX) HASTA EL 31 DE DICIEMBRE DE 2025</t>
  </si>
  <si>
    <t>2007-0172</t>
  </si>
  <si>
    <t>900034993-1</t>
  </si>
  <si>
    <t>COMISIÓN REGULADORA
DE ENERGIA Y GAS -CREG</t>
  </si>
  <si>
    <t>OTROSÍ NO 7. EL OBJETO DEL PRESENTE DOCUMENTO ES ADICIONAR EL VALOR ESTABLECIDO EN LA CLÁUSULA TERCERA DEL CONVENIO N°2007-0172 SUSCRITO EL 27 DE NOVIEMBRE DE 2007.</t>
  </si>
  <si>
    <t>2017-0477</t>
  </si>
  <si>
    <t>OTROSÍ No 04. EL OBJETO DEL PRESENTE OTROSÍ No 04 ES MODIFICAR LA CLAUSULA SEGUNDA - FINALIDAD DEL FONDO, ADICIONAR EL VALOR ESTABLECIDO EN LA CLÁUSULA TERCERA - VALOR DEL FONDO Y FORMA DE DESEMBOLSO Y PRORRROGAR EL PLAZO ESTABLECIDO EN LA CLAUSULA QUINTA - FURACIÓN DEL CONVENIO No 566 DE 2017 (2017-0477), SUSCRITO EL 29 DE DICIEMBRE DE 2017, CONFORME LO EXPUESTO EN LA PARTE CONSIDERATIVA</t>
  </si>
  <si>
    <t>2018-0442</t>
  </si>
  <si>
    <t>891500231-3</t>
  </si>
  <si>
    <t>COOPERATIVA DE CAFICULTORES DEL CAUCA - CAFICAUCA</t>
  </si>
  <si>
    <t>OTROSÍ No 2. EL OBJETO DEL PRESENTE DOCUMENTO ES MODIFICAR LA CLAUSULA SEGUNDA - FINALIDAD DEL FONDO Y LA CLAUSULA QUINTA - DURACIÓN DEL CONVENIO No 2018-0442 (COD 122030) SUSCRITO EL 26 DE DICIEMBRE DE 2018</t>
  </si>
  <si>
    <t>2006/104</t>
  </si>
  <si>
    <t>860028415-5</t>
  </si>
  <si>
    <t>EQUIDAD SEGUROS GENERALES ORGANISMO COOPERATIVO</t>
  </si>
  <si>
    <t>OTROSÍ NO 3. EL OBJETO DEL PRESENTE DOCUMENTO ES ADICIONAR EL VALOR ESTABLECIDO EN LA CLÁUSULA TERCERA -VALOR, DEL FONDO NO. 2006-104 SUSCRITO EL 14 DE NOVIEMBRE DE 2006, CONFORME LO EXPUESTO EN LA PARTE CONSIDERATIVA.</t>
  </si>
  <si>
    <t>2020-0563</t>
  </si>
  <si>
    <t>OTROSÍ No 6. EL OBJETO DEL PRESENTE OTROSÍ DE ADICIÓN Y MODIFICACIÓN ES ADICIONAR EL VALOR ESTABLECIDO EN LA CLÁUSULA TERCERA Y MODIFICAR LA CLAUSULA SEGUNDA  - FINALIDAD DEL FONDO Y CLAUSULA DECIMA QUINTA - JUNTA ADMINISTRADORA DEL FONDO DEL CONV 2020-0563 SUSCRITO EL 28 DE DICIEMBRE DE 2020, CONFORME LO EXPUESTO EN LA PARTE CONSIDERATIVA</t>
  </si>
  <si>
    <t>2008-0035</t>
  </si>
  <si>
    <t>SECRETARIA DISTRITAL DE CULTURA, RECREACIÓN Y DEPORTE - SCRD</t>
  </si>
  <si>
    <t>OTROSÍ No 9. EL OBJETO DEL PRESENTE DOCUMENTO ES MODIFICAR LA CLÁUSULA DECIMO SEXTA - DURACIÓN DEL CONV 2008-0035/000387</t>
  </si>
  <si>
    <t>MODIFICACIÓN No 11. PRORROGAR EL PLAZO DE EJECUCIÓN DEL CONVENIO HASTA EL TREINTA Y UNO (31) DE DICIEMBRE DE 2025</t>
  </si>
  <si>
    <t>2014-0349</t>
  </si>
  <si>
    <t>891500580-9</t>
  </si>
  <si>
    <t>MUNICIPIO DE PUERTO TEJADA - CAUCA</t>
  </si>
  <si>
    <t>OTROSÍ No 3. EL OBJETO DEL PRESENTE DOCUMENTO ES MODIFICAR LAS CLÁUSULAS: CUARTA - DURACIÓN, NOVENA - COMITÉ OPERATIVO, VIGÉSIMA QUINTA - LIQUIDACIÓN DEL CONVENIO, E INCLUIR UNA NUEVA CLÁUSULA DENOMINADA CLÁUSULA TRIGÉSIMA - SALDOS MENORES AL CONV 2014-3659 SUSCRITO EL 29 DE DICIEMBRE DE 2014</t>
  </si>
  <si>
    <t>2022-0480</t>
  </si>
  <si>
    <t>MINISTERIO DE CIENCIA, TECNOLOGÍA E INNOVACIÓN 
UNIVERSIDAD NACIONAL DE COLOMBIA- SEDE PALMIRA</t>
  </si>
  <si>
    <t>OTROSÍ NO 1. EL OBJETO DEL PRESENTE OTROSÍ ES PRORROGAR EL PLAZO, ESTABLECIDO EN LA CLÁUSULA SÉPTIMA DEL CONTRATO DE FINANCIAMIENTO DE RECUPERACIÓN CONTINGENTE N° 2022-0480, SUSCRITO EL DÍA 28 DE ENERO DE 2022.</t>
  </si>
  <si>
    <t>2021-0956</t>
  </si>
  <si>
    <t>891380007-3</t>
  </si>
  <si>
    <t>ALCALDÍA MUNICIPIO DE PALMIRA</t>
  </si>
  <si>
    <t>OTROSÍ No 4. Modificar la CLÁUSULA CUARTA VALOR Y DESEMBOLSOS DEL CONVENIO. 4.1 VALOR, del convenio Interadministrativo No. MP-1238-2021 (2021-0956 ICETEX), modificada por la CLÁUSULA PRIMERA del OTROSÍ No. 3, incorporando el valor de ($5.134.507.119.00) correspondiente a becas educativas y ($242.176.872), por concepto de gastos de administración.</t>
  </si>
  <si>
    <t>OTROSÍ NO 9. EL OBJETO DEL PRESENTE DOCUMENTO DE OTROSÍ N° 9 ES PRORROGAR LA DURACIÓN DEL CONVENIO "FONDO CUENTA CONCEJO DE BOGOTA D.C. SECRETARIA DISTRITAL DE HACIENDA-ICETEX" CONSTITUIDO A TRAVÉS DEL CONVENIO NO. 2014-0365-ICETEX/ 140422-0-2014 SDH DE FECHA 29 DE DICIEMBRE DE 2014, DE CONFORMIDAD CON LAS CONSIDERACIONES EXPUESTAS.</t>
  </si>
  <si>
    <t>OTROSÍ No 22 EL OBJETO DEL PRESENTE OTROSÍ ES EL DE MODIFICAR LA CLAUSULA SEGUNDA FINALIDAD DEL FONDO Y ESQUEMA DE FINANCIACIÓN Y LA CLAUSULA DECIMA QUINTA JUNTA ADMINISTRADORA</t>
  </si>
  <si>
    <t>2022-0746</t>
  </si>
  <si>
    <t>899999296-2
890480123-5</t>
  </si>
  <si>
    <t>MINISTERIO DE CIENCIA, TECNOLOGÍA E INNOVACIÓN
UNIVERSIDAD DE CARTAGENA</t>
  </si>
  <si>
    <t xml:space="preserve">OTROSÍ No 1. EL OBJETO DEL PRESENTE OTROSÍ ES PRORROGAR EL PLAZO ESTABLECIDO EN LA CLAUSULA SEPTIMA DEL CONTRATO DE FINANCIAMIENTO DE RECUPERACIÓNB CONTINGENTE No 2022-0746 </t>
  </si>
  <si>
    <t>2022-0747</t>
  </si>
  <si>
    <t xml:space="preserve">OTROSÍ No 1. EL OBJETO DEL PRESENTE OTROSÍ ES PRORROGAR EL PLAZO ESTABLECIDO EN LA CLÁUSULA SÉPTIMA DEL CONTRATO DE FINANCIAMIENTO DE RECUPERACIÓN CONTINGENTE NO 2022-0747 </t>
  </si>
  <si>
    <t>2022-0666</t>
  </si>
  <si>
    <t>MINISTERIO DE CIENCIA, TECNOLOGÍA E INNOVACIÓN 
UNIVERSIDAD NACIONAL DE COLOMBIA SEDE MEDELLÍN</t>
  </si>
  <si>
    <t>OTROSÍ NO 1. EL OBJETO DEL PRESENTE DOCUMENTO ES PRORROGAR EL PLAZO ESTABLECIDO EN LA CLÁUSULA SÉPTIMA DEL CONTRATO DE FINANCIAMIENTO DE RECUPERACIÓN CONTINGENTE N° 2022-0666 (PROYECTO 82696).</t>
  </si>
  <si>
    <t>2022-0797</t>
  </si>
  <si>
    <t>899999296-2
890399010-6</t>
  </si>
  <si>
    <t>MINISTERIO DE CIENCIA, TECNOLOGÍA E INNOVACIÓN 
UNIVERSIDAD DEL VALLE</t>
  </si>
  <si>
    <t>OTROSÍ NO 1 EL OBJETO DEL PRESENTE DOCUMENTO ES PRORROGAR EL PLAZO ESTABLECIDO EN LA CLÁUSULA SÉPTIMA DEL CONTRATO DE FINANCIAMIENTO DE RECUPERACIÓN CONTINGENTE N° 2022-0797 (PROYECTO 82691).</t>
  </si>
  <si>
    <t>2022-0790</t>
  </si>
  <si>
    <t>901038962-3</t>
  </si>
  <si>
    <t>EMPRESA METRO DE BOGOTÁ S.A, (EMB S.A.)</t>
  </si>
  <si>
    <t>OTROSÍ NO 1. EL OBJETO DEL PRESENTE OTROSÍ NO. 01 ES ADICIONAR EL VALOR ESTABLECIDO EN LA CLÁUSULA TERCERA -VALOR DEL FONDO Y FORMA DE DESEMBOLSO DEL CONVENIO INTERADMINISTRATIVO NO. 2022-0258, DEL 30 DE DICIEMBRE DE 2022 (CÓDIGO CONTABLE NO. 122127).</t>
  </si>
  <si>
    <t>2021-1081</t>
  </si>
  <si>
    <t>EL OBJETO DEL PRESENTE OTROSÍ NO. 1 ES PRORROGAR EL PLAZO ESTABLECIDO EN LA CLÁUSULA SÉPTIMA DEL CONTRATO DE FINANCIAMIENTO DE RECUPERACIÓN CONTINGENTE NO. 2021-1081</t>
  </si>
  <si>
    <t>2022-0644</t>
  </si>
  <si>
    <t>899999296-2
890201213-4</t>
  </si>
  <si>
    <t>MINISTERIO DE CIENCIA, TECNOLOGÍA E INNOVACIÓN 
UNIVERSIDAD INDUSTRIAL DE SANTANDER</t>
  </si>
  <si>
    <t>EL OBJETO DEL PRESENTE OTROSÍ NO. 1 ES PRORROGAR EL PLAZO ESTABLECIDO EN LA CLÁUSULA SÉPTIMA DEL CONTRATO DE FINANCIAMIENTO DE RECUPERACIÓN CONTINGENTE NO. 2022-0644</t>
  </si>
  <si>
    <t>2018-0459</t>
  </si>
  <si>
    <t>891100296-5</t>
  </si>
  <si>
    <t>COOPERATIVA DEPARTAMENTAL DE CAFICULTORES DEL HUILA LTDA - CADEFIHUILA</t>
  </si>
  <si>
    <t>OTROSÍ NO 2. EL OBJETO DEL PRESENTE OTROSÍ ES MODIFICAR LA CLÁUSULA SEGUNDA - FINALIDAD DEL FONDO DEL CONVENIO NO. 2018-0459, SUSCRITO ENTRE EL INSTITUTO COLOMBIANO DE CRÉDITO EDUCATIVO Y ESTUDIOS TÉCNICOS EN EL EXTERIOR “MARIANO OSPINA PÉREZ” – ICETEX Y LA COOPERATIVA DEPARTAMENTAL DE CAFICULTORES DEL HUILA LTDA. – CADEFIHUILA.</t>
  </si>
  <si>
    <t>2023-0561
CO1.PCCNTR.4778190 DE 2023</t>
  </si>
  <si>
    <t>PRORROGAR EL PLAZO DE EJECUCIÓN DEL CONTRATO INTERADMINISTRATIVO CO1.PCCNTR.4778190 DE 2023 HASTA EL 31 DE DICIEMBRE DE 2026.</t>
  </si>
  <si>
    <t>ADICIONAR EL VALOR DEL CONVENIO EN LA SUMA DE $4.018.433.746 M/CTE, Y, POR LO TANTO, EL VALOR TOTAL SERÁ DE: $ 20.650.263.996 M/CTE..</t>
  </si>
  <si>
    <t>2016-0307
1161 de 2016</t>
  </si>
  <si>
    <t>OTROSÍ NO 6 PRORROGAR EL PLAZO DE EJECUCIÓN DEL CONTRATO INTERADMINISTRATIVO NO. 1161 DE 2016 MEN / 2016-0307 ICETEX HASTA EL 31 DE DICIEMBRE DE 2026.</t>
  </si>
  <si>
    <t>007F82</t>
  </si>
  <si>
    <t>800103913-4</t>
  </si>
  <si>
    <t xml:space="preserve">DEPARTAMENTO DEL HUILA
FONDO JENARO DIAZ JORDÁN </t>
  </si>
  <si>
    <t>OTROSÍ No 23. EL OBJETO DEL PRESENTE OTROSI ES ADICIONAR EL VALOR ESTABLECIDO EN LA CLÁUSULA SEGUNDA DEL CONTRATO ORIGINAL No 007F82 SUSCRITO EL 16 DE JUNIO DE 1982</t>
  </si>
  <si>
    <t>2017-0467
1461 DE 2017</t>
  </si>
  <si>
    <t>OTROSÍ NO 6. PRORROGAR EL PLAZO DE EJECUCIÓN DEL CONVENIO INTERADMINISTRATIVO NO. 1461 DE
2017 HASTA EL 27 DE JUNIO DE 2025.</t>
  </si>
  <si>
    <t>2019-0510
261 DE 2019</t>
  </si>
  <si>
    <t>899999001-7
890480184-4</t>
  </si>
  <si>
    <t>MINISTERIO DE EDUCACION NACIONAL
DISTRITO TURÍSTICO Y CULTURAL DE CARTAGENA DE INDIAS</t>
  </si>
  <si>
    <t>MODIFICACIÓN 12. ADICIONAR AL VALOR DEL CONTRATO INTERADMINISTRATIVO NO. 261 DE 2019 LA SUMA DE DOCE MIL SIETE MILLONES TRESCIENTOS DIECISIETE MIL OCHENTA Y SIETE PESOS M/CTE ($12.007.317.087).</t>
  </si>
  <si>
    <t>OTROSÍ NO 23 EL OBJETO DEL PRESENTE OTROSÍ NO. 22 ES EL DE ADICIONAR EL VALOR DEL FONDO DENOMINADO “FONDO EDUCATIVO BICENTENARIO DISTRITO DE CARTAGENA", ESTABLECIDO EN LA CLÁUSULA TERCERA DEL CONVENIO NO 2015-0169.</t>
  </si>
  <si>
    <t>MODIFICACIÓN No 12. ADICIONAR EL VALOR DEL CONVENIO EN LA SUMA DE ($9.943.854.952)</t>
  </si>
  <si>
    <t>ABOGADO ELABORO LA LIQUIDACIÓN</t>
  </si>
  <si>
    <t>PRORROGA: FECHA</t>
  </si>
  <si>
    <t>PRORROGA: PLAZO</t>
  </si>
  <si>
    <t>MODIFICACIÓMN 2:  FECHA DE SUSCRIPCIÓN</t>
  </si>
  <si>
    <t>MODIFICACIÓMN 3:  FECHA DE SUSCRIPCIÓN</t>
  </si>
  <si>
    <t>MODIFICACIÓMN 4:  FECHA DE SUSCRIPCIÓN</t>
  </si>
  <si>
    <t>MODIFICIACIÓN 4:       OBJETO</t>
  </si>
  <si>
    <t>No RP</t>
  </si>
  <si>
    <t>ADICIÓN 4:  FECHA DE SUSCRIPCIÓN</t>
  </si>
  <si>
    <t>ADICIÓN 4:       VALOR</t>
  </si>
  <si>
    <t>CDP ADICIÓN 4</t>
  </si>
  <si>
    <t>ADICIÓN 4:       OBJETO</t>
  </si>
  <si>
    <t>ESTADO DEL CONTRATO</t>
  </si>
  <si>
    <t>2022-0627</t>
  </si>
  <si>
    <t>CD-609-2022</t>
  </si>
  <si>
    <t>A) POR MEDIO DEL PRESENTE DOCUMENTO EL DEPOSITANTE CONFIERE A EL DEPOSITARIO LA FACULTAD EXPRESA DE REALIZAR LAS OPERACIONES QUE SE DERIVAN DE UN ENDOSO EN ADMINISTRACIÓN EN RELACIÓN CON LOS VALORES REPRESENTADOS EN DERECHOS QUE SE CONSTITUYAN PRIMARIAMENTE, O LOS QUE ORDENE DESMATERIALIZAR Y LOS QUE LE SEAN TRANSFERIDOS COMO RESULTADO DE OPERACIONES CON OTROS DEPOSITANTES VINCULADOS CON EL DEPÓSITO CENTRAL DE VALORES DEL BANCO DE LA REPÚBLICA. CUANDO SE TRATE DE TÍTULOS FÍSICOS QUE DEBAN SER TRANSFORMADOS EN DERECHOS, EL DEPOSITANTE HARÁ LA ENTREGA DE CADA UNO DE ELLOS, DEBIDAMENTE ENDOSADOS EN ADMINISTRACIÓN A FAVOR DEL BANCO DE LA REPÚBLICA - DEPÓSITO CENTRAL DE VALORES. SI ALGUNO DE LOS TÍTULOS FUERE ADQUIRIDO EN EL MERCADO SECUNDARIO A TRAVÉS DE SISTEMAS DE NEGOCIACIÓN DE VALORES O DE REGISTRO DE OPERACIONES SOBRE VALORES Y NO SE ENCUENTRA EN EL DEPÓSITO CENTRAL DE VALORES DEL BANCO DE LA REPÚBLICA, EL COMPRADOR, AL TENER LA CALIDAD DE DEPOSITANTE DIRECTO COMO CONSECUENCIA DEL PRESENTE CONTRATO, SERÁ QUIEN ENDOSE Y ENTREGUE EL TÍTULO AL DEPÓSITO.</t>
  </si>
  <si>
    <t>CDEF-2022-648
CCVF-2022-008</t>
  </si>
  <si>
    <t>IG312001020400032</t>
  </si>
  <si>
    <t>CONTRATACION DIRECTA</t>
  </si>
  <si>
    <t>CLAUDIA ZAMBRANO</t>
  </si>
  <si>
    <t>el valor no ejecutado del contrato que corresponde a la suma de ($ 8.286.312,00); se da debido que el cálculo de valor inicial del contrato se definió con base en proyecciones de consumo, las cuales se ajustaron a la facturación mensual del servicio</t>
  </si>
  <si>
    <t>2020-0395</t>
  </si>
  <si>
    <t>IA-335-2020</t>
  </si>
  <si>
    <t>800248541-0</t>
  </si>
  <si>
    <t>SEGURIDAD DIGITAL LTDA</t>
  </si>
  <si>
    <t>DENICE GARZÓN MALPICA</t>
  </si>
  <si>
    <t>PRESTACIÓN DEL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 UBICADAS EN BOGOTÁ D.C.</t>
  </si>
  <si>
    <t>CDEF-2020-425 del 26/02/2020
CCVF-2020-002 del 04/03/2020</t>
  </si>
  <si>
    <t>INVITACIÓN PUBLICA</t>
  </si>
  <si>
    <t>2020-0571</t>
  </si>
  <si>
    <t>CD-504-2020</t>
  </si>
  <si>
    <t>JOSE MIGUEL PEREZ RODRIGUEZ</t>
  </si>
  <si>
    <t>ARRENDAR UN INMUEBLE EN LA CIUDAD DE YOPAL, EL CUAL SERÁ EXCLUSIVAMENTE DESTINADO PARA LA OFICINA DEL PUNTO DE ATENCIÓN AL CLIENTE DE ICETEX.</t>
  </si>
  <si>
    <t>CCVF-2020-037</t>
  </si>
  <si>
    <t>IG31100200401002</t>
  </si>
  <si>
    <t>2022-0626</t>
  </si>
  <si>
    <t>CD-608-2022</t>
  </si>
  <si>
    <t>CDEF-2022-647
CCVF-2022-007</t>
  </si>
  <si>
    <t>el cálculo de valor inicial del contrato se definió
con base en proyecciones de consumo, las cuales se ajustaron a la facturación mensual del servicio, en
consecuencia, queda un saldo que se debe liberar</t>
  </si>
  <si>
    <t>2022-0628</t>
  </si>
  <si>
    <t>CD-610-2022</t>
  </si>
  <si>
    <t>LUIS FRANCISCO RIVAS
DUEÑAS</t>
  </si>
  <si>
    <t>CDEF-2022-649
CCVF-2022-009</t>
  </si>
  <si>
    <t>el cálculo de valor inicial del contrato se definió con base en proyecciones de consumo, las
cuales se ajustaron a la facturación mensual del servicio, en consecuencia, queda un saldo que se debe liberar</t>
  </si>
  <si>
    <t>IS-1009-2021</t>
  </si>
  <si>
    <t>860053274-9</t>
  </si>
  <si>
    <t>GRUPO LOS LAGOS S.A.S</t>
  </si>
  <si>
    <t>HECTOR CORREA GIRALDO</t>
  </si>
  <si>
    <t>SUMINISTRO DE PAPELERÍA CON CARACTERÍSTICAS ESPECIALES QUE NO SE ENCUENTRAN EN EL ACUERDO MARCO DE COLOMBIA COMPRA EFICIENTE, EQUIPOS DE OFICINA, ÚTILES Y ACCESORIOS, A PRECIOS UNITARIOS FIJOS SIN FORMULA DE REAJUSTE, NECESARIOS PARA EL NORMAL FUNCIONAMIENTO DE ICETEX, DE CONFORMIDAD CON LAS ESPECIFICACIONES TÉCNICAS MÍNIMAS.</t>
  </si>
  <si>
    <t>CDEF-2021-820</t>
  </si>
  <si>
    <t>IG311002004004015</t>
  </si>
  <si>
    <t>INVITACIÓN SIMPLIFICADA</t>
  </si>
  <si>
    <t>Los recursos por valor de ($25.221.067) se liberarán a favor de la entidad con la firma de esta acta de liquidación,
teniendo en cuenta que no se ejecutaron.</t>
  </si>
  <si>
    <t>2021-1049</t>
  </si>
  <si>
    <t>CD-818-2021</t>
  </si>
  <si>
    <t>860066942-7</t>
  </si>
  <si>
    <t>MARTHA LUCIA CRUZ MARTINEZ (APODERADA)</t>
  </si>
  <si>
    <t>PRESTACIÓN DE SERVICIOS DE APOYO A LA GESTIÓN DE LAS ACTIVIDADES DE PLANEACIÓN, ASESORÍA, ORGANIZACIÓN, ACOMPAÑAMIENTO Y EJECUCIÓN DE ACTIVIDADES PRESENCIALES Y/O VIRTUALES ENMARCADAS EN LOS EVENTOS QUE SE CONSIDEREN PERTINENTES PARA MEJORAR Y FORTALECER EL BIENESTAR DE LOS FUNCIONARIOS (ACTIVIDADES DE CARACTER DEPORTIVO, RECREATIVO, CAPACITACIÓN, LIDERAZGO,EMPRESARIAL Y EVENTOS DE LA ENTIDAD).</t>
  </si>
  <si>
    <t>CDEF-2021-635</t>
  </si>
  <si>
    <t>La inejecución por valor de $306.741.059 obedece a que algunos de los ítems cotizados inicialmente en la oferta
económica bajaron su valor al momento de la ejecución del contrato. Las partes manifiestan que aceptan la
liquidación del Contrato, a partir de la fecha de suscripción de la presente acta, por medio de la cual se liberará el
valor no ejecutado del contrato</t>
  </si>
  <si>
    <t>2021-0847</t>
  </si>
  <si>
    <t>MIN-494-2020</t>
  </si>
  <si>
    <t>901121154-3</t>
  </si>
  <si>
    <t>BRITEK TRIBUTO S.A.S</t>
  </si>
  <si>
    <t>YEZID ALFONSO BLANCO BENDECK</t>
  </si>
  <si>
    <t>RENOVACIÓN DEL SERVICIO DE SUSCRIPCIÓN A UNA PLATAFORMA PARA LA OPERACIÓN DE FACTURACIÓN ELECTRÓNICA EN LOS TÉRMINOS EXIGIDOS POR LA DIAN.</t>
  </si>
  <si>
    <t xml:space="preserve">
CCVF-2020-046
</t>
  </si>
  <si>
    <t>El saldo a favor del ICETEX por valor de $6.855.175 se liberará con la firma del acta de liquidación, toda vez que
fueron recursos no ejecutados, dadas las necesidades de la Entidad. Los valores solicitados para la elaboración
del contrato corresponden a estimaciones, según estadísticas anteriores y expectativa de necesidad de servicios
en la nueva vigencia; los valores efectivamente ejecutados son los que fueron facturados y pagados a través de
OP’S según la relación presentada en el numeral 2. Ejecución Presupuestal de la presente acta.</t>
  </si>
  <si>
    <t>2020-0567</t>
  </si>
  <si>
    <t>BIO URBE SAS</t>
  </si>
  <si>
    <t>CONTRATAR EL SERVICIO DEDESINFECCIÓN – IAD EMERGENCIA COVID-19 A TRAVÉSDEL CATÁLOGO DE LA TIENDA VIRTUAL DE COLOMBIA COMPRA EFICIENTE, PARA LAS SEDES A NIVEL NACIONAL</t>
  </si>
  <si>
    <t>CDEF-2021-502</t>
  </si>
  <si>
    <t>ACUERDO MARCO</t>
  </si>
  <si>
    <t>2021-0596
67488</t>
  </si>
  <si>
    <t>MIN-408-2021</t>
  </si>
  <si>
    <t>830072071-2</t>
  </si>
  <si>
    <t>SIGLO DATA SAS</t>
  </si>
  <si>
    <t>CDEF-2021-500</t>
  </si>
  <si>
    <t>IG312001020230100</t>
  </si>
  <si>
    <t>MINIMA CUANTÍA</t>
  </si>
  <si>
    <t xml:space="preserve">El saldo a favor del ICETEX por valor de $1,625,341 se liberará con la firma del acta de liquidación, toda vez que
fueron recursos no ejecutados, dadas las necesidades de la Entidad. </t>
  </si>
  <si>
    <t>2021-0435</t>
  </si>
  <si>
    <t>CD-509-2020</t>
  </si>
  <si>
    <t>830510371-7</t>
  </si>
  <si>
    <t>INVERSIONES ALIANZA S.A.</t>
  </si>
  <si>
    <t xml:space="preserve">RODRIGO DE JESÚS SALAZAR GIRALDO </t>
  </si>
  <si>
    <t>CCVF-2020-040</t>
  </si>
  <si>
    <t>2020-0578</t>
  </si>
  <si>
    <t>MIN-625-2021</t>
  </si>
  <si>
    <t>830513863-2</t>
  </si>
  <si>
    <t>DOTACION INTEGRAL S.A.S</t>
  </si>
  <si>
    <t>ALVARO LONDOÑO LONDOÑO</t>
  </si>
  <si>
    <t>SUMINISTRO DE DOTACIÓN DE VESTUARIO Y CALZADO PARA LOS FUNCIONARIOS DEL ICETEX PARA LA VIGENCIA 2021, A TRAVÉS DEL SISTEMA DE BONOS REDIMIBLES</t>
  </si>
  <si>
    <t>CDEF-2021-492</t>
  </si>
  <si>
    <t>El valor del contrato no fue ejecutado en su totalidad, dado que no se llevó a cabo la entrega de unas
dotaciones que estaban proyectadas dentro de la necesidad. Por esta razón, el saldo por valor
de $2.113.440 se libera con la firma de las partes, de la presente acta de liquidación.</t>
  </si>
  <si>
    <t>2021-0726</t>
  </si>
  <si>
    <t>MIN-169-2021</t>
  </si>
  <si>
    <t xml:space="preserve">830084433-7 </t>
  </si>
  <si>
    <t>SOCIEDAD CAMERAL DE CERTIFICACIÓN DIGITAL CERTICÁMARA S.A.</t>
  </si>
  <si>
    <t>MARIA JOSÉ RAMÍREZ SEPÚLVEDA</t>
  </si>
  <si>
    <t>PRESTAR EL SERVICIO DE PLATAFORMA TECNOLÓGICA PARA REALIZAR SUBASTAS ASCENDENTES ELECTRÓNICAS EN EL ICETEX QUE, CUENTE CON EL MECANISMO DE FIRMA DIGITAL, ESTAMPADO CRONOLÓGICO Y ALMACENAMIENTO DE TODA LA EVIDENCIA DIGITAL GENERADA DURANTE LA REALIZACIÓN DE LOS EVENTOS DE SUBASTA.</t>
  </si>
  <si>
    <t>CDEF-2021-177</t>
  </si>
  <si>
    <t>El pago realizado con la OP 2021-48472P, por concepto de dos (2) eventos de subastas de Cuentas Abandonadas, realizadas
en julio de 2021, se facturó por parte del contratista por error de digitación un valor unitario antes de IVA por subasta de
$3.599.066, siendo el valor a pagar de $3.599.006 de conformidad con lo señalado en el contrato, sin embargo, en el momento
del pago no se detectó dicha diferencia.</t>
  </si>
  <si>
    <t>2021-0332</t>
  </si>
  <si>
    <t>CD-916-2021</t>
  </si>
  <si>
    <t>860351894-3</t>
  </si>
  <si>
    <t>UNIVERSIDAD SERGIO ARBOLEDA</t>
  </si>
  <si>
    <t xml:space="preserve">RODRIGO FRANCISCO MANUEL NOGUERA CALDERÓN  </t>
  </si>
  <si>
    <t>CONTRATAR LOS SERVICIOS PROFESIONALES PARA DICTAR LAS ACCIONES FORMATIVAS PROPUESTAS EN EL PLAN INSTITUCIONAL DE CAPACITACIÓN PARA LA VIGENCIA 2021 DIRIGIDA A LOS FUNCIONARIOS DEL ICETEX</t>
  </si>
  <si>
    <t>CDEF-2021-638</t>
  </si>
  <si>
    <t>IG311002004020005</t>
  </si>
  <si>
    <t>2021-0939</t>
  </si>
  <si>
    <t>MIN-506-2021</t>
  </si>
  <si>
    <t>900849809-0</t>
  </si>
  <si>
    <t>QUIRON UNIDAD MEDICA SAS</t>
  </si>
  <si>
    <t>SANDRA EUFRANYA MALAGON GUTIERREZ</t>
  </si>
  <si>
    <t>CDEF-2021-326</t>
  </si>
  <si>
    <t>El valor total del contrato no fue ejecutado considerando que no asistieron a los exámenes de egreso y periódicos
programados por la Entidad la totalidad de los funcionarios que se esperaba que acudieran, por lo que se generó
un saldo de $4.472.000 que se libera con la presente acta de liquidación.</t>
  </si>
  <si>
    <t>2021-0577</t>
  </si>
  <si>
    <t>CD-511-2021</t>
  </si>
  <si>
    <t>DIGITAL WARE S.A.</t>
  </si>
  <si>
    <t>SERVICIOS DE MANTENIMIENTO A DISTANCIA DEL SISTEMA DE INFORMACIÓN KACTUS-HCM</t>
  </si>
  <si>
    <t>CDEF-2021-481</t>
  </si>
  <si>
    <t>IG31100204005003</t>
  </si>
  <si>
    <t>2021-0506</t>
  </si>
  <si>
    <t>CD-436-2021</t>
  </si>
  <si>
    <t>830001113-1</t>
  </si>
  <si>
    <t>PRESTAR EL SERVICIO DE PUBLICACIÓN DE LOS ACTOS ADMINISTRATIVOS DEL ICETEX, EN EL DIARIO OFICIAL DE LA IMPRENTA NACIONAL DE COLOMBIA.</t>
  </si>
  <si>
    <t>CDEF-2021-490</t>
  </si>
  <si>
    <t>IG311002004007006</t>
  </si>
  <si>
    <t>El valor ejecutado y pagado al contratista es de $33.769.900, quedando así un saldo por la
suma de $1.250.100. Este saldo se debe a que es un servicio que se presta y paga por demanda, de acuerdo con
la necesidad y requerimiento de la entidad, dicho saldo se liberará con la presente acta de liquidación.</t>
  </si>
  <si>
    <t>2021-0433</t>
  </si>
  <si>
    <t>2021-0912</t>
  </si>
  <si>
    <t>IS-870-2021</t>
  </si>
  <si>
    <t>900352786-5</t>
  </si>
  <si>
    <t>RISKS INTERNATIONAL S.A.S.</t>
  </si>
  <si>
    <t>ANDRES DAVID NAVARRO PUELLO</t>
  </si>
  <si>
    <t>1,143,353,278</t>
  </si>
  <si>
    <t>Contratar los servicios de acceso a la base de datos de listas de control on-line para consulta, actualización, soporte y cruces batch de los clientes de la entidad.</t>
  </si>
  <si>
    <t>CDP EF- 758
RP 172038</t>
  </si>
  <si>
    <t>SANDRA MIREYA ARÉVALO RODRÍGUEZ</t>
  </si>
  <si>
    <t xml:space="preserve"> $         13,900,000.00</t>
  </si>
  <si>
    <t>2021-0293</t>
  </si>
  <si>
    <t>800103052 -8</t>
  </si>
  <si>
    <t>ORACLE COLOMBIA LTDA NIT</t>
  </si>
  <si>
    <t>MARTHA LILIANA HOYOS QUIMBAYO</t>
  </si>
  <si>
    <t>52,008,815</t>
  </si>
  <si>
    <t>Contratar el soporte y mantenimiento del licenciamiento de Oracle.</t>
  </si>
  <si>
    <t>CDP 179
RP 366</t>
  </si>
  <si>
    <t>VICTOR RAUL BAUTISTA GALINDO</t>
  </si>
  <si>
    <t xml:space="preserve"> $       782,922,666.00</t>
  </si>
  <si>
    <t>2021-1055</t>
  </si>
  <si>
    <t>IPS-1006-2021</t>
  </si>
  <si>
    <t>900693655-1</t>
  </si>
  <si>
    <t>IG SERVICES S.A.S.</t>
  </si>
  <si>
    <t xml:space="preserve">CAROLINA RESTREPO RICO </t>
  </si>
  <si>
    <t>PRESTACIÓN DE SERVICIOS ESPECIALIZADOS DE SOPORTE Y ADMINISTRACIÓN PARA LOS SERVIDORES Y SERVICIOS MICROSOFT DEL ICETEX.</t>
  </si>
  <si>
    <t>CCVF-2021-027</t>
  </si>
  <si>
    <t>INVITACIÓN PRIVADA Y POR SORTEO</t>
  </si>
  <si>
    <t>El valor de $ 64.033.460,14 será liberado con la firma de la presente acta.</t>
  </si>
  <si>
    <t>2021-0954</t>
  </si>
  <si>
    <t>IPS-884-2021</t>
  </si>
  <si>
    <t>900618750-4</t>
  </si>
  <si>
    <t>TICXAR SAS</t>
  </si>
  <si>
    <t>JORGE ANDRÉS PIZA AGUILLON</t>
  </si>
  <si>
    <t>RENOVACIÓN DE LA SUSCRIPCIÓN Y DEL SOPORTE DE WSO2 PARA SERVICIOS DE INTEROPERABILIDAD DEL ICETEX.</t>
  </si>
  <si>
    <t>CDEF-2021-698</t>
  </si>
  <si>
    <t>2022-0654</t>
  </si>
  <si>
    <t>CD-626-2022</t>
  </si>
  <si>
    <t>INFORMACION GERENCIAL LTDA</t>
  </si>
  <si>
    <t xml:space="preserve">ELIECER CORTES SANCHEZ </t>
  </si>
  <si>
    <t>SOPORTE, MANTENIMIENTO Y ACTUALIZACIÓN CONFORME LAS NORMAS IMPARTIDAS POR LOS ENTES DE CONTROL Y VIGILANCIA DE TODOS LOS SERVICIOS CONTRATADOS A LOS PROGRAMAS IGSEVINPRO (SISTEMAS DE ADMINISTRACIÓN Y VALORACIÓN DE PORTAFOLIO) E IGMETRICA (SISTEMA DE ADMINISTRACIÓN DE RIESGOS DE MERCADO Y LIQUIDEZ).</t>
  </si>
  <si>
    <t>BOGOTÁ D.C.</t>
  </si>
  <si>
    <t>CDEF-2022-864</t>
  </si>
  <si>
    <t>2022-0553</t>
  </si>
  <si>
    <t>IS-538-2022</t>
  </si>
  <si>
    <t xml:space="preserve">900788842-1  </t>
  </si>
  <si>
    <t>MYMCOL SAS</t>
  </si>
  <si>
    <t>DAMARIS ZARATE ZARATE</t>
  </si>
  <si>
    <t>CDEF-2022-593</t>
  </si>
  <si>
    <t>Para el presente proceso se tenían inicialmente proyectada una ejecución de 9 meses a partir del mes de abril
de 2022($ 3.999.999,00 X 9 = $ 35.999.991,00); sin embargo, teniendo en cuenta que se inicio el contrato a
partir 5 de mayo no aplica la facturación del mes de abril.</t>
  </si>
  <si>
    <t>2023-0728</t>
  </si>
  <si>
    <t>IMC-664-2023</t>
  </si>
  <si>
    <t>CIFIN SAS</t>
  </si>
  <si>
    <t>MARIO AUGUSTO TRUJILLO OSPINA</t>
  </si>
  <si>
    <t>CDEF-2023-554</t>
  </si>
  <si>
    <t>2021-0737</t>
  </si>
  <si>
    <t>SI-585-2021</t>
  </si>
  <si>
    <t>900390198-6</t>
  </si>
  <si>
    <t>WEXLER S.A.S.</t>
  </si>
  <si>
    <t>ANDRÉS DAVID TABARES TÉLLEZ,</t>
  </si>
  <si>
    <t>RENOVACIÓN DE LICENCIAMIENTO FORTINET, PARA LOS EQUIPOS Y SOFTWARE QUE PRESTA EL SERVICIO DE CORRELACIÓN DE EVENTOS, WAF INTERNO Y AUTENTICACIÓN DE DOBLE FACTOR DEL ICETEX.</t>
  </si>
  <si>
    <t>CDEF-2021-471</t>
  </si>
  <si>
    <t>SUBASTA INVERSA</t>
  </si>
  <si>
    <t>2022-0775</t>
  </si>
  <si>
    <t>IPS-681-2022</t>
  </si>
  <si>
    <t>3 P JURÍDICA - UNIÓN TEMPORAL o CONSORCIO</t>
  </si>
  <si>
    <t>HICOME S.A.S. NIT. 901.330.864-0
LINKTIC S.A.S. NIT. 900.037.743-9</t>
  </si>
  <si>
    <t>UNIÓN TEMPORAL ICETEX L&amp;H</t>
  </si>
  <si>
    <t>ALEJANDRO POSADA ZULUAGA</t>
  </si>
  <si>
    <t>CCVF-2022-030</t>
  </si>
  <si>
    <t>El saldo por valor de $104,369,680,27 sin ejecutar obedece a que es un servicio que se presta por demanda, es
decir que no hay un valor fijo mensual, lo que se paga es lo correspondiente a los servicios prestados cada mes y
que son requeridos por las diferentes áreas de la entidad, las cifras pueden incrementar o disminuir, por lo tanto,
dicho valor será liberado con la firma de la presente Acta de Liquidación.</t>
  </si>
  <si>
    <t>2022-0620</t>
  </si>
  <si>
    <t>IS-590-2022</t>
  </si>
  <si>
    <t>900307711-2</t>
  </si>
  <si>
    <t xml:space="preserve">PROVEEDOR INTEGRAL DE PRECIOS COLOMBIA PROVEEDOR DE PRECIOS PARA VALORACION S.A. </t>
  </si>
  <si>
    <t>ANDRÉS GALINDO SILVA</t>
  </si>
  <si>
    <t>PRESTAR EL SERVICIO PARA ACCEDER A LOS ARCHIVOS DE RENTA FIJA, NECESARIOS PARA LA VALORACIÓN DE LOS TÍTULOS VALORES QUE TIENE VIGENTES EL ICETEX, MEDIANTE EL ACCESO A TRAVÉS DE LA PÁGINA WEB DEL PROVEEDOR</t>
  </si>
  <si>
    <t>CDEF-2022-707</t>
  </si>
  <si>
    <t>IG312001020400033</t>
  </si>
  <si>
    <t>2021-0793</t>
  </si>
  <si>
    <t>SO-677-2021</t>
  </si>
  <si>
    <t>5 CONSULTORÍA</t>
  </si>
  <si>
    <t>900160387-5</t>
  </si>
  <si>
    <t>CONSULTORÍA ESTRUCTURAL Y DE CONSTRUCCIÓN S.A.S. - CEYCO INGENIERIA S.A.S.</t>
  </si>
  <si>
    <t xml:space="preserve">CLAUDIA PATRICIA CAMACHO OBREGÓN </t>
  </si>
  <si>
    <t xml:space="preserve">INTERVENTORÍA AL CONTRATO DE MANTENIMIENTO PREVENTIVO, CORRECTIVO, REPARACIONES LOCATIVAS DE LOS PUNTOS DE ATENCIÓN DE LAS TERRITORIALES DEL INSTITUTO COLOMBIANO DE CRÉDITO EDUCATIVO Y ESTUDIOS TÉCNICOS EN EL EXTERIOR “MARIANO OSPINA PÉREZ” – ICETEX, ASÍ COMO LA ADECUACIÓN DE LOS MISMOS, MEDIANTE EL SISTEMA DE PRECIOS UNITARIOS FIJOS, SIN FÓRMULA DE REAJUSTE Y A MONTO AGOTABLE. </t>
  </si>
  <si>
    <t>CDEF-2021-637</t>
  </si>
  <si>
    <t>2021-0779</t>
  </si>
  <si>
    <t>IA-555-2021</t>
  </si>
  <si>
    <t>830021364-7</t>
  </si>
  <si>
    <t>HYD S.A.S.</t>
  </si>
  <si>
    <t>MARÍA LUISA DERCH MASSANET</t>
  </si>
  <si>
    <t>REALIZAR EL MANTENIMIENTO PREVENTIVO, CORRECTIVO, REPARACIONES LOCATIVAS DE LOS PUNTOS DE ATENCIÓN DE LAS TERRITORIALES DEL INSTITUTO COLOMBIANO DE CRÉDITO EDUCATIVO Y ESTUDIOS TÉCNICOS EN EL EXTERIOR “MARIANO OSPINA PÉREZ” – ICETEX, ASÍ COMO LA ADECUACIÓN DE LOS MISMOS, MEDIANTE EL SISTEMA DE PRECIOS UNITARIOS FIJOS, SIN FÓRMULA DE REAJUSTE Y A MONTO AGOTABLE</t>
  </si>
  <si>
    <t>CDEF-2021-588
CDEF-2021-589</t>
  </si>
  <si>
    <t>2023-0846</t>
  </si>
  <si>
    <t>CD-848-2023</t>
  </si>
  <si>
    <t>10 PRESTACIÓN DE SERVICIOS</t>
  </si>
  <si>
    <t>901233520 - 7</t>
  </si>
  <si>
    <t>ENTERAPIA.CO SAS</t>
  </si>
  <si>
    <t>CAMILO ARBELAEZ GOMEZ</t>
  </si>
  <si>
    <t>PRESTAR SERVICIOS PROFESIONALES ESPECIALIZADOS PARA ESTRUCTURAR, IMPLEMENTAR Y EJECUTAR UN PROGRAMA DE BIENESTAR EN SALUD MENTAL Y EMOCIONAL PARA LOS USUARIOS DEL ICETEX.</t>
  </si>
  <si>
    <t>CDEF-2023-967</t>
  </si>
  <si>
    <t>El valor del contrato fue de $799.995.000 y su ejecución fue de $ 48.479.697 con un saldo a liberar
para la entidad de $751.515.303. Lo anterior se realizará con la firma de las partes de la presente
acta de liquidación.</t>
  </si>
  <si>
    <t>2021-0836</t>
  </si>
  <si>
    <t>CD-809-2021</t>
  </si>
  <si>
    <t>INTEGRA TECNOLOGÍA SAS</t>
  </si>
  <si>
    <t>FRANCISCO JAVIER HERRERA MEDINA</t>
  </si>
  <si>
    <t>SERVICIO DE MANTENIMIENTO, ACTUALIZACIONES Y SOPORTE A REMOTO DEL SOFTWARE INPROCESS – GESTIÓN DE CALIDAD.</t>
  </si>
  <si>
    <t>CDEF-2021-561</t>
  </si>
  <si>
    <t>El saldo a favor del ICETEX por valor de $594,16 se liberó de acuerdo con el cierre de la vigencia, toda vez que
fueron recursos no ejecutados, dadas las necesidades de la entidad</t>
  </si>
  <si>
    <t>2022-0564</t>
  </si>
  <si>
    <t>IS-545-2022</t>
  </si>
  <si>
    <t xml:space="preserve">800250589-1 </t>
  </si>
  <si>
    <t>CENTRO CAR 19 LTDA</t>
  </si>
  <si>
    <t>FABIO VINICIO TAMAYO TAMAYO</t>
  </si>
  <si>
    <t>PRESTACIÓN DEL SERVICIO DE MANTENIMIENTO PREVENTIVO Y CORRECTIVO, INCLUIDO MANO DE OBRA, SUMINISTRO DE REPUESTOS ORIGINALES NUEVOS Y DEMÁS SERVICIOS REQUERIDOS PARA LOS VEHÍCULOS MARCA NISSAN DE ICETEX.</t>
  </si>
  <si>
    <t>CDEF-2022-612</t>
  </si>
  <si>
    <t>IG3111002004005000</t>
  </si>
  <si>
    <t>"Al término del plazo de ejecución del contrato, se presenta saldo a favor de la Entidad, por un valor de TRES
MILLONES DOSCIENTOS SESENTA Y SIETE MIL OCHOCIENTOS VEINTIOCHO PESOS MCTE ($3.267.828)
a favor del Icetex, el cual se debe a la no ejecución de la totalidad del presupuesto"</t>
  </si>
  <si>
    <t>2022-0674</t>
  </si>
  <si>
    <t>CD-645-2022</t>
  </si>
  <si>
    <t>809012688-3</t>
  </si>
  <si>
    <t>DISTRIBUIDORA MULTITOYS S.A.S</t>
  </si>
  <si>
    <t>MARTHA DIGNORA CASTRO CRUZ</t>
  </si>
  <si>
    <t>CDEF-2022-834
CCVF – 2022 -020
CDEF – 2023- 816</t>
  </si>
  <si>
    <t>IG311002014010002</t>
  </si>
  <si>
    <t>2023-0663</t>
  </si>
  <si>
    <t>CD-663-2023</t>
  </si>
  <si>
    <t xml:space="preserve">900205407-1 </t>
  </si>
  <si>
    <t>SOCIEDAD OPERADORA DE AEROPUERTOS CENTRO NORTE S.A.S (AIRPLAN S.A.S</t>
  </si>
  <si>
    <t>CONTRATAR EL ARRENDAMIENTO DE UN INMUEBLE COMPLETAMENTE ADECUADO PARA  EL PUNTO DE ATENCIÓN AL USUARIO DE ICETEX EN LA CIUDAD DE QUIBDÓ EN EL DEPARTAMENTO DEL CHOCÓ.</t>
  </si>
  <si>
    <t>CDEF-2023-794</t>
  </si>
  <si>
    <t>IG 31100200401002</t>
  </si>
  <si>
    <t>El Valor no ejecutado $4.330.623 obedece a que en el presupuesto se tuvo en cuenta el valor del canon mensual
por cada uno de los meses desde junio hasta diciembre de 2023, pero el canon de junio fue por menor valor dado
que el contrato inició el 16 de junio, por lo tanto, no se facturó el mes completo. Este valor será liberado con la
firma de la presente acta.</t>
  </si>
  <si>
    <t>2020-0505</t>
  </si>
  <si>
    <t>MC-389-2020</t>
  </si>
  <si>
    <t>901425294-1</t>
  </si>
  <si>
    <t xml:space="preserve">UNION TEMPORAL UT PLANVIEW 
Conformada por EXCELTIS SAS y GEOSPATIAL SAS
</t>
  </si>
  <si>
    <t>CONTRATAR LA ADQUISICIÓN DE LA LICENCIA, SERVICIOS DE IMPLEMENTACIÓN, CONFIGURACIÓN Y SOPORTE DE UNA PLATAFORMA DE GESTIÓN INTEGRAL DE PROYECTOS PARA EL ICETEX.</t>
  </si>
  <si>
    <t>CDEF-2020-547</t>
  </si>
  <si>
    <t xml:space="preserve">
IG332211003025
</t>
  </si>
  <si>
    <t>2021-0760</t>
  </si>
  <si>
    <t>CD-739-2021</t>
  </si>
  <si>
    <t>830045792-1</t>
  </si>
  <si>
    <t>CALL PROCESSING TECHNOLOGIES S.A.</t>
  </si>
  <si>
    <t>CARLOS AUGUSTO VILLAMIZAR CADENA</t>
  </si>
  <si>
    <t>RENOVAR EL SERVICIO DE SOPORTE AL SISTEMA DE GRABADOR DE LLAMADAS PARA REALIZAR SEGUIMIENTO A LAS TRANSACCIONES FINANCIERAS DEL ICETEX</t>
  </si>
  <si>
    <t>CDEF-2021-482</t>
  </si>
  <si>
    <t>2022-0693</t>
  </si>
  <si>
    <t>CD-661-2022</t>
  </si>
  <si>
    <t xml:space="preserve">EL ARRENDAMIENTO DEL BIEN INMUEBLE DESCRITO EN LA CLÁUSULA SEGUNDA DEL PRESENTE CONTRATO. </t>
  </si>
  <si>
    <t>CDEF-2022-0014</t>
  </si>
  <si>
    <t>2023-0659</t>
  </si>
  <si>
    <t>IS-648-2023</t>
  </si>
  <si>
    <t>900606482 3</t>
  </si>
  <si>
    <t>CDEF-2023-741</t>
  </si>
  <si>
    <t>2021-0924</t>
  </si>
  <si>
    <t>CD-901-2021</t>
  </si>
  <si>
    <t>900458879-8</t>
  </si>
  <si>
    <t>CORPORACIÓN CONNECT BOGOTÁ REGIÓN</t>
  </si>
  <si>
    <t>AUNAR ESFUERZOS TÉCNICOS Y FINANCIEROS ENTRE EL ICETEX Y CONNECT BOGOTÁ REGIÓN PARA INCENTIVAR LA ARTICULACIÓN ENTRE: ESTADO, EMPRESAS, EMPRENDEDORES E INSTITUCIONES DE EDUCACIÓN SUPERIOR, DONDE ESTAS ÚLTIMAS TIENEN EL ROL CENTRAL A TRAVÉS DE LA FORMULACIÓN DE SOLUCIONES A LOS RETOS ACTUALES EN MATERIA DE EDUCACIÓN E INSERCIÓN LABORAL.</t>
  </si>
  <si>
    <t>CDEF-2021-406</t>
  </si>
  <si>
    <t>IG331620001001007</t>
  </si>
  <si>
    <t>(MISIONAL)</t>
  </si>
  <si>
    <t>2021-0964</t>
  </si>
  <si>
    <t>CD-844-2023</t>
  </si>
  <si>
    <t>ACUERDO ESTRATÉGICO DE COOPERACIÓN INTERINSTITUCIONAL PARA APOYAR EL ACCESO AL PORTAFOLIO DE SERVICIOS DEL ICETEX DE LAS Y LOS JÓVENES, UBICADOS EN LA ZONA RURAL DEL DISTRITO DE BUENAVENTURA Y SUS ZONAS ALEDAÑAS.</t>
  </si>
  <si>
    <t>CDEF-2023-800</t>
  </si>
  <si>
    <t>CD-937-2021</t>
  </si>
  <si>
    <t xml:space="preserve">899999124-4 </t>
  </si>
  <si>
    <t>UNIVERSIDAD PEDAGÓGICA NACIONAL
EMBAJADA DE FRANCIA EN COLOMBIA</t>
  </si>
  <si>
    <t>AUNAR ESFUERZOS TÉCNICOS, ADMINISTRATIVOS Y FINANCIEROS PARA LA MOVILIDAD DE CUATRO ESTUDIANTES DE LA UPN HACIA LA UNIVERSIDAD DE TOULOUSE (FRANCIA) – INSPE JAN JEURES- PARA REALIZAR EL CURSO DE MÁSTER DE ENSEÑANZA, EDUCACIÓN Y FORMACIÓN (MEEF), Y DE FORMACIÓN (PIF), CURSO “ENSEÑANZA EN EL EXTRANJERO”.</t>
  </si>
  <si>
    <t>2023-0887</t>
  </si>
  <si>
    <t>CD-891-2023</t>
  </si>
  <si>
    <t>890399034-2</t>
  </si>
  <si>
    <t>LA CÁMARA DE COMERCIO DE BUENAVENTURA</t>
  </si>
  <si>
    <t>MILADY YINETH GARCÉS ARBOLEDA</t>
  </si>
  <si>
    <t>ACUERDO ESTRATÉGICO PARA LA CONSTRUCCIÓN E IMPLEMENTACIÓN DE ACCIONES DE ORIENTACIÓN Y GUÍA CON COMPONENTES DE EMPLEABILIDAD Y EMPRENDIMIENTO A LOS USUARIOS DE ICETEX EN EL DISTRITO DE BUENAVENTURA.</t>
  </si>
  <si>
    <t>CDEF-2023-993</t>
  </si>
  <si>
    <t>2023-0785</t>
  </si>
  <si>
    <t>CD-783-2023</t>
  </si>
  <si>
    <t>ACUERDO ESTRATÉGICO PARA EL OTORGAMIENTO DE BECAS QUE PERMITAN REALIZAR ESTUDIOS EN LA UNIVERSIDAD DE SALAMANCA EN EL MARCO DE LA IMPLEMENTACIÓN DEL PROGRAMA DE BECAS INSTITUCIONALES ICETEX – FUNDACIÓN CAROLINA.</t>
  </si>
  <si>
    <t>CDEF-2023-457</t>
  </si>
  <si>
    <t>2021-0507</t>
  </si>
  <si>
    <t>MIN-450-2021</t>
  </si>
  <si>
    <t>800114672-1</t>
  </si>
  <si>
    <t>INFORMATICA &amp; TECNOLOGIA STEFANINI S.A.</t>
  </si>
  <si>
    <t>CARLOS EDUARDO MORENO HERNÁNDEZ</t>
  </si>
  <si>
    <t>CONTRATAR LA ADQUISICIÓN DEL LICENCIAMIENTO AGILITY RPA MULTIINSTANCIA PARA LA GENERACIÓN DE RECIBOS DE PAGO DE LAS OBLIGACIONES CREDITICIAS DE LOS BENEFICIARIOS DEL ICETEX.</t>
  </si>
  <si>
    <t>CDEF-2021-506</t>
  </si>
  <si>
    <t>IG332211003029</t>
  </si>
  <si>
    <t>2021-0991</t>
  </si>
  <si>
    <t>IPS-886-2021</t>
  </si>
  <si>
    <t>ENTELGY COLOMBIA S.A.S</t>
  </si>
  <si>
    <t xml:space="preserve">CARLOS ANDRÉS GÓMEZ SÁNCHEZ  </t>
  </si>
  <si>
    <t xml:space="preserve">RENOVACIÓN DE LA SUSCRIPCIÓN Y DEL SOPORTE DE LOS SISTEMAS OPERATIVOS LINUX Y PLATAFORMA DE CONTENEDORES OPENSHIF DE RED HAT, EN DONDE SE ALOJAN LOS SISTEMAS PRODUCTIVOS DEL ICETEX. </t>
  </si>
  <si>
    <t>CDEF-2021-656</t>
  </si>
  <si>
    <t>2021-0783 OC 71161</t>
  </si>
  <si>
    <t>900.011.395-6.</t>
  </si>
  <si>
    <t>BPM CONSULTING SAS</t>
  </si>
  <si>
    <t xml:space="preserve">CDEF-2021-426
VF-006-2021
CDEF-2022-607
VF-041-2022
CDEF-2021-426
VF-006-2021
CDEF-2023-773
</t>
  </si>
  <si>
    <t>CDP 607</t>
  </si>
  <si>
    <t>CCVF 2022-041</t>
  </si>
  <si>
    <t>CDP 775</t>
  </si>
  <si>
    <t>RP 97234</t>
  </si>
  <si>
    <t>La inejecución financiera en la Orden de Compra 71161 por valor de $8.449.118,73, obedece a que en todos los
periodos no se generó un consumo del total de los servicios adquiridos, toda vez que, dichos consumos dependen
en gran medida de las estrategias variables de gestión de cartera que son modificadas de periodo a periodo.</t>
  </si>
  <si>
    <t>2021-1009</t>
  </si>
  <si>
    <t>CD-982-2021</t>
  </si>
  <si>
    <t>DISTRIBUIDORA MULTITOYS S.A.</t>
  </si>
  <si>
    <t>CDEF-2021-824
CDVF-2021-029</t>
  </si>
  <si>
    <t>IG 311002004010002</t>
  </si>
  <si>
    <t>2021-1039</t>
  </si>
  <si>
    <t>CD-1019-2021</t>
  </si>
  <si>
    <t>802014278-0</t>
  </si>
  <si>
    <t>REDES Y SISTEMAS INTEGRADOS S.A.S - REDSIS S.A.S.</t>
  </si>
  <si>
    <t>ANTONIO HABIB NADER</t>
  </si>
  <si>
    <t>RENOVACIÓN DEL SOPORTE Y LICENCIAMIENTO DE LA PLATAFORMA DE TRANSFERENCIA SEGURA DE ARCHIVOS ENTRE ENTIDADES GOANYWHERE DEL ICETEX  .</t>
  </si>
  <si>
    <t>CDEF-2021-850</t>
  </si>
  <si>
    <t>2022-0629</t>
  </si>
  <si>
    <t>IS-603-2022</t>
  </si>
  <si>
    <t xml:space="preserve">CONTRATAR LOS SERVICIOS DE ACCESO A LA BASE DE DATOS DE LISTAS DE CONTROL ON-LINE PARA CONSULTA, ACTUALIZACIÓN, SOPORTE Y CRUCES BATCH DE LOS CLIENTES DE LA ENTIDAD. </t>
  </si>
  <si>
    <t>CDEF-2022-744</t>
  </si>
  <si>
    <t>2022-0552</t>
  </si>
  <si>
    <t>IP-532-2022</t>
  </si>
  <si>
    <t>900520848-4</t>
  </si>
  <si>
    <t>SAFRID INGENIERIA SAS</t>
  </si>
  <si>
    <t>MIGUEL ALEXANDER CERON MOLINA</t>
  </si>
  <si>
    <t>REALIZAR EL MANTENIMIENTO PREVENTIVO, CORRECTIVO, REPARACIONES LOCATIVAS DE LOS PUNTOS DE ATENCIÓN DE LAS TERRITORIALES DEL INSTITUTO COLOMBIANO DE CRÉDITO EDUCATIVO Y ESTUDIOS TÉCNICOS EN EL EXTERIOR “MARIANO OSPINA PÉREZ” – ICETEX, ASÍ COMO LA ADECUACIÓN DE ESTOS, MEDIANTE EL SISTEMA DE PRECIOS UNITARIOS FIJOS, SIN FÓRMULA DE REAJUSTE Y A MONTO AGOTABLE</t>
  </si>
  <si>
    <t>CDEF-2022-589
CDEF-2022-599</t>
  </si>
  <si>
    <t>CCVF-2022-057</t>
  </si>
  <si>
    <t>CDEF-678-2023</t>
  </si>
  <si>
    <t>2023-0759</t>
  </si>
  <si>
    <t>IMC-714-2023</t>
  </si>
  <si>
    <t xml:space="preserve">900572445 -2 </t>
  </si>
  <si>
    <t>CIFIN S.A.S.</t>
  </si>
  <si>
    <t>MARIO  AUGUSTO TRUJILLO OSPINA</t>
  </si>
  <si>
    <t>PRESTAR LOS SERVICIOS ESPECIALIZADOS PARA FORTALECER LA CONTACTABILIDAD DE LOS USUARIOS DE LA ENTIDAD.</t>
  </si>
  <si>
    <t>CDEF-2023-553</t>
  </si>
  <si>
    <t>IG 312001020600100</t>
  </si>
  <si>
    <t>INVITACIÓN MENOR CUANTÍA</t>
  </si>
  <si>
    <t>2022-0562</t>
  </si>
  <si>
    <t>IS-529-2022</t>
  </si>
  <si>
    <t>900092491-1</t>
  </si>
  <si>
    <t>GPS ELECTRONICS LTDA</t>
  </si>
  <si>
    <t>GERSON JAIR SAENZ ROJAS</t>
  </si>
  <si>
    <t>CONTRATAR EL SERVICIO DE MANTENIMIENTO PREVENTIVO Y CORRECTIVO DE LAS BOMBAS EYECTORAS, DE EQUIPOS DE BOMBEO DE AGUA POTABLE, LAVADO Y DESINFECCIÓN DE TANQUES DE ALMACENAMIENTO DE AGUA POTABLE UBICADOS EN EL EDIFICIO SEDE CENTRAL DE ICETEX, ASÍ COMO EL SUMINISTRO DE LOS REPUESTOS”.</t>
  </si>
  <si>
    <t>CDEF-2022-559</t>
  </si>
  <si>
    <t xml:space="preserve">IG 311002004005002 </t>
  </si>
  <si>
    <t>2022-0574</t>
  </si>
  <si>
    <t>CD-569-2022</t>
  </si>
  <si>
    <t>830020062-3</t>
  </si>
  <si>
    <t>SOLUSOFT</t>
  </si>
  <si>
    <t>GILMA MEDINA ARIAS</t>
  </si>
  <si>
    <t>RENOVACIÓN ANUAL DEL SOPORTE Y ACTUALIZACIÓN DE VERSIONES DEL SISTEMA V.I.G.I.A. EN SUS MODULOS DE: VIGIA RIESGO, VIGIA RIESGO CORRUPCIÓN Y V.I.G.I.A MONITOREO Y CONTROL, ADQUIRIDOS POR ICETEX.</t>
  </si>
  <si>
    <t>CDEF-2022-660</t>
  </si>
  <si>
    <t xml:space="preserve">$39.201.925 </t>
  </si>
  <si>
    <t>2022-0597</t>
  </si>
  <si>
    <t>CD-589-2022</t>
  </si>
  <si>
    <t>COMISIÓN PARA EL INTERCAMBIO EDUCATIVO ENTRE LOS ESTADOS UNIDOS DE AMÉRICA Y COLOMBIA - FULBRIGHT COLOMBIA</t>
  </si>
  <si>
    <t>ACUERDO ESTRATÉGICO DE COOPERACIÓN INTERINSTITUCIONAL, PARA ADMINISTRAR O CONSTITUIR BECAS, ENTRE EL ICETEX Y FULBRIGHT COLOMBIA, PARA FORTALECER LA MOVILIDAD ACADÉMICA DE CIUDADANOS ESTADOUNIDENSES Y COLOMBIANOS A TRAVÉS DE LOS PROGRAMAS US SCHOLAR, US STUDENT, US SPECIALIST, ENGLISH TEACHING ASSISTANT (ETA PARA LA VIGENCIA 2022-2023).</t>
  </si>
  <si>
    <t>CDEF-2022-456</t>
  </si>
  <si>
    <t>Se deja constancia que obra documento que evidencia la transferencia realizada por el Aliado, el 28 de julio de 2023 al ICETEX, por la suma de ($246.115.141.00) por concepto de reintegro de recursos que no fueron ejecutados, tal como se observa en informe final presentado por el aliado.</t>
  </si>
  <si>
    <t>2022-0655</t>
  </si>
  <si>
    <t>CD-627-2022</t>
  </si>
  <si>
    <t>899999124-4</t>
  </si>
  <si>
    <t>ACUERDO ESTRATÉGICO DE COOPERACIÓN INTERINSTITUCIONAL PARA LA MOVILIDAD DE SEIS ESTUDIANTES DE LA UPN HACIA LA UNIVERSIDAD DE TOLOUSE (FRANCIA) - INSPE JEAN JAURÉS</t>
  </si>
  <si>
    <t>2021-0970</t>
  </si>
  <si>
    <t>IA-726-2021</t>
  </si>
  <si>
    <t>830022818-3</t>
  </si>
  <si>
    <t>DATA FILE S.A.</t>
  </si>
  <si>
    <t xml:space="preserve">MOISES BARRERA CAICEDO  </t>
  </si>
  <si>
    <t>PRESTAR LOS SERVICIOS ESPECIALIZADOS DE GESTIÓN DOCUMENTAL PARA EL DEPÓSITO, CUSTODIA Y ADMINISTRACIÓN DEL ARCHIVO DEL ICETEX.</t>
  </si>
  <si>
    <t>CDEF-2021-595
CCVF-2021-012
CCVF-2022-054</t>
  </si>
  <si>
    <t xml:space="preserve"> $4.196.374.443 </t>
  </si>
  <si>
    <t>$ 3.985.063.618,00</t>
  </si>
  <si>
    <t>$ 3,985,063,618.00</t>
  </si>
  <si>
    <t>$3,985,063,618</t>
  </si>
  <si>
    <t>2021-1045</t>
  </si>
  <si>
    <t>IS-1005-2021</t>
  </si>
  <si>
    <t>830073068-4</t>
  </si>
  <si>
    <t xml:space="preserve">COMPUMARKETING DE COLOMBIA SAS </t>
  </si>
  <si>
    <t>CARLOS JULIO MARIN BERMEO</t>
  </si>
  <si>
    <t>RENOVACIÓN DE SOPORTE Y LICENCIAMIENTO DE LA HERRAMIENTA DE GESTIÓN Y ALMACENAMIENTO DE CONTRASEÑAS CON LA QUE CUENTA EL ICETEX.</t>
  </si>
  <si>
    <t>CDEF-2021-854</t>
  </si>
  <si>
    <t>$ 47.980.800,00</t>
  </si>
  <si>
    <t>$ 47,980,800.00</t>
  </si>
  <si>
    <t>$47,980,800</t>
  </si>
  <si>
    <t>2023-0842</t>
  </si>
  <si>
    <t>IP-807-2023</t>
  </si>
  <si>
    <t>800212777-6</t>
  </si>
  <si>
    <t>TERERACT S.A.S</t>
  </si>
  <si>
    <t xml:space="preserve">TANIA HOYOS MOVILLA </t>
  </si>
  <si>
    <t>CONTRATAR LA ADQUISICIÓN, TRANSPORTE, INSTALACIÓN, CONFIGURACIÓN Y PUESTA EN MARCHA DE UPS, INCLUYENDO LAS ADECUACIONES TÉCNICAS NECESARIAS PARA SU FUNCIONAMIENTO; ADEMÁS DE MANTENIMIENTO PREVENTIVO Y CORRECTIVO.</t>
  </si>
  <si>
    <t>CDEF-2023-898
VF-2023-014</t>
  </si>
  <si>
    <t xml:space="preserve"> $1.990.274.250 </t>
  </si>
  <si>
    <t>$ 1.979.175.650,00</t>
  </si>
  <si>
    <t>$ 1,979,175,650.00</t>
  </si>
  <si>
    <t>$1,979,175,650</t>
  </si>
  <si>
    <t>2021-1069</t>
  </si>
  <si>
    <t>IP-1007-2021</t>
  </si>
  <si>
    <t xml:space="preserve">KGV SERVICIOS S.A.S. </t>
  </si>
  <si>
    <t>GUALDRON VARGAS CARLOS ANDRES FELIPE ADOLFO</t>
  </si>
  <si>
    <t>OBJETOGESTIÓN ESPECIALIZADA A LA PLATAFORMA DE SERVICIOS INTERNOS, ESTANDARIZACIÓN DE PROCESOS Y OPERACIÓN DE SERVICIOS T.I DEL ICETEX</t>
  </si>
  <si>
    <t xml:space="preserve">CCVF-2021-026 </t>
  </si>
  <si>
    <t xml:space="preserve"> $940.641.504 </t>
  </si>
  <si>
    <t>$ 910.800.000,00</t>
  </si>
  <si>
    <t>$ 910,800,000.00</t>
  </si>
  <si>
    <t>$910,800,000</t>
  </si>
  <si>
    <t>2021-1037</t>
  </si>
  <si>
    <t>CD-1016-2021</t>
  </si>
  <si>
    <t>LYDA BEATRÍZ BUITRAGO TÉLLEZ</t>
  </si>
  <si>
    <t>ADQUISICIÓN Y RENOVACIÓN DE SOPORTE DE LICENCIAMIENTO DE LA SUITE HERRAMIENTA DE GESTIÓN T.I ARANDA, LA CUAL ES LA BASE DE LA GESTIÓN DEL SERVICIO INTERNO E INTERDISCIPLINARIO DEL INSTITUTO.</t>
  </si>
  <si>
    <t>CDEF-2021-853</t>
  </si>
  <si>
    <t xml:space="preserve"> $113.124.475 </t>
  </si>
  <si>
    <t>$102.996.302</t>
  </si>
  <si>
    <t>2023-0645</t>
  </si>
  <si>
    <t>IS-592-2023</t>
  </si>
  <si>
    <t>CDEF-2023-551
CDEF-2023-615</t>
  </si>
  <si>
    <t xml:space="preserve"> $82.911.425 </t>
  </si>
  <si>
    <t>$82.911.425</t>
  </si>
  <si>
    <t>2022-0073</t>
  </si>
  <si>
    <t>CD-073-2022</t>
  </si>
  <si>
    <t>800046226-8</t>
  </si>
  <si>
    <t>HEINSOHN BUSINESS TECHNOLOGY S.A.</t>
  </si>
  <si>
    <t>LUIS FERNANDO JARAMILLO CEBALLOS</t>
  </si>
  <si>
    <t>PRESTAR EL SERVICIO DE ACTUALIZACIÓN, MANTENIMIENTO Y SOPORTE TÉCNICO DEL SISTEMA FINANCIERO APOTEOSYS DEL ICETEX.</t>
  </si>
  <si>
    <t>CDEF-2022-046</t>
  </si>
  <si>
    <t xml:space="preserve"> $378.387.162 </t>
  </si>
  <si>
    <t>$ 378.387.162,00</t>
  </si>
  <si>
    <t>$ 378,387,162.00</t>
  </si>
  <si>
    <t>2021-0971 </t>
  </si>
  <si>
    <t>IP-858-2021</t>
  </si>
  <si>
    <t>830053669-5</t>
  </si>
  <si>
    <t>SOLUTION COPY LTDA</t>
  </si>
  <si>
    <t>NELSON ENRIQUE FLECHAS OTÁLORA</t>
  </si>
  <si>
    <t>PRESTAR LOS SERVICIOS DE UN ESQUEMA DE OUTSOURCING DE IMPRESIÓN, FOTOCOPIADO Y ESCÁNER PARA EL ICETEX, INCLUIDO EL MANTENIMIENTO, SOPORTE TÉCNICO PREVENTIVO Y CORRECTIVO PARA LOS EQUIPOS, IMPRESORAS, FOTOCOPIADORAS, SCANNER, IMPRESORAS DE STICKER Y DEMÁS ELEMENTOS RELACIONADOS CON EL SERVICIO</t>
  </si>
  <si>
    <t>CDEF-2021-615
CDVF-2021-017</t>
  </si>
  <si>
    <t xml:space="preserve"> $1.099.712.304 </t>
  </si>
  <si>
    <t>IG311002004007003</t>
  </si>
  <si>
    <t>$ 549.000.126,00</t>
  </si>
  <si>
    <t>$ 549,000,126.00</t>
  </si>
  <si>
    <t>2021-0460</t>
  </si>
  <si>
    <t>EL MINISTERIO DE SALUD Y PROTECCIÓN SOCIAL</t>
  </si>
  <si>
    <t>RODOLFO ENRIQUE SALAS FIGUEROA</t>
  </si>
  <si>
    <t>AUNAR ESFUERZOS EN EL MINISTERIOD E DSALUD Y PROTECCION SOCIAL Y EL ICETEX CON EL PROPOSITO DE INTERCAMBIAR Y/ O SUMINISTRAR ESTUDIOS, BASES DE DATOS Y DEMAS INFORMACION QUE SEA REQUERIDA POR EL CUMPLIMIENTO DE SUS RESPECTIVAS FUNCIONES</t>
  </si>
  <si>
    <t>2023-0705</t>
  </si>
  <si>
    <t>CD-704-2023</t>
  </si>
  <si>
    <t>835000300-4</t>
  </si>
  <si>
    <t>UNIVERSIDAD DEL PACIFICO</t>
  </si>
  <si>
    <t>ARLIN VALVERDE SOLIS</t>
  </si>
  <si>
    <t>PRESTAR SERVICIOS DE ASESORÍA TÉCNICA Y CIENTÍFICA PARA LA ESTRUCTURACIÓN DE LOS DISEÑOS REQUERIDOS EN EL PROYECTO DE CONSTRUCCIÓN DE LA NUEVA SEDE DEL ICETEX EN LA CIUDAD DE BUENAVENTURA CON LA FINALIDAD DE IMPULSAR EL DESARROLLO SOCIAL, ECONÓMICO Y ECOLÓGICO DE LA COSTA PACÍFICA</t>
  </si>
  <si>
    <t>CDEF-2023-845</t>
  </si>
  <si>
    <t xml:space="preserve"> $300.000.000 </t>
  </si>
  <si>
    <t>$ 299.875.000,00</t>
  </si>
  <si>
    <t>$ 299,875,000.00</t>
  </si>
  <si>
    <t>2020-0572</t>
  </si>
  <si>
    <t xml:space="preserve">MC-485 2020 </t>
  </si>
  <si>
    <t>900184755-6</t>
  </si>
  <si>
    <t xml:space="preserve">TIQAL S.A.S.  </t>
  </si>
  <si>
    <t>ALEJANDRO BERMUDEZ RESTREPO</t>
  </si>
  <si>
    <t>CONTRATACIÓN DE LA LICENCIA A PERPETUIDAD DE UNA SOLUCIÓN TECNOLÓGICA, INCLUIDA LA INSTALACIÓN, PARAMETRIZACIÓN, IMPLEMENTACIÓN, PRUEBAS, SOPORTE Y CAPACITACIÓN DE USO Y ACTUALIZACIONES POSTERIORES, PARA EL DESARROLLO DE LAS AUDITORÍAS DE LA OFICINA DE CONTROL INTERNO DEL ICETEX.</t>
  </si>
  <si>
    <t>CCVF-2020-033</t>
  </si>
  <si>
    <t xml:space="preserve"> $386,057,573 </t>
  </si>
  <si>
    <t>IG332211003035</t>
  </si>
  <si>
    <t>NOMBRE ORDENADOR DEL GASTO</t>
  </si>
  <si>
    <t>NÚMERO DE CÉDULA ORDENADOR DEL GASTO</t>
  </si>
  <si>
    <t>CARGO SUPERVISOR</t>
  </si>
  <si>
    <t>NOMBRE SUPERVISOR</t>
  </si>
  <si>
    <t>CEDULA SUPERVISOR</t>
  </si>
  <si>
    <t>MODALIDADES DE SELECCIÓN</t>
  </si>
  <si>
    <t>SIGLAS</t>
  </si>
  <si>
    <t>TRANPARENCIA Y SIGEP</t>
  </si>
  <si>
    <t>CONFLICTOS DE INTERES Y DECLARACIÓN DE RENTA</t>
  </si>
  <si>
    <t>ABOGADOS BASE</t>
  </si>
  <si>
    <t>ABOGADOS LIQUIDACIONES</t>
  </si>
  <si>
    <t>TIPOS DE MODIFICACIÓN</t>
  </si>
  <si>
    <t>MODALIDADES (INCLUYE MANUAL ANTERIOR)</t>
  </si>
  <si>
    <t>SEXO</t>
  </si>
  <si>
    <t>AMANDA CARREÑO</t>
  </si>
  <si>
    <t>ASESOR TÉCNICO GRADO 01 SECRETARIA GENERAL</t>
  </si>
  <si>
    <t>COORDINADOR(A) GRUPO CRÉDITO</t>
  </si>
  <si>
    <t>ASESOR TÉCNICO GRADO 02 VICEPRESIDENCIA FINANCIERA</t>
  </si>
  <si>
    <t>COORDINADOR(A) GRUPO ACCIONES DE TUTELA Y REPRESENTACIÓN JUDICIAL</t>
  </si>
  <si>
    <t>COORDINADOR(A) GRUPO DE AUDITORÍA</t>
  </si>
  <si>
    <t>COORDINADOR(A) GRUPO DE COMUNICACIÓN ORGANIZACIONAL</t>
  </si>
  <si>
    <t>DANIEL ALBERTO CASTAÑO LOPEZ</t>
  </si>
  <si>
    <t>2 PARA PUBLICAR</t>
  </si>
  <si>
    <t>EDUARDO ELÍAS BARCHA BOLÍVAR</t>
  </si>
  <si>
    <t>VIVIANA MARGARITA ROMERO</t>
  </si>
  <si>
    <t>3 FUNCIONAMIENTO E INVERSIÓN</t>
  </si>
  <si>
    <t>3 SIN PUBLICAR</t>
  </si>
  <si>
    <t>DINORAH PATRICIA ABADIA MURILLO</t>
  </si>
  <si>
    <t>IVETTE FRASSER SÁNCHEZ</t>
  </si>
  <si>
    <t xml:space="preserve">LEIDY PEDRAZA </t>
  </si>
  <si>
    <t>PROFESIONAL UNIVERSITARIO GRADO 01</t>
  </si>
  <si>
    <t>CESAR AUGUSTO LÓPEZ LÓPEZ</t>
  </si>
  <si>
    <t>COORDINADOR(A) GRUPO DE PAGADURÍA</t>
  </si>
  <si>
    <t>ESTEBAN GUERRERO ALVAREZ</t>
  </si>
  <si>
    <t>6 INTERVENTORÍA</t>
  </si>
  <si>
    <t>EDGAR FABIO DÍAZ RAMIREZ</t>
  </si>
  <si>
    <t>AD, PRO Y MOD</t>
  </si>
  <si>
    <t>CONVOCATORIA PUBLICA</t>
  </si>
  <si>
    <t>ANA LUCY CASTRO CASTRO</t>
  </si>
  <si>
    <t>PROFESIONAL UNIVERSITARIO GRADO 01 GRUPO DE ADMINISTRACIÓN DE RECURSOS FÍSICOS</t>
  </si>
  <si>
    <t>COORDINADOR(A) GRUPO DE GESTIÓN TRIBUTARIA</t>
  </si>
  <si>
    <t>8 OBRA</t>
  </si>
  <si>
    <t>CARLOS JAVIER RODRÍGUEZ ORDÓÑEZ</t>
  </si>
  <si>
    <t>COORDINADOR(A) GRUPO OPERACIONES CONTABLES</t>
  </si>
  <si>
    <t>DIANA BARRERA MEDINA</t>
  </si>
  <si>
    <t>SANDRA MILENA MÁRQUEZ PARRA</t>
  </si>
  <si>
    <t>LICETH PAOLA LIZCANO CASTILLO</t>
  </si>
  <si>
    <t>RODOLFO GIOVANNI CANCHILA SUÁREZ</t>
  </si>
  <si>
    <t>YURY NAYIBE LADINO</t>
  </si>
  <si>
    <t>ANDRES MAURICIO LUQUE AYALA</t>
  </si>
  <si>
    <t>JAIME ANDRES GIL ACOSTA</t>
  </si>
  <si>
    <t>JORGE EDUARDO BONILLA</t>
  </si>
  <si>
    <t>15 TRANSITORIO</t>
  </si>
  <si>
    <t>GERARDO ALONSO RODRÍGUEZ PINEDA</t>
  </si>
  <si>
    <t>LUZ MARIELLY MORALES MARTÍNEZ</t>
  </si>
  <si>
    <t>ALFREDO SUSPES LOZANO</t>
  </si>
  <si>
    <t>MARÍA VICTORIA CAMARGO CORTÉS</t>
  </si>
  <si>
    <t>YULI ANDREA RIVEROS PINEDA</t>
  </si>
  <si>
    <t>BLANCA FLOR AMÉZQUITA RODRÍGUEZ</t>
  </si>
  <si>
    <t>MARÍA TERESA COMBARIZA MARTÍN</t>
  </si>
  <si>
    <t>VIVIANA BERNAL CHINCHILLA</t>
  </si>
  <si>
    <t>LUIS ALFONSO NIÑO MANCILLA</t>
  </si>
  <si>
    <t>ELIANA ROCÍO OCHOA BLANCO</t>
  </si>
  <si>
    <t>JOSÉ EDUARDO PARADA JIMÉNEZ</t>
  </si>
  <si>
    <t>CARLOS EDUARDO CRUZ GONZALEZ</t>
  </si>
  <si>
    <t>FREDY GONZALO FONTECHA BERNAL</t>
  </si>
  <si>
    <t>VICTOR MANUEL MONDRAGÓN MACA</t>
  </si>
  <si>
    <t>GUILLERMO ANDRES CARDONA HERRERA</t>
  </si>
  <si>
    <t>PEDRO JOSÉ CARRILLO BERMUDEZ</t>
  </si>
  <si>
    <t>MARTHA RUTH ROBAYO LÓPEZ</t>
  </si>
  <si>
    <t>EDWIN RICARDO CASTILLO MURILLO</t>
  </si>
  <si>
    <t>ANDREA BELTRÁN KAZLAUSKAS</t>
  </si>
  <si>
    <t>JOSÉ GÓMEZ CARDONA</t>
  </si>
  <si>
    <t>CARLOS ALBERTO CASTILLO MORA</t>
  </si>
  <si>
    <t>FLOR ALBA GONZALEZ VELASQUEZ</t>
  </si>
  <si>
    <t>JORGE ENRIQUE MOLINA RAMÍREZ</t>
  </si>
  <si>
    <t>DIEGO FERNANDO RODRÍGUEZ CAMACHO</t>
  </si>
  <si>
    <t>BEATRIZ HELENA TORRES LIZARAZO</t>
  </si>
  <si>
    <t>ADRIANA MARIN BERNAL</t>
  </si>
  <si>
    <t>JOSÉ JAIME BELTRÁN ARIAS</t>
  </si>
  <si>
    <t>WILLIAM BARRETO MENDEZ</t>
  </si>
  <si>
    <t>MARÍA STELLA CARREÑO JURADO</t>
  </si>
  <si>
    <t>MÓNICA PINTO GARCÍA</t>
  </si>
  <si>
    <t>LUZ MARINA CARREÑO</t>
  </si>
  <si>
    <t>MANUEL ALBERTO LOZANO CARDONA</t>
  </si>
  <si>
    <t>LIBIA ESPERANZA FONSECA MARÍN</t>
  </si>
  <si>
    <t>ITEM</t>
  </si>
  <si>
    <t>No.
Cto</t>
  </si>
  <si>
    <t>CONTRATISTA</t>
  </si>
  <si>
    <t>CESIÓN 1:
NOMBRE COMPLETO</t>
  </si>
  <si>
    <t>CESIÓN 2:
NOMBRE COMPLETO</t>
  </si>
  <si>
    <t>MODIFICACIÓMN 1:  FECHA DE SUSCRIPCIÓN</t>
  </si>
  <si>
    <t>NUMERO DE ORFEO</t>
  </si>
  <si>
    <t>1442-2021</t>
  </si>
  <si>
    <t>2021-0932</t>
  </si>
  <si>
    <t>CD-909-2021</t>
  </si>
  <si>
    <t>900062917-9</t>
  </si>
  <si>
    <t>SERVICIOS POSTALES NACIONALES S.A</t>
  </si>
  <si>
    <t>CARLOS IGNACIO DE LA ROSA MANOTAS</t>
  </si>
  <si>
    <t>CONTRATAR LA PRESTACIÓN DE SERVICIOS PARA LOS PROCESOS DE RECEPCIÓN, CONFIGURACIÓN, IMPRESIÓN Y ALISTAMIENTO DE LOS RECIBOS DE PAGO Y COMUNICACIONES, ASÍ COMO LOS PROCESOS DE DISTRIBUCIÓN O ENTREGA FÍSICA A NIVEL NACIONAL E INTERNACIONAL, A TRAVÉS DEL SERVICIO POSTAL U OTROS SERVICIOS, BAJO LAS POLÍTICAS Y PARÁMETROS FIJADOS POR EL ICETEX.</t>
  </si>
  <si>
    <t>CDEF-2021-611
CCVF-2021-013</t>
  </si>
  <si>
    <t xml:space="preserve">$2.043.946.088 </t>
  </si>
  <si>
    <t>IG311002004006002</t>
  </si>
  <si>
    <t>SECRETARIA GENERAL</t>
  </si>
  <si>
    <t>MARGARETH SOFÍA SILVA MONTAÑA</t>
  </si>
  <si>
    <t>COORDINADOR DEL GRUPO DE ADMINISTRACIÓN DE CARTERA
COORDINADOR GRUPO DE CORRESPONDENCIA</t>
  </si>
  <si>
    <t>JOSE EDUARDO PARADA JIMENEZ
LUZ MARIELLY MORALES MARTINEZ</t>
  </si>
  <si>
    <t>79434805
24497384</t>
  </si>
  <si>
    <t>1 CONTRATACIÓN DIRECTA</t>
  </si>
  <si>
    <t>DIANA GONZALES</t>
  </si>
  <si>
    <t>OTROSÍ NO 1. MODIFICAR: EL NUMERAL 8.3 OBLIGACIONES ESPECÍFICAS DE LA CLÁUSULA OCTAVA - OBLIGACIONES DE LAS PARTES, EN EL SENTIDO DE INCLUIR LA OBLIGACIÓN 39,</t>
  </si>
  <si>
    <t>MODIFICAR LA CLAUSULA 8.3 OBLIGACIONES ESPECÍFICAS Y ADICIONAR EL VALOR EN LA SUMA DE ($90.852.600)</t>
  </si>
  <si>
    <t>CCVF-2021-013</t>
  </si>
  <si>
    <t xml:space="preserve">$400.780.131 </t>
  </si>
  <si>
    <t>CCVF-2022-055</t>
  </si>
  <si>
    <t>ADICIONAR EL VALOR EN LA SUMA DE ($400.780.131)</t>
  </si>
  <si>
    <t xml:space="preserve">$ 491.632.731,00 </t>
  </si>
  <si>
    <t xml:space="preserve"> $ 14.234.328,00 </t>
  </si>
  <si>
    <t xml:space="preserve"> $ 1.919.829.004,00 </t>
  </si>
  <si>
    <t>TERMINADO</t>
  </si>
  <si>
    <t>1500-2021</t>
  </si>
  <si>
    <t>2021-1067</t>
  </si>
  <si>
    <t>IP-977-2021</t>
  </si>
  <si>
    <t>860008890-5</t>
  </si>
  <si>
    <t>ERNST &amp; YOUNG AUDIT S.A.S.</t>
  </si>
  <si>
    <t>MARIANA MILAGROS RODRIGUEZ</t>
  </si>
  <si>
    <t>Cédula de extranjería No. 300095</t>
  </si>
  <si>
    <t>CONTRATAR LA AUDITORÍA EXTERNA PARA EFECTOS DE OBTENER DEL AUDITOR UNA OPINIÓN PROFESIONAL (O UNA ASEVERACIÓN ACERCA DE LA IMPOSIBILIDAD DE EXPRESAR LA MISMA SI ELLO FUERA NECESARIO) SOBRE SI LOS ESTADOS FINANCIEROS DE PROPÓSITO ESPECIAL DEL PROYECTO PACES (PRÉSTAMOS BIRF 8701-CO, BIRF 8836-CO Y RECURSOS DE CONTRAPARTIDA), HAN SIDO PREPARADOS, EN TODOS SUS ASPECTOS IMPORTANTES, DE CONFORMIDAD CON LOS REQUERIMIENTOS DEL MARCO DE INFORMACIÓN FINANCIERA APLICABLE Y DE ACUERDO CON LOS REQUISITOS DE LOS CONTRATOS DE PRÉSTAMOS CON EL BANCO MUNDIAL Y EL ICETEX; Y EVALUAR Y CONCEPTUAR SOBRE LA EFECTIVIDAD DEL SISTEMA DE CONTROL INTERNO DEL PROYECTO, COMO PARTE INTEGRAL DEL SISTEMA DE CONTROL INTERNO DEL ICETEX Y MINCIENCIAS, COMO ENTIDADES EJECUTORAS; QUE DEBERÁ EFECTUAR CON EL ALCANCE PREVISTO EN LAS NORMAS INTERNACIONALES DE AUDITORÍA. CON INFORMES INDEPENDIENTES PARA CADA VIGENCIA AUDITADA (2021, 2022, Y 2023 JUNTO AL PERIODO DE GRACIA</t>
  </si>
  <si>
    <t>CCVF-2021-030</t>
  </si>
  <si>
    <t xml:space="preserve">$862.474.800 </t>
  </si>
  <si>
    <t>OFICINA ASESORA DE PLANEACION</t>
  </si>
  <si>
    <t>JEFE DE LA OFICINA ASESORA DE PLANEACIÓN</t>
  </si>
  <si>
    <t>IVAN ERNESTO MORALES CELIS</t>
  </si>
  <si>
    <t>4 INVITACIÓN PRIVADA Y POR SORTEO</t>
  </si>
  <si>
    <t>LAUDYS PEREZ</t>
  </si>
  <si>
    <t xml:space="preserve">$ -   </t>
  </si>
  <si>
    <t xml:space="preserve"> $ 731.850.000,00 </t>
  </si>
  <si>
    <t xml:space="preserve"> $ -   </t>
  </si>
  <si>
    <t xml:space="preserve"> $ 727.837.664,47 </t>
  </si>
  <si>
    <t>GRUPO DE CONTRATACIÓN</t>
  </si>
  <si>
    <t>2022-0770</t>
  </si>
  <si>
    <t>IP-676-2022</t>
  </si>
  <si>
    <t>860045379-1</t>
  </si>
  <si>
    <t>COMWARE S.A.</t>
  </si>
  <si>
    <t>MONICA DEL PILAR CAMACHO CASADO</t>
  </si>
  <si>
    <t>GESTIONAR SERVICIOS CON ATENCIÓN ÁGIL, FLEXIBLE Y ENFOQUE DIFERENCIAL PARA ATENDER A LOS GRUPOS DE INTERÉS DEL ICETEX POR DIVERSOS CANALES, EN ARAS DE TENER UNA INTERACCIÓN CONTINUA Y CONSTRUCTIVA EN EL MARCO DE LA TRANSFORMACIÓN DE LA ENTIDAD.</t>
  </si>
  <si>
    <t>CCVF-2022-035</t>
  </si>
  <si>
    <t xml:space="preserve">
$24.138.850.146,00
$32.745.445.233,00
$35.582.625.387,00
$9.827.372.518,00</t>
  </si>
  <si>
    <t>IG332550004</t>
  </si>
  <si>
    <t xml:space="preserve">MARIA CAROLINA CARRILLO SALTAREN </t>
  </si>
  <si>
    <t>EDGAR BRAND</t>
  </si>
  <si>
    <t xml:space="preserve">$ - </t>
  </si>
  <si>
    <t xml:space="preserve"> $ 101.760.124.202 </t>
  </si>
  <si>
    <t>$ 0</t>
  </si>
  <si>
    <t xml:space="preserve">$ 49.008.511.485 </t>
  </si>
  <si>
    <t>2022-0792</t>
  </si>
  <si>
    <t>CD-753-2022</t>
  </si>
  <si>
    <t>900068796-1</t>
  </si>
  <si>
    <t>INFOTIC S.A</t>
  </si>
  <si>
    <t>ADOLFO ANTONIO TEJADA DÍAZ</t>
  </si>
  <si>
    <t>SERVICIOS ESPECIALIZADOS EN OUTSOURCING PARA LA CONECTIVIDAD, RED DE COMUNICACIONES, CENTRO DE DATOS Y SERVICIOS CONEXOS CON VALOR AGREGADO PARA EL ICETEX</t>
  </si>
  <si>
    <t>CCVF-2022-037</t>
  </si>
  <si>
    <t>MANTENIMIENTO DE VÍAS, ESTRUCTURAS Y</t>
  </si>
  <si>
    <t>$31.427.389.908</t>
  </si>
  <si>
    <t>IG311002004005004</t>
  </si>
  <si>
    <t>MAURICIO CAJICÁ MARTÍNEZ</t>
  </si>
  <si>
    <t xml:space="preserve"> $ 31.398.996.858 </t>
  </si>
  <si>
    <t xml:space="preserve">$ 14.852.307.957 </t>
  </si>
  <si>
    <t xml:space="preserve">$31.398.996.858 </t>
  </si>
  <si>
    <t xml:space="preserve">$ 15.011.156.171 </t>
  </si>
  <si>
    <t>8.16</t>
  </si>
  <si>
    <t>2023-0541
OC 105689</t>
  </si>
  <si>
    <t>UNIÓN TEMPORAL ASD-IQ</t>
  </si>
  <si>
    <t>JAIME ALBERTO ROMERO SANABRIA</t>
  </si>
  <si>
    <t>PRESTAR LOS SERVICIOS ESPECIALIZADOS DE CENTRO DE CONTACTO O BPO PARA EL PROCESO DE RECUPERACIÓN DE CARTERA EN GESTIÓN ADMINISTRATIVA.</t>
  </si>
  <si>
    <t>CDEF-2023-490
VF 2023-03</t>
  </si>
  <si>
    <t>GESTIÓN COBRANZA ADMINISTRATIVA</t>
  </si>
  <si>
    <t>5723768256
 5008297224</t>
  </si>
  <si>
    <t>IG 312001020600081</t>
  </si>
  <si>
    <t xml:space="preserve"> $ 6.924.238.915 </t>
  </si>
  <si>
    <t>CCVF-2023-003</t>
  </si>
  <si>
    <t xml:space="preserve">
 IP-479-2023</t>
  </si>
  <si>
    <t>UNIÓN TEMPORAL SERVIR
VIGIAS DE COLOMBIA SRL LTDA.
COMPAÑÍA DE VIGILANCIA PRIVADA SERSECOL LTDA.</t>
  </si>
  <si>
    <t>LEONARDO GÓMEZ GRANADOS</t>
  </si>
  <si>
    <t>CONTRATAR EL SERVICIO ESPECIALIZADO DE VIGILANCIA Y SEGURIDAD PRIVADA ARMADA BAJO LA MODALIDAD FIJA,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t>
  </si>
  <si>
    <t xml:space="preserve">CDEF-2023-592
VF-2023-02 </t>
  </si>
  <si>
    <t xml:space="preserve">$4.197.071.097 </t>
  </si>
  <si>
    <t>IG 311002004005010</t>
  </si>
  <si>
    <t>LEONARDO ROBERTO PÉREZ AGUIRRE</t>
  </si>
  <si>
    <t xml:space="preserve"> $ 4.197.071.097 </t>
  </si>
  <si>
    <t>CCVF-2023-002</t>
  </si>
  <si>
    <t>8.17</t>
  </si>
  <si>
    <t>IP-608-2023</t>
  </si>
  <si>
    <t>RICHARD GIOVANNY SUAREZ TORRES</t>
  </si>
  <si>
    <t>CONTRATAR LOS SERVICIOS DE GESTIÓN DE RECUPERACIÓN DE CARTERA PARA LA ETAPA PREJURÍDICA PARA EL RECAUDO DE LA CARTERA DEL ICETEX A NIVEL NACIONAL</t>
  </si>
  <si>
    <t>CDEF–2023-768
VF-2023-004</t>
  </si>
  <si>
    <t>GESTION Y COBRANZA PREJURIDICA</t>
  </si>
  <si>
    <t>4083310698
21397773073</t>
  </si>
  <si>
    <t>IG 312001020600083</t>
  </si>
  <si>
    <t xml:space="preserve"> $ 25.286.640.397 </t>
  </si>
  <si>
    <t xml:space="preserve"> $ 9.791.356.647 </t>
  </si>
  <si>
    <t>CCVF-2023-004</t>
  </si>
  <si>
    <t>CD-654-2023</t>
  </si>
  <si>
    <t>IVETH TATIANA MORENO PALACIOS</t>
  </si>
  <si>
    <t xml:space="preserve">$8.584.170.986 </t>
  </si>
  <si>
    <t xml:space="preserve"> $ 8.584.170.986 </t>
  </si>
  <si>
    <t xml:space="preserve"> $ 3.217.102.472 </t>
  </si>
  <si>
    <t>202330500002801-3</t>
  </si>
  <si>
    <t>CCVF-2023-007</t>
  </si>
  <si>
    <t>2023-0742</t>
  </si>
  <si>
    <t>CD-744-2023</t>
  </si>
  <si>
    <t>901144049-7</t>
  </si>
  <si>
    <t>CORPORACIÓN AGENCIA NACIONAL DE GOBIERNO DIGITAL AND</t>
  </si>
  <si>
    <t>CESAR AUGUSTO AMAR FLOREZ</t>
  </si>
  <si>
    <t xml:space="preserve">ESTABLECER EL MARCO DE COLABORACIÓN INTERADMINISTRATIVA ENTRE EL INSTITUTO COLOMBIANO DE CREDITO EDUCATIVO Y ESTUDIOS EN EL EXTERIOR – ICETEX Y LA CORPORACIÓN AGENCIA NACIONAL DE GOBIERNO DIGITAL – AND, PARA EL SUMINISTRO Y/O ACTUALIZACIÓN DE EQUIPOS Y/O DESARROLLO Y/O OPTIMIZACIÓN Y/O IMPLEMENTACIÓN DE LAS SOLUCIONES TECNOLÓGICAS Y PROYECTOS DE INFRAESTRUCTURA TI ORIENTADOS A LA TRANSFORMACIÓN DIGITAL, DE ACUERDO A LOS PLANES DE POLÍTICA DE GOBIERNO  DIGITAL Y AL CUMPLIMIENTO DE LA VISIÓN ESTRATÉGICA DEL ICETEX PARA EL FORTALECIMIENTO DE SUS CAPACIDADES TECNOLÓGICAS. </t>
  </si>
  <si>
    <t xml:space="preserve">$-   </t>
  </si>
  <si>
    <t xml:space="preserve"> $-   </t>
  </si>
  <si>
    <t xml:space="preserve"> $ - </t>
  </si>
  <si>
    <t>202351100006030-3</t>
  </si>
  <si>
    <t>2023-0744</t>
  </si>
  <si>
    <t>CD-747-2023</t>
  </si>
  <si>
    <t xml:space="preserve">830099766 1 </t>
  </si>
  <si>
    <t>ARANDA SOFTWARE ANDINA S A S</t>
  </si>
  <si>
    <t xml:space="preserve">ADQUISICIÓN DE ARANDA ASSET MANAGEMENT PARA MANTENER EL INVENTARIO DE DISPOSITIVOS DE TECNOLOGÍA EN LA ENTIDAD. </t>
  </si>
  <si>
    <t>CDEF-2023-683</t>
  </si>
  <si>
    <t xml:space="preserve">$15.261.750 </t>
  </si>
  <si>
    <t>IG 1002004005003</t>
  </si>
  <si>
    <t>Con el fin de buscar la adecuada y oportuna prestación del servicio, el contratista debe cumplir, las derivadas de las especificaciones técnicas y las propias de la naturaleza del contrato, con las siguientes obligaciones:
1. Cumplir con el objeto del contrato en los términos y condiciones establecidas en este documento, y sus anexos, así como la oferta presentada por el contratista.
2. Ejecutar los servicios contratados en las condiciones y términos establecidos en el anexo de Especificaciones técnicas.
3. Entregar el certificado de renovación por un (1) año del licenciamiento de la herramienta de Aranda Asset Management, así como el soporte del de la misma, dentro de los cinco (5) días hábiles siguientes a la fecha de suscripción del acta de inicio.
4. Entregar el licenciamiento indicado en las especificaciones técnicas, así como la entrega del certificado de propiedad para su uso por el Icetex y activación del soporte por un año.
5. Permitir el acceso web al portal de ARANDA, para descargar las últimas versiones que sean liberadas, durante el periodo de la renovación.
6. Activar con el soporte los siguientes beneficios:
 ➢ Apoyo para incidentes técnicos en los productos adquiridos.
➢ Acceso a últimas mejoras de producto “Actualizaciones y Parches”.
➢ Apoyo en la aplicación de actualizaciones y parches.
➢ Acceso a la Base de Datos de Conocimiento y FAQs.
➢ Acceso al portal Web de nuestro ASC para creación, consulta y seguimiento de casos.
➢ Aclaraciones y consultas funcionales.
➢ Realización de Reportes personalizados.
➢ Acceso a nuestros Web Casts Técnicos.
➢ Horario de atención del soporte de lunes a viernes 8:00 a 18:00.
7. Las demás que se deriven de la naturaleza del contrato y que garanticen su cabal y oportuna ejecución.</t>
  </si>
  <si>
    <t xml:space="preserve"> $ 15.261.750 </t>
  </si>
  <si>
    <t>2023-5110-0006104-3</t>
  </si>
  <si>
    <t>2023-0791 DERIVADO2023-0742</t>
  </si>
  <si>
    <t>CD-789-2023</t>
  </si>
  <si>
    <t xml:space="preserve">
CORPORACIÓN AGENCIA NACIONAL DE GOBIERNO DIGITAL</t>
  </si>
  <si>
    <t>SERVICIO DE MESA DE SERVICIO, MANTENIMIENTO PREVENTIVO Y CORRECTIVO A LA BASE INSTALADA DE MICROINFORMÁTICA Y OUTSOURCING DE IMPRESIÓN, FOTOCOPIADO Y ESCÁNER PARA EL ICETEX</t>
  </si>
  <si>
    <t xml:space="preserve">CDEF-2023-773
VF-2023-008 </t>
  </si>
  <si>
    <t>MANTENIMIENTO EQUIPO COMUNICACION Y</t>
  </si>
  <si>
    <t xml:space="preserve">$1.440.647.195 </t>
  </si>
  <si>
    <t>IG 311002004005005</t>
  </si>
  <si>
    <t xml:space="preserve"> $8.554.022.831 </t>
  </si>
  <si>
    <t xml:space="preserve"> $ 8.343.883.175 </t>
  </si>
  <si>
    <t xml:space="preserve"> $ 2.423.155.114 </t>
  </si>
  <si>
    <t>N(A</t>
  </si>
  <si>
    <t xml:space="preserve">$8.343.883.175 </t>
  </si>
  <si>
    <t xml:space="preserve"> $ 2.468.875.022 </t>
  </si>
  <si>
    <t>2023-0796
OC 115139</t>
  </si>
  <si>
    <t>CD-795-2023</t>
  </si>
  <si>
    <t>UT SOFT IG3</t>
  </si>
  <si>
    <t>NICOLAS CAPASSO VELEZ</t>
  </si>
  <si>
    <t>SUSCRIPCIÓN DE PRODUCTOS MICROSOFT CON LOS QUE CUENTA EL ICETEX BAJO EL ACUERDO SOFTWARE POR CATÁLOGO.</t>
  </si>
  <si>
    <t>CDEF-2023-889</t>
  </si>
  <si>
    <t>MANTENIMIENTO SOFTWARE Y SUMINISTRO DE</t>
  </si>
  <si>
    <t xml:space="preserve">$1.608.574.785 </t>
  </si>
  <si>
    <t>IG1002004005003</t>
  </si>
  <si>
    <t xml:space="preserve">$1.605.197.558 </t>
  </si>
  <si>
    <t>6 ACUERDO MARCO</t>
  </si>
  <si>
    <t xml:space="preserve"> $ 1.605.197.558 </t>
  </si>
  <si>
    <t xml:space="preserve"> $ 1.468.778.502 </t>
  </si>
  <si>
    <t>2023-0816
DERIVADO 2023-0742</t>
  </si>
  <si>
    <t>CD-820-2023</t>
  </si>
  <si>
    <t>ESQUEMA DE FÁBRICA DE SOFTWARE PARA SOPORTAR LOS SERVICIOS Y PROCESOS TI DEL ICETEX</t>
  </si>
  <si>
    <t>CDEF-2023-811
VF -2023-0011</t>
  </si>
  <si>
    <t>FABRICA DE SOFTWARE</t>
  </si>
  <si>
    <t xml:space="preserve">$2.518.811.304 </t>
  </si>
  <si>
    <t>IG332211003006</t>
  </si>
  <si>
    <t xml:space="preserve"> $ 15.112.867.850 </t>
  </si>
  <si>
    <t xml:space="preserve"> $ 4.218.194.169 </t>
  </si>
  <si>
    <t xml:space="preserve">$15.112.867.850 </t>
  </si>
  <si>
    <t xml:space="preserve"> $ 4.301.999.351 </t>
  </si>
  <si>
    <t>2023-0817</t>
  </si>
  <si>
    <t>CD-822-2023</t>
  </si>
  <si>
    <t>830101214-4</t>
  </si>
  <si>
    <t>CORPORACIÓN COLOMBIA DIGITAL</t>
  </si>
  <si>
    <t>JORGE ANDRES CAPURRO SANCHEZ</t>
  </si>
  <si>
    <t>ESQUEMA DE FÁBRICA DE PRUEBAS PARA SOPORTAR LOS SERVICIOS Y PROCESOS TI DEL ICETEX</t>
  </si>
  <si>
    <t>CDEF-2023-812
VF -2023-0010</t>
  </si>
  <si>
    <t>FABRICA DE PRUEBAS</t>
  </si>
  <si>
    <t xml:space="preserve">$1.396.256.454 </t>
  </si>
  <si>
    <t xml:space="preserve"> $ 8.377.538.750 </t>
  </si>
  <si>
    <t xml:space="preserve"> $ 2.310.517.537 </t>
  </si>
  <si>
    <t xml:space="preserve">$8.377.538.750 </t>
  </si>
  <si>
    <t xml:space="preserve"> $ 2.356.421.858 </t>
  </si>
  <si>
    <t>2023-0821</t>
  </si>
  <si>
    <t>CD-825-2023</t>
  </si>
  <si>
    <t xml:space="preserve">CERTICAMARA S.A.  </t>
  </si>
  <si>
    <t xml:space="preserve">LUCIA VARGAS YEMAIL </t>
  </si>
  <si>
    <t xml:space="preserve">ADQUISICIÓN, RENOVACIÓN Y SOPORTE DE CERTIFICADOS DIGITALES SSL PARA LOS SERVICIOS TIPO WEB DE ICETEX </t>
  </si>
  <si>
    <t>CDEF-2023-905</t>
  </si>
  <si>
    <t xml:space="preserve">$59.000.000 </t>
  </si>
  <si>
    <t xml:space="preserve">$58.979.970 </t>
  </si>
  <si>
    <t>CLAUDIA MELO</t>
  </si>
  <si>
    <t xml:space="preserve"> $ 58.979.970 </t>
  </si>
  <si>
    <t xml:space="preserve"> $ 49.503.964 </t>
  </si>
  <si>
    <t>CRISTINA PEDRAZA</t>
  </si>
  <si>
    <t>ARQUITECTURA EMPRESARIAL</t>
  </si>
  <si>
    <t xml:space="preserve">$400.000.000 </t>
  </si>
  <si>
    <t xml:space="preserve"> $399.609.234 </t>
  </si>
  <si>
    <t xml:space="preserve"> $ 399.609.234 </t>
  </si>
  <si>
    <t xml:space="preserve"> $ 310.685.201 </t>
  </si>
  <si>
    <t>2023-0874</t>
  </si>
  <si>
    <t>CD-872-2023</t>
  </si>
  <si>
    <t>830.101.214-4</t>
  </si>
  <si>
    <t>RENOVACIÓN DE LA SUSCRIPCIÓN Y DEL SOPORTE DE WSO2 PARA SERVICIOS DE INTEREPERABILIDAD DEL ICETEX</t>
  </si>
  <si>
    <t>1 AÑO</t>
  </si>
  <si>
    <t>CDEF-998-2023</t>
  </si>
  <si>
    <t xml:space="preserve">$385.377.583 </t>
  </si>
  <si>
    <t xml:space="preserve"> $ 385.377.583 </t>
  </si>
  <si>
    <t xml:space="preserve">  </t>
  </si>
  <si>
    <t>2023-0876</t>
  </si>
  <si>
    <t>CD-874-2023</t>
  </si>
  <si>
    <t>900689919-5</t>
  </si>
  <si>
    <t>EXCELTIS S.A.S.</t>
  </si>
  <si>
    <t>VLADIMIR ALBERTO ORTIZ HERNÁNDEZ</t>
  </si>
  <si>
    <t>RENOVACIÓN DEL SOPORTE Y LICENCIAMIENTO PARA LA PLATAFORMA DE GESTIÓN INTEGRAL DE PROYECTOS DEL ICETEX</t>
  </si>
  <si>
    <t>CDEF-999 -2023</t>
  </si>
  <si>
    <t xml:space="preserve">
MANTENIMIENTO SOFTWARE Y SUMINISTRO DE I</t>
  </si>
  <si>
    <t xml:space="preserve"> $320.071.140 </t>
  </si>
  <si>
    <t>IG 31100200400503</t>
  </si>
  <si>
    <t xml:space="preserve">$320.071.140 </t>
  </si>
  <si>
    <t xml:space="preserve"> $ 320.071.140 </t>
  </si>
  <si>
    <t>2023-0884</t>
  </si>
  <si>
    <t>CD-886-2023</t>
  </si>
  <si>
    <t xml:space="preserve">830045792-1 </t>
  </si>
  <si>
    <t>CALL PROCESSING TECHNOLOGIES S A – CALLTECH S.A.</t>
  </si>
  <si>
    <t>CDEF 924-2023</t>
  </si>
  <si>
    <t xml:space="preserve"> $5.509.700 </t>
  </si>
  <si>
    <t xml:space="preserve">$5.509.700 </t>
  </si>
  <si>
    <t xml:space="preserve"> $ 5.509.700 </t>
  </si>
  <si>
    <t xml:space="preserve"> $ 3.486.961 </t>
  </si>
  <si>
    <t>2023-0886</t>
  </si>
  <si>
    <t>CD-890-2023</t>
  </si>
  <si>
    <t>REDSIS S.A.S.</t>
  </si>
  <si>
    <t>ANTONIO NABBIT NADER</t>
  </si>
  <si>
    <t>RENOVACIÓN DEL SOPORTE Y LICENCIAMIENTO DE LA PLATAFORMA DE TRANSFERENCIA SEGURA DE ARCHIVOS ENTRE ENTIDADES GOANYWHERE DEL ICETEX</t>
  </si>
  <si>
    <t>CDEF 965-2023</t>
  </si>
  <si>
    <t xml:space="preserve"> $46.621.944 </t>
  </si>
  <si>
    <t xml:space="preserve">$46.621.944 </t>
  </si>
  <si>
    <t xml:space="preserve"> $ 46.621.944 </t>
  </si>
  <si>
    <t xml:space="preserve">$ 27.417.241 </t>
  </si>
  <si>
    <t>2023-0898
OC 123231</t>
  </si>
  <si>
    <t>CD-896-2023</t>
  </si>
  <si>
    <t>90131211-2</t>
  </si>
  <si>
    <t>CAMERFIRMA COLOMBIA SAS</t>
  </si>
  <si>
    <t>NUBIA BAUJTISTA</t>
  </si>
  <si>
    <t>ADQUISICIÓN DE CERTIFICADOS FIRMAS DIGITALES Y COMPONENTE TECNOLÓGICO NECESARIOS PARA LA OPERACIÓN DEL PROCESO DE FIRMADO DIGITAL EN EL ICETEX.</t>
  </si>
  <si>
    <t>CDEF 1022-2023</t>
  </si>
  <si>
    <t xml:space="preserve"> $25.175.640 </t>
  </si>
  <si>
    <t xml:space="preserve">$9.996.000 </t>
  </si>
  <si>
    <t xml:space="preserve"> $ 9.996.000 </t>
  </si>
  <si>
    <t xml:space="preserve">$ 5.614.192 </t>
  </si>
  <si>
    <t>CD-699-2024</t>
  </si>
  <si>
    <t>DIGITAL WARE</t>
  </si>
  <si>
    <t>CDEF-611-2024</t>
  </si>
  <si>
    <t>1. Cumplir con el objeto del contrato en los términos y condiciones establecidas en este documento, y
sus anexos, así como la oferta presentada por el contratista.
2. Ejecutar los servicios contratados en las condiciones y términos establecidos en el anexo de
Especificaciones técnicas
3. Entregar el certificado de renovación por un (1) año del licenciamiento de la herramienta de KACTUS,
así como el soporte del de la misma, dentro de los cinco (5) días hábiles siguientes a la fecha de
suscripción del acta de inicio.
4. Prestar los servicios con profesionales en sistemas de información, que cuenten con experiencia en
manejo funcional y administración de la herramienta KACTUS, a partir de un año de experiencia.
5. Entregar a través del centro de Soporte de DIGITAL WARE en internet, las nuevas versiones, parches
y/o paquetes liberados (“SERVICE PACKS”), durante la vigencia del contrato para que sean
descargados, probados e instalados por el ICETEX.
6. Realizar acompañamiento para la reinstalación del aplicativo cuando se requiera y las nuevas
versiones o correcciones de software que libere durante la vigencia del contrato.7. Garantizar el apoyo del personal idóneo y necesario en caso de presentar inconvenientes con el paso
a producción de las nuevas versiones.
8. Poner a disposición del ICETEX, dentro del término de cinco (5) días hábiles antes de que entren en
vigencia los cambios al software que garanticen el cumplimiento de nuevas leyes y sus decretos
reglamentarios, resoluciones, circulares, anexos y demás documentos emitidos por las Entidades de
control, EPS, AFP, ARP, Cajas de Compensación, Superintendencias, Contraloría, Ministerio de
Hacienda, las cuales hayan sido formalmente emitidas y sean de carácter general y de obligatorio
cumplimiento que se expidan dentro de la ejecución del contrato.
9. Implementar las modificaciones por cambios de normas o procedimientos legales que resulten durante
el periodo del contrato, previa certificación de pruebas realizadas sobre el aplicativo en un ambiente
diferente del de producción.
10. Realizar mantenimiento correctivo al sistema KACTUS implementado en el ICETEX, que implica
asistencia telefónica y presencial cuando se requieran horas de consultoría.
11. Realizar asesorías y soporte telefónico ilimitado.
12. Entregar copia en medio magnético o acceso a publicación en la página web por las actualizaciones o
nuevas versiones de los programas dentro del soporte y mantenimiento, incluyendo guía de
instalación, documento resumen de la funcionalidad adicional cuanto se libere una nueva versión.
13. Entregar manuales técnicos y funcionales una vez firmada el acta de inicio del contrato, y cada que se
realicen actualizaciones o cambios de versión dentro de los 5 días hábiles después de que se firme el
acta de inicio o de las actualizaciones.
14. Realizar generación de análisis funcional y entrega del Plan de Pruebas de los requerimientos que
afecten la bolsa de horas.
15. En caso de ser requerido, el contratista prestará el servicio presencialmente en las instalaciones que
sean señaladas por el supervisor
16. Las demás que se deriven de la naturaleza del contrato y que garanticen su cabal y oportuna ejecución.</t>
  </si>
  <si>
    <t>SEISO</t>
  </si>
  <si>
    <t>IMPRENTA</t>
  </si>
  <si>
    <t>core</t>
  </si>
  <si>
    <t>ESTOS PRIMEROS 13 CONTRATOS SE REPORTARON ALA FUNCION PUBLICA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</si>
</sst>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 #,##0\ &quot;€&quot;_-;\-* #,##0\ &quot;€&quot;_-;_-* &quot;-&quot;\ &quot;€&quot;_-;_-@_-"/>
    <numFmt numFmtId="44" formatCode="_-* #,##0.00\ &quot;€&quot;_-;\-* #,##0.00\ &quot;€&quot;_-;_-* &quot;-&quot;??\ &quot;€&quot;_-;_-@_-"/>
    <numFmt numFmtId="43" formatCode="_-* #,##0.00_-;\-* #,##0.00_-;_-* &quot;-&quot;??_-;_-@_-"/>
    <numFmt numFmtId="164" formatCode="_-&quot;$&quot;* #,##0_-;\-&quot;$&quot;* #,##0_-;_-&quot;$&quot;* &quot;-&quot;_-;_-@_-"/>
    <numFmt numFmtId="165" formatCode="yyyy/mm/dd"/>
    <numFmt numFmtId="166" formatCode="_-&quot;$&quot;* #,##0_-;\-&quot;$&quot;* #,##0_-;_-&quot;$&quot;* &quot;-&quot;??_-;_-@_-"/>
    <numFmt numFmtId="167" formatCode="_-[$$-240A]\ * #,##0_-;\-[$$-240A]\ * #,##0_-;_-[$$-240A]\ * &quot;-&quot;_-;_-@_-"/>
    <numFmt numFmtId="168" formatCode="[$$-240A]\ #,##0"/>
    <numFmt numFmtId="169" formatCode="_-[$$-240A]\ * #,##0.00_-;\-[$$-240A]\ * #,##0.00_-;_-[$$-240A]\ * &quot;-&quot;??_-;_-@_-"/>
    <numFmt numFmtId="170" formatCode="[$$-240A]\ #,##0.00"/>
    <numFmt numFmtId="171" formatCode="_-* #,##0_-;\-* #,##0_-;_-* &quot;-&quot;??_-;_-@_-"/>
  </numFmts>
  <fonts count="55">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8"/>
      <color indexed="9"/>
      <name val="Arial"/>
      <family val="2"/>
    </font>
    <font>
      <b/>
      <sz val="8"/>
      <color rgb="FF00F61D"/>
      <name val="Arial"/>
      <family val="2"/>
    </font>
    <font>
      <b/>
      <sz val="8"/>
      <color rgb="FF00FFFF"/>
      <name val="Arial"/>
      <family val="2"/>
    </font>
    <font>
      <b/>
      <sz val="8"/>
      <color rgb="FF3FE412"/>
      <name val="Arial"/>
      <family val="2"/>
    </font>
    <font>
      <b/>
      <sz val="8"/>
      <color theme="5" tint="0.39997558519241921"/>
      <name val="Arial"/>
      <family val="2"/>
    </font>
    <font>
      <b/>
      <sz val="9"/>
      <color rgb="FFFFFF00"/>
      <name val="Arial"/>
      <family val="2"/>
    </font>
    <font>
      <b/>
      <sz val="9"/>
      <color rgb="FF66FFFF"/>
      <name val="Arial"/>
      <family val="2"/>
    </font>
    <font>
      <b/>
      <sz val="8"/>
      <color rgb="FFFFFF00"/>
      <name val="Arial"/>
      <family val="2"/>
    </font>
    <font>
      <sz val="11"/>
      <name val="Calibri"/>
      <family val="2"/>
      <scheme val="minor"/>
    </font>
    <font>
      <sz val="10"/>
      <color theme="1"/>
      <name val="Calibri"/>
      <family val="2"/>
      <scheme val="minor"/>
    </font>
    <font>
      <b/>
      <sz val="12"/>
      <color theme="0"/>
      <name val="Calibri"/>
      <family val="2"/>
      <scheme val="minor"/>
    </font>
    <font>
      <sz val="12"/>
      <color rgb="FF000000"/>
      <name val="Calibri"/>
      <family val="2"/>
      <scheme val="minor"/>
    </font>
    <font>
      <b/>
      <sz val="10"/>
      <color theme="0"/>
      <name val="Calibri"/>
      <family val="2"/>
      <scheme val="minor"/>
    </font>
    <font>
      <sz val="8"/>
      <name val="Calibri"/>
      <family val="2"/>
      <scheme val="minor"/>
    </font>
    <font>
      <b/>
      <sz val="11"/>
      <name val="Calibri"/>
      <family val="2"/>
      <scheme val="minor"/>
    </font>
    <font>
      <sz val="11"/>
      <color theme="0"/>
      <name val="Calibri"/>
      <family val="2"/>
      <scheme val="minor"/>
    </font>
    <font>
      <b/>
      <sz val="8"/>
      <color theme="7"/>
      <name val="Arial"/>
      <family val="2"/>
    </font>
    <font>
      <b/>
      <sz val="11"/>
      <color rgb="FFFF0000"/>
      <name val="Calibri"/>
      <family val="2"/>
      <scheme val="minor"/>
    </font>
    <font>
      <u/>
      <sz val="11"/>
      <color theme="10"/>
      <name val="Calibri"/>
      <family val="2"/>
      <scheme val="minor"/>
    </font>
    <font>
      <u/>
      <sz val="11"/>
      <color theme="0"/>
      <name val="Calibri"/>
      <family val="2"/>
      <scheme val="minor"/>
    </font>
    <font>
      <sz val="11"/>
      <color rgb="FF000000"/>
      <name val="Calibri"/>
      <family val="2"/>
      <scheme val="minor"/>
    </font>
    <font>
      <sz val="11"/>
      <color rgb="FF000000"/>
      <name val="Calibri"/>
      <family val="2"/>
    </font>
    <font>
      <b/>
      <sz val="8"/>
      <color rgb="FFFFC000"/>
      <name val="Arial"/>
      <family val="2"/>
    </font>
    <font>
      <b/>
      <sz val="8"/>
      <color rgb="FFFFFFFF"/>
      <name val="Arial"/>
      <family val="2"/>
    </font>
    <font>
      <sz val="11"/>
      <color rgb="FFFF0000"/>
      <name val="Calibri"/>
      <family val="2"/>
      <scheme val="minor"/>
    </font>
    <font>
      <sz val="11"/>
      <color rgb="FFFF0000"/>
      <name val="Calibri"/>
      <family val="2"/>
    </font>
    <font>
      <sz val="12"/>
      <color rgb="FFFF0000"/>
      <name val="Calibri"/>
      <family val="2"/>
      <scheme val="minor"/>
    </font>
    <font>
      <sz val="11"/>
      <name val="Calibri"/>
      <family val="2"/>
    </font>
    <font>
      <sz val="10"/>
      <color rgb="FF000000"/>
      <name val="Calibri"/>
      <family val="2"/>
    </font>
    <font>
      <b/>
      <sz val="11"/>
      <color rgb="FFFFFFFF"/>
      <name val="Calibri"/>
      <family val="2"/>
    </font>
    <font>
      <sz val="11"/>
      <color rgb="FFFFFFFF"/>
      <name val="Calibri"/>
      <family val="2"/>
    </font>
    <font>
      <b/>
      <sz val="12"/>
      <color rgb="FFFFFFFF"/>
      <name val="Calibri"/>
      <family val="2"/>
    </font>
    <font>
      <sz val="12"/>
      <color rgb="FF000000"/>
      <name val="Calibri"/>
      <family val="2"/>
    </font>
    <font>
      <b/>
      <sz val="11"/>
      <name val="Calibri"/>
      <family val="2"/>
    </font>
    <font>
      <b/>
      <sz val="10"/>
      <color rgb="FFFFFFFF"/>
      <name val="Calibri"/>
      <family val="2"/>
    </font>
    <font>
      <sz val="12"/>
      <color rgb="FF000000"/>
      <name val="Calibri"/>
      <family val="2"/>
      <charset val="1"/>
    </font>
    <font>
      <b/>
      <sz val="11"/>
      <color rgb="FFFF0000"/>
      <name val="Calibri"/>
      <family val="2"/>
    </font>
    <font>
      <sz val="11"/>
      <color theme="1"/>
      <name val="Aptos"/>
      <family val="2"/>
      <charset val="1"/>
    </font>
    <font>
      <sz val="11"/>
      <color rgb="FF000000"/>
      <name val="Arial"/>
      <family val="2"/>
    </font>
    <font>
      <sz val="10"/>
      <color rgb="FF000000"/>
      <name val="Calibri"/>
      <family val="2"/>
      <scheme val="minor"/>
    </font>
    <font>
      <sz val="11"/>
      <color rgb="FFFF0000"/>
      <name val="Calibri"/>
      <family val="2"/>
      <scheme val="minor"/>
    </font>
    <font>
      <b/>
      <sz val="11"/>
      <color indexed="9"/>
      <name val="Arial"/>
      <family val="2"/>
    </font>
    <font>
      <b/>
      <sz val="11"/>
      <color indexed="9"/>
      <name val="Calibri"/>
      <family val="2"/>
      <scheme val="minor"/>
    </font>
    <font>
      <b/>
      <sz val="11"/>
      <color rgb="FF00FFFF"/>
      <name val="Calibri"/>
      <family val="2"/>
      <scheme val="minor"/>
    </font>
    <font>
      <b/>
      <sz val="11"/>
      <color theme="7" tint="-0.249977111117893"/>
      <name val="Calibri"/>
      <family val="2"/>
      <scheme val="minor"/>
    </font>
    <font>
      <sz val="9"/>
      <color rgb="FF000000"/>
      <name val="Arial"/>
      <family val="2"/>
    </font>
    <font>
      <sz val="8"/>
      <color rgb="FF000000"/>
      <name val="Arial"/>
      <family val="2"/>
    </font>
    <font>
      <sz val="12"/>
      <color theme="0"/>
      <name val="Calibri"/>
      <family val="2"/>
      <scheme val="minor"/>
    </font>
    <font>
      <sz val="10"/>
      <color theme="0"/>
      <name val="Calibri"/>
      <family val="2"/>
      <scheme val="minor"/>
    </font>
    <font>
      <b/>
      <sz val="11"/>
      <color rgb="FF000000"/>
      <name val="Calibri"/>
      <family val="2"/>
      <scheme val="minor"/>
    </font>
  </fonts>
  <fills count="3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rgb="FFFFC000"/>
        <bgColor indexed="64"/>
      </patternFill>
    </fill>
    <fill>
      <patternFill patternType="solid">
        <fgColor rgb="FF0070C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E7E6E6"/>
        <bgColor indexed="64"/>
      </patternFill>
    </fill>
    <fill>
      <patternFill patternType="solid">
        <fgColor rgb="FFFFFFFF"/>
        <bgColor indexed="64"/>
      </patternFill>
    </fill>
    <fill>
      <patternFill patternType="solid">
        <fgColor rgb="FFE2EFDA"/>
        <bgColor indexed="64"/>
      </patternFill>
    </fill>
    <fill>
      <patternFill patternType="solid">
        <fgColor rgb="FFFFFF00"/>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0000"/>
        <bgColor indexed="64"/>
      </patternFill>
    </fill>
    <fill>
      <patternFill patternType="solid">
        <fgColor rgb="FF0070C0"/>
        <bgColor rgb="FF000000"/>
      </patternFill>
    </fill>
    <fill>
      <patternFill patternType="solid">
        <fgColor theme="4" tint="-0.249977111117893"/>
        <bgColor indexed="64"/>
      </patternFill>
    </fill>
    <fill>
      <patternFill patternType="solid">
        <fgColor rgb="FFD9E1F2"/>
        <bgColor rgb="FF000000"/>
      </patternFill>
    </fill>
    <fill>
      <patternFill patternType="solid">
        <fgColor rgb="FFFFFFFF"/>
        <bgColor rgb="FF000000"/>
      </patternFill>
    </fill>
    <fill>
      <patternFill patternType="solid">
        <fgColor rgb="FFE2EFDA"/>
        <bgColor rgb="FF000000"/>
      </patternFill>
    </fill>
    <fill>
      <patternFill patternType="solid">
        <fgColor rgb="FF002060"/>
        <bgColor rgb="FF000000"/>
      </patternFill>
    </fill>
    <fill>
      <patternFill patternType="solid">
        <fgColor rgb="FFFFC000"/>
        <bgColor rgb="FF000000"/>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9"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theme="0"/>
      </left>
      <right style="thin">
        <color indexed="64"/>
      </right>
      <top style="medium">
        <color theme="0"/>
      </top>
      <bottom style="medium">
        <color indexed="64"/>
      </bottom>
      <diagonal/>
    </border>
    <border>
      <left style="thin">
        <color indexed="64"/>
      </left>
      <right style="thin">
        <color indexed="64"/>
      </right>
      <top style="medium">
        <color theme="0"/>
      </top>
      <bottom style="medium">
        <color indexed="64"/>
      </bottom>
      <diagonal/>
    </border>
    <border>
      <left style="thin">
        <color indexed="64"/>
      </left>
      <right style="medium">
        <color indexed="64"/>
      </right>
      <top style="medium">
        <color theme="0"/>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44546A"/>
      </left>
      <right style="thin">
        <color rgb="FF44546A"/>
      </right>
      <top style="thin">
        <color rgb="FF44546A"/>
      </top>
      <bottom style="thin">
        <color rgb="FF44546A"/>
      </bottom>
      <diagonal/>
    </border>
    <border>
      <left style="thin">
        <color rgb="FF44546A"/>
      </left>
      <right style="thin">
        <color rgb="FF44546A"/>
      </right>
      <top/>
      <bottom style="thin">
        <color rgb="FF44546A"/>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44" fontId="3" fillId="0" borderId="0" applyFont="0" applyFill="0" applyBorder="0" applyAlignment="0" applyProtection="0"/>
    <xf numFmtId="9" fontId="3" fillId="0" borderId="0" applyFont="0" applyFill="0" applyBorder="0" applyAlignment="0" applyProtection="0"/>
    <xf numFmtId="42" fontId="3" fillId="0" borderId="0" applyFont="0" applyFill="0" applyBorder="0" applyAlignment="0" applyProtection="0"/>
    <xf numFmtId="0" fontId="23" fillId="0" borderId="0" applyNumberFormat="0" applyFill="0" applyBorder="0" applyAlignment="0" applyProtection="0"/>
  </cellStyleXfs>
  <cellXfs count="398">
    <xf numFmtId="0" fontId="0" fillId="0" borderId="0" xfId="0"/>
    <xf numFmtId="0" fontId="0" fillId="0" borderId="0" xfId="0" applyAlignment="1">
      <alignment horizontal="center" vertical="center"/>
    </xf>
    <xf numFmtId="49" fontId="5" fillId="2" borderId="1" xfId="0" applyNumberFormat="1"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protection locked="0"/>
    </xf>
    <xf numFmtId="0" fontId="6" fillId="2" borderId="1" xfId="0" applyFont="1" applyFill="1" applyBorder="1" applyAlignment="1" applyProtection="1">
      <alignment horizontal="center" vertical="center" wrapText="1"/>
      <protection locked="0"/>
    </xf>
    <xf numFmtId="165" fontId="5" fillId="2" borderId="1" xfId="0" applyNumberFormat="1" applyFont="1" applyFill="1" applyBorder="1" applyAlignment="1" applyProtection="1">
      <alignment horizontal="center" vertical="center" wrapText="1"/>
      <protection locked="0"/>
    </xf>
    <xf numFmtId="14" fontId="5" fillId="2" borderId="1" xfId="0" applyNumberFormat="1" applyFont="1" applyFill="1" applyBorder="1" applyAlignment="1" applyProtection="1">
      <alignment horizontal="center" vertical="center" wrapText="1"/>
      <protection locked="0"/>
    </xf>
    <xf numFmtId="166" fontId="7" fillId="2" borderId="1" xfId="1" applyNumberFormat="1"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165" fontId="7" fillId="2" borderId="1" xfId="0" applyNumberFormat="1"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165" fontId="10" fillId="2" borderId="1" xfId="0" applyNumberFormat="1" applyFont="1" applyFill="1" applyBorder="1" applyAlignment="1" applyProtection="1">
      <alignment horizontal="center" vertical="center" wrapText="1"/>
      <protection locked="0"/>
    </xf>
    <xf numFmtId="0" fontId="11" fillId="2" borderId="1" xfId="0" applyFont="1" applyFill="1" applyBorder="1" applyAlignment="1" applyProtection="1">
      <alignment horizontal="center" vertical="center" wrapText="1"/>
      <protection locked="0"/>
    </xf>
    <xf numFmtId="165" fontId="12" fillId="2" borderId="1" xfId="0" applyNumberFormat="1" applyFont="1" applyFill="1" applyBorder="1" applyAlignment="1" applyProtection="1">
      <alignment horizontal="center" vertical="center" wrapText="1"/>
      <protection locked="0"/>
    </xf>
    <xf numFmtId="0" fontId="12" fillId="2" borderId="2"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3" borderId="1" xfId="0" applyFill="1" applyBorder="1" applyAlignment="1" applyProtection="1">
      <alignment vertical="center" wrapText="1"/>
      <protection locked="0"/>
    </xf>
    <xf numFmtId="0" fontId="13" fillId="4" borderId="1" xfId="0" applyFont="1"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14" fillId="0" borderId="1" xfId="0" applyFont="1" applyBorder="1" applyAlignment="1" applyProtection="1">
      <alignment horizontal="justify" vertical="center" wrapText="1"/>
      <protection locked="0"/>
    </xf>
    <xf numFmtId="165" fontId="0" fillId="0" borderId="1" xfId="0" applyNumberFormat="1" applyBorder="1" applyAlignment="1" applyProtection="1">
      <alignment vertical="center" wrapText="1"/>
      <protection locked="0"/>
    </xf>
    <xf numFmtId="165" fontId="0" fillId="0" borderId="1" xfId="0" applyNumberFormat="1" applyBorder="1" applyAlignment="1">
      <alignment vertical="center" wrapText="1"/>
    </xf>
    <xf numFmtId="0" fontId="4" fillId="2" borderId="1" xfId="0" applyFont="1" applyFill="1" applyBorder="1" applyAlignment="1">
      <alignment horizontal="center" vertical="center" wrapText="1"/>
    </xf>
    <xf numFmtId="166" fontId="0" fillId="0" borderId="1" xfId="1" applyNumberFormat="1" applyFont="1" applyBorder="1" applyAlignment="1" applyProtection="1">
      <alignment vertical="center" wrapText="1"/>
      <protection locked="0"/>
    </xf>
    <xf numFmtId="0" fontId="0" fillId="3" borderId="1" xfId="0" applyFill="1" applyBorder="1" applyAlignment="1">
      <alignment horizontal="center" vertical="center"/>
    </xf>
    <xf numFmtId="0" fontId="0" fillId="3" borderId="1" xfId="0" applyFill="1" applyBorder="1" applyAlignment="1">
      <alignment vertical="center" wrapText="1"/>
    </xf>
    <xf numFmtId="14" fontId="0" fillId="0" borderId="1" xfId="0" applyNumberFormat="1" applyBorder="1" applyAlignment="1" applyProtection="1">
      <alignment vertical="center" wrapText="1"/>
      <protection locked="0"/>
    </xf>
    <xf numFmtId="0" fontId="15" fillId="2" borderId="1" xfId="0" applyFont="1" applyFill="1" applyBorder="1" applyAlignment="1">
      <alignment horizontal="center" vertical="center" wrapText="1"/>
    </xf>
    <xf numFmtId="1" fontId="0" fillId="0" borderId="1" xfId="0" applyNumberFormat="1" applyBorder="1" applyAlignment="1" applyProtection="1">
      <alignment vertical="center" wrapText="1"/>
      <protection locked="0"/>
    </xf>
    <xf numFmtId="1" fontId="15" fillId="2" borderId="1" xfId="0" applyNumberFormat="1" applyFont="1" applyFill="1" applyBorder="1" applyAlignment="1">
      <alignment horizontal="center" vertical="center" wrapText="1"/>
    </xf>
    <xf numFmtId="165" fontId="15" fillId="2" borderId="1" xfId="0" applyNumberFormat="1" applyFont="1" applyFill="1" applyBorder="1" applyAlignment="1">
      <alignment vertical="center" wrapText="1"/>
    </xf>
    <xf numFmtId="0" fontId="0" fillId="0" borderId="1" xfId="0" applyBorder="1" applyAlignment="1" applyProtection="1">
      <alignment horizontal="justify" vertical="center" wrapText="1"/>
      <protection locked="0"/>
    </xf>
    <xf numFmtId="9" fontId="0" fillId="5" borderId="1" xfId="2" applyFont="1" applyFill="1" applyBorder="1" applyAlignment="1">
      <alignment horizontal="center" vertical="center" wrapText="1"/>
    </xf>
    <xf numFmtId="1" fontId="0" fillId="5" borderId="1" xfId="2" applyNumberFormat="1" applyFont="1" applyFill="1" applyBorder="1" applyAlignment="1">
      <alignment vertical="center" wrapText="1"/>
    </xf>
    <xf numFmtId="0" fontId="17" fillId="2" borderId="2" xfId="0" applyFont="1" applyFill="1" applyBorder="1" applyAlignment="1">
      <alignment horizontal="center" vertical="center" wrapText="1"/>
    </xf>
    <xf numFmtId="1" fontId="19" fillId="5" borderId="1" xfId="2" applyNumberFormat="1" applyFont="1" applyFill="1" applyBorder="1" applyAlignment="1">
      <alignment vertical="center" wrapText="1"/>
    </xf>
    <xf numFmtId="0" fontId="0" fillId="6" borderId="0" xfId="0" applyFill="1" applyAlignment="1">
      <alignment horizontal="center" vertical="center"/>
    </xf>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3" borderId="0" xfId="0" applyFill="1"/>
    <xf numFmtId="0" fontId="0" fillId="12" borderId="0" xfId="0" applyFill="1"/>
    <xf numFmtId="0" fontId="0" fillId="13" borderId="0" xfId="0" applyFill="1"/>
    <xf numFmtId="0" fontId="0" fillId="14" borderId="0" xfId="0" applyFill="1"/>
    <xf numFmtId="0" fontId="0" fillId="15" borderId="0" xfId="0" applyFill="1"/>
    <xf numFmtId="49" fontId="0" fillId="0" borderId="1" xfId="0" applyNumberFormat="1" applyBorder="1" applyAlignment="1">
      <alignment vertical="center" wrapText="1"/>
    </xf>
    <xf numFmtId="167" fontId="15" fillId="2" borderId="1" xfId="1" applyNumberFormat="1" applyFont="1" applyFill="1" applyBorder="1" applyAlignment="1">
      <alignment vertical="center" wrapText="1"/>
    </xf>
    <xf numFmtId="168" fontId="16" fillId="0" borderId="3" xfId="1" applyNumberFormat="1" applyFont="1" applyBorder="1" applyAlignment="1">
      <alignment vertical="center" wrapText="1"/>
    </xf>
    <xf numFmtId="49"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1" fontId="5" fillId="2" borderId="1" xfId="0" applyNumberFormat="1" applyFont="1" applyFill="1" applyBorder="1" applyAlignment="1" applyProtection="1">
      <alignment horizontal="center" vertical="center" wrapText="1"/>
      <protection locked="0"/>
    </xf>
    <xf numFmtId="164" fontId="0" fillId="0" borderId="1" xfId="0" applyNumberFormat="1" applyBorder="1" applyAlignment="1">
      <alignment vertical="center"/>
    </xf>
    <xf numFmtId="167" fontId="0" fillId="0" borderId="1" xfId="3" applyNumberFormat="1" applyFont="1" applyBorder="1" applyAlignment="1">
      <alignment vertical="center"/>
    </xf>
    <xf numFmtId="14" fontId="0" fillId="0" borderId="1" xfId="0" applyNumberFormat="1" applyBorder="1" applyAlignment="1">
      <alignment vertical="center"/>
    </xf>
    <xf numFmtId="167" fontId="0" fillId="0" borderId="1" xfId="0" applyNumberFormat="1" applyBorder="1" applyAlignment="1">
      <alignment vertical="center"/>
    </xf>
    <xf numFmtId="1" fontId="22" fillId="5" borderId="1" xfId="2" applyNumberFormat="1" applyFont="1" applyFill="1" applyBorder="1" applyAlignment="1">
      <alignment vertical="center" wrapText="1"/>
    </xf>
    <xf numFmtId="169" fontId="15" fillId="2" borderId="1" xfId="1" applyNumberFormat="1" applyFont="1" applyFill="1" applyBorder="1" applyAlignment="1">
      <alignment vertical="center" wrapText="1"/>
    </xf>
    <xf numFmtId="169" fontId="16" fillId="0" borderId="1" xfId="1" applyNumberFormat="1" applyFont="1" applyBorder="1" applyAlignment="1">
      <alignment vertical="center" wrapText="1"/>
    </xf>
    <xf numFmtId="0" fontId="20" fillId="2" borderId="0" xfId="0" applyFont="1" applyFill="1"/>
    <xf numFmtId="0" fontId="24" fillId="2" borderId="0" xfId="4" applyFont="1" applyFill="1"/>
    <xf numFmtId="0" fontId="25" fillId="0" borderId="1" xfId="0" applyFont="1" applyBorder="1" applyAlignment="1" applyProtection="1">
      <alignment vertical="center" wrapText="1"/>
      <protection locked="0"/>
    </xf>
    <xf numFmtId="0" fontId="25" fillId="0" borderId="0" xfId="0" applyFont="1"/>
    <xf numFmtId="166" fontId="0" fillId="0" borderId="1" xfId="1" applyNumberFormat="1" applyFont="1" applyFill="1" applyBorder="1" applyAlignment="1" applyProtection="1">
      <alignment vertical="center" wrapText="1"/>
      <protection locked="0"/>
    </xf>
    <xf numFmtId="170" fontId="6" fillId="2" borderId="1" xfId="0" applyNumberFormat="1" applyFont="1" applyFill="1" applyBorder="1" applyAlignment="1" applyProtection="1">
      <alignment horizontal="center" vertical="center" wrapText="1"/>
      <protection locked="0"/>
    </xf>
    <xf numFmtId="170" fontId="15" fillId="2" borderId="1" xfId="1" applyNumberFormat="1" applyFont="1" applyFill="1" applyBorder="1" applyAlignment="1">
      <alignment vertical="center" wrapText="1"/>
    </xf>
    <xf numFmtId="170" fontId="0" fillId="0" borderId="0" xfId="0" applyNumberFormat="1"/>
    <xf numFmtId="169" fontId="0" fillId="0" borderId="1" xfId="3" applyNumberFormat="1" applyFont="1" applyBorder="1" applyAlignment="1">
      <alignment vertical="center"/>
    </xf>
    <xf numFmtId="169" fontId="0" fillId="0" borderId="0" xfId="0" applyNumberFormat="1"/>
    <xf numFmtId="0" fontId="0" fillId="0" borderId="0" xfId="0" applyAlignment="1">
      <alignment horizontal="center"/>
    </xf>
    <xf numFmtId="0" fontId="0" fillId="17" borderId="1" xfId="0" applyFill="1" applyBorder="1" applyAlignment="1" applyProtection="1">
      <alignment vertical="center" wrapText="1"/>
      <protection locked="0"/>
    </xf>
    <xf numFmtId="0" fontId="0" fillId="18" borderId="0" xfId="0" applyFill="1"/>
    <xf numFmtId="0" fontId="0" fillId="19" borderId="0" xfId="0" applyFill="1"/>
    <xf numFmtId="0" fontId="0" fillId="19" borderId="1" xfId="0" applyFill="1" applyBorder="1" applyAlignment="1" applyProtection="1">
      <alignment vertical="center" wrapText="1"/>
      <protection locked="0"/>
    </xf>
    <xf numFmtId="1" fontId="0" fillId="0" borderId="1" xfId="0" applyNumberFormat="1" applyBorder="1" applyAlignment="1" applyProtection="1">
      <alignment horizontal="center" vertical="center" wrapText="1"/>
      <protection locked="0"/>
    </xf>
    <xf numFmtId="1" fontId="0" fillId="0" borderId="0" xfId="0" applyNumberFormat="1"/>
    <xf numFmtId="165" fontId="0" fillId="18" borderId="1" xfId="0" applyNumberFormat="1" applyFill="1" applyBorder="1" applyAlignment="1" applyProtection="1">
      <alignment vertical="center" wrapText="1"/>
      <protection locked="0"/>
    </xf>
    <xf numFmtId="49" fontId="5" fillId="2" borderId="2" xfId="0" applyNumberFormat="1" applyFont="1" applyFill="1"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1" fontId="0" fillId="0" borderId="8" xfId="0" applyNumberFormat="1" applyBorder="1"/>
    <xf numFmtId="1" fontId="5" fillId="2" borderId="8" xfId="0" applyNumberFormat="1" applyFont="1" applyFill="1" applyBorder="1" applyAlignment="1" applyProtection="1">
      <alignment horizontal="center" vertical="center" wrapText="1"/>
      <protection locked="0"/>
    </xf>
    <xf numFmtId="0" fontId="0" fillId="20" borderId="0" xfId="0" applyFill="1"/>
    <xf numFmtId="168" fontId="0" fillId="0" borderId="1" xfId="0" applyNumberFormat="1" applyBorder="1" applyAlignment="1" applyProtection="1">
      <alignment vertical="center" wrapText="1"/>
      <protection locked="0"/>
    </xf>
    <xf numFmtId="170" fontId="0" fillId="0" borderId="1" xfId="0" applyNumberFormat="1" applyBorder="1" applyAlignment="1" applyProtection="1">
      <alignment vertical="center" wrapText="1"/>
      <protection locked="0"/>
    </xf>
    <xf numFmtId="0" fontId="0" fillId="0" borderId="0" xfId="0" applyAlignment="1">
      <alignment vertical="center"/>
    </xf>
    <xf numFmtId="14" fontId="0" fillId="0" borderId="1" xfId="0" applyNumberFormat="1" applyBorder="1" applyAlignment="1" applyProtection="1">
      <alignment horizontal="center" vertical="center" wrapText="1"/>
      <protection locked="0"/>
    </xf>
    <xf numFmtId="0" fontId="0" fillId="3" borderId="2" xfId="0" applyFill="1" applyBorder="1" applyAlignment="1">
      <alignment vertical="center" wrapText="1"/>
    </xf>
    <xf numFmtId="0" fontId="20" fillId="2" borderId="4" xfId="0" applyFont="1" applyFill="1" applyBorder="1" applyAlignment="1">
      <alignment vertical="center" wrapText="1"/>
    </xf>
    <xf numFmtId="0" fontId="5" fillId="2" borderId="8" xfId="0" applyFont="1" applyFill="1" applyBorder="1" applyAlignment="1" applyProtection="1">
      <alignment horizontal="center" vertical="center" wrapText="1"/>
      <protection locked="0"/>
    </xf>
    <xf numFmtId="0" fontId="0" fillId="16" borderId="8" xfId="0" applyFill="1" applyBorder="1"/>
    <xf numFmtId="0" fontId="0" fillId="0" borderId="8" xfId="0" applyBorder="1"/>
    <xf numFmtId="0" fontId="5" fillId="2" borderId="2" xfId="0" applyFont="1" applyFill="1" applyBorder="1" applyAlignment="1" applyProtection="1">
      <alignment horizontal="center" vertical="center" wrapText="1"/>
      <protection locked="0"/>
    </xf>
    <xf numFmtId="0" fontId="14" fillId="0" borderId="2" xfId="0" applyFont="1" applyBorder="1" applyAlignment="1" applyProtection="1">
      <alignment horizontal="justify" vertical="center" wrapText="1"/>
      <protection locked="0"/>
    </xf>
    <xf numFmtId="2" fontId="0" fillId="0" borderId="1" xfId="0" applyNumberFormat="1" applyBorder="1" applyAlignment="1" applyProtection="1">
      <alignment horizontal="center" vertical="center" wrapText="1"/>
      <protection locked="0"/>
    </xf>
    <xf numFmtId="2" fontId="5" fillId="2" borderId="1" xfId="0" applyNumberFormat="1" applyFont="1" applyFill="1" applyBorder="1" applyAlignment="1" applyProtection="1">
      <alignment horizontal="center" vertical="center" wrapText="1"/>
      <protection locked="0"/>
    </xf>
    <xf numFmtId="2" fontId="0" fillId="0" borderId="0" xfId="0" applyNumberFormat="1"/>
    <xf numFmtId="0" fontId="0" fillId="21" borderId="1" xfId="0" applyFill="1" applyBorder="1" applyAlignment="1">
      <alignment vertical="center"/>
    </xf>
    <xf numFmtId="1" fontId="0" fillId="21" borderId="1" xfId="0" applyNumberFormat="1" applyFill="1" applyBorder="1" applyAlignment="1">
      <alignment vertical="center"/>
    </xf>
    <xf numFmtId="1" fontId="20"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3" fontId="0" fillId="0" borderId="1" xfId="0" applyNumberFormat="1" applyBorder="1" applyAlignment="1" applyProtection="1">
      <alignment vertical="center" wrapText="1"/>
      <protection locked="0"/>
    </xf>
    <xf numFmtId="14" fontId="26" fillId="22" borderId="8" xfId="0" applyNumberFormat="1" applyFont="1" applyFill="1" applyBorder="1" applyAlignment="1">
      <alignment horizontal="center" vertical="center"/>
    </xf>
    <xf numFmtId="0" fontId="0" fillId="22" borderId="0" xfId="0" applyFill="1"/>
    <xf numFmtId="0" fontId="0" fillId="20" borderId="1" xfId="0" applyFill="1" applyBorder="1" applyAlignment="1" applyProtection="1">
      <alignment vertical="center" wrapText="1"/>
      <protection locked="0"/>
    </xf>
    <xf numFmtId="0" fontId="0" fillId="20" borderId="2" xfId="0" applyFill="1" applyBorder="1" applyAlignment="1">
      <alignment horizontal="center" vertical="center"/>
    </xf>
    <xf numFmtId="49" fontId="0" fillId="4" borderId="1" xfId="0" applyNumberFormat="1" applyFill="1" applyBorder="1" applyAlignment="1">
      <alignment vertical="center" wrapText="1"/>
    </xf>
    <xf numFmtId="0" fontId="0" fillId="4" borderId="1" xfId="0" applyFill="1" applyBorder="1" applyAlignment="1" applyProtection="1">
      <alignment vertical="center" wrapText="1"/>
      <protection locked="0"/>
    </xf>
    <xf numFmtId="0" fontId="0" fillId="0" borderId="0" xfId="0" applyAlignment="1">
      <alignment wrapText="1"/>
    </xf>
    <xf numFmtId="0" fontId="14" fillId="20" borderId="2" xfId="0" applyFont="1" applyFill="1" applyBorder="1" applyAlignment="1" applyProtection="1">
      <alignment horizontal="justify" vertical="center" wrapText="1"/>
      <protection locked="0"/>
    </xf>
    <xf numFmtId="166" fontId="0" fillId="4" borderId="1" xfId="1" applyNumberFormat="1" applyFont="1" applyFill="1" applyBorder="1" applyAlignment="1" applyProtection="1">
      <alignment vertical="center" wrapText="1"/>
      <protection locked="0"/>
    </xf>
    <xf numFmtId="0" fontId="14" fillId="4" borderId="2" xfId="0" applyFont="1" applyFill="1" applyBorder="1" applyAlignment="1" applyProtection="1">
      <alignment horizontal="justify" vertical="center" wrapText="1"/>
      <protection locked="0"/>
    </xf>
    <xf numFmtId="165" fontId="0" fillId="4" borderId="1" xfId="0" applyNumberFormat="1" applyFill="1" applyBorder="1" applyAlignment="1">
      <alignment vertical="center" wrapText="1"/>
    </xf>
    <xf numFmtId="0" fontId="0" fillId="0" borderId="8" xfId="0" applyBorder="1" applyAlignment="1" applyProtection="1">
      <alignment vertical="center" wrapText="1"/>
      <protection locked="0"/>
    </xf>
    <xf numFmtId="0" fontId="0" fillId="4" borderId="2" xfId="0" applyFill="1" applyBorder="1" applyAlignment="1" applyProtection="1">
      <alignment vertical="center" wrapText="1"/>
      <protection locked="0"/>
    </xf>
    <xf numFmtId="166" fontId="0" fillId="0" borderId="4" xfId="1" applyNumberFormat="1" applyFont="1" applyFill="1" applyBorder="1" applyAlignment="1" applyProtection="1">
      <alignment vertical="center" wrapText="1"/>
      <protection locked="0"/>
    </xf>
    <xf numFmtId="0" fontId="0" fillId="0" borderId="3" xfId="0" applyBorder="1" applyAlignment="1" applyProtection="1">
      <alignment vertical="center" wrapText="1"/>
      <protection locked="0"/>
    </xf>
    <xf numFmtId="165" fontId="25" fillId="4" borderId="1" xfId="0" applyNumberFormat="1" applyFont="1" applyFill="1" applyBorder="1" applyAlignment="1" applyProtection="1">
      <alignment vertical="center" wrapText="1"/>
      <protection locked="0"/>
    </xf>
    <xf numFmtId="0" fontId="0" fillId="20" borderId="1" xfId="0" applyFill="1" applyBorder="1" applyAlignment="1">
      <alignment horizontal="center" vertical="center"/>
    </xf>
    <xf numFmtId="49" fontId="0" fillId="20" borderId="1" xfId="0" applyNumberFormat="1" applyFill="1" applyBorder="1" applyAlignment="1">
      <alignment horizontal="center" vertical="center"/>
    </xf>
    <xf numFmtId="0" fontId="0" fillId="20" borderId="8" xfId="0" applyFill="1" applyBorder="1"/>
    <xf numFmtId="0" fontId="4" fillId="0" borderId="1" xfId="0" applyFont="1" applyBorder="1" applyAlignment="1">
      <alignment horizontal="center" vertical="center" wrapText="1"/>
    </xf>
    <xf numFmtId="0" fontId="0" fillId="6" borderId="1" xfId="0" applyFill="1" applyBorder="1" applyAlignment="1">
      <alignment vertical="center"/>
    </xf>
    <xf numFmtId="0" fontId="0" fillId="6" borderId="1" xfId="0" applyFill="1" applyBorder="1" applyAlignment="1" applyProtection="1">
      <alignment vertical="center" wrapText="1"/>
      <protection locked="0"/>
    </xf>
    <xf numFmtId="0" fontId="0" fillId="6" borderId="1" xfId="0" applyFill="1" applyBorder="1" applyAlignment="1" applyProtection="1">
      <alignment horizontal="justify" vertical="center" wrapText="1"/>
      <protection locked="0"/>
    </xf>
    <xf numFmtId="165" fontId="0" fillId="6" borderId="1" xfId="0" applyNumberFormat="1" applyFill="1" applyBorder="1" applyAlignment="1">
      <alignment vertical="center" wrapText="1"/>
    </xf>
    <xf numFmtId="1" fontId="20" fillId="6" borderId="1" xfId="0" applyNumberFormat="1" applyFont="1" applyFill="1" applyBorder="1" applyAlignment="1">
      <alignment horizontal="center" vertical="center"/>
    </xf>
    <xf numFmtId="0" fontId="20" fillId="6" borderId="1" xfId="0" applyFont="1" applyFill="1" applyBorder="1" applyAlignment="1">
      <alignment horizontal="center" vertical="center"/>
    </xf>
    <xf numFmtId="167" fontId="0" fillId="6" borderId="1" xfId="3" applyNumberFormat="1" applyFont="1" applyFill="1" applyBorder="1" applyAlignment="1">
      <alignment vertical="center"/>
    </xf>
    <xf numFmtId="0" fontId="4" fillId="6" borderId="1" xfId="0" applyFont="1" applyFill="1" applyBorder="1" applyAlignment="1">
      <alignment horizontal="center" vertical="center" wrapText="1"/>
    </xf>
    <xf numFmtId="0" fontId="0" fillId="6" borderId="1" xfId="0" applyFill="1" applyBorder="1" applyAlignment="1">
      <alignment vertical="center" wrapText="1"/>
    </xf>
    <xf numFmtId="1" fontId="0" fillId="6" borderId="1" xfId="0" applyNumberFormat="1" applyFill="1" applyBorder="1" applyAlignment="1">
      <alignment vertical="center"/>
    </xf>
    <xf numFmtId="164" fontId="0" fillId="6" borderId="1" xfId="0" applyNumberFormat="1" applyFill="1" applyBorder="1" applyAlignment="1">
      <alignment vertical="center"/>
    </xf>
    <xf numFmtId="0" fontId="0" fillId="6" borderId="0" xfId="0" applyFill="1"/>
    <xf numFmtId="167" fontId="0" fillId="0" borderId="1" xfId="3" applyNumberFormat="1" applyFont="1" applyFill="1" applyBorder="1" applyAlignment="1">
      <alignment vertical="center"/>
    </xf>
    <xf numFmtId="0" fontId="26" fillId="0" borderId="1" xfId="0" applyFont="1" applyBorder="1" applyAlignment="1">
      <alignment wrapText="1"/>
    </xf>
    <xf numFmtId="167" fontId="5" fillId="2" borderId="1" xfId="0" applyNumberFormat="1" applyFont="1" applyFill="1" applyBorder="1" applyAlignment="1" applyProtection="1">
      <alignment horizontal="center" vertical="center" wrapText="1"/>
      <protection locked="0"/>
    </xf>
    <xf numFmtId="167" fontId="26" fillId="0" borderId="1" xfId="0" applyNumberFormat="1" applyFont="1" applyBorder="1" applyAlignment="1">
      <alignment vertical="center"/>
    </xf>
    <xf numFmtId="167" fontId="0" fillId="0" borderId="0" xfId="0" applyNumberFormat="1"/>
    <xf numFmtId="167" fontId="26" fillId="25" borderId="1" xfId="0" applyNumberFormat="1" applyFont="1" applyFill="1" applyBorder="1" applyAlignment="1">
      <alignment vertical="center"/>
    </xf>
    <xf numFmtId="14" fontId="26" fillId="0" borderId="9" xfId="0" applyNumberFormat="1" applyFont="1" applyBorder="1" applyAlignment="1">
      <alignment wrapText="1"/>
    </xf>
    <xf numFmtId="1" fontId="5" fillId="2" borderId="8" xfId="0" applyNumberFormat="1" applyFont="1" applyFill="1" applyBorder="1" applyAlignment="1" applyProtection="1">
      <alignment vertical="center" wrapText="1"/>
      <protection locked="0"/>
    </xf>
    <xf numFmtId="1" fontId="0" fillId="0" borderId="8" xfId="0" applyNumberFormat="1" applyBorder="1" applyAlignment="1">
      <alignment vertical="center"/>
    </xf>
    <xf numFmtId="1" fontId="0" fillId="20" borderId="8" xfId="0" applyNumberFormat="1" applyFill="1" applyBorder="1" applyAlignment="1">
      <alignment vertical="center"/>
    </xf>
    <xf numFmtId="0" fontId="0" fillId="0" borderId="1" xfId="0" applyBorder="1" applyAlignment="1" applyProtection="1">
      <alignment horizontal="right" wrapText="1"/>
      <protection locked="0"/>
    </xf>
    <xf numFmtId="49" fontId="0" fillId="20" borderId="1" xfId="0" applyNumberFormat="1" applyFill="1" applyBorder="1" applyAlignment="1">
      <alignment vertical="center" wrapText="1"/>
    </xf>
    <xf numFmtId="1" fontId="0" fillId="0" borderId="8" xfId="0" applyNumberFormat="1" applyBorder="1" applyAlignment="1">
      <alignment vertical="center" wrapText="1"/>
    </xf>
    <xf numFmtId="0" fontId="0" fillId="7" borderId="1" xfId="0" applyFill="1" applyBorder="1" applyAlignment="1" applyProtection="1">
      <alignment vertical="center" wrapText="1"/>
      <protection locked="0"/>
    </xf>
    <xf numFmtId="0" fontId="0" fillId="4" borderId="0" xfId="0" applyFill="1"/>
    <xf numFmtId="49" fontId="5" fillId="4" borderId="1" xfId="0" applyNumberFormat="1" applyFont="1" applyFill="1" applyBorder="1" applyAlignment="1" applyProtection="1">
      <alignment horizontal="center" vertical="center" wrapText="1"/>
      <protection locked="0"/>
    </xf>
    <xf numFmtId="0" fontId="29" fillId="4" borderId="0" xfId="0" applyFont="1" applyFill="1"/>
    <xf numFmtId="0" fontId="25" fillId="4" borderId="0" xfId="0" applyFont="1" applyFill="1"/>
    <xf numFmtId="14" fontId="26" fillId="0" borderId="4" xfId="0" applyNumberFormat="1" applyFont="1" applyBorder="1" applyAlignment="1">
      <alignment wrapText="1"/>
    </xf>
    <xf numFmtId="0" fontId="0" fillId="24" borderId="0" xfId="0" applyFill="1"/>
    <xf numFmtId="0" fontId="0" fillId="26" borderId="1" xfId="0" applyFill="1" applyBorder="1" applyAlignment="1">
      <alignment vertical="center"/>
    </xf>
    <xf numFmtId="0" fontId="0" fillId="26" borderId="1" xfId="0" applyFill="1" applyBorder="1" applyAlignment="1" applyProtection="1">
      <alignment vertical="center" wrapText="1"/>
      <protection locked="0"/>
    </xf>
    <xf numFmtId="0" fontId="0" fillId="26" borderId="1" xfId="0" applyFill="1" applyBorder="1" applyAlignment="1" applyProtection="1">
      <alignment horizontal="justify" vertical="center" wrapText="1"/>
      <protection locked="0"/>
    </xf>
    <xf numFmtId="165" fontId="0" fillId="26" borderId="1" xfId="0" applyNumberFormat="1" applyFill="1" applyBorder="1" applyAlignment="1">
      <alignment vertical="center" wrapText="1"/>
    </xf>
    <xf numFmtId="1" fontId="20" fillId="26" borderId="1" xfId="0" applyNumberFormat="1" applyFont="1" applyFill="1" applyBorder="1" applyAlignment="1">
      <alignment horizontal="center" vertical="center"/>
    </xf>
    <xf numFmtId="0" fontId="20" fillId="26" borderId="1" xfId="0" applyFont="1" applyFill="1" applyBorder="1" applyAlignment="1">
      <alignment horizontal="center" vertical="center"/>
    </xf>
    <xf numFmtId="167" fontId="0" fillId="26" borderId="1" xfId="3" applyNumberFormat="1" applyFont="1" applyFill="1" applyBorder="1" applyAlignment="1">
      <alignment vertical="center"/>
    </xf>
    <xf numFmtId="0" fontId="4" fillId="26" borderId="1" xfId="0" applyFont="1" applyFill="1" applyBorder="1" applyAlignment="1">
      <alignment horizontal="center" vertical="center" wrapText="1"/>
    </xf>
    <xf numFmtId="0" fontId="0" fillId="26" borderId="1" xfId="0" applyFill="1" applyBorder="1" applyAlignment="1">
      <alignment vertical="center" wrapText="1"/>
    </xf>
    <xf numFmtId="1" fontId="0" fillId="26" borderId="1" xfId="0" applyNumberFormat="1" applyFill="1" applyBorder="1" applyAlignment="1">
      <alignment vertical="center"/>
    </xf>
    <xf numFmtId="167" fontId="0" fillId="26" borderId="1" xfId="0" applyNumberFormat="1" applyFill="1" applyBorder="1" applyAlignment="1">
      <alignment vertical="center"/>
    </xf>
    <xf numFmtId="164" fontId="0" fillId="26" borderId="1" xfId="0" applyNumberFormat="1" applyFill="1" applyBorder="1" applyAlignment="1">
      <alignment vertical="center"/>
    </xf>
    <xf numFmtId="0" fontId="0" fillId="26" borderId="0" xfId="0" applyFill="1"/>
    <xf numFmtId="0" fontId="0" fillId="23" borderId="0" xfId="0" applyFill="1"/>
    <xf numFmtId="0" fontId="13" fillId="0" borderId="1" xfId="0" applyFont="1" applyBorder="1" applyAlignment="1" applyProtection="1">
      <alignment horizontal="center" vertical="center" wrapText="1"/>
      <protection locked="0"/>
    </xf>
    <xf numFmtId="167" fontId="0" fillId="6" borderId="1" xfId="0" applyNumberFormat="1" applyFill="1" applyBorder="1" applyAlignment="1">
      <alignment vertical="center"/>
    </xf>
    <xf numFmtId="3" fontId="13" fillId="4" borderId="1" xfId="0"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0" fontId="14" fillId="0" borderId="10" xfId="0" applyFont="1" applyBorder="1" applyAlignment="1" applyProtection="1">
      <alignment horizontal="justify" vertical="center" wrapText="1"/>
      <protection locked="0"/>
    </xf>
    <xf numFmtId="0" fontId="26" fillId="0" borderId="8" xfId="0" applyFont="1" applyBorder="1"/>
    <xf numFmtId="0" fontId="26" fillId="0" borderId="8" xfId="0" applyFont="1" applyBorder="1" applyAlignment="1">
      <alignment wrapText="1"/>
    </xf>
    <xf numFmtId="0" fontId="0" fillId="24" borderId="1" xfId="0" applyFill="1" applyBorder="1" applyAlignment="1">
      <alignment vertical="center"/>
    </xf>
    <xf numFmtId="1" fontId="0" fillId="0" borderId="1" xfId="0" applyNumberFormat="1" applyBorder="1" applyAlignment="1">
      <alignment vertical="center"/>
    </xf>
    <xf numFmtId="0" fontId="26" fillId="27" borderId="1" xfId="0" applyFont="1" applyFill="1" applyBorder="1" applyAlignment="1">
      <alignment wrapText="1"/>
    </xf>
    <xf numFmtId="165" fontId="0" fillId="20" borderId="1" xfId="0" applyNumberFormat="1" applyFill="1" applyBorder="1" applyAlignment="1">
      <alignment vertical="center" wrapText="1"/>
    </xf>
    <xf numFmtId="14" fontId="0" fillId="0" borderId="1" xfId="0" applyNumberFormat="1" applyBorder="1" applyAlignment="1" applyProtection="1">
      <alignment vertical="top" wrapText="1"/>
      <protection locked="0"/>
    </xf>
    <xf numFmtId="0" fontId="26" fillId="0" borderId="8" xfId="0" applyFont="1" applyBorder="1" applyAlignment="1">
      <alignment vertical="top"/>
    </xf>
    <xf numFmtId="0" fontId="14" fillId="0" borderId="1" xfId="0" applyFont="1" applyBorder="1" applyAlignment="1" applyProtection="1">
      <alignment vertical="top" wrapText="1"/>
      <protection locked="0"/>
    </xf>
    <xf numFmtId="0" fontId="26" fillId="0" borderId="8" xfId="0" applyFont="1" applyBorder="1" applyAlignment="1">
      <alignment vertical="center"/>
    </xf>
    <xf numFmtId="14" fontId="0" fillId="0" borderId="1" xfId="0" applyNumberFormat="1" applyBorder="1" applyAlignment="1" applyProtection="1">
      <alignment horizontal="center" vertical="top" wrapText="1"/>
      <protection locked="0"/>
    </xf>
    <xf numFmtId="0" fontId="14" fillId="0" borderId="1" xfId="0" applyFont="1" applyBorder="1" applyAlignment="1" applyProtection="1">
      <alignment horizontal="justify" vertical="top" wrapText="1"/>
      <protection locked="0"/>
    </xf>
    <xf numFmtId="3" fontId="26" fillId="0" borderId="1" xfId="0" applyNumberFormat="1" applyFont="1" applyBorder="1" applyAlignment="1">
      <alignment wrapText="1"/>
    </xf>
    <xf numFmtId="0" fontId="32" fillId="28" borderId="1" xfId="0" applyFont="1" applyFill="1" applyBorder="1" applyAlignment="1">
      <alignment wrapText="1"/>
    </xf>
    <xf numFmtId="0" fontId="33" fillId="0" borderId="1" xfId="0" applyFont="1" applyBorder="1" applyAlignment="1">
      <alignment wrapText="1"/>
    </xf>
    <xf numFmtId="14" fontId="26" fillId="28" borderId="1" xfId="0" applyNumberFormat="1" applyFont="1" applyFill="1" applyBorder="1" applyAlignment="1">
      <alignment wrapText="1"/>
    </xf>
    <xf numFmtId="14" fontId="26" fillId="0" borderId="1" xfId="0" applyNumberFormat="1" applyFont="1" applyBorder="1" applyAlignment="1">
      <alignment wrapText="1"/>
    </xf>
    <xf numFmtId="0" fontId="34" fillId="30" borderId="1" xfId="0" applyFont="1" applyFill="1" applyBorder="1" applyAlignment="1">
      <alignment wrapText="1"/>
    </xf>
    <xf numFmtId="0" fontId="26" fillId="27" borderId="1" xfId="0" applyFont="1" applyFill="1" applyBorder="1"/>
    <xf numFmtId="0" fontId="26" fillId="28" borderId="8" xfId="0" applyFont="1" applyFill="1" applyBorder="1"/>
    <xf numFmtId="0" fontId="35" fillId="30" borderId="1" xfId="0" applyFont="1" applyFill="1" applyBorder="1" applyAlignment="1">
      <alignment wrapText="1"/>
    </xf>
    <xf numFmtId="0" fontId="36" fillId="30" borderId="1" xfId="0" applyFont="1" applyFill="1" applyBorder="1" applyAlignment="1">
      <alignment wrapText="1"/>
    </xf>
    <xf numFmtId="14" fontId="36" fillId="30" borderId="1" xfId="0" applyNumberFormat="1" applyFont="1" applyFill="1" applyBorder="1" applyAlignment="1">
      <alignment wrapText="1"/>
    </xf>
    <xf numFmtId="0" fontId="37" fillId="0" borderId="3" xfId="0" applyFont="1" applyBorder="1" applyAlignment="1">
      <alignment wrapText="1"/>
    </xf>
    <xf numFmtId="0" fontId="26" fillId="31" borderId="1" xfId="0" applyFont="1" applyFill="1" applyBorder="1" applyAlignment="1">
      <alignment wrapText="1"/>
    </xf>
    <xf numFmtId="9" fontId="26" fillId="31" borderId="1" xfId="0" applyNumberFormat="1" applyFont="1" applyFill="1" applyBorder="1" applyAlignment="1">
      <alignment wrapText="1"/>
    </xf>
    <xf numFmtId="0" fontId="38" fillId="31" borderId="1" xfId="0" applyFont="1" applyFill="1" applyBorder="1" applyAlignment="1">
      <alignment wrapText="1"/>
    </xf>
    <xf numFmtId="0" fontId="39" fillId="30" borderId="2" xfId="0" applyFont="1" applyFill="1" applyBorder="1" applyAlignment="1">
      <alignment wrapText="1"/>
    </xf>
    <xf numFmtId="0" fontId="26" fillId="0" borderId="2" xfId="0" applyFont="1" applyBorder="1" applyAlignment="1">
      <alignment wrapText="1"/>
    </xf>
    <xf numFmtId="0" fontId="26" fillId="0" borderId="12" xfId="0" applyFont="1" applyBorder="1"/>
    <xf numFmtId="0" fontId="26" fillId="0" borderId="0" xfId="0" applyFont="1"/>
    <xf numFmtId="0" fontId="26" fillId="29" borderId="1" xfId="0" applyFont="1" applyFill="1" applyBorder="1" applyAlignment="1">
      <alignment horizontal="center" vertical="center" wrapText="1"/>
    </xf>
    <xf numFmtId="49" fontId="5" fillId="2" borderId="1" xfId="0" applyNumberFormat="1" applyFont="1" applyFill="1" applyBorder="1" applyAlignment="1" applyProtection="1">
      <alignment horizontal="left" vertical="center" wrapText="1"/>
      <protection locked="0"/>
    </xf>
    <xf numFmtId="3" fontId="26" fillId="0" borderId="1" xfId="0" applyNumberFormat="1" applyFont="1" applyBorder="1" applyAlignment="1">
      <alignment horizontal="left" vertical="center" wrapText="1"/>
    </xf>
    <xf numFmtId="0" fontId="0" fillId="0" borderId="0" xfId="0" applyAlignment="1">
      <alignment horizontal="left"/>
    </xf>
    <xf numFmtId="0" fontId="26" fillId="0" borderId="4" xfId="0" applyFont="1" applyBorder="1" applyAlignment="1">
      <alignment wrapText="1"/>
    </xf>
    <xf numFmtId="0" fontId="36" fillId="30" borderId="2" xfId="0" applyFont="1" applyFill="1" applyBorder="1" applyAlignment="1">
      <alignment wrapText="1"/>
    </xf>
    <xf numFmtId="0" fontId="37" fillId="0" borderId="8" xfId="0" applyFont="1" applyBorder="1" applyAlignment="1">
      <alignment wrapText="1"/>
    </xf>
    <xf numFmtId="0" fontId="41" fillId="31" borderId="1" xfId="0" applyFont="1" applyFill="1" applyBorder="1" applyAlignment="1">
      <alignment wrapText="1"/>
    </xf>
    <xf numFmtId="0" fontId="26" fillId="0" borderId="11" xfId="0" applyFont="1" applyBorder="1"/>
    <xf numFmtId="14" fontId="30" fillId="28" borderId="1" xfId="0" applyNumberFormat="1" applyFont="1" applyFill="1" applyBorder="1" applyAlignment="1">
      <alignment wrapText="1"/>
    </xf>
    <xf numFmtId="0" fontId="26" fillId="28" borderId="12" xfId="0" applyFont="1" applyFill="1" applyBorder="1"/>
    <xf numFmtId="0" fontId="26" fillId="0" borderId="1" xfId="0" applyFont="1" applyBorder="1" applyAlignment="1">
      <alignment horizontal="left" wrapText="1"/>
    </xf>
    <xf numFmtId="166" fontId="0" fillId="20" borderId="1" xfId="1" applyNumberFormat="1" applyFont="1" applyFill="1" applyBorder="1" applyAlignment="1" applyProtection="1">
      <alignment vertical="center" wrapText="1"/>
      <protection locked="0"/>
    </xf>
    <xf numFmtId="0" fontId="26" fillId="28" borderId="1" xfId="0" applyFont="1" applyFill="1" applyBorder="1" applyAlignment="1">
      <alignment wrapText="1"/>
    </xf>
    <xf numFmtId="0" fontId="0" fillId="32" borderId="0" xfId="0" applyFill="1"/>
    <xf numFmtId="0" fontId="0" fillId="33" borderId="0" xfId="0" applyFill="1"/>
    <xf numFmtId="0" fontId="14" fillId="0" borderId="13" xfId="0" applyFont="1" applyBorder="1" applyAlignment="1" applyProtection="1">
      <alignment horizontal="justify" vertical="center" wrapText="1"/>
      <protection locked="0"/>
    </xf>
    <xf numFmtId="171" fontId="0" fillId="0" borderId="1" xfId="1" applyNumberFormat="1" applyFont="1" applyFill="1" applyBorder="1" applyAlignment="1" applyProtection="1">
      <alignment vertical="center" wrapText="1"/>
      <protection locked="0"/>
    </xf>
    <xf numFmtId="171" fontId="0" fillId="0" borderId="1" xfId="0" applyNumberFormat="1" applyBorder="1" applyAlignment="1" applyProtection="1">
      <alignment vertical="center" wrapText="1"/>
      <protection locked="0"/>
    </xf>
    <xf numFmtId="171" fontId="0" fillId="4" borderId="1" xfId="1" applyNumberFormat="1" applyFont="1" applyFill="1" applyBorder="1" applyAlignment="1" applyProtection="1">
      <alignment vertical="center" wrapText="1"/>
      <protection locked="0"/>
    </xf>
    <xf numFmtId="171" fontId="0" fillId="0" borderId="1" xfId="1" applyNumberFormat="1" applyFont="1" applyBorder="1" applyAlignment="1" applyProtection="1">
      <alignment vertical="center" wrapText="1"/>
      <protection locked="0"/>
    </xf>
    <xf numFmtId="43" fontId="0" fillId="0" borderId="1" xfId="1" applyNumberFormat="1" applyFont="1" applyFill="1" applyBorder="1" applyAlignment="1" applyProtection="1">
      <alignment vertical="center" wrapText="1"/>
      <protection locked="0"/>
    </xf>
    <xf numFmtId="43" fontId="0" fillId="0" borderId="1" xfId="1" applyNumberFormat="1" applyFont="1" applyBorder="1" applyAlignment="1" applyProtection="1">
      <alignment vertical="center" wrapText="1"/>
      <protection locked="0"/>
    </xf>
    <xf numFmtId="43" fontId="0" fillId="0" borderId="0" xfId="0" applyNumberFormat="1"/>
    <xf numFmtId="0" fontId="42" fillId="0" borderId="0" xfId="0" applyFont="1"/>
    <xf numFmtId="168" fontId="0" fillId="20" borderId="1" xfId="0" applyNumberFormat="1" applyFill="1" applyBorder="1" applyAlignment="1" applyProtection="1">
      <alignment vertical="center" wrapText="1"/>
      <protection locked="0"/>
    </xf>
    <xf numFmtId="0" fontId="0" fillId="34" borderId="1" xfId="0" applyFill="1" applyBorder="1" applyAlignment="1" applyProtection="1">
      <alignment vertical="center" wrapText="1"/>
      <protection locked="0"/>
    </xf>
    <xf numFmtId="0" fontId="0" fillId="35" borderId="1" xfId="0" applyFill="1" applyBorder="1" applyAlignment="1" applyProtection="1">
      <alignment vertical="center" wrapText="1"/>
      <protection locked="0"/>
    </xf>
    <xf numFmtId="0" fontId="26" fillId="0" borderId="1" xfId="0" applyFont="1" applyBorder="1" applyAlignment="1">
      <alignment horizontal="center" vertical="center" wrapText="1"/>
    </xf>
    <xf numFmtId="14" fontId="43" fillId="0" borderId="0" xfId="0" applyNumberFormat="1" applyFont="1"/>
    <xf numFmtId="0" fontId="0" fillId="20" borderId="1" xfId="0" applyFill="1" applyBorder="1" applyAlignment="1">
      <alignment vertical="center"/>
    </xf>
    <xf numFmtId="43" fontId="5" fillId="2" borderId="1" xfId="0" applyNumberFormat="1" applyFont="1" applyFill="1" applyBorder="1" applyAlignment="1" applyProtection="1">
      <alignment horizontal="center" vertical="center" wrapText="1"/>
      <protection locked="0"/>
    </xf>
    <xf numFmtId="0" fontId="26" fillId="0" borderId="12" xfId="0" applyFont="1" applyBorder="1" applyAlignment="1">
      <alignment wrapText="1"/>
    </xf>
    <xf numFmtId="0" fontId="0" fillId="12" borderId="1" xfId="0" applyFill="1" applyBorder="1" applyAlignment="1" applyProtection="1">
      <alignment vertical="center" wrapText="1"/>
      <protection locked="0"/>
    </xf>
    <xf numFmtId="1" fontId="0" fillId="0" borderId="1" xfId="0" applyNumberFormat="1" applyBorder="1" applyAlignment="1" applyProtection="1">
      <alignment horizontal="right" vertical="center" wrapText="1"/>
      <protection locked="0"/>
    </xf>
    <xf numFmtId="14" fontId="0" fillId="0" borderId="1" xfId="0" applyNumberFormat="1" applyBorder="1" applyAlignment="1" applyProtection="1">
      <alignment horizontal="right" vertical="center" wrapText="1"/>
      <protection locked="0"/>
    </xf>
    <xf numFmtId="0" fontId="26" fillId="0" borderId="8" xfId="0" applyFont="1" applyBorder="1" applyAlignment="1">
      <alignment horizontal="right" vertical="top" wrapText="1"/>
    </xf>
    <xf numFmtId="0" fontId="0" fillId="0" borderId="1" xfId="0" applyBorder="1" applyAlignment="1" applyProtection="1">
      <alignment horizontal="right" vertical="center" wrapText="1"/>
      <protection locked="0"/>
    </xf>
    <xf numFmtId="14" fontId="0" fillId="0" borderId="1" xfId="0" applyNumberFormat="1" applyBorder="1" applyAlignment="1">
      <alignment vertical="center" wrapText="1"/>
    </xf>
    <xf numFmtId="0" fontId="0" fillId="0" borderId="0" xfId="0" applyAlignment="1">
      <alignment horizontal="lef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0" borderId="8" xfId="0" applyBorder="1" applyAlignment="1">
      <alignment horizontal="center" vertical="center"/>
    </xf>
    <xf numFmtId="0" fontId="44" fillId="0" borderId="0" xfId="0" applyFont="1" applyAlignment="1">
      <alignment wrapText="1"/>
    </xf>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4" borderId="2" xfId="0" applyFill="1" applyBorder="1" applyAlignment="1">
      <alignment horizontal="center" vertical="center"/>
    </xf>
    <xf numFmtId="0" fontId="0" fillId="4" borderId="8" xfId="0" applyFill="1" applyBorder="1"/>
    <xf numFmtId="0" fontId="0" fillId="0" borderId="8" xfId="0" applyBorder="1" applyAlignment="1">
      <alignment wrapText="1"/>
    </xf>
    <xf numFmtId="0" fontId="29" fillId="0" borderId="1" xfId="0" applyFont="1" applyBorder="1" applyAlignment="1" applyProtection="1">
      <alignment horizontal="center" vertical="center" wrapText="1"/>
      <protection locked="0"/>
    </xf>
    <xf numFmtId="0" fontId="29" fillId="0" borderId="1" xfId="0" applyFont="1" applyBorder="1" applyAlignment="1" applyProtection="1">
      <alignment vertical="center" wrapText="1"/>
      <protection locked="0"/>
    </xf>
    <xf numFmtId="166" fontId="29" fillId="0" borderId="1" xfId="1" applyNumberFormat="1" applyFont="1" applyBorder="1" applyAlignment="1" applyProtection="1">
      <alignment vertical="center" wrapText="1"/>
      <protection locked="0"/>
    </xf>
    <xf numFmtId="14" fontId="29" fillId="0" borderId="1" xfId="0" applyNumberFormat="1" applyFont="1" applyBorder="1" applyAlignment="1" applyProtection="1">
      <alignment vertical="center" wrapText="1"/>
      <protection locked="0"/>
    </xf>
    <xf numFmtId="1" fontId="29" fillId="0" borderId="1" xfId="0" applyNumberFormat="1" applyFont="1" applyBorder="1" applyAlignment="1" applyProtection="1">
      <alignment vertical="center" wrapText="1"/>
      <protection locked="0"/>
    </xf>
    <xf numFmtId="0" fontId="29" fillId="0" borderId="1" xfId="0" applyFont="1" applyBorder="1" applyAlignment="1" applyProtection="1">
      <alignment horizontal="justify" vertical="center" wrapText="1"/>
      <protection locked="0"/>
    </xf>
    <xf numFmtId="14" fontId="26" fillId="0" borderId="1" xfId="0" applyNumberFormat="1" applyFont="1" applyBorder="1" applyAlignment="1">
      <alignment vertical="center" wrapText="1"/>
    </xf>
    <xf numFmtId="0" fontId="29" fillId="0" borderId="0" xfId="0" applyFont="1" applyAlignment="1">
      <alignment vertical="center"/>
    </xf>
    <xf numFmtId="169" fontId="31" fillId="2" borderId="1" xfId="1" applyNumberFormat="1" applyFont="1" applyFill="1" applyBorder="1" applyAlignment="1">
      <alignment vertical="center" wrapText="1"/>
    </xf>
    <xf numFmtId="0" fontId="45" fillId="0" borderId="0" xfId="0" applyFont="1" applyAlignment="1">
      <alignment vertical="center"/>
    </xf>
    <xf numFmtId="0" fontId="46" fillId="2" borderId="1" xfId="0" applyFont="1" applyFill="1" applyBorder="1" applyAlignment="1" applyProtection="1">
      <alignment horizontal="center" vertical="center" wrapText="1"/>
      <protection locked="0"/>
    </xf>
    <xf numFmtId="0" fontId="47" fillId="2" borderId="1" xfId="0" applyFont="1" applyFill="1" applyBorder="1" applyAlignment="1" applyProtection="1">
      <alignment horizontal="center" vertical="center" wrapText="1"/>
      <protection locked="0"/>
    </xf>
    <xf numFmtId="0" fontId="2" fillId="0" borderId="0" xfId="0" applyFont="1"/>
    <xf numFmtId="165" fontId="47" fillId="2" borderId="1" xfId="0" applyNumberFormat="1" applyFont="1" applyFill="1" applyBorder="1" applyAlignment="1" applyProtection="1">
      <alignment horizontal="center" vertical="center" wrapText="1"/>
      <protection locked="0"/>
    </xf>
    <xf numFmtId="14" fontId="47" fillId="2" borderId="1" xfId="0" applyNumberFormat="1" applyFont="1" applyFill="1" applyBorder="1" applyAlignment="1" applyProtection="1">
      <alignment horizontal="center" vertical="center" wrapText="1"/>
      <protection locked="0"/>
    </xf>
    <xf numFmtId="166" fontId="49" fillId="2" borderId="1" xfId="1" applyNumberFormat="1" applyFont="1" applyFill="1" applyBorder="1" applyAlignment="1" applyProtection="1">
      <alignment horizontal="center" vertical="center" wrapText="1"/>
      <protection locked="0"/>
    </xf>
    <xf numFmtId="0" fontId="26" fillId="0" borderId="0" xfId="0" applyFont="1" applyAlignment="1">
      <alignment horizontal="left" wrapText="1"/>
    </xf>
    <xf numFmtId="0" fontId="0" fillId="20" borderId="1" xfId="0" applyFill="1" applyBorder="1" applyAlignment="1">
      <alignment horizontal="left"/>
    </xf>
    <xf numFmtId="0" fontId="26" fillId="29" borderId="0" xfId="0" applyFont="1" applyFill="1" applyAlignment="1">
      <alignment horizontal="center" vertical="center" wrapText="1"/>
    </xf>
    <xf numFmtId="0" fontId="26" fillId="27" borderId="0" xfId="0" applyFont="1" applyFill="1" applyAlignment="1">
      <alignment wrapText="1"/>
    </xf>
    <xf numFmtId="0" fontId="0" fillId="20" borderId="1" xfId="0" applyFill="1" applyBorder="1"/>
    <xf numFmtId="0" fontId="32" fillId="28" borderId="0" xfId="0" applyFont="1" applyFill="1" applyAlignment="1">
      <alignment wrapText="1"/>
    </xf>
    <xf numFmtId="0" fontId="26" fillId="0" borderId="0" xfId="0" applyFont="1" applyAlignment="1">
      <alignment wrapText="1"/>
    </xf>
    <xf numFmtId="0" fontId="33" fillId="0" borderId="0" xfId="0" applyFont="1" applyAlignment="1">
      <alignment wrapText="1"/>
    </xf>
    <xf numFmtId="14" fontId="30" fillId="28" borderId="0" xfId="0" applyNumberFormat="1" applyFont="1" applyFill="1" applyAlignment="1">
      <alignment wrapText="1"/>
    </xf>
    <xf numFmtId="14" fontId="26" fillId="28" borderId="0" xfId="0" applyNumberFormat="1" applyFont="1" applyFill="1" applyAlignment="1">
      <alignment wrapText="1"/>
    </xf>
    <xf numFmtId="14" fontId="26" fillId="0" borderId="0" xfId="0" applyNumberFormat="1" applyFont="1" applyAlignment="1">
      <alignment wrapText="1"/>
    </xf>
    <xf numFmtId="0" fontId="34" fillId="30" borderId="0" xfId="0" applyFont="1" applyFill="1" applyAlignment="1">
      <alignment wrapText="1"/>
    </xf>
    <xf numFmtId="0" fontId="0" fillId="0" borderId="1" xfId="0" applyBorder="1"/>
    <xf numFmtId="0" fontId="26" fillId="27" borderId="0" xfId="0" applyFont="1" applyFill="1"/>
    <xf numFmtId="0" fontId="26" fillId="27" borderId="2" xfId="0" applyFont="1" applyFill="1" applyBorder="1"/>
    <xf numFmtId="0" fontId="0" fillId="20" borderId="2" xfId="0" applyFill="1" applyBorder="1"/>
    <xf numFmtId="0" fontId="26" fillId="28" borderId="0" xfId="0" applyFont="1" applyFill="1"/>
    <xf numFmtId="0" fontId="20" fillId="2" borderId="1" xfId="0" applyFont="1" applyFill="1" applyBorder="1" applyAlignment="1">
      <alignment vertical="center" wrapText="1"/>
    </xf>
    <xf numFmtId="0" fontId="35" fillId="30" borderId="4" xfId="0" applyFont="1" applyFill="1" applyBorder="1" applyAlignment="1">
      <alignment wrapText="1"/>
    </xf>
    <xf numFmtId="0" fontId="35" fillId="30" borderId="0" xfId="0" applyFont="1" applyFill="1" applyAlignment="1">
      <alignment wrapText="1"/>
    </xf>
    <xf numFmtId="0" fontId="0" fillId="20" borderId="4" xfId="0" applyFill="1" applyBorder="1"/>
    <xf numFmtId="0" fontId="36" fillId="30" borderId="0" xfId="0" applyFont="1" applyFill="1" applyAlignment="1">
      <alignment wrapText="1"/>
    </xf>
    <xf numFmtId="14" fontId="36" fillId="30" borderId="0" xfId="0" applyNumberFormat="1" applyFont="1" applyFill="1" applyAlignment="1">
      <alignment wrapText="1"/>
    </xf>
    <xf numFmtId="0" fontId="37" fillId="0" borderId="0" xfId="0" applyFont="1" applyAlignment="1">
      <alignment wrapText="1"/>
    </xf>
    <xf numFmtId="0" fontId="0" fillId="20" borderId="3" xfId="0" applyFill="1" applyBorder="1"/>
    <xf numFmtId="9" fontId="26" fillId="31" borderId="0" xfId="0" applyNumberFormat="1" applyFont="1" applyFill="1" applyAlignment="1">
      <alignment wrapText="1"/>
    </xf>
    <xf numFmtId="0" fontId="38" fillId="31" borderId="0" xfId="0" applyFont="1" applyFill="1" applyAlignment="1">
      <alignment wrapText="1"/>
    </xf>
    <xf numFmtId="0" fontId="26" fillId="31" borderId="0" xfId="0" applyFont="1" applyFill="1" applyAlignment="1">
      <alignment wrapText="1"/>
    </xf>
    <xf numFmtId="0" fontId="39" fillId="30" borderId="0" xfId="0" applyFont="1" applyFill="1" applyAlignment="1">
      <alignment wrapText="1"/>
    </xf>
    <xf numFmtId="0" fontId="0" fillId="0" borderId="2" xfId="0" applyBorder="1"/>
    <xf numFmtId="1" fontId="0" fillId="0" borderId="11" xfId="0" applyNumberFormat="1" applyBorder="1" applyAlignment="1">
      <alignment vertical="center"/>
    </xf>
    <xf numFmtId="0" fontId="40" fillId="0" borderId="11" xfId="0" applyFont="1" applyBorder="1"/>
    <xf numFmtId="0" fontId="0" fillId="0" borderId="11" xfId="0" applyBorder="1"/>
    <xf numFmtId="0" fontId="26" fillId="0" borderId="1" xfId="0" applyFont="1" applyBorder="1"/>
    <xf numFmtId="0" fontId="0" fillId="3" borderId="8" xfId="0" applyFill="1" applyBorder="1" applyAlignment="1">
      <alignment vertical="center" wrapText="1"/>
    </xf>
    <xf numFmtId="0" fontId="26" fillId="27" borderId="12" xfId="0" applyFont="1" applyFill="1" applyBorder="1" applyAlignment="1">
      <alignment wrapText="1"/>
    </xf>
    <xf numFmtId="0" fontId="26" fillId="28" borderId="1" xfId="0" applyFont="1" applyFill="1" applyBorder="1"/>
    <xf numFmtId="1" fontId="0" fillId="0" borderId="12" xfId="0" applyNumberFormat="1" applyBorder="1"/>
    <xf numFmtId="0" fontId="0" fillId="0" borderId="12" xfId="0" applyBorder="1"/>
    <xf numFmtId="0" fontId="20" fillId="2" borderId="1" xfId="0" applyFont="1" applyFill="1" applyBorder="1" applyAlignment="1">
      <alignment horizontal="center" vertical="center" wrapText="1"/>
    </xf>
    <xf numFmtId="0" fontId="52" fillId="2" borderId="1" xfId="0" applyFont="1" applyFill="1" applyBorder="1" applyAlignment="1">
      <alignment horizontal="center" vertical="center" wrapText="1"/>
    </xf>
    <xf numFmtId="1" fontId="52" fillId="2" borderId="1" xfId="0" applyNumberFormat="1" applyFont="1" applyFill="1" applyBorder="1" applyAlignment="1">
      <alignment horizontal="center" vertical="center" wrapText="1"/>
    </xf>
    <xf numFmtId="165" fontId="52" fillId="2" borderId="1" xfId="0" applyNumberFormat="1" applyFont="1" applyFill="1" applyBorder="1" applyAlignment="1">
      <alignment vertical="center" wrapText="1"/>
    </xf>
    <xf numFmtId="0" fontId="26" fillId="7" borderId="0" xfId="0" applyFont="1" applyFill="1" applyAlignment="1">
      <alignment vertical="center"/>
    </xf>
    <xf numFmtId="0" fontId="50" fillId="7" borderId="8" xfId="0" applyFont="1" applyFill="1" applyBorder="1" applyAlignment="1">
      <alignment vertical="center"/>
    </xf>
    <xf numFmtId="0" fontId="51" fillId="7" borderId="18" xfId="0" applyFont="1" applyFill="1" applyBorder="1" applyAlignment="1">
      <alignment vertical="center"/>
    </xf>
    <xf numFmtId="0" fontId="51" fillId="7" borderId="0" xfId="0" applyFont="1" applyFill="1" applyAlignment="1">
      <alignment vertical="center"/>
    </xf>
    <xf numFmtId="0" fontId="51" fillId="7" borderId="19" xfId="0" applyFont="1" applyFill="1" applyBorder="1" applyAlignment="1">
      <alignment vertical="center"/>
    </xf>
    <xf numFmtId="0" fontId="25" fillId="7" borderId="1" xfId="0" applyFont="1" applyFill="1" applyBorder="1" applyAlignment="1" applyProtection="1">
      <alignment vertical="center" wrapText="1"/>
      <protection locked="0"/>
    </xf>
    <xf numFmtId="14" fontId="50" fillId="7" borderId="8" xfId="0" applyNumberFormat="1" applyFont="1" applyFill="1" applyBorder="1" applyAlignment="1">
      <alignment vertical="center" wrapText="1"/>
    </xf>
    <xf numFmtId="14" fontId="50" fillId="7" borderId="15" xfId="0" applyNumberFormat="1" applyFont="1" applyFill="1" applyBorder="1" applyAlignment="1">
      <alignment vertical="center" wrapText="1"/>
    </xf>
    <xf numFmtId="165" fontId="25" fillId="7" borderId="1" xfId="0" applyNumberFormat="1" applyFont="1" applyFill="1" applyBorder="1" applyAlignment="1" applyProtection="1">
      <alignment vertical="center" wrapText="1"/>
      <protection locked="0"/>
    </xf>
    <xf numFmtId="0" fontId="53" fillId="2" borderId="2" xfId="0" applyFont="1" applyFill="1" applyBorder="1" applyAlignment="1">
      <alignment horizontal="center" vertical="center" wrapText="1"/>
    </xf>
    <xf numFmtId="9" fontId="25" fillId="5" borderId="1" xfId="2" applyFont="1" applyFill="1" applyBorder="1" applyAlignment="1">
      <alignment horizontal="center" vertical="center" wrapText="1"/>
    </xf>
    <xf numFmtId="1" fontId="25" fillId="5" borderId="1" xfId="2" applyNumberFormat="1" applyFont="1" applyFill="1" applyBorder="1" applyAlignment="1">
      <alignment vertical="center" wrapText="1"/>
    </xf>
    <xf numFmtId="1" fontId="54" fillId="5" borderId="1" xfId="2" applyNumberFormat="1" applyFont="1" applyFill="1" applyBorder="1" applyAlignment="1">
      <alignment vertical="center" wrapText="1"/>
    </xf>
    <xf numFmtId="0" fontId="25" fillId="3" borderId="1" xfId="0" applyFont="1" applyFill="1" applyBorder="1" applyAlignment="1" applyProtection="1">
      <alignment vertical="center" wrapText="1"/>
      <protection locked="0"/>
    </xf>
    <xf numFmtId="169" fontId="15" fillId="2" borderId="1" xfId="1" applyNumberFormat="1" applyFont="1" applyFill="1" applyBorder="1" applyAlignment="1">
      <alignment vertical="center"/>
    </xf>
    <xf numFmtId="169" fontId="15" fillId="2" borderId="1" xfId="1" applyNumberFormat="1" applyFont="1" applyFill="1" applyBorder="1" applyAlignment="1">
      <alignment horizontal="right" vertical="center"/>
    </xf>
    <xf numFmtId="169" fontId="16" fillId="0" borderId="1" xfId="1" applyNumberFormat="1" applyFont="1" applyBorder="1" applyAlignment="1">
      <alignment horizontal="right" vertical="center"/>
    </xf>
    <xf numFmtId="170" fontId="15" fillId="2" borderId="1" xfId="1" applyNumberFormat="1" applyFont="1" applyFill="1" applyBorder="1" applyAlignment="1">
      <alignment horizontal="right" vertical="center"/>
    </xf>
    <xf numFmtId="0" fontId="25" fillId="0" borderId="1" xfId="0" applyFont="1" applyBorder="1" applyAlignment="1" applyProtection="1">
      <alignment horizontal="justify" vertical="center" wrapText="1"/>
      <protection locked="0"/>
    </xf>
    <xf numFmtId="0" fontId="26" fillId="0" borderId="1" xfId="0" applyFont="1" applyBorder="1" applyAlignment="1">
      <alignment horizontal="right" vertical="center" wrapText="1"/>
    </xf>
    <xf numFmtId="0" fontId="26" fillId="0" borderId="1" xfId="0" applyFont="1" applyBorder="1" applyAlignment="1">
      <alignment vertical="center" wrapText="1"/>
    </xf>
    <xf numFmtId="166" fontId="48" fillId="2" borderId="1" xfId="1" applyNumberFormat="1" applyFont="1" applyFill="1" applyBorder="1" applyAlignment="1" applyProtection="1">
      <alignment horizontal="right" vertical="center" wrapText="1"/>
      <protection locked="0"/>
    </xf>
    <xf numFmtId="0" fontId="2" fillId="0" borderId="0" xfId="0" applyFont="1" applyAlignment="1">
      <alignment horizontal="right" vertical="center"/>
    </xf>
    <xf numFmtId="166" fontId="47" fillId="2" borderId="1" xfId="1" applyNumberFormat="1" applyFont="1" applyFill="1" applyBorder="1" applyAlignment="1" applyProtection="1">
      <alignment horizontal="right" vertical="center" wrapText="1"/>
      <protection locked="0"/>
    </xf>
    <xf numFmtId="0" fontId="0" fillId="0" borderId="1" xfId="1" applyNumberFormat="1" applyFont="1" applyBorder="1" applyAlignment="1" applyProtection="1">
      <alignment vertical="center" wrapText="1"/>
      <protection locked="0"/>
    </xf>
    <xf numFmtId="168" fontId="25" fillId="0" borderId="3" xfId="1" applyNumberFormat="1" applyFont="1" applyBorder="1" applyAlignment="1">
      <alignment vertical="center" wrapText="1"/>
    </xf>
    <xf numFmtId="168" fontId="16" fillId="0" borderId="3" xfId="1" applyNumberFormat="1" applyFont="1" applyFill="1" applyBorder="1" applyAlignment="1">
      <alignment vertical="center" wrapText="1"/>
    </xf>
    <xf numFmtId="165" fontId="25" fillId="0" borderId="1" xfId="0" applyNumberFormat="1" applyFont="1" applyBorder="1" applyAlignment="1">
      <alignment vertical="center" wrapText="1"/>
    </xf>
    <xf numFmtId="0" fontId="25" fillId="4" borderId="1" xfId="0" applyFont="1" applyFill="1" applyBorder="1" applyAlignment="1" applyProtection="1">
      <alignment vertical="center" wrapText="1"/>
      <protection locked="0"/>
    </xf>
    <xf numFmtId="14" fontId="0" fillId="0" borderId="0" xfId="0" applyNumberFormat="1"/>
    <xf numFmtId="0" fontId="20" fillId="24" borderId="1" xfId="0" applyFont="1" applyFill="1" applyBorder="1" applyAlignment="1" applyProtection="1">
      <alignment vertical="center" wrapText="1"/>
      <protection locked="0"/>
    </xf>
    <xf numFmtId="49" fontId="0" fillId="32" borderId="1" xfId="0" applyNumberFormat="1" applyFill="1" applyBorder="1" applyAlignment="1">
      <alignment vertical="center" wrapText="1"/>
    </xf>
    <xf numFmtId="0" fontId="0" fillId="32" borderId="1" xfId="0" applyFill="1" applyBorder="1" applyAlignment="1" applyProtection="1">
      <alignment vertical="center" wrapText="1"/>
      <protection locked="0"/>
    </xf>
    <xf numFmtId="0" fontId="13" fillId="32" borderId="1" xfId="0" applyFont="1" applyFill="1" applyBorder="1" applyAlignment="1" applyProtection="1">
      <alignment horizontal="center" vertical="center" wrapText="1"/>
      <protection locked="0"/>
    </xf>
    <xf numFmtId="1" fontId="0" fillId="32" borderId="1" xfId="0" applyNumberFormat="1" applyFill="1" applyBorder="1" applyAlignment="1" applyProtection="1">
      <alignment horizontal="center" vertical="center" wrapText="1"/>
      <protection locked="0"/>
    </xf>
    <xf numFmtId="0" fontId="14" fillId="32" borderId="1" xfId="0" applyFont="1" applyFill="1" applyBorder="1" applyAlignment="1" applyProtection="1">
      <alignment horizontal="justify" vertical="center" wrapText="1"/>
      <protection locked="0"/>
    </xf>
    <xf numFmtId="165" fontId="25" fillId="32" borderId="1" xfId="0" applyNumberFormat="1" applyFont="1" applyFill="1" applyBorder="1" applyAlignment="1">
      <alignment vertical="center" wrapText="1"/>
    </xf>
    <xf numFmtId="0" fontId="4" fillId="32" borderId="1" xfId="0" applyFont="1" applyFill="1" applyBorder="1" applyAlignment="1">
      <alignment horizontal="center" vertical="center" wrapText="1"/>
    </xf>
    <xf numFmtId="166" fontId="0" fillId="32" borderId="1" xfId="1" applyNumberFormat="1" applyFont="1" applyFill="1" applyBorder="1" applyAlignment="1" applyProtection="1">
      <alignment vertical="center" wrapText="1"/>
      <protection locked="0"/>
    </xf>
    <xf numFmtId="171" fontId="0" fillId="32" borderId="1" xfId="1" applyNumberFormat="1" applyFont="1" applyFill="1" applyBorder="1" applyAlignment="1" applyProtection="1">
      <alignment vertical="center" wrapText="1"/>
      <protection locked="0"/>
    </xf>
    <xf numFmtId="0" fontId="25" fillId="32" borderId="1" xfId="0" applyFont="1" applyFill="1" applyBorder="1" applyAlignment="1" applyProtection="1">
      <alignment vertical="center" wrapText="1"/>
      <protection locked="0"/>
    </xf>
    <xf numFmtId="0" fontId="0" fillId="32" borderId="1" xfId="0" applyFill="1" applyBorder="1" applyAlignment="1">
      <alignment horizontal="center" vertical="center"/>
    </xf>
    <xf numFmtId="0" fontId="0" fillId="32" borderId="1" xfId="0" applyFill="1" applyBorder="1" applyAlignment="1">
      <alignment vertical="center" wrapText="1"/>
    </xf>
    <xf numFmtId="0" fontId="0" fillId="32" borderId="2" xfId="0" applyFill="1" applyBorder="1" applyAlignment="1">
      <alignment vertical="center" wrapText="1"/>
    </xf>
    <xf numFmtId="14" fontId="26" fillId="32" borderId="8" xfId="0" applyNumberFormat="1" applyFont="1" applyFill="1" applyBorder="1" applyAlignment="1">
      <alignment horizontal="center" vertical="center"/>
    </xf>
    <xf numFmtId="2" fontId="25" fillId="0" borderId="1" xfId="0" applyNumberFormat="1" applyFont="1" applyBorder="1" applyAlignment="1">
      <alignment vertical="center" wrapText="1"/>
    </xf>
    <xf numFmtId="167" fontId="15" fillId="23" borderId="1" xfId="1" applyNumberFormat="1" applyFont="1" applyFill="1" applyBorder="1" applyAlignment="1">
      <alignment vertical="center" wrapText="1"/>
    </xf>
    <xf numFmtId="0" fontId="1" fillId="0" borderId="1" xfId="0" applyFont="1" applyBorder="1" applyAlignment="1" applyProtection="1">
      <alignment vertical="center" wrapText="1"/>
      <protection locked="0"/>
    </xf>
    <xf numFmtId="166" fontId="1" fillId="0" borderId="1" xfId="1" applyNumberFormat="1" applyFont="1" applyBorder="1" applyAlignment="1" applyProtection="1">
      <alignment vertical="center" wrapText="1"/>
      <protection locked="0"/>
    </xf>
    <xf numFmtId="165" fontId="1" fillId="0" borderId="1" xfId="0" applyNumberFormat="1" applyFont="1" applyBorder="1" applyAlignment="1" applyProtection="1">
      <alignment vertical="center" wrapText="1"/>
      <protection locked="0"/>
    </xf>
    <xf numFmtId="165" fontId="1" fillId="0" borderId="1" xfId="0" applyNumberFormat="1" applyFont="1" applyBorder="1" applyAlignment="1">
      <alignment vertical="center" wrapText="1"/>
    </xf>
    <xf numFmtId="166" fontId="1" fillId="0" borderId="1" xfId="1" applyNumberFormat="1" applyFont="1" applyBorder="1" applyAlignment="1" applyProtection="1">
      <alignment horizontal="right" vertical="center" wrapText="1"/>
      <protection locked="0"/>
    </xf>
    <xf numFmtId="0" fontId="1" fillId="20" borderId="0" xfId="0" applyFont="1" applyFill="1"/>
    <xf numFmtId="0" fontId="1" fillId="0" borderId="0" xfId="0" applyFont="1"/>
    <xf numFmtId="0" fontId="1" fillId="0" borderId="0" xfId="0" applyFont="1" applyAlignment="1">
      <alignment horizontal="right" vertical="center"/>
    </xf>
    <xf numFmtId="0" fontId="25" fillId="20" borderId="8" xfId="0" applyFont="1" applyFill="1" applyBorder="1" applyAlignment="1">
      <alignment vertical="center" wrapText="1"/>
    </xf>
    <xf numFmtId="0" fontId="25" fillId="4"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7" borderId="16" xfId="0" applyFont="1" applyFill="1" applyBorder="1" applyAlignment="1">
      <alignment vertical="center" wrapText="1"/>
    </xf>
    <xf numFmtId="165" fontId="25" fillId="0" borderId="1" xfId="0" applyNumberFormat="1" applyFont="1" applyBorder="1" applyAlignment="1" applyProtection="1">
      <alignment vertical="center" wrapText="1"/>
      <protection locked="0"/>
    </xf>
    <xf numFmtId="14" fontId="25" fillId="4" borderId="1" xfId="0" applyNumberFormat="1" applyFont="1" applyFill="1" applyBorder="1" applyAlignment="1">
      <alignment vertical="center" wrapText="1"/>
    </xf>
    <xf numFmtId="166" fontId="25" fillId="0" borderId="1" xfId="1" applyNumberFormat="1" applyFont="1" applyBorder="1" applyAlignment="1" applyProtection="1">
      <alignment horizontal="right" vertical="center" wrapText="1"/>
      <protection locked="0"/>
    </xf>
    <xf numFmtId="0" fontId="25" fillId="4" borderId="1" xfId="0" applyFont="1" applyFill="1" applyBorder="1" applyAlignment="1">
      <alignment horizontal="right" vertical="center"/>
    </xf>
    <xf numFmtId="1" fontId="20" fillId="2" borderId="1" xfId="0" applyNumberFormat="1" applyFont="1" applyFill="1" applyBorder="1" applyAlignment="1">
      <alignment horizontal="center" vertical="center" wrapText="1"/>
    </xf>
    <xf numFmtId="165" fontId="20" fillId="2" borderId="1" xfId="0" applyNumberFormat="1" applyFont="1" applyFill="1" applyBorder="1" applyAlignment="1">
      <alignment vertical="center" wrapText="1"/>
    </xf>
    <xf numFmtId="169" fontId="29" fillId="2" borderId="1" xfId="1" applyNumberFormat="1" applyFont="1" applyFill="1" applyBorder="1" applyAlignment="1">
      <alignment vertical="center" wrapText="1"/>
    </xf>
    <xf numFmtId="14" fontId="25" fillId="7" borderId="8" xfId="0" applyNumberFormat="1" applyFont="1" applyFill="1" applyBorder="1" applyAlignment="1">
      <alignment vertical="center" wrapText="1"/>
    </xf>
    <xf numFmtId="0" fontId="20" fillId="2" borderId="2" xfId="0" applyFont="1" applyFill="1" applyBorder="1" applyAlignment="1">
      <alignment horizontal="center" vertical="center" wrapText="1"/>
    </xf>
    <xf numFmtId="0" fontId="25" fillId="20" borderId="15" xfId="0" applyFont="1" applyFill="1" applyBorder="1" applyAlignment="1">
      <alignment vertical="center" wrapText="1"/>
    </xf>
    <xf numFmtId="0" fontId="25" fillId="7" borderId="17" xfId="0" applyFont="1" applyFill="1" applyBorder="1" applyAlignment="1">
      <alignment vertical="center" wrapText="1"/>
    </xf>
    <xf numFmtId="3" fontId="25" fillId="0" borderId="1" xfId="0" applyNumberFormat="1" applyFont="1" applyBorder="1" applyAlignment="1" applyProtection="1">
      <alignment vertical="center" wrapText="1"/>
      <protection locked="0"/>
    </xf>
    <xf numFmtId="14" fontId="25" fillId="4" borderId="14" xfId="0" applyNumberFormat="1" applyFont="1" applyFill="1" applyBorder="1" applyAlignment="1">
      <alignment vertical="center" wrapText="1"/>
    </xf>
    <xf numFmtId="14" fontId="25" fillId="7" borderId="15" xfId="0" applyNumberFormat="1" applyFont="1" applyFill="1" applyBorder="1" applyAlignment="1">
      <alignment vertical="center" wrapText="1"/>
    </xf>
    <xf numFmtId="0" fontId="25" fillId="20" borderId="15" xfId="0" applyFont="1" applyFill="1" applyBorder="1" applyAlignment="1">
      <alignment vertical="center"/>
    </xf>
    <xf numFmtId="0" fontId="25" fillId="20" borderId="1" xfId="0" applyFont="1" applyFill="1" applyBorder="1" applyAlignment="1">
      <alignment vertical="center"/>
    </xf>
    <xf numFmtId="165" fontId="25" fillId="4" borderId="1" xfId="0" applyNumberFormat="1" applyFont="1" applyFill="1" applyBorder="1" applyAlignment="1">
      <alignment vertical="center" wrapText="1"/>
    </xf>
    <xf numFmtId="14" fontId="25" fillId="4" borderId="1" xfId="0" applyNumberFormat="1" applyFont="1" applyFill="1" applyBorder="1" applyAlignment="1">
      <alignment vertical="center"/>
    </xf>
    <xf numFmtId="0" fontId="25" fillId="20" borderId="14" xfId="0" applyFont="1" applyFill="1" applyBorder="1" applyAlignment="1">
      <alignment vertical="center"/>
    </xf>
    <xf numFmtId="14" fontId="25" fillId="4" borderId="14" xfId="0" applyNumberFormat="1" applyFont="1" applyFill="1" applyBorder="1" applyAlignment="1">
      <alignment vertical="center"/>
    </xf>
    <xf numFmtId="0" fontId="25" fillId="20" borderId="1" xfId="0" applyFont="1" applyFill="1" applyBorder="1" applyAlignment="1" applyProtection="1">
      <alignment vertical="center" wrapText="1"/>
      <protection locked="0"/>
    </xf>
    <xf numFmtId="0" fontId="20" fillId="2" borderId="5" xfId="0" applyFont="1" applyFill="1" applyBorder="1" applyAlignment="1" applyProtection="1">
      <alignment horizontal="center"/>
      <protection locked="0"/>
    </xf>
    <xf numFmtId="0" fontId="20" fillId="2" borderId="6" xfId="0" applyFont="1" applyFill="1" applyBorder="1" applyAlignment="1" applyProtection="1">
      <alignment horizontal="center"/>
      <protection locked="0"/>
    </xf>
    <xf numFmtId="0" fontId="20" fillId="2" borderId="7" xfId="0" applyFont="1" applyFill="1" applyBorder="1" applyAlignment="1" applyProtection="1">
      <alignment horizontal="center"/>
      <protection locked="0"/>
    </xf>
  </cellXfs>
  <cellStyles count="5">
    <cellStyle name="Hipervínculo" xfId="4" builtinId="8"/>
    <cellStyle name="Moneda" xfId="1" builtinId="4"/>
    <cellStyle name="Moneda [0]" xfId="3" builtinId="7"/>
    <cellStyle name="Normal" xfId="0" builtinId="0"/>
    <cellStyle name="Porcentaje" xfId="2" builtinId="5"/>
  </cellStyles>
  <dxfs count="12">
    <dxf>
      <font>
        <color rgb="FF006100"/>
      </font>
      <fill>
        <patternFill>
          <bgColor rgb="FFC6EFCE"/>
        </patternFill>
      </fill>
    </dxf>
    <dxf>
      <font>
        <color rgb="FFFFFFFF"/>
      </font>
      <fill>
        <patternFill patternType="solid">
          <bgColor rgb="FFFF0000"/>
        </patternFill>
      </fill>
    </dxf>
    <dxf>
      <font>
        <color rgb="FFFFFFFF"/>
      </font>
      <fill>
        <patternFill patternType="solid">
          <bgColor rgb="FFFF0000"/>
        </patternFill>
      </fill>
    </dxf>
    <dxf>
      <font>
        <color rgb="FF006100"/>
      </font>
      <fill>
        <patternFill>
          <bgColor rgb="FFC6EFCE"/>
        </patternFill>
      </fill>
    </dxf>
    <dxf>
      <font>
        <color rgb="FFFFFFFF"/>
      </font>
      <fill>
        <patternFill patternType="solid">
          <bgColor rgb="FFFF0000"/>
        </patternFill>
      </fill>
    </dxf>
    <dxf>
      <font>
        <color rgb="FF006100"/>
      </font>
      <fill>
        <patternFill>
          <bgColor rgb="FFC6EFCE"/>
        </patternFill>
      </fill>
    </dxf>
    <dxf>
      <font>
        <color rgb="FFFFFFFF"/>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78340"/>
      <color rgb="FFE66A6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DC5203C1-9E03-46FF-9FC1-2A374CF49D9E}">
    <nsvFilter filterId="{495AAC21-514B-4C26-B839-E329FEB9AC02}" ref="A1:AK19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F6F0-810F-463F-985B-073457DDDBD2}">
  <dimension ref="A2:M12"/>
  <sheetViews>
    <sheetView topLeftCell="A2" workbookViewId="0">
      <selection activeCell="B12" sqref="B12"/>
    </sheetView>
  </sheetViews>
  <sheetFormatPr defaultColWidth="0" defaultRowHeight="15" zeroHeight="1"/>
  <cols>
    <col min="1" max="13" width="11.42578125" customWidth="1"/>
    <col min="14" max="16384" width="11.42578125" hidden="1"/>
  </cols>
  <sheetData>
    <row r="2" spans="2:12" ht="15.75" thickBot="1">
      <c r="B2" s="395" t="s">
        <v>0</v>
      </c>
      <c r="C2" s="396"/>
      <c r="D2" s="396"/>
      <c r="E2" s="396"/>
      <c r="F2" s="396"/>
      <c r="G2" s="396"/>
      <c r="H2" s="396"/>
      <c r="I2" s="396"/>
      <c r="J2" s="396"/>
      <c r="K2" s="396"/>
      <c r="L2" s="397"/>
    </row>
    <row r="3" spans="2:12">
      <c r="B3" s="63"/>
      <c r="C3" s="63"/>
      <c r="D3" s="63"/>
      <c r="E3" s="63"/>
      <c r="F3" s="63"/>
      <c r="G3" s="63"/>
      <c r="H3" s="63"/>
      <c r="I3" s="63"/>
      <c r="J3" s="63"/>
      <c r="K3" s="63"/>
      <c r="L3" s="63"/>
    </row>
    <row r="4" spans="2:12">
      <c r="B4" s="64" t="s">
        <v>1</v>
      </c>
      <c r="C4" s="63"/>
      <c r="D4" s="63"/>
      <c r="E4" s="63"/>
      <c r="F4" s="63"/>
      <c r="G4" s="63"/>
      <c r="H4" s="63"/>
      <c r="I4" s="63"/>
      <c r="J4" s="63"/>
      <c r="K4" s="63"/>
      <c r="L4" s="63"/>
    </row>
    <row r="5" spans="2:12">
      <c r="B5" s="63"/>
      <c r="C5" s="63"/>
      <c r="D5" s="63"/>
      <c r="E5" s="63"/>
      <c r="F5" s="63"/>
      <c r="G5" s="63"/>
      <c r="H5" s="63"/>
      <c r="I5" s="63"/>
      <c r="J5" s="63"/>
      <c r="K5" s="63"/>
      <c r="L5" s="63"/>
    </row>
    <row r="6" spans="2:12">
      <c r="B6" s="64" t="s">
        <v>2</v>
      </c>
      <c r="C6" s="63"/>
      <c r="D6" s="63"/>
      <c r="E6" s="63"/>
      <c r="F6" s="63"/>
      <c r="G6" s="63"/>
      <c r="H6" s="63"/>
      <c r="I6" s="63"/>
      <c r="J6" s="63"/>
      <c r="K6" s="63"/>
      <c r="L6" s="63"/>
    </row>
    <row r="7" spans="2:12">
      <c r="B7" s="63"/>
      <c r="C7" s="63"/>
      <c r="D7" s="63"/>
      <c r="E7" s="63"/>
      <c r="F7" s="63"/>
      <c r="G7" s="63"/>
      <c r="H7" s="63"/>
      <c r="I7" s="63"/>
      <c r="J7" s="63"/>
      <c r="K7" s="63"/>
      <c r="L7" s="63"/>
    </row>
    <row r="8" spans="2:12">
      <c r="B8" s="64" t="s">
        <v>3</v>
      </c>
      <c r="C8" s="63"/>
      <c r="D8" s="63"/>
      <c r="E8" s="63"/>
      <c r="F8" s="63"/>
      <c r="G8" s="63"/>
      <c r="H8" s="63"/>
      <c r="I8" s="63"/>
      <c r="J8" s="63"/>
      <c r="K8" s="63"/>
      <c r="L8" s="63"/>
    </row>
    <row r="9" spans="2:12">
      <c r="B9" s="63"/>
      <c r="C9" s="63"/>
      <c r="D9" s="63"/>
      <c r="E9" s="63"/>
      <c r="F9" s="63"/>
      <c r="G9" s="63"/>
      <c r="H9" s="63"/>
      <c r="I9" s="63"/>
      <c r="J9" s="63"/>
      <c r="K9" s="63"/>
      <c r="L9" s="63"/>
    </row>
    <row r="10" spans="2:12">
      <c r="B10" s="64" t="s">
        <v>4</v>
      </c>
      <c r="C10" s="63"/>
      <c r="D10" s="63"/>
      <c r="E10" s="63"/>
      <c r="F10" s="63"/>
      <c r="G10" s="63"/>
      <c r="H10" s="63"/>
      <c r="I10" s="63"/>
      <c r="J10" s="63"/>
      <c r="K10" s="63"/>
      <c r="L10" s="63"/>
    </row>
    <row r="11" spans="2:12">
      <c r="B11" s="63"/>
      <c r="C11" s="63"/>
      <c r="D11" s="63"/>
      <c r="E11" s="63"/>
      <c r="F11" s="63"/>
      <c r="G11" s="63"/>
      <c r="H11" s="63"/>
      <c r="I11" s="63"/>
      <c r="J11" s="63"/>
      <c r="K11" s="63"/>
      <c r="L11" s="63"/>
    </row>
    <row r="12" spans="2:12">
      <c r="B12" s="64" t="s">
        <v>5</v>
      </c>
      <c r="C12" s="63"/>
      <c r="D12" s="63"/>
      <c r="E12" s="63"/>
      <c r="F12" s="63"/>
      <c r="G12" s="63"/>
      <c r="H12" s="63"/>
      <c r="I12" s="63"/>
      <c r="J12" s="63"/>
      <c r="K12" s="63"/>
      <c r="L12" s="63"/>
    </row>
  </sheetData>
  <mergeCells count="1">
    <mergeCell ref="B2:L2"/>
  </mergeCells>
  <hyperlinks>
    <hyperlink ref="B4" location="CONTRATOS!A1" display="BASE CONTRATOS" xr:uid="{95DC327A-7F2C-4F41-8353-6FD1F492B65F}"/>
    <hyperlink ref="B6" location="PROCESOS!A1" display="BASE PROCESOS" xr:uid="{A31FB6DF-7C2E-4BD9-98E9-9E02A5712BB1}"/>
    <hyperlink ref="B8" location="'OTROSÍ CONV'!A1" display="BASE OTROSÍ CONVENIOS" xr:uid="{04A2A8DF-AA67-432C-98BD-AA35A2157BDD}"/>
    <hyperlink ref="B10" location="'OTROSÍ CTO'!A1" display="BASE OTROSÍ CONTRATOS" xr:uid="{286B4E76-BA2C-42DF-8754-86D593143BC5}"/>
    <hyperlink ref="B12" location="LIQUIDACIONES!A1" display="BASE LIQUIDACIONES" xr:uid="{0BB75A47-B1FC-432D-9DB8-04744538C44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5142-D157-4400-8B96-2BA456B028A2}">
  <dimension ref="A1"/>
  <sheetViews>
    <sheetView workbookViewId="0"/>
  </sheetViews>
  <sheetFormatPr defaultColWidth="9.140625" defaultRowHeig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3193-7280-4AE3-8926-12DD395DA687}">
  <dimension ref="A1"/>
  <sheetViews>
    <sheetView workbookViewId="0"/>
  </sheetViews>
  <sheetFormatPr defaultColWidth="9.1406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02EC-2136-42DA-9496-4474196BAC39}">
  <dimension ref="A1"/>
  <sheetViews>
    <sheetView workbookViewId="0">
      <selection activeCell="I23" sqref="I23"/>
    </sheetView>
  </sheetViews>
  <sheetFormatPr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1F0F-5D30-4D87-A0B7-3D5DFCAA59E3}">
  <dimension ref="A1:CT1019"/>
  <sheetViews>
    <sheetView tabSelected="1" workbookViewId="0">
      <pane xSplit="3" ySplit="1" topLeftCell="D25" activePane="bottomRight" state="frozen"/>
      <selection pane="bottomRight" activeCell="A26" sqref="A26"/>
      <selection pane="bottomLeft"/>
      <selection pane="topRight"/>
    </sheetView>
  </sheetViews>
  <sheetFormatPr defaultColWidth="11.42578125" defaultRowHeight="15"/>
  <cols>
    <col min="1" max="1" width="9.7109375" bestFit="1" customWidth="1"/>
    <col min="2" max="2" width="10.42578125" style="76" bestFit="1" customWidth="1"/>
    <col min="3" max="3" width="11.28515625" customWidth="1"/>
    <col min="4" max="4" width="17.140625" customWidth="1"/>
    <col min="5" max="5" width="26.5703125" customWidth="1"/>
    <col min="6" max="6" width="26.140625" customWidth="1"/>
    <col min="7" max="7" width="13" customWidth="1"/>
    <col min="8" max="8" width="15" style="79" customWidth="1"/>
    <col min="9" max="9" width="41.85546875" customWidth="1"/>
    <col min="10" max="10" width="20.42578125" customWidth="1"/>
    <col min="11" max="11" width="22.7109375" customWidth="1"/>
    <col min="12" max="12" width="35.140625" customWidth="1"/>
    <col min="13" max="13" width="18" customWidth="1"/>
    <col min="14" max="14" width="12.5703125" style="75" customWidth="1"/>
    <col min="15" max="15" width="19.85546875" customWidth="1"/>
    <col min="16" max="16" width="12" customWidth="1"/>
    <col min="17" max="17" width="20.42578125" customWidth="1"/>
    <col min="18" max="18" width="19.5703125" customWidth="1"/>
    <col min="19" max="19" width="17.140625" customWidth="1"/>
    <col min="20" max="20" width="29.5703125" customWidth="1"/>
    <col min="21" max="21" width="16" customWidth="1"/>
    <col min="22" max="22" width="20.42578125" customWidth="1"/>
    <col min="23" max="23" width="18.5703125" style="230" customWidth="1"/>
    <col min="24" max="24" width="14.7109375" customWidth="1"/>
    <col min="25" max="25" width="17.5703125" customWidth="1"/>
    <col min="26" max="26" width="19.28515625" customWidth="1"/>
    <col min="27" max="27" width="31.140625" customWidth="1"/>
    <col min="28" max="28" width="37.42578125" customWidth="1"/>
    <col min="29" max="29" width="19.42578125" customWidth="1"/>
    <col min="30" max="30" width="31.140625" customWidth="1"/>
    <col min="31" max="31" width="48.42578125" customWidth="1"/>
    <col min="32" max="32" width="39.140625" customWidth="1"/>
    <col min="33" max="33" width="21.7109375" customWidth="1"/>
    <col min="34" max="34" width="25.85546875" customWidth="1"/>
    <col min="35" max="35" width="96.7109375" style="66" customWidth="1"/>
    <col min="36" max="38" width="18.140625" customWidth="1"/>
    <col min="39" max="39" width="10" customWidth="1"/>
    <col min="40" max="40" width="18.140625" style="106" customWidth="1"/>
    <col min="41" max="41" width="9.42578125" style="88" customWidth="1"/>
    <col min="42" max="42" width="31.85546875" customWidth="1"/>
    <col min="43" max="43" width="21.7109375" customWidth="1"/>
    <col min="44" max="44" width="23.140625" customWidth="1"/>
    <col min="45" max="45" width="38.85546875" customWidth="1"/>
    <col min="46" max="46" width="22" customWidth="1"/>
    <col min="47" max="47" width="28.7109375" customWidth="1"/>
    <col min="48" max="48" width="19.140625" style="87" customWidth="1"/>
    <col min="49" max="49" width="23.140625" customWidth="1"/>
    <col min="50" max="50" width="20" customWidth="1"/>
    <col min="51" max="51" width="19.42578125" customWidth="1"/>
    <col min="52" max="52" width="11.28515625" customWidth="1"/>
    <col min="53" max="53" width="19.140625" customWidth="1"/>
    <col min="54" max="54" width="15.42578125" customWidth="1"/>
    <col min="55" max="55" width="24.7109375" style="99" customWidth="1"/>
    <col min="56" max="56" width="27.28515625" customWidth="1"/>
    <col min="57" max="57" width="20.85546875" customWidth="1"/>
    <col min="58" max="58" width="24.85546875" customWidth="1"/>
    <col min="59" max="59" width="25" customWidth="1"/>
    <col min="60" max="60" width="18.85546875" customWidth="1"/>
    <col min="61" max="61" width="17" customWidth="1"/>
    <col min="62" max="62" width="20.85546875" customWidth="1"/>
    <col min="63" max="63" width="19.7109375" customWidth="1"/>
    <col min="64" max="64" width="22.28515625" customWidth="1"/>
    <col min="65" max="65" width="21" customWidth="1"/>
    <col min="66" max="66" width="27.7109375" customWidth="1"/>
    <col min="67" max="67" width="25" customWidth="1"/>
    <col min="68" max="68" width="29.140625" customWidth="1"/>
    <col min="69" max="69" width="23.5703125" customWidth="1"/>
    <col min="70" max="70" width="19.42578125" customWidth="1"/>
    <col min="71" max="71" width="24.28515625" customWidth="1"/>
    <col min="72" max="72" width="22.7109375" customWidth="1"/>
    <col min="73" max="73" width="24.7109375" customWidth="1"/>
    <col min="74" max="74" width="25.42578125" customWidth="1"/>
    <col min="75" max="75" width="22.85546875" customWidth="1"/>
    <col min="76" max="76" width="25.7109375" customWidth="1"/>
    <col min="77" max="77" width="24" customWidth="1"/>
    <col min="78" max="78" width="21.7109375" customWidth="1"/>
    <col min="79" max="79" width="22.85546875" customWidth="1"/>
    <col min="80" max="80" width="16.5703125" customWidth="1"/>
    <col min="81" max="81" width="16.42578125" bestFit="1" customWidth="1"/>
    <col min="82" max="82" width="8.85546875" customWidth="1"/>
    <col min="83" max="83" width="19.85546875" customWidth="1"/>
    <col min="84" max="84" width="18.7109375" customWidth="1"/>
    <col min="85" max="85" width="24.7109375" customWidth="1"/>
    <col min="86" max="86" width="22.140625" customWidth="1"/>
    <col min="87" max="87" width="20.85546875" customWidth="1"/>
    <col min="88" max="88" width="22.28515625" customWidth="1"/>
    <col min="89" max="89" width="21.7109375" customWidth="1"/>
    <col min="90" max="90" width="22.7109375" customWidth="1"/>
    <col min="91" max="91" width="11.7109375" customWidth="1"/>
    <col min="92" max="92" width="26" customWidth="1"/>
    <col min="93" max="93" width="37.7109375" style="145" bestFit="1" customWidth="1"/>
    <col min="94" max="94" width="17.42578125" customWidth="1"/>
    <col min="95" max="96" width="20.42578125" style="83" bestFit="1" customWidth="1"/>
    <col min="97" max="16384" width="11.42578125" style="151"/>
  </cols>
  <sheetData>
    <row r="1" spans="1:96" s="152" customFormat="1" ht="78.75">
      <c r="A1" s="2" t="s">
        <v>6</v>
      </c>
      <c r="B1" s="2" t="s">
        <v>7</v>
      </c>
      <c r="C1" s="2" t="s">
        <v>8</v>
      </c>
      <c r="D1" s="2" t="s">
        <v>9</v>
      </c>
      <c r="E1" s="2" t="s">
        <v>10</v>
      </c>
      <c r="F1" s="2" t="s">
        <v>11</v>
      </c>
      <c r="G1" s="2" t="s">
        <v>12</v>
      </c>
      <c r="H1" s="55" t="s">
        <v>13</v>
      </c>
      <c r="I1" s="2" t="s">
        <v>14</v>
      </c>
      <c r="J1" s="2" t="s">
        <v>15</v>
      </c>
      <c r="K1" s="2" t="s">
        <v>16</v>
      </c>
      <c r="L1" s="2" t="s">
        <v>17</v>
      </c>
      <c r="M1" s="2" t="s">
        <v>18</v>
      </c>
      <c r="N1" s="2" t="s">
        <v>19</v>
      </c>
      <c r="O1" s="2" t="s">
        <v>20</v>
      </c>
      <c r="P1" s="2" t="s">
        <v>21</v>
      </c>
      <c r="Q1" s="2" t="s">
        <v>22</v>
      </c>
      <c r="R1" s="2" t="s">
        <v>23</v>
      </c>
      <c r="S1" s="2" t="s">
        <v>24</v>
      </c>
      <c r="T1" s="2" t="s">
        <v>25</v>
      </c>
      <c r="U1" s="2" t="s">
        <v>26</v>
      </c>
      <c r="V1" s="2" t="s">
        <v>27</v>
      </c>
      <c r="W1" s="238" t="s">
        <v>28</v>
      </c>
      <c r="X1" s="2" t="s">
        <v>29</v>
      </c>
      <c r="Y1" s="2" t="s">
        <v>30</v>
      </c>
      <c r="Z1" s="2" t="s">
        <v>31</v>
      </c>
      <c r="AA1" s="2" t="s">
        <v>32</v>
      </c>
      <c r="AB1" s="2" t="s">
        <v>33</v>
      </c>
      <c r="AC1" s="2" t="s">
        <v>34</v>
      </c>
      <c r="AD1" s="2" t="s">
        <v>35</v>
      </c>
      <c r="AE1" s="2" t="s">
        <v>36</v>
      </c>
      <c r="AF1" s="2" t="s">
        <v>37</v>
      </c>
      <c r="AG1" s="2" t="s">
        <v>38</v>
      </c>
      <c r="AH1" s="2" t="s">
        <v>39</v>
      </c>
      <c r="AI1" s="2" t="s">
        <v>40</v>
      </c>
      <c r="AJ1" s="2" t="s">
        <v>41</v>
      </c>
      <c r="AK1" s="2" t="s">
        <v>42</v>
      </c>
      <c r="AL1" s="2" t="s">
        <v>43</v>
      </c>
      <c r="AM1" s="2" t="s">
        <v>44</v>
      </c>
      <c r="AN1" s="2" t="s">
        <v>45</v>
      </c>
      <c r="AO1" s="2" t="s">
        <v>46</v>
      </c>
      <c r="AP1" s="2" t="s">
        <v>47</v>
      </c>
      <c r="AQ1" s="2" t="s">
        <v>48</v>
      </c>
      <c r="AR1" s="2" t="s">
        <v>49</v>
      </c>
      <c r="AS1" s="2" t="s">
        <v>50</v>
      </c>
      <c r="AT1" s="3" t="s">
        <v>51</v>
      </c>
      <c r="AU1" s="55" t="s">
        <v>52</v>
      </c>
      <c r="AV1" s="2" t="s">
        <v>53</v>
      </c>
      <c r="AW1" s="2" t="s">
        <v>54</v>
      </c>
      <c r="AX1" s="2" t="s">
        <v>55</v>
      </c>
      <c r="AY1" s="2" t="s">
        <v>56</v>
      </c>
      <c r="AZ1" s="2" t="s">
        <v>57</v>
      </c>
      <c r="BA1" s="2" t="s">
        <v>58</v>
      </c>
      <c r="BB1" s="2" t="s">
        <v>59</v>
      </c>
      <c r="BC1" s="98" t="s">
        <v>60</v>
      </c>
      <c r="BD1" s="2" t="s">
        <v>61</v>
      </c>
      <c r="BE1" s="2" t="s">
        <v>62</v>
      </c>
      <c r="BF1" s="2" t="s">
        <v>63</v>
      </c>
      <c r="BG1" s="2" t="s">
        <v>64</v>
      </c>
      <c r="BH1" s="2" t="s">
        <v>65</v>
      </c>
      <c r="BI1" s="2" t="s">
        <v>66</v>
      </c>
      <c r="BJ1" s="2" t="s">
        <v>67</v>
      </c>
      <c r="BK1" s="2" t="s">
        <v>68</v>
      </c>
      <c r="BL1" s="2" t="s">
        <v>69</v>
      </c>
      <c r="BM1" s="2" t="s">
        <v>70</v>
      </c>
      <c r="BN1" s="2" t="s">
        <v>71</v>
      </c>
      <c r="BO1" s="2" t="s">
        <v>72</v>
      </c>
      <c r="BP1" s="2" t="s">
        <v>73</v>
      </c>
      <c r="BQ1" s="2" t="s">
        <v>74</v>
      </c>
      <c r="BR1" s="2" t="s">
        <v>75</v>
      </c>
      <c r="BS1" s="2" t="s">
        <v>76</v>
      </c>
      <c r="BT1" s="2" t="s">
        <v>77</v>
      </c>
      <c r="BU1" s="2" t="s">
        <v>78</v>
      </c>
      <c r="BV1" s="2" t="s">
        <v>79</v>
      </c>
      <c r="BW1" s="2" t="s">
        <v>80</v>
      </c>
      <c r="BX1" s="2" t="s">
        <v>81</v>
      </c>
      <c r="BY1" s="2" t="s">
        <v>82</v>
      </c>
      <c r="BZ1" s="2" t="s">
        <v>83</v>
      </c>
      <c r="CA1" s="2" t="s">
        <v>84</v>
      </c>
      <c r="CB1" s="2" t="s">
        <v>85</v>
      </c>
      <c r="CC1" s="2" t="s">
        <v>86</v>
      </c>
      <c r="CD1" s="2" t="s">
        <v>87</v>
      </c>
      <c r="CE1" s="2" t="s">
        <v>88</v>
      </c>
      <c r="CF1" s="2" t="s">
        <v>89</v>
      </c>
      <c r="CG1" s="2" t="s">
        <v>90</v>
      </c>
      <c r="CH1" s="2" t="s">
        <v>91</v>
      </c>
      <c r="CI1" s="2" t="s">
        <v>92</v>
      </c>
      <c r="CJ1" s="2" t="s">
        <v>93</v>
      </c>
      <c r="CK1" s="2" t="s">
        <v>94</v>
      </c>
      <c r="CL1" s="2" t="s">
        <v>95</v>
      </c>
      <c r="CM1" s="2" t="s">
        <v>96</v>
      </c>
      <c r="CN1" s="81" t="s">
        <v>97</v>
      </c>
      <c r="CO1" s="144" t="s">
        <v>98</v>
      </c>
      <c r="CP1" s="2" t="s">
        <v>99</v>
      </c>
      <c r="CQ1" s="84" t="s">
        <v>100</v>
      </c>
      <c r="CR1" s="84" t="s">
        <v>101</v>
      </c>
    </row>
    <row r="2" spans="1:96" ht="24.75" customHeight="1">
      <c r="A2" s="48" t="s">
        <v>102</v>
      </c>
      <c r="B2" s="77" t="s">
        <v>103</v>
      </c>
      <c r="C2" s="17" t="s">
        <v>104</v>
      </c>
      <c r="D2" s="18" t="s">
        <v>105</v>
      </c>
      <c r="E2" s="17" t="s">
        <v>106</v>
      </c>
      <c r="F2" s="17" t="s">
        <v>107</v>
      </c>
      <c r="G2" s="17" t="s">
        <v>108</v>
      </c>
      <c r="H2" s="19">
        <v>52935588</v>
      </c>
      <c r="I2" s="74" t="s">
        <v>109</v>
      </c>
      <c r="J2" s="16"/>
      <c r="K2" s="16"/>
      <c r="L2" s="20" t="s">
        <v>110</v>
      </c>
      <c r="M2" s="16" t="s">
        <v>111</v>
      </c>
      <c r="N2" s="22">
        <v>45294</v>
      </c>
      <c r="O2" s="22">
        <v>45294</v>
      </c>
      <c r="P2" s="22">
        <v>45475</v>
      </c>
      <c r="Q2" s="23">
        <f t="shared" ref="Q2:Q33" si="0">P2-O2</f>
        <v>181</v>
      </c>
      <c r="R2" s="17" t="s">
        <v>112</v>
      </c>
      <c r="S2" s="16" t="s">
        <v>113</v>
      </c>
      <c r="T2" s="16" t="s">
        <v>114</v>
      </c>
      <c r="U2" s="67">
        <v>105619200</v>
      </c>
      <c r="V2" s="16" t="s">
        <v>115</v>
      </c>
      <c r="W2" s="224">
        <v>105619200</v>
      </c>
      <c r="X2" s="67">
        <v>8801600</v>
      </c>
      <c r="Y2" s="24"/>
      <c r="Z2" s="24"/>
      <c r="AA2" s="17" t="s">
        <v>116</v>
      </c>
      <c r="AB2" s="23" t="str">
        <f>IFERROR(VLOOKUP(AA2,Listas!$A$1:$C$14,2,FALSE),"")</f>
        <v>FREDY CÉSPEDES VILLA</v>
      </c>
      <c r="AC2" s="23">
        <f>IFERROR(VLOOKUP(AA2,Listas!$A$1:$C$14,3,FALSE),"")</f>
        <v>93363483</v>
      </c>
      <c r="AD2" s="17" t="s">
        <v>116</v>
      </c>
      <c r="AE2" s="17" t="s">
        <v>117</v>
      </c>
      <c r="AF2" s="23" t="str">
        <f>IFERROR(VLOOKUP(AE2,Listas!$AD$1:$AF$66,2,FALSE),"")</f>
        <v>DIANA BARRERA MEDINA</v>
      </c>
      <c r="AG2" s="23">
        <f>IFERROR(VLOOKUP(AE2,Listas!$AD$1:$AF$65,3,FALSE),"")</f>
        <v>52964360</v>
      </c>
      <c r="AH2" s="17" t="s">
        <v>118</v>
      </c>
      <c r="AI2" s="65"/>
      <c r="AJ2" s="25" t="s">
        <v>119</v>
      </c>
      <c r="AK2" s="26" t="s">
        <v>120</v>
      </c>
      <c r="AL2" s="26" t="s">
        <v>120</v>
      </c>
      <c r="AM2" s="90" t="s">
        <v>119</v>
      </c>
      <c r="AN2" s="105">
        <v>30552</v>
      </c>
      <c r="AO2" s="91">
        <f t="shared" ref="AO2:AO33" ca="1" si="1">IF(YEAR(TODAY())-YEAR(AN2)&gt;100," ",YEAR(TODAY())-YEAR(AN2))</f>
        <v>42</v>
      </c>
      <c r="AP2" s="26" t="s">
        <v>121</v>
      </c>
      <c r="AQ2" s="26" t="s">
        <v>122</v>
      </c>
      <c r="AR2" s="89"/>
      <c r="AS2" s="27"/>
      <c r="AT2" s="16"/>
      <c r="AU2" s="27"/>
      <c r="AV2" s="86"/>
      <c r="AW2" s="27"/>
      <c r="AX2" s="27"/>
      <c r="AY2" s="27"/>
      <c r="AZ2" s="27"/>
      <c r="BA2" s="27"/>
      <c r="BB2" s="27"/>
      <c r="BC2" s="97"/>
      <c r="BD2" s="27"/>
      <c r="BE2" s="16"/>
      <c r="BF2" s="28">
        <f t="shared" ref="BF2:BF33" si="2">BC2+BE2</f>
        <v>0</v>
      </c>
      <c r="BG2" s="29"/>
      <c r="BH2" s="27"/>
      <c r="BI2" s="31">
        <f t="shared" ref="BI2:BI33" si="3">BF2+Q2</f>
        <v>181</v>
      </c>
      <c r="BJ2" s="31">
        <f t="shared" ref="BJ2:BJ33" si="4">IF(BH2="",P2+BF2,BH2)</f>
        <v>45475</v>
      </c>
      <c r="BK2" s="27"/>
      <c r="BL2" s="16"/>
      <c r="BM2" s="27"/>
      <c r="BN2" s="16"/>
      <c r="BO2" s="27"/>
      <c r="BP2" s="16"/>
      <c r="BQ2" s="27"/>
      <c r="BR2" s="24"/>
      <c r="BS2" s="24"/>
      <c r="BT2" s="32"/>
      <c r="BU2" s="27"/>
      <c r="BV2" s="24"/>
      <c r="BW2" s="24"/>
      <c r="BX2" s="16"/>
      <c r="BY2" s="27"/>
      <c r="BZ2" s="24"/>
      <c r="CA2" s="24"/>
      <c r="CB2" s="16"/>
      <c r="CC2" s="49">
        <f t="shared" ref="CC2:CC33" si="5">BR2+BV2+BZ2</f>
        <v>0</v>
      </c>
      <c r="CD2" s="24"/>
      <c r="CE2" s="49">
        <f t="shared" ref="CE2:CE33" si="6">IF(Y2=0,(W2+CC2)-CD2,IF(Y2&gt;0,(Y2+CC2)-CD2))</f>
        <v>105619200</v>
      </c>
      <c r="CF2" s="50"/>
      <c r="CG2" s="49">
        <f t="shared" ref="CG2:CG33" ca="1" si="7">IFERROR(IF(((CE2/BI2)*(TODAY()-N2))&gt;CE2,CE2,((CE2/BI2)*(TODAY()-N2))),"")</f>
        <v>105619200</v>
      </c>
      <c r="CH2" s="33">
        <f t="shared" ref="CH2:CH33" ca="1" si="8">IF(TODAY()&gt;BJ2,1,+(DAYS360(O2,TODAY())/DAYS360(O2,BJ2)))</f>
        <v>1</v>
      </c>
      <c r="CI2" s="33">
        <f t="shared" ref="CI2:CI33" ca="1" si="9">+IF(CL2&gt;0,DAYS360(O2,CL2)/DAYS360(O2,BJ2),CH2)</f>
        <v>1</v>
      </c>
      <c r="CJ2" s="36">
        <f t="shared" ref="CJ2:CJ33" ca="1" si="10">IFERROR(IF(((CG2/CE2)*100)&gt;100,100,((CG2/CE2)*100)),"")</f>
        <v>100</v>
      </c>
      <c r="CK2" s="34">
        <f>IFERROR((CF2/CE2)*100,"")</f>
        <v>0</v>
      </c>
      <c r="CL2" s="21"/>
      <c r="CM2" s="35" t="str">
        <f t="shared" ref="CM2:CM33" ca="1" si="11">IF(CL2&gt;1/1/6,"LIQUIDADO",IF(BJ2=0,"",IF(BJ2&gt;=TODAY(),"VIGENTE",IF(BJ2&lt;TODAY(),"TERMINADO",))))</f>
        <v>TERMINADO</v>
      </c>
      <c r="CN2" s="82"/>
      <c r="CP2" s="26" t="s">
        <v>123</v>
      </c>
    </row>
    <row r="3" spans="1:96" ht="24.75" customHeight="1">
      <c r="A3" s="48" t="s">
        <v>124</v>
      </c>
      <c r="B3" s="77" t="s">
        <v>125</v>
      </c>
      <c r="C3" s="17" t="s">
        <v>104</v>
      </c>
      <c r="D3" s="18" t="s">
        <v>126</v>
      </c>
      <c r="E3" s="17" t="s">
        <v>106</v>
      </c>
      <c r="F3" s="17" t="s">
        <v>107</v>
      </c>
      <c r="G3" s="17" t="s">
        <v>108</v>
      </c>
      <c r="H3" s="19">
        <v>1031129528</v>
      </c>
      <c r="I3" s="74" t="s">
        <v>127</v>
      </c>
      <c r="J3" s="16"/>
      <c r="K3" s="16"/>
      <c r="L3" s="20" t="s">
        <v>128</v>
      </c>
      <c r="M3" s="16" t="s">
        <v>111</v>
      </c>
      <c r="N3" s="22">
        <v>45294</v>
      </c>
      <c r="O3" s="22">
        <v>45295</v>
      </c>
      <c r="P3" s="22">
        <v>45656</v>
      </c>
      <c r="Q3" s="23">
        <f t="shared" si="0"/>
        <v>361</v>
      </c>
      <c r="R3" s="17" t="s">
        <v>112</v>
      </c>
      <c r="S3" s="16" t="s">
        <v>129</v>
      </c>
      <c r="T3" s="16" t="s">
        <v>114</v>
      </c>
      <c r="U3" s="67">
        <v>136518928</v>
      </c>
      <c r="V3" s="16" t="s">
        <v>115</v>
      </c>
      <c r="W3" s="224">
        <v>136518928</v>
      </c>
      <c r="X3" s="67">
        <v>11376578</v>
      </c>
      <c r="Y3" s="24"/>
      <c r="Z3" s="24"/>
      <c r="AA3" s="17" t="s">
        <v>116</v>
      </c>
      <c r="AB3" s="23" t="str">
        <f>IFERROR(VLOOKUP(AA3,Listas!$A$1:$C$14,2,FALSE),"")</f>
        <v>FREDY CÉSPEDES VILLA</v>
      </c>
      <c r="AC3" s="23">
        <f>IFERROR(VLOOKUP(AA3,Listas!$A$1:$C$14,3,FALSE),"")</f>
        <v>93363483</v>
      </c>
      <c r="AD3" s="17" t="s">
        <v>116</v>
      </c>
      <c r="AE3" s="17" t="s">
        <v>117</v>
      </c>
      <c r="AF3" s="23" t="str">
        <f>IFERROR(VLOOKUP(AE3,Listas!$AD$1:$AF$66,2,FALSE),"")</f>
        <v>DIANA BARRERA MEDINA</v>
      </c>
      <c r="AG3" s="23">
        <f>IFERROR(VLOOKUP(AE3,Listas!$AD$1:$AF$65,3,FALSE),"")</f>
        <v>52964360</v>
      </c>
      <c r="AH3" s="17" t="s">
        <v>118</v>
      </c>
      <c r="AI3" s="65"/>
      <c r="AJ3" s="25" t="s">
        <v>119</v>
      </c>
      <c r="AK3" s="26" t="s">
        <v>120</v>
      </c>
      <c r="AL3" s="26" t="s">
        <v>120</v>
      </c>
      <c r="AM3" s="90" t="s">
        <v>119</v>
      </c>
      <c r="AN3" s="105">
        <v>33143</v>
      </c>
      <c r="AO3" s="91">
        <f t="shared" ca="1" si="1"/>
        <v>35</v>
      </c>
      <c r="AP3" s="26" t="s">
        <v>121</v>
      </c>
      <c r="AQ3" s="26" t="s">
        <v>122</v>
      </c>
      <c r="AR3" s="89"/>
      <c r="AS3" s="27"/>
      <c r="AT3" s="16"/>
      <c r="AU3" s="27"/>
      <c r="AV3" s="86"/>
      <c r="AW3" s="27"/>
      <c r="AX3" s="27"/>
      <c r="AY3" s="27"/>
      <c r="AZ3" s="27"/>
      <c r="BA3" s="27"/>
      <c r="BB3" s="27"/>
      <c r="BC3" s="97"/>
      <c r="BD3" s="27"/>
      <c r="BE3" s="16"/>
      <c r="BF3" s="28">
        <f t="shared" si="2"/>
        <v>0</v>
      </c>
      <c r="BG3" s="29"/>
      <c r="BH3" s="27"/>
      <c r="BI3" s="31">
        <f t="shared" si="3"/>
        <v>361</v>
      </c>
      <c r="BJ3" s="31">
        <f t="shared" si="4"/>
        <v>45656</v>
      </c>
      <c r="BK3" s="27"/>
      <c r="BL3" s="16"/>
      <c r="BM3" s="27"/>
      <c r="BN3" s="16"/>
      <c r="BO3" s="27"/>
      <c r="BP3" s="16"/>
      <c r="BQ3" s="27"/>
      <c r="BR3" s="24"/>
      <c r="BS3" s="24"/>
      <c r="BT3" s="32"/>
      <c r="BU3" s="27"/>
      <c r="BV3" s="24"/>
      <c r="BW3" s="24"/>
      <c r="BX3" s="16"/>
      <c r="BY3" s="27"/>
      <c r="BZ3" s="24"/>
      <c r="CA3" s="24"/>
      <c r="CB3" s="16"/>
      <c r="CC3" s="49">
        <f t="shared" si="5"/>
        <v>0</v>
      </c>
      <c r="CD3" s="24"/>
      <c r="CE3" s="49">
        <f t="shared" si="6"/>
        <v>136518928</v>
      </c>
      <c r="CF3" s="50"/>
      <c r="CG3" s="49">
        <f t="shared" ca="1" si="7"/>
        <v>136518928</v>
      </c>
      <c r="CH3" s="33">
        <f t="shared" ca="1" si="8"/>
        <v>1</v>
      </c>
      <c r="CI3" s="33">
        <f t="shared" ca="1" si="9"/>
        <v>1</v>
      </c>
      <c r="CJ3" s="36">
        <f t="shared" ca="1" si="10"/>
        <v>100</v>
      </c>
      <c r="CK3" s="34">
        <f t="shared" ref="CK3:CK8" si="12">IFERROR((CF3/CE3)*100,"")</f>
        <v>0</v>
      </c>
      <c r="CL3" s="21"/>
      <c r="CM3" s="35" t="str">
        <f t="shared" ca="1" si="11"/>
        <v>TERMINADO</v>
      </c>
      <c r="CN3" s="82"/>
      <c r="CP3" s="26" t="s">
        <v>123</v>
      </c>
    </row>
    <row r="4" spans="1:96" ht="24.75" customHeight="1">
      <c r="A4" s="48" t="s">
        <v>130</v>
      </c>
      <c r="B4" s="77" t="s">
        <v>131</v>
      </c>
      <c r="C4" s="17" t="s">
        <v>104</v>
      </c>
      <c r="D4" s="18" t="s">
        <v>132</v>
      </c>
      <c r="E4" s="17" t="s">
        <v>106</v>
      </c>
      <c r="F4" s="17" t="s">
        <v>107</v>
      </c>
      <c r="G4" s="17" t="s">
        <v>108</v>
      </c>
      <c r="H4" s="78">
        <v>1090501792</v>
      </c>
      <c r="I4" s="74" t="s">
        <v>133</v>
      </c>
      <c r="J4" s="16"/>
      <c r="K4" s="16"/>
      <c r="L4" s="20" t="s">
        <v>134</v>
      </c>
      <c r="M4" s="16" t="s">
        <v>111</v>
      </c>
      <c r="N4" s="22">
        <v>45294</v>
      </c>
      <c r="O4" s="22">
        <v>45294</v>
      </c>
      <c r="P4" s="22">
        <v>45656</v>
      </c>
      <c r="Q4" s="23">
        <f t="shared" si="0"/>
        <v>362</v>
      </c>
      <c r="R4" s="17" t="s">
        <v>112</v>
      </c>
      <c r="S4" s="16" t="s">
        <v>135</v>
      </c>
      <c r="T4" s="16" t="s">
        <v>114</v>
      </c>
      <c r="U4" s="67">
        <v>117702036</v>
      </c>
      <c r="V4" s="16" t="s">
        <v>115</v>
      </c>
      <c r="W4" s="224">
        <v>117702036</v>
      </c>
      <c r="X4" s="67">
        <v>9808503</v>
      </c>
      <c r="Y4" s="24"/>
      <c r="Z4" s="24"/>
      <c r="AA4" s="17" t="s">
        <v>116</v>
      </c>
      <c r="AB4" s="23" t="str">
        <f>IFERROR(VLOOKUP(AA4,Listas!$A$1:$C$14,2,FALSE),"")</f>
        <v>FREDY CÉSPEDES VILLA</v>
      </c>
      <c r="AC4" s="23">
        <f>IFERROR(VLOOKUP(AA4,Listas!$A$1:$C$14,3,FALSE),"")</f>
        <v>93363483</v>
      </c>
      <c r="AD4" s="17" t="s">
        <v>116</v>
      </c>
      <c r="AE4" s="17" t="s">
        <v>117</v>
      </c>
      <c r="AF4" s="23" t="str">
        <f>IFERROR(VLOOKUP(AE4,Listas!$AD$1:$AF$66,2,FALSE),"")</f>
        <v>DIANA BARRERA MEDINA</v>
      </c>
      <c r="AG4" s="23">
        <f>IFERROR(VLOOKUP(AE4,Listas!$AD$1:$AF$65,3,FALSE),"")</f>
        <v>52964360</v>
      </c>
      <c r="AH4" s="17" t="s">
        <v>118</v>
      </c>
      <c r="AI4" s="65"/>
      <c r="AJ4" s="25" t="s">
        <v>119</v>
      </c>
      <c r="AK4" s="26" t="s">
        <v>120</v>
      </c>
      <c r="AL4" s="26" t="s">
        <v>120</v>
      </c>
      <c r="AM4" s="90" t="s">
        <v>119</v>
      </c>
      <c r="AN4" s="105">
        <v>35377</v>
      </c>
      <c r="AO4" s="91">
        <f t="shared" ca="1" si="1"/>
        <v>29</v>
      </c>
      <c r="AP4" s="26" t="s">
        <v>121</v>
      </c>
      <c r="AQ4" s="26" t="s">
        <v>122</v>
      </c>
      <c r="AR4" s="89"/>
      <c r="AS4" s="27"/>
      <c r="AT4" s="16"/>
      <c r="AU4" s="27"/>
      <c r="AV4" s="86"/>
      <c r="AW4" s="27"/>
      <c r="AX4" s="27"/>
      <c r="AY4" s="27"/>
      <c r="AZ4" s="27"/>
      <c r="BA4" s="27"/>
      <c r="BB4" s="27"/>
      <c r="BC4" s="97"/>
      <c r="BD4" s="27"/>
      <c r="BE4" s="16"/>
      <c r="BF4" s="28">
        <f t="shared" si="2"/>
        <v>0</v>
      </c>
      <c r="BG4" s="29"/>
      <c r="BH4" s="27"/>
      <c r="BI4" s="31">
        <f t="shared" si="3"/>
        <v>362</v>
      </c>
      <c r="BJ4" s="31">
        <f t="shared" si="4"/>
        <v>45656</v>
      </c>
      <c r="BK4" s="27"/>
      <c r="BL4" s="16"/>
      <c r="BM4" s="27"/>
      <c r="BN4" s="16"/>
      <c r="BO4" s="27"/>
      <c r="BP4" s="16"/>
      <c r="BQ4" s="27"/>
      <c r="BR4" s="24"/>
      <c r="BS4" s="24"/>
      <c r="BT4" s="32"/>
      <c r="BU4" s="27"/>
      <c r="BV4" s="24"/>
      <c r="BW4" s="24"/>
      <c r="BX4" s="16"/>
      <c r="BY4" s="27"/>
      <c r="BZ4" s="24"/>
      <c r="CA4" s="24"/>
      <c r="CB4" s="16"/>
      <c r="CC4" s="49">
        <f t="shared" si="5"/>
        <v>0</v>
      </c>
      <c r="CD4" s="24"/>
      <c r="CE4" s="49">
        <f t="shared" si="6"/>
        <v>117702036</v>
      </c>
      <c r="CF4" s="50"/>
      <c r="CG4" s="49">
        <f t="shared" ca="1" si="7"/>
        <v>117702036</v>
      </c>
      <c r="CH4" s="33">
        <f t="shared" ca="1" si="8"/>
        <v>1</v>
      </c>
      <c r="CI4" s="33">
        <f t="shared" ca="1" si="9"/>
        <v>1</v>
      </c>
      <c r="CJ4" s="36">
        <f t="shared" ca="1" si="10"/>
        <v>100</v>
      </c>
      <c r="CK4" s="34">
        <f t="shared" si="12"/>
        <v>0</v>
      </c>
      <c r="CL4" s="21"/>
      <c r="CM4" s="35" t="str">
        <f t="shared" ca="1" si="11"/>
        <v>TERMINADO</v>
      </c>
      <c r="CN4" s="82"/>
      <c r="CP4" s="26" t="s">
        <v>123</v>
      </c>
    </row>
    <row r="5" spans="1:96" ht="24.75" customHeight="1">
      <c r="A5" s="48" t="s">
        <v>136</v>
      </c>
      <c r="B5" s="77" t="s">
        <v>137</v>
      </c>
      <c r="C5" s="17" t="s">
        <v>104</v>
      </c>
      <c r="D5" s="18" t="s">
        <v>138</v>
      </c>
      <c r="E5" s="17" t="s">
        <v>106</v>
      </c>
      <c r="F5" s="17" t="s">
        <v>107</v>
      </c>
      <c r="G5" s="17" t="s">
        <v>108</v>
      </c>
      <c r="H5" s="19">
        <v>1026294532</v>
      </c>
      <c r="I5" s="74" t="s">
        <v>139</v>
      </c>
      <c r="J5" s="16"/>
      <c r="K5" s="16"/>
      <c r="L5" s="20" t="s">
        <v>140</v>
      </c>
      <c r="M5" s="16" t="s">
        <v>111</v>
      </c>
      <c r="N5" s="22">
        <v>45294</v>
      </c>
      <c r="O5" s="22">
        <v>45295</v>
      </c>
      <c r="P5" s="22">
        <v>45656</v>
      </c>
      <c r="Q5" s="23">
        <f t="shared" si="0"/>
        <v>361</v>
      </c>
      <c r="R5" s="17" t="s">
        <v>112</v>
      </c>
      <c r="S5" s="16" t="s">
        <v>141</v>
      </c>
      <c r="T5" s="16" t="s">
        <v>114</v>
      </c>
      <c r="U5" s="67">
        <v>69144665</v>
      </c>
      <c r="V5" s="16" t="s">
        <v>115</v>
      </c>
      <c r="W5" s="224">
        <v>69144665</v>
      </c>
      <c r="X5" s="67">
        <v>5762055</v>
      </c>
      <c r="Y5" s="24"/>
      <c r="Z5" s="24"/>
      <c r="AA5" s="17" t="s">
        <v>116</v>
      </c>
      <c r="AB5" s="23" t="str">
        <f>IFERROR(VLOOKUP(AA5,Listas!$A$1:$C$14,2,FALSE),"")</f>
        <v>FREDY CÉSPEDES VILLA</v>
      </c>
      <c r="AC5" s="23">
        <f>IFERROR(VLOOKUP(AA5,Listas!$A$1:$C$14,3,FALSE),"")</f>
        <v>93363483</v>
      </c>
      <c r="AD5" s="17" t="s">
        <v>116</v>
      </c>
      <c r="AE5" s="17" t="s">
        <v>117</v>
      </c>
      <c r="AF5" s="23" t="str">
        <f>IFERROR(VLOOKUP(AE5,Listas!$AD$1:$AF$66,2,FALSE),"")</f>
        <v>DIANA BARRERA MEDINA</v>
      </c>
      <c r="AG5" s="23">
        <f>IFERROR(VLOOKUP(AE5,Listas!$AD$1:$AF$65,3,FALSE),"")</f>
        <v>52964360</v>
      </c>
      <c r="AH5" s="17" t="s">
        <v>118</v>
      </c>
      <c r="AI5" s="65"/>
      <c r="AJ5" s="25" t="s">
        <v>119</v>
      </c>
      <c r="AK5" s="26" t="s">
        <v>120</v>
      </c>
      <c r="AL5" s="26" t="s">
        <v>120</v>
      </c>
      <c r="AM5" s="90" t="s">
        <v>119</v>
      </c>
      <c r="AN5" s="105">
        <v>35135</v>
      </c>
      <c r="AO5" s="91">
        <f t="shared" ca="1" si="1"/>
        <v>29</v>
      </c>
      <c r="AP5" s="26" t="s">
        <v>121</v>
      </c>
      <c r="AQ5" s="26" t="s">
        <v>122</v>
      </c>
      <c r="AR5" s="89"/>
      <c r="AS5" s="27"/>
      <c r="AT5" s="16"/>
      <c r="AU5" s="27"/>
      <c r="AV5" s="86"/>
      <c r="AW5" s="27"/>
      <c r="AX5" s="27"/>
      <c r="AY5" s="27"/>
      <c r="AZ5" s="27"/>
      <c r="BA5" s="27"/>
      <c r="BB5" s="27"/>
      <c r="BC5" s="97"/>
      <c r="BD5" s="27"/>
      <c r="BE5" s="16"/>
      <c r="BF5" s="28">
        <f t="shared" si="2"/>
        <v>0</v>
      </c>
      <c r="BG5" s="29"/>
      <c r="BH5" s="27"/>
      <c r="BI5" s="31">
        <f t="shared" si="3"/>
        <v>361</v>
      </c>
      <c r="BJ5" s="31">
        <f t="shared" si="4"/>
        <v>45656</v>
      </c>
      <c r="BK5" s="27"/>
      <c r="BL5" s="16"/>
      <c r="BM5" s="27"/>
      <c r="BN5" s="16"/>
      <c r="BO5" s="27"/>
      <c r="BP5" s="16"/>
      <c r="BQ5" s="27"/>
      <c r="BR5" s="24"/>
      <c r="BS5" s="24"/>
      <c r="BT5" s="32"/>
      <c r="BU5" s="27"/>
      <c r="BV5" s="24"/>
      <c r="BW5" s="24"/>
      <c r="BX5" s="16"/>
      <c r="BY5" s="27"/>
      <c r="BZ5" s="24"/>
      <c r="CA5" s="24"/>
      <c r="CB5" s="16"/>
      <c r="CC5" s="49">
        <f t="shared" si="5"/>
        <v>0</v>
      </c>
      <c r="CD5" s="24"/>
      <c r="CE5" s="49">
        <f t="shared" si="6"/>
        <v>69144665</v>
      </c>
      <c r="CF5" s="50"/>
      <c r="CG5" s="49">
        <f t="shared" ca="1" si="7"/>
        <v>69144665</v>
      </c>
      <c r="CH5" s="33">
        <f t="shared" ca="1" si="8"/>
        <v>1</v>
      </c>
      <c r="CI5" s="33">
        <f t="shared" ca="1" si="9"/>
        <v>1</v>
      </c>
      <c r="CJ5" s="36">
        <f t="shared" ca="1" si="10"/>
        <v>100</v>
      </c>
      <c r="CK5" s="34">
        <f t="shared" si="12"/>
        <v>0</v>
      </c>
      <c r="CL5" s="21"/>
      <c r="CM5" s="35" t="str">
        <f t="shared" ca="1" si="11"/>
        <v>TERMINADO</v>
      </c>
      <c r="CN5" s="82"/>
      <c r="CP5" s="26" t="s">
        <v>142</v>
      </c>
    </row>
    <row r="6" spans="1:96" ht="24.75" customHeight="1">
      <c r="A6" s="48" t="s">
        <v>143</v>
      </c>
      <c r="B6" s="77" t="s">
        <v>144</v>
      </c>
      <c r="C6" s="17" t="s">
        <v>104</v>
      </c>
      <c r="D6" s="18" t="s">
        <v>145</v>
      </c>
      <c r="E6" s="17" t="s">
        <v>106</v>
      </c>
      <c r="F6" s="17" t="s">
        <v>107</v>
      </c>
      <c r="G6" s="17" t="s">
        <v>108</v>
      </c>
      <c r="H6" s="19">
        <v>1094927338</v>
      </c>
      <c r="I6" s="74" t="s">
        <v>146</v>
      </c>
      <c r="J6" s="16"/>
      <c r="K6" s="16"/>
      <c r="L6" s="20" t="s">
        <v>147</v>
      </c>
      <c r="M6" s="16" t="s">
        <v>111</v>
      </c>
      <c r="N6" s="22">
        <v>45294</v>
      </c>
      <c r="O6" s="22">
        <v>45294</v>
      </c>
      <c r="P6" s="22">
        <v>45656</v>
      </c>
      <c r="Q6" s="23">
        <f t="shared" si="0"/>
        <v>362</v>
      </c>
      <c r="R6" s="17" t="s">
        <v>112</v>
      </c>
      <c r="S6" s="16" t="s">
        <v>148</v>
      </c>
      <c r="T6" s="16" t="s">
        <v>114</v>
      </c>
      <c r="U6" s="67">
        <v>102790731</v>
      </c>
      <c r="V6" s="16" t="s">
        <v>115</v>
      </c>
      <c r="W6" s="224">
        <v>102790731</v>
      </c>
      <c r="X6" s="67">
        <v>8565894</v>
      </c>
      <c r="Y6" s="24"/>
      <c r="Z6" s="24"/>
      <c r="AA6" s="17" t="s">
        <v>116</v>
      </c>
      <c r="AB6" s="23" t="str">
        <f>IFERROR(VLOOKUP(AA6,Listas!$A$1:$C$14,2,FALSE),"")</f>
        <v>FREDY CÉSPEDES VILLA</v>
      </c>
      <c r="AC6" s="23">
        <f>IFERROR(VLOOKUP(AA6,Listas!$A$1:$C$14,3,FALSE),"")</f>
        <v>93363483</v>
      </c>
      <c r="AD6" s="17" t="s">
        <v>116</v>
      </c>
      <c r="AE6" s="17" t="s">
        <v>117</v>
      </c>
      <c r="AF6" s="23" t="str">
        <f>IFERROR(VLOOKUP(AE6,Listas!$AD$1:$AF$66,2,FALSE),"")</f>
        <v>DIANA BARRERA MEDINA</v>
      </c>
      <c r="AG6" s="23">
        <f>IFERROR(VLOOKUP(AE6,Listas!$AD$1:$AF$65,3,FALSE),"")</f>
        <v>52964360</v>
      </c>
      <c r="AH6" s="17" t="s">
        <v>118</v>
      </c>
      <c r="AI6" s="65"/>
      <c r="AJ6" s="25" t="s">
        <v>119</v>
      </c>
      <c r="AK6" s="26" t="s">
        <v>120</v>
      </c>
      <c r="AL6" s="26" t="s">
        <v>120</v>
      </c>
      <c r="AM6" s="90" t="s">
        <v>119</v>
      </c>
      <c r="AN6" s="105">
        <v>33732</v>
      </c>
      <c r="AO6" s="91">
        <f t="shared" ca="1" si="1"/>
        <v>33</v>
      </c>
      <c r="AP6" s="26" t="s">
        <v>121</v>
      </c>
      <c r="AQ6" s="26" t="s">
        <v>122</v>
      </c>
      <c r="AR6" s="89"/>
      <c r="AS6" s="27"/>
      <c r="AT6" s="16"/>
      <c r="AU6" s="27"/>
      <c r="AV6" s="86"/>
      <c r="AW6" s="27"/>
      <c r="AX6" s="27"/>
      <c r="AY6" s="27"/>
      <c r="AZ6" s="27"/>
      <c r="BA6" s="27"/>
      <c r="BB6" s="27"/>
      <c r="BC6" s="97"/>
      <c r="BD6" s="27"/>
      <c r="BE6" s="16"/>
      <c r="BF6" s="28">
        <f t="shared" si="2"/>
        <v>0</v>
      </c>
      <c r="BG6" s="29"/>
      <c r="BH6" s="27"/>
      <c r="BI6" s="31">
        <f t="shared" si="3"/>
        <v>362</v>
      </c>
      <c r="BJ6" s="31">
        <f t="shared" si="4"/>
        <v>45656</v>
      </c>
      <c r="BK6" s="27"/>
      <c r="BL6" s="16"/>
      <c r="BM6" s="27"/>
      <c r="BN6" s="16"/>
      <c r="BO6" s="27"/>
      <c r="BP6" s="16"/>
      <c r="BQ6" s="27"/>
      <c r="BR6" s="24"/>
      <c r="BS6" s="24"/>
      <c r="BT6" s="32"/>
      <c r="BU6" s="27"/>
      <c r="BV6" s="24"/>
      <c r="BW6" s="24"/>
      <c r="BX6" s="16"/>
      <c r="BY6" s="27"/>
      <c r="BZ6" s="24"/>
      <c r="CA6" s="24"/>
      <c r="CB6" s="16"/>
      <c r="CC6" s="49">
        <f t="shared" si="5"/>
        <v>0</v>
      </c>
      <c r="CD6" s="24"/>
      <c r="CE6" s="49">
        <f t="shared" si="6"/>
        <v>102790731</v>
      </c>
      <c r="CF6" s="50"/>
      <c r="CG6" s="49">
        <f t="shared" ca="1" si="7"/>
        <v>102790731</v>
      </c>
      <c r="CH6" s="33">
        <f t="shared" ca="1" si="8"/>
        <v>1</v>
      </c>
      <c r="CI6" s="33">
        <f t="shared" ca="1" si="9"/>
        <v>1</v>
      </c>
      <c r="CJ6" s="36">
        <f t="shared" ca="1" si="10"/>
        <v>100</v>
      </c>
      <c r="CK6" s="34">
        <f t="shared" si="12"/>
        <v>0</v>
      </c>
      <c r="CL6" s="21"/>
      <c r="CM6" s="35" t="str">
        <f t="shared" ca="1" si="11"/>
        <v>TERMINADO</v>
      </c>
      <c r="CN6" s="82"/>
      <c r="CP6" s="26" t="s">
        <v>123</v>
      </c>
    </row>
    <row r="7" spans="1:96" ht="24.75" customHeight="1">
      <c r="A7" s="48" t="s">
        <v>149</v>
      </c>
      <c r="B7" s="77" t="s">
        <v>150</v>
      </c>
      <c r="C7" s="17" t="s">
        <v>104</v>
      </c>
      <c r="D7" s="18" t="s">
        <v>151</v>
      </c>
      <c r="E7" s="17" t="s">
        <v>106</v>
      </c>
      <c r="F7" s="17" t="s">
        <v>107</v>
      </c>
      <c r="G7" s="17" t="s">
        <v>108</v>
      </c>
      <c r="H7" s="19">
        <v>1026288361</v>
      </c>
      <c r="I7" s="74" t="s">
        <v>152</v>
      </c>
      <c r="J7" s="206"/>
      <c r="K7" s="16"/>
      <c r="L7" s="20" t="s">
        <v>153</v>
      </c>
      <c r="M7" s="16" t="s">
        <v>111</v>
      </c>
      <c r="N7" s="22">
        <v>45294</v>
      </c>
      <c r="O7" s="22">
        <v>45295</v>
      </c>
      <c r="P7" s="22">
        <v>45656</v>
      </c>
      <c r="Q7" s="23">
        <f t="shared" si="0"/>
        <v>361</v>
      </c>
      <c r="R7" s="17" t="s">
        <v>112</v>
      </c>
      <c r="S7" s="16" t="s">
        <v>154</v>
      </c>
      <c r="T7" s="16" t="s">
        <v>114</v>
      </c>
      <c r="U7" s="67">
        <v>102790731</v>
      </c>
      <c r="V7" s="16" t="s">
        <v>115</v>
      </c>
      <c r="W7" s="224">
        <v>102790731</v>
      </c>
      <c r="X7" s="67">
        <v>8565894</v>
      </c>
      <c r="Y7" s="24"/>
      <c r="Z7" s="24"/>
      <c r="AA7" s="17" t="s">
        <v>116</v>
      </c>
      <c r="AB7" s="23" t="str">
        <f>IFERROR(VLOOKUP(AA7,Listas!$A$1:$C$14,2,FALSE),"")</f>
        <v>FREDY CÉSPEDES VILLA</v>
      </c>
      <c r="AC7" s="23">
        <f>IFERROR(VLOOKUP(AA7,Listas!$A$1:$C$14,3,FALSE),"")</f>
        <v>93363483</v>
      </c>
      <c r="AD7" s="17" t="s">
        <v>116</v>
      </c>
      <c r="AE7" s="17" t="s">
        <v>117</v>
      </c>
      <c r="AF7" s="23" t="str">
        <f>IFERROR(VLOOKUP(AE7,Listas!$AD$1:$AF$66,2,FALSE),"")</f>
        <v>DIANA BARRERA MEDINA</v>
      </c>
      <c r="AG7" s="23">
        <f>IFERROR(VLOOKUP(AE7,Listas!$AD$1:$AF$65,3,FALSE),"")</f>
        <v>52964360</v>
      </c>
      <c r="AH7" s="17" t="s">
        <v>118</v>
      </c>
      <c r="AI7" s="65"/>
      <c r="AJ7" s="25" t="s">
        <v>119</v>
      </c>
      <c r="AK7" s="26" t="s">
        <v>120</v>
      </c>
      <c r="AL7" s="26" t="s">
        <v>120</v>
      </c>
      <c r="AM7" s="90" t="s">
        <v>119</v>
      </c>
      <c r="AN7" s="105">
        <v>34492</v>
      </c>
      <c r="AO7" s="91">
        <f t="shared" ca="1" si="1"/>
        <v>31</v>
      </c>
      <c r="AP7" s="26" t="s">
        <v>121</v>
      </c>
      <c r="AQ7" s="26" t="s">
        <v>122</v>
      </c>
      <c r="AR7" s="89"/>
      <c r="AS7" s="27"/>
      <c r="AT7" s="16"/>
      <c r="AU7" s="27"/>
      <c r="AV7" s="86"/>
      <c r="AW7" s="27"/>
      <c r="AX7" s="27"/>
      <c r="AY7" s="27"/>
      <c r="AZ7" s="27"/>
      <c r="BA7" s="27"/>
      <c r="BB7" s="27"/>
      <c r="BC7" s="97"/>
      <c r="BD7" s="27"/>
      <c r="BE7" s="16"/>
      <c r="BF7" s="28">
        <f t="shared" si="2"/>
        <v>0</v>
      </c>
      <c r="BG7" s="29"/>
      <c r="BH7" s="27"/>
      <c r="BI7" s="31">
        <f t="shared" si="3"/>
        <v>361</v>
      </c>
      <c r="BJ7" s="31">
        <f t="shared" si="4"/>
        <v>45656</v>
      </c>
      <c r="BK7" s="27"/>
      <c r="BL7" s="16"/>
      <c r="BM7" s="27"/>
      <c r="BN7" s="16"/>
      <c r="BO7" s="27"/>
      <c r="BP7" s="16"/>
      <c r="BQ7" s="27"/>
      <c r="BR7" s="24"/>
      <c r="BS7" s="24"/>
      <c r="BT7" s="32"/>
      <c r="BU7" s="27"/>
      <c r="BV7" s="24"/>
      <c r="BW7" s="24"/>
      <c r="BX7" s="16"/>
      <c r="BY7" s="27"/>
      <c r="BZ7" s="24"/>
      <c r="CA7" s="24"/>
      <c r="CB7" s="16"/>
      <c r="CC7" s="49">
        <f t="shared" si="5"/>
        <v>0</v>
      </c>
      <c r="CD7" s="24"/>
      <c r="CE7" s="49">
        <f t="shared" si="6"/>
        <v>102790731</v>
      </c>
      <c r="CF7" s="50"/>
      <c r="CG7" s="49">
        <f t="shared" ca="1" si="7"/>
        <v>102790731</v>
      </c>
      <c r="CH7" s="33">
        <f t="shared" ca="1" si="8"/>
        <v>1</v>
      </c>
      <c r="CI7" s="33">
        <f t="shared" ca="1" si="9"/>
        <v>1</v>
      </c>
      <c r="CJ7" s="36">
        <f t="shared" ca="1" si="10"/>
        <v>100</v>
      </c>
      <c r="CK7" s="34">
        <f t="shared" si="12"/>
        <v>0</v>
      </c>
      <c r="CL7" s="21"/>
      <c r="CM7" s="35" t="str">
        <f t="shared" ca="1" si="11"/>
        <v>TERMINADO</v>
      </c>
      <c r="CN7" s="82"/>
      <c r="CP7" s="26" t="s">
        <v>123</v>
      </c>
    </row>
    <row r="8" spans="1:96" ht="24.75" customHeight="1">
      <c r="A8" s="48" t="s">
        <v>155</v>
      </c>
      <c r="B8" s="77" t="s">
        <v>156</v>
      </c>
      <c r="C8" s="17" t="s">
        <v>104</v>
      </c>
      <c r="D8" s="18" t="s">
        <v>157</v>
      </c>
      <c r="E8" s="17" t="s">
        <v>106</v>
      </c>
      <c r="F8" s="17" t="s">
        <v>107</v>
      </c>
      <c r="G8" s="17" t="s">
        <v>108</v>
      </c>
      <c r="H8" s="19">
        <v>65748384</v>
      </c>
      <c r="I8" s="74" t="s">
        <v>158</v>
      </c>
      <c r="J8" s="16"/>
      <c r="K8" s="16"/>
      <c r="L8" s="20" t="s">
        <v>159</v>
      </c>
      <c r="M8" s="16" t="s">
        <v>111</v>
      </c>
      <c r="N8" s="22">
        <v>45294</v>
      </c>
      <c r="O8" s="22">
        <v>45294</v>
      </c>
      <c r="P8" s="22">
        <v>45656</v>
      </c>
      <c r="Q8" s="23">
        <f t="shared" si="0"/>
        <v>362</v>
      </c>
      <c r="R8" s="17" t="s">
        <v>112</v>
      </c>
      <c r="S8" s="16" t="s">
        <v>160</v>
      </c>
      <c r="T8" s="16" t="s">
        <v>114</v>
      </c>
      <c r="U8" s="67">
        <v>102790731</v>
      </c>
      <c r="V8" s="16" t="s">
        <v>115</v>
      </c>
      <c r="W8" s="224">
        <v>102790731</v>
      </c>
      <c r="X8" s="67">
        <v>8565894</v>
      </c>
      <c r="Y8" s="24"/>
      <c r="Z8" s="24"/>
      <c r="AA8" s="17" t="s">
        <v>116</v>
      </c>
      <c r="AB8" s="23" t="str">
        <f>IFERROR(VLOOKUP(AA8,Listas!$A$1:$C$14,2,FALSE),"")</f>
        <v>FREDY CÉSPEDES VILLA</v>
      </c>
      <c r="AC8" s="23">
        <f>IFERROR(VLOOKUP(AA8,Listas!$A$1:$C$14,3,FALSE),"")</f>
        <v>93363483</v>
      </c>
      <c r="AD8" s="17" t="s">
        <v>116</v>
      </c>
      <c r="AE8" s="17" t="s">
        <v>117</v>
      </c>
      <c r="AF8" s="23" t="str">
        <f>IFERROR(VLOOKUP(AE8,Listas!$AD$1:$AF$66,2,FALSE),"")</f>
        <v>DIANA BARRERA MEDINA</v>
      </c>
      <c r="AG8" s="23">
        <f>IFERROR(VLOOKUP(AE8,Listas!$AD$1:$AF$65,3,FALSE),"")</f>
        <v>52964360</v>
      </c>
      <c r="AH8" s="17" t="s">
        <v>118</v>
      </c>
      <c r="AI8" s="65"/>
      <c r="AJ8" s="25" t="s">
        <v>119</v>
      </c>
      <c r="AK8" s="26" t="s">
        <v>120</v>
      </c>
      <c r="AL8" s="26" t="s">
        <v>120</v>
      </c>
      <c r="AM8" s="90" t="s">
        <v>119</v>
      </c>
      <c r="AN8" s="105">
        <v>25891</v>
      </c>
      <c r="AO8" s="91">
        <f t="shared" ca="1" si="1"/>
        <v>55</v>
      </c>
      <c r="AP8" s="26" t="s">
        <v>121</v>
      </c>
      <c r="AQ8" s="26" t="s">
        <v>122</v>
      </c>
      <c r="AR8" s="89"/>
      <c r="AS8" s="27"/>
      <c r="AT8" s="16"/>
      <c r="AU8" s="27"/>
      <c r="AV8" s="86"/>
      <c r="AW8" s="27"/>
      <c r="AX8" s="27"/>
      <c r="AY8" s="27"/>
      <c r="AZ8" s="27"/>
      <c r="BA8" s="27"/>
      <c r="BB8" s="27"/>
      <c r="BC8" s="97"/>
      <c r="BD8" s="27"/>
      <c r="BE8" s="16"/>
      <c r="BF8" s="28">
        <f t="shared" si="2"/>
        <v>0</v>
      </c>
      <c r="BG8" s="29"/>
      <c r="BH8" s="27"/>
      <c r="BI8" s="31">
        <f t="shared" si="3"/>
        <v>362</v>
      </c>
      <c r="BJ8" s="31">
        <f t="shared" si="4"/>
        <v>45656</v>
      </c>
      <c r="BK8" s="27"/>
      <c r="BL8" s="16"/>
      <c r="BM8" s="27"/>
      <c r="BN8" s="16"/>
      <c r="BO8" s="27"/>
      <c r="BP8" s="16"/>
      <c r="BQ8" s="27"/>
      <c r="BR8" s="24"/>
      <c r="BS8" s="24"/>
      <c r="BT8" s="32"/>
      <c r="BU8" s="27"/>
      <c r="BV8" s="24"/>
      <c r="BW8" s="24"/>
      <c r="BX8" s="16"/>
      <c r="BY8" s="27"/>
      <c r="BZ8" s="24"/>
      <c r="CA8" s="24"/>
      <c r="CB8" s="16"/>
      <c r="CC8" s="49">
        <f t="shared" si="5"/>
        <v>0</v>
      </c>
      <c r="CD8" s="24"/>
      <c r="CE8" s="49">
        <f t="shared" si="6"/>
        <v>102790731</v>
      </c>
      <c r="CF8" s="50"/>
      <c r="CG8" s="49">
        <f t="shared" ca="1" si="7"/>
        <v>102790731</v>
      </c>
      <c r="CH8" s="33">
        <f t="shared" ca="1" si="8"/>
        <v>1</v>
      </c>
      <c r="CI8" s="33">
        <f t="shared" ca="1" si="9"/>
        <v>1</v>
      </c>
      <c r="CJ8" s="36">
        <f t="shared" ca="1" si="10"/>
        <v>100</v>
      </c>
      <c r="CK8" s="34">
        <f t="shared" si="12"/>
        <v>0</v>
      </c>
      <c r="CL8" s="21"/>
      <c r="CM8" s="35" t="str">
        <f t="shared" ca="1" si="11"/>
        <v>TERMINADO</v>
      </c>
      <c r="CN8" s="82"/>
      <c r="CP8" s="26" t="s">
        <v>123</v>
      </c>
    </row>
    <row r="9" spans="1:96" ht="24.75" customHeight="1">
      <c r="A9" s="48" t="s">
        <v>161</v>
      </c>
      <c r="B9" s="77" t="s">
        <v>162</v>
      </c>
      <c r="C9" s="17" t="s">
        <v>104</v>
      </c>
      <c r="D9" s="18" t="s">
        <v>163</v>
      </c>
      <c r="E9" s="17" t="s">
        <v>106</v>
      </c>
      <c r="F9" s="17" t="s">
        <v>107</v>
      </c>
      <c r="G9" s="17" t="s">
        <v>108</v>
      </c>
      <c r="H9" s="19">
        <v>37898247</v>
      </c>
      <c r="I9" s="74" t="s">
        <v>164</v>
      </c>
      <c r="J9" s="16"/>
      <c r="K9" s="16"/>
      <c r="L9" s="20" t="s">
        <v>165</v>
      </c>
      <c r="M9" s="16" t="s">
        <v>111</v>
      </c>
      <c r="N9" s="22">
        <v>45294</v>
      </c>
      <c r="O9" s="22">
        <v>45294</v>
      </c>
      <c r="P9" s="22">
        <v>45475</v>
      </c>
      <c r="Q9" s="23">
        <f t="shared" si="0"/>
        <v>181</v>
      </c>
      <c r="R9" s="17" t="s">
        <v>112</v>
      </c>
      <c r="S9" s="16" t="s">
        <v>166</v>
      </c>
      <c r="T9" s="16" t="s">
        <v>114</v>
      </c>
      <c r="U9" s="67">
        <v>102790731</v>
      </c>
      <c r="V9" s="16" t="s">
        <v>115</v>
      </c>
      <c r="W9" s="224">
        <v>102790731</v>
      </c>
      <c r="X9" s="67">
        <v>8565894</v>
      </c>
      <c r="Y9" s="24"/>
      <c r="Z9" s="24"/>
      <c r="AA9" s="17" t="s">
        <v>116</v>
      </c>
      <c r="AB9" s="23" t="str">
        <f>IFERROR(VLOOKUP(AA9,Listas!$A$1:$C$14,2,FALSE),"")</f>
        <v>FREDY CÉSPEDES VILLA</v>
      </c>
      <c r="AC9" s="23">
        <f>IFERROR(VLOOKUP(AA9,Listas!$A$1:$C$14,3,FALSE),"")</f>
        <v>93363483</v>
      </c>
      <c r="AD9" s="17" t="s">
        <v>116</v>
      </c>
      <c r="AE9" s="17" t="s">
        <v>117</v>
      </c>
      <c r="AF9" s="23" t="str">
        <f>IFERROR(VLOOKUP(AE9,Listas!$AD$1:$AF$66,2,FALSE),"")</f>
        <v>DIANA BARRERA MEDINA</v>
      </c>
      <c r="AG9" s="23">
        <f>IFERROR(VLOOKUP(AE9,Listas!$AD$1:$AF$65,3,FALSE),"")</f>
        <v>52964360</v>
      </c>
      <c r="AH9" s="17" t="s">
        <v>118</v>
      </c>
      <c r="AI9" s="65"/>
      <c r="AJ9" s="25" t="s">
        <v>119</v>
      </c>
      <c r="AK9" s="26" t="s">
        <v>120</v>
      </c>
      <c r="AL9" s="26" t="s">
        <v>120</v>
      </c>
      <c r="AM9" s="90" t="s">
        <v>119</v>
      </c>
      <c r="AN9" s="105">
        <v>29128</v>
      </c>
      <c r="AO9" s="91">
        <f t="shared" ca="1" si="1"/>
        <v>46</v>
      </c>
      <c r="AP9" s="26" t="s">
        <v>121</v>
      </c>
      <c r="AQ9" s="26" t="s">
        <v>122</v>
      </c>
      <c r="AR9" s="89"/>
      <c r="AS9" s="27"/>
      <c r="AT9" s="16"/>
      <c r="AU9" s="27"/>
      <c r="AV9" s="86"/>
      <c r="AW9" s="27"/>
      <c r="AX9" s="27"/>
      <c r="AY9" s="27"/>
      <c r="AZ9" s="27"/>
      <c r="BA9" s="27"/>
      <c r="BB9" s="27"/>
      <c r="BC9" s="97"/>
      <c r="BD9" s="27"/>
      <c r="BE9" s="16"/>
      <c r="BF9" s="28">
        <f t="shared" si="2"/>
        <v>0</v>
      </c>
      <c r="BG9" s="29"/>
      <c r="BH9" s="27"/>
      <c r="BI9" s="31">
        <f t="shared" si="3"/>
        <v>181</v>
      </c>
      <c r="BJ9" s="31">
        <f t="shared" si="4"/>
        <v>45475</v>
      </c>
      <c r="BK9" s="27"/>
      <c r="BL9" s="16"/>
      <c r="BM9" s="27"/>
      <c r="BN9" s="16"/>
      <c r="BO9" s="27"/>
      <c r="BP9" s="16"/>
      <c r="BQ9" s="27"/>
      <c r="BR9" s="24"/>
      <c r="BS9" s="24"/>
      <c r="BT9" s="32"/>
      <c r="BU9" s="27"/>
      <c r="BV9" s="24"/>
      <c r="BW9" s="24"/>
      <c r="BX9" s="16"/>
      <c r="BY9" s="27"/>
      <c r="BZ9" s="24"/>
      <c r="CA9" s="24"/>
      <c r="CB9" s="16"/>
      <c r="CC9" s="49">
        <f t="shared" si="5"/>
        <v>0</v>
      </c>
      <c r="CD9" s="24"/>
      <c r="CE9" s="49">
        <f t="shared" si="6"/>
        <v>102790731</v>
      </c>
      <c r="CF9" s="50"/>
      <c r="CG9" s="49">
        <f t="shared" ca="1" si="7"/>
        <v>102790731</v>
      </c>
      <c r="CH9" s="33">
        <f t="shared" ca="1" si="8"/>
        <v>1</v>
      </c>
      <c r="CI9" s="33">
        <f t="shared" ca="1" si="9"/>
        <v>1</v>
      </c>
      <c r="CJ9" s="36">
        <f t="shared" ca="1" si="10"/>
        <v>100</v>
      </c>
      <c r="CK9" s="34">
        <f t="shared" ref="CK9:CK33" si="13">IFERROR((CF9/CE9)*100,"")</f>
        <v>0</v>
      </c>
      <c r="CL9" s="21"/>
      <c r="CM9" s="35" t="str">
        <f t="shared" ca="1" si="11"/>
        <v>TERMINADO</v>
      </c>
      <c r="CN9" s="82"/>
      <c r="CP9" s="26" t="s">
        <v>123</v>
      </c>
    </row>
    <row r="10" spans="1:96" ht="24.75" customHeight="1">
      <c r="A10" s="48" t="s">
        <v>167</v>
      </c>
      <c r="B10" s="77" t="s">
        <v>168</v>
      </c>
      <c r="C10" s="17" t="s">
        <v>104</v>
      </c>
      <c r="D10" s="18" t="s">
        <v>169</v>
      </c>
      <c r="E10" s="17" t="s">
        <v>106</v>
      </c>
      <c r="F10" s="17" t="s">
        <v>107</v>
      </c>
      <c r="G10" s="17" t="s">
        <v>108</v>
      </c>
      <c r="H10" s="19">
        <v>1018405589</v>
      </c>
      <c r="I10" s="74" t="s">
        <v>170</v>
      </c>
      <c r="J10" s="16"/>
      <c r="K10" s="16"/>
      <c r="L10" s="20" t="s">
        <v>171</v>
      </c>
      <c r="M10" s="16" t="s">
        <v>111</v>
      </c>
      <c r="N10" s="22">
        <v>45294</v>
      </c>
      <c r="O10" s="22">
        <v>45295</v>
      </c>
      <c r="P10" s="22">
        <v>45656</v>
      </c>
      <c r="Q10" s="23">
        <f t="shared" si="0"/>
        <v>361</v>
      </c>
      <c r="R10" s="17" t="s">
        <v>112</v>
      </c>
      <c r="S10" s="16" t="s">
        <v>172</v>
      </c>
      <c r="T10" s="16" t="s">
        <v>114</v>
      </c>
      <c r="U10" s="67">
        <v>102790731</v>
      </c>
      <c r="V10" s="16" t="s">
        <v>115</v>
      </c>
      <c r="W10" s="224">
        <v>102790731</v>
      </c>
      <c r="X10" s="67">
        <v>8565894</v>
      </c>
      <c r="Y10" s="24"/>
      <c r="Z10" s="24"/>
      <c r="AA10" s="17" t="s">
        <v>116</v>
      </c>
      <c r="AB10" s="23" t="str">
        <f>IFERROR(VLOOKUP(AA10,Listas!$A$1:$C$14,2,FALSE),"")</f>
        <v>FREDY CÉSPEDES VILLA</v>
      </c>
      <c r="AC10" s="23">
        <f>IFERROR(VLOOKUP(AA10,Listas!$A$1:$C$14,3,FALSE),"")</f>
        <v>93363483</v>
      </c>
      <c r="AD10" s="17" t="s">
        <v>116</v>
      </c>
      <c r="AE10" s="17" t="s">
        <v>117</v>
      </c>
      <c r="AF10" s="23" t="str">
        <f>IFERROR(VLOOKUP(AE10,Listas!$AD$1:$AF$66,2,FALSE),"")</f>
        <v>DIANA BARRERA MEDINA</v>
      </c>
      <c r="AG10" s="23">
        <f>IFERROR(VLOOKUP(AE10,Listas!$AD$1:$AF$65,3,FALSE),"")</f>
        <v>52964360</v>
      </c>
      <c r="AH10" s="17" t="s">
        <v>118</v>
      </c>
      <c r="AI10" s="65"/>
      <c r="AJ10" s="25" t="s">
        <v>119</v>
      </c>
      <c r="AK10" s="26" t="s">
        <v>120</v>
      </c>
      <c r="AL10" s="26" t="s">
        <v>120</v>
      </c>
      <c r="AM10" s="90" t="s">
        <v>119</v>
      </c>
      <c r="AN10" s="105">
        <v>28650</v>
      </c>
      <c r="AO10" s="91">
        <f t="shared" ca="1" si="1"/>
        <v>47</v>
      </c>
      <c r="AP10" s="26" t="s">
        <v>121</v>
      </c>
      <c r="AQ10" s="26" t="s">
        <v>122</v>
      </c>
      <c r="AR10" s="89"/>
      <c r="AS10" s="27"/>
      <c r="AT10" s="16"/>
      <c r="AU10" s="27"/>
      <c r="AV10" s="86"/>
      <c r="AW10" s="27"/>
      <c r="AX10" s="27"/>
      <c r="AY10" s="27"/>
      <c r="AZ10" s="27"/>
      <c r="BA10" s="27"/>
      <c r="BB10" s="27"/>
      <c r="BC10" s="97"/>
      <c r="BD10" s="27"/>
      <c r="BE10" s="16"/>
      <c r="BF10" s="28">
        <f t="shared" si="2"/>
        <v>0</v>
      </c>
      <c r="BG10" s="29"/>
      <c r="BH10" s="27"/>
      <c r="BI10" s="31">
        <f t="shared" si="3"/>
        <v>361</v>
      </c>
      <c r="BJ10" s="31">
        <f t="shared" si="4"/>
        <v>45656</v>
      </c>
      <c r="BK10" s="27"/>
      <c r="BL10" s="16"/>
      <c r="BM10" s="27"/>
      <c r="BN10" s="16"/>
      <c r="BO10" s="27"/>
      <c r="BP10" s="16"/>
      <c r="BQ10" s="27"/>
      <c r="BR10" s="24"/>
      <c r="BS10" s="24"/>
      <c r="BT10" s="32"/>
      <c r="BU10" s="27"/>
      <c r="BV10" s="24"/>
      <c r="BW10" s="24"/>
      <c r="BX10" s="16"/>
      <c r="BY10" s="27"/>
      <c r="BZ10" s="24"/>
      <c r="CA10" s="24"/>
      <c r="CB10" s="16"/>
      <c r="CC10" s="49">
        <f t="shared" si="5"/>
        <v>0</v>
      </c>
      <c r="CD10" s="24"/>
      <c r="CE10" s="49">
        <f t="shared" si="6"/>
        <v>102790731</v>
      </c>
      <c r="CF10" s="50"/>
      <c r="CG10" s="49">
        <f t="shared" ca="1" si="7"/>
        <v>102790731</v>
      </c>
      <c r="CH10" s="33">
        <f t="shared" ca="1" si="8"/>
        <v>1</v>
      </c>
      <c r="CI10" s="33">
        <f t="shared" ca="1" si="9"/>
        <v>1</v>
      </c>
      <c r="CJ10" s="36">
        <f t="shared" ca="1" si="10"/>
        <v>100</v>
      </c>
      <c r="CK10" s="34">
        <f t="shared" si="13"/>
        <v>0</v>
      </c>
      <c r="CL10" s="21"/>
      <c r="CM10" s="35" t="str">
        <f t="shared" ca="1" si="11"/>
        <v>TERMINADO</v>
      </c>
      <c r="CN10" s="82"/>
      <c r="CP10" s="26" t="s">
        <v>123</v>
      </c>
    </row>
    <row r="11" spans="1:96" ht="24.75" customHeight="1">
      <c r="A11" s="48" t="s">
        <v>173</v>
      </c>
      <c r="B11" s="77" t="s">
        <v>174</v>
      </c>
      <c r="C11" s="17" t="s">
        <v>104</v>
      </c>
      <c r="D11" s="18" t="s">
        <v>175</v>
      </c>
      <c r="E11" s="17" t="s">
        <v>106</v>
      </c>
      <c r="F11" s="17" t="s">
        <v>107</v>
      </c>
      <c r="G11" s="17" t="s">
        <v>108</v>
      </c>
      <c r="H11" s="19">
        <v>79855988</v>
      </c>
      <c r="I11" s="74" t="s">
        <v>176</v>
      </c>
      <c r="J11" s="16"/>
      <c r="K11" s="16"/>
      <c r="L11" s="20" t="s">
        <v>177</v>
      </c>
      <c r="M11" s="16" t="s">
        <v>111</v>
      </c>
      <c r="N11" s="22">
        <v>45293</v>
      </c>
      <c r="O11" s="22">
        <v>45294</v>
      </c>
      <c r="P11" s="22">
        <v>45656</v>
      </c>
      <c r="Q11" s="23">
        <f t="shared" si="0"/>
        <v>362</v>
      </c>
      <c r="R11" s="17" t="s">
        <v>112</v>
      </c>
      <c r="S11" s="16" t="s">
        <v>178</v>
      </c>
      <c r="T11" s="16" t="s">
        <v>114</v>
      </c>
      <c r="U11" s="67">
        <v>102790731</v>
      </c>
      <c r="V11" s="16" t="s">
        <v>115</v>
      </c>
      <c r="W11" s="224">
        <v>102790731</v>
      </c>
      <c r="X11" s="67">
        <v>8565894</v>
      </c>
      <c r="Y11" s="24"/>
      <c r="Z11" s="24"/>
      <c r="AA11" s="17" t="s">
        <v>116</v>
      </c>
      <c r="AB11" s="23" t="str">
        <f>IFERROR(VLOOKUP(AA11,Listas!$A$1:$C$14,2,FALSE),"")</f>
        <v>FREDY CÉSPEDES VILLA</v>
      </c>
      <c r="AC11" s="23">
        <f>IFERROR(VLOOKUP(AA11,Listas!$A$1:$C$14,3,FALSE),"")</f>
        <v>93363483</v>
      </c>
      <c r="AD11" s="17" t="s">
        <v>116</v>
      </c>
      <c r="AE11" s="17" t="s">
        <v>117</v>
      </c>
      <c r="AF11" s="23" t="str">
        <f>IFERROR(VLOOKUP(AE11,Listas!$AD$1:$AF$66,2,FALSE),"")</f>
        <v>DIANA BARRERA MEDINA</v>
      </c>
      <c r="AG11" s="23">
        <f>IFERROR(VLOOKUP(AE11,Listas!$AD$1:$AF$65,3,FALSE),"")</f>
        <v>52964360</v>
      </c>
      <c r="AH11" s="17" t="s">
        <v>118</v>
      </c>
      <c r="AI11" s="65"/>
      <c r="AJ11" s="25" t="s">
        <v>119</v>
      </c>
      <c r="AK11" s="26" t="s">
        <v>120</v>
      </c>
      <c r="AL11" s="26" t="s">
        <v>120</v>
      </c>
      <c r="AM11" s="90" t="s">
        <v>119</v>
      </c>
      <c r="AN11" s="105">
        <v>28874</v>
      </c>
      <c r="AO11" s="91">
        <f t="shared" ca="1" si="1"/>
        <v>46</v>
      </c>
      <c r="AP11" s="26" t="s">
        <v>121</v>
      </c>
      <c r="AQ11" s="26" t="s">
        <v>122</v>
      </c>
      <c r="AR11" s="89"/>
      <c r="AS11" s="27"/>
      <c r="AT11" s="16"/>
      <c r="AU11" s="27"/>
      <c r="AV11" s="86"/>
      <c r="AW11" s="27"/>
      <c r="AX11" s="27"/>
      <c r="AY11" s="27"/>
      <c r="AZ11" s="27"/>
      <c r="BA11" s="27"/>
      <c r="BB11" s="27"/>
      <c r="BC11" s="97"/>
      <c r="BD11" s="27"/>
      <c r="BE11" s="16"/>
      <c r="BF11" s="28">
        <f t="shared" si="2"/>
        <v>0</v>
      </c>
      <c r="BG11" s="29"/>
      <c r="BH11" s="27"/>
      <c r="BI11" s="31">
        <f t="shared" si="3"/>
        <v>362</v>
      </c>
      <c r="BJ11" s="31">
        <f t="shared" si="4"/>
        <v>45656</v>
      </c>
      <c r="BK11" s="27"/>
      <c r="BL11" s="16"/>
      <c r="BM11" s="27"/>
      <c r="BN11" s="16"/>
      <c r="BO11" s="27"/>
      <c r="BP11" s="16"/>
      <c r="BQ11" s="27"/>
      <c r="BR11" s="24"/>
      <c r="BS11" s="24"/>
      <c r="BT11" s="32"/>
      <c r="BU11" s="27"/>
      <c r="BV11" s="24"/>
      <c r="BW11" s="24"/>
      <c r="BX11" s="16"/>
      <c r="BY11" s="27"/>
      <c r="BZ11" s="24"/>
      <c r="CA11" s="24"/>
      <c r="CB11" s="16"/>
      <c r="CC11" s="49">
        <f t="shared" si="5"/>
        <v>0</v>
      </c>
      <c r="CD11" s="24"/>
      <c r="CE11" s="49">
        <f t="shared" si="6"/>
        <v>102790731</v>
      </c>
      <c r="CF11" s="50"/>
      <c r="CG11" s="49">
        <f t="shared" ca="1" si="7"/>
        <v>102790731</v>
      </c>
      <c r="CH11" s="33">
        <f t="shared" ca="1" si="8"/>
        <v>1</v>
      </c>
      <c r="CI11" s="33">
        <f t="shared" ca="1" si="9"/>
        <v>1</v>
      </c>
      <c r="CJ11" s="36">
        <f t="shared" ca="1" si="10"/>
        <v>100</v>
      </c>
      <c r="CK11" s="34">
        <f t="shared" si="13"/>
        <v>0</v>
      </c>
      <c r="CL11" s="21"/>
      <c r="CM11" s="35" t="str">
        <f t="shared" ca="1" si="11"/>
        <v>TERMINADO</v>
      </c>
      <c r="CN11" s="82"/>
      <c r="CP11" s="26" t="s">
        <v>142</v>
      </c>
    </row>
    <row r="12" spans="1:96" ht="24.75" customHeight="1">
      <c r="A12" s="48" t="s">
        <v>179</v>
      </c>
      <c r="B12" s="77" t="s">
        <v>180</v>
      </c>
      <c r="C12" s="17" t="s">
        <v>104</v>
      </c>
      <c r="D12" s="18" t="s">
        <v>181</v>
      </c>
      <c r="E12" s="17" t="s">
        <v>106</v>
      </c>
      <c r="F12" s="17" t="s">
        <v>107</v>
      </c>
      <c r="G12" s="17" t="s">
        <v>108</v>
      </c>
      <c r="H12" s="19">
        <v>1075291011</v>
      </c>
      <c r="I12" s="74" t="s">
        <v>182</v>
      </c>
      <c r="J12" s="16"/>
      <c r="K12" s="16"/>
      <c r="L12" s="20" t="s">
        <v>183</v>
      </c>
      <c r="M12" s="16" t="s">
        <v>111</v>
      </c>
      <c r="N12" s="22">
        <v>45293</v>
      </c>
      <c r="O12" s="22">
        <v>45294</v>
      </c>
      <c r="P12" s="22">
        <v>45656</v>
      </c>
      <c r="Q12" s="23">
        <f t="shared" si="0"/>
        <v>362</v>
      </c>
      <c r="R12" s="17" t="s">
        <v>112</v>
      </c>
      <c r="S12" s="16" t="s">
        <v>184</v>
      </c>
      <c r="T12" s="16" t="s">
        <v>114</v>
      </c>
      <c r="U12" s="67">
        <v>102790731</v>
      </c>
      <c r="V12" s="16" t="s">
        <v>115</v>
      </c>
      <c r="W12" s="224">
        <v>102790731</v>
      </c>
      <c r="X12" s="67">
        <v>8565894</v>
      </c>
      <c r="Y12" s="24"/>
      <c r="Z12" s="24"/>
      <c r="AA12" s="17" t="s">
        <v>116</v>
      </c>
      <c r="AB12" s="23" t="str">
        <f>IFERROR(VLOOKUP(AA12,Listas!$A$1:$C$14,2,FALSE),"")</f>
        <v>FREDY CÉSPEDES VILLA</v>
      </c>
      <c r="AC12" s="23">
        <f>IFERROR(VLOOKUP(AA12,Listas!$A$1:$C$14,3,FALSE),"")</f>
        <v>93363483</v>
      </c>
      <c r="AD12" s="17" t="s">
        <v>116</v>
      </c>
      <c r="AE12" s="17" t="s">
        <v>117</v>
      </c>
      <c r="AF12" s="23" t="str">
        <f>IFERROR(VLOOKUP(AE12,Listas!$AD$1:$AF$66,2,FALSE),"")</f>
        <v>DIANA BARRERA MEDINA</v>
      </c>
      <c r="AG12" s="23">
        <f>IFERROR(VLOOKUP(AE12,Listas!$AD$1:$AF$65,3,FALSE),"")</f>
        <v>52964360</v>
      </c>
      <c r="AH12" s="17" t="s">
        <v>118</v>
      </c>
      <c r="AI12" s="65"/>
      <c r="AJ12" s="25" t="s">
        <v>119</v>
      </c>
      <c r="AK12" s="26" t="s">
        <v>120</v>
      </c>
      <c r="AL12" s="26" t="s">
        <v>120</v>
      </c>
      <c r="AM12" s="90" t="s">
        <v>119</v>
      </c>
      <c r="AN12" s="105">
        <v>34943</v>
      </c>
      <c r="AO12" s="91">
        <f t="shared" ca="1" si="1"/>
        <v>30</v>
      </c>
      <c r="AP12" s="26" t="s">
        <v>121</v>
      </c>
      <c r="AQ12" s="26" t="s">
        <v>122</v>
      </c>
      <c r="AR12" s="89"/>
      <c r="AS12" s="27"/>
      <c r="AT12" s="16"/>
      <c r="AU12" s="27"/>
      <c r="AV12" s="86"/>
      <c r="AW12" s="27"/>
      <c r="AX12" s="27"/>
      <c r="AY12" s="27"/>
      <c r="AZ12" s="27"/>
      <c r="BA12" s="27"/>
      <c r="BB12" s="27"/>
      <c r="BC12" s="97"/>
      <c r="BD12" s="27"/>
      <c r="BE12" s="16"/>
      <c r="BF12" s="28">
        <f t="shared" si="2"/>
        <v>0</v>
      </c>
      <c r="BG12" s="29"/>
      <c r="BH12" s="27"/>
      <c r="BI12" s="31">
        <f t="shared" si="3"/>
        <v>362</v>
      </c>
      <c r="BJ12" s="31">
        <f t="shared" si="4"/>
        <v>45656</v>
      </c>
      <c r="BK12" s="27"/>
      <c r="BL12" s="16"/>
      <c r="BM12" s="27"/>
      <c r="BN12" s="16"/>
      <c r="BO12" s="27"/>
      <c r="BP12" s="16"/>
      <c r="BQ12" s="27"/>
      <c r="BR12" s="24"/>
      <c r="BS12" s="24"/>
      <c r="BT12" s="32"/>
      <c r="BU12" s="27"/>
      <c r="BV12" s="24"/>
      <c r="BW12" s="24"/>
      <c r="BX12" s="16"/>
      <c r="BY12" s="27"/>
      <c r="BZ12" s="24"/>
      <c r="CA12" s="24"/>
      <c r="CB12" s="16"/>
      <c r="CC12" s="49">
        <f t="shared" si="5"/>
        <v>0</v>
      </c>
      <c r="CD12" s="24"/>
      <c r="CE12" s="49">
        <f t="shared" si="6"/>
        <v>102790731</v>
      </c>
      <c r="CF12" s="50"/>
      <c r="CG12" s="49">
        <f t="shared" ca="1" si="7"/>
        <v>102790731</v>
      </c>
      <c r="CH12" s="33">
        <f t="shared" ca="1" si="8"/>
        <v>1</v>
      </c>
      <c r="CI12" s="33">
        <f t="shared" ca="1" si="9"/>
        <v>1</v>
      </c>
      <c r="CJ12" s="36">
        <f t="shared" ca="1" si="10"/>
        <v>100</v>
      </c>
      <c r="CK12" s="34">
        <f t="shared" si="13"/>
        <v>0</v>
      </c>
      <c r="CL12" s="21"/>
      <c r="CM12" s="35" t="str">
        <f t="shared" ca="1" si="11"/>
        <v>TERMINADO</v>
      </c>
      <c r="CN12" s="82"/>
      <c r="CP12" s="26" t="s">
        <v>142</v>
      </c>
    </row>
    <row r="13" spans="1:96" ht="24.75" customHeight="1">
      <c r="A13" s="48" t="s">
        <v>185</v>
      </c>
      <c r="B13" s="77" t="s">
        <v>186</v>
      </c>
      <c r="C13" s="17" t="s">
        <v>104</v>
      </c>
      <c r="D13" s="18" t="s">
        <v>187</v>
      </c>
      <c r="E13" s="17" t="s">
        <v>106</v>
      </c>
      <c r="F13" s="17" t="s">
        <v>107</v>
      </c>
      <c r="G13" s="17" t="s">
        <v>108</v>
      </c>
      <c r="H13" s="19">
        <v>80161275</v>
      </c>
      <c r="I13" s="74" t="s">
        <v>188</v>
      </c>
      <c r="J13" s="16"/>
      <c r="K13" s="16"/>
      <c r="L13" s="20" t="s">
        <v>189</v>
      </c>
      <c r="M13" s="16" t="s">
        <v>111</v>
      </c>
      <c r="N13" s="22">
        <v>45293</v>
      </c>
      <c r="O13" s="22">
        <v>45294</v>
      </c>
      <c r="P13" s="22">
        <v>45656</v>
      </c>
      <c r="Q13" s="23">
        <f t="shared" si="0"/>
        <v>362</v>
      </c>
      <c r="R13" s="17" t="s">
        <v>112</v>
      </c>
      <c r="S13" s="16" t="s">
        <v>190</v>
      </c>
      <c r="T13" s="16" t="s">
        <v>114</v>
      </c>
      <c r="U13" s="67">
        <v>102790731</v>
      </c>
      <c r="V13" s="16" t="s">
        <v>115</v>
      </c>
      <c r="W13" s="224">
        <v>102790731</v>
      </c>
      <c r="X13" s="67">
        <v>8565894</v>
      </c>
      <c r="Y13" s="24"/>
      <c r="Z13" s="24"/>
      <c r="AA13" s="17" t="s">
        <v>116</v>
      </c>
      <c r="AB13" s="23" t="str">
        <f>IFERROR(VLOOKUP(AA13,Listas!$A$1:$C$14,2,FALSE),"")</f>
        <v>FREDY CÉSPEDES VILLA</v>
      </c>
      <c r="AC13" s="23">
        <f>IFERROR(VLOOKUP(AA13,Listas!$A$1:$C$14,3,FALSE),"")</f>
        <v>93363483</v>
      </c>
      <c r="AD13" s="17" t="s">
        <v>116</v>
      </c>
      <c r="AE13" s="17" t="s">
        <v>117</v>
      </c>
      <c r="AF13" s="23" t="str">
        <f>IFERROR(VLOOKUP(AE13,Listas!$AD$1:$AF$66,2,FALSE),"")</f>
        <v>DIANA BARRERA MEDINA</v>
      </c>
      <c r="AG13" s="23">
        <f>IFERROR(VLOOKUP(AE13,Listas!$AD$1:$AF$65,3,FALSE),"")</f>
        <v>52964360</v>
      </c>
      <c r="AH13" s="17" t="s">
        <v>118</v>
      </c>
      <c r="AI13" s="65"/>
      <c r="AJ13" s="25" t="s">
        <v>119</v>
      </c>
      <c r="AK13" s="26" t="s">
        <v>120</v>
      </c>
      <c r="AL13" s="26" t="s">
        <v>120</v>
      </c>
      <c r="AM13" s="90" t="s">
        <v>119</v>
      </c>
      <c r="AN13" s="105">
        <v>30344</v>
      </c>
      <c r="AO13" s="91">
        <f t="shared" ca="1" si="1"/>
        <v>42</v>
      </c>
      <c r="AP13" s="26" t="s">
        <v>121</v>
      </c>
      <c r="AQ13" s="26" t="s">
        <v>122</v>
      </c>
      <c r="AR13" s="89"/>
      <c r="AS13" s="27"/>
      <c r="AT13" s="16"/>
      <c r="AU13" s="27"/>
      <c r="AV13" s="86"/>
      <c r="AW13" s="27"/>
      <c r="AX13" s="27"/>
      <c r="AY13" s="27"/>
      <c r="AZ13" s="27"/>
      <c r="BA13" s="27"/>
      <c r="BB13" s="27"/>
      <c r="BC13" s="97"/>
      <c r="BD13" s="27"/>
      <c r="BE13" s="16"/>
      <c r="BF13" s="28">
        <f t="shared" si="2"/>
        <v>0</v>
      </c>
      <c r="BG13" s="29"/>
      <c r="BH13" s="27"/>
      <c r="BI13" s="31">
        <f t="shared" si="3"/>
        <v>362</v>
      </c>
      <c r="BJ13" s="31">
        <f t="shared" si="4"/>
        <v>45656</v>
      </c>
      <c r="BK13" s="27"/>
      <c r="BL13" s="16"/>
      <c r="BM13" s="27"/>
      <c r="BN13" s="16"/>
      <c r="BO13" s="27"/>
      <c r="BP13" s="16"/>
      <c r="BQ13" s="27"/>
      <c r="BR13" s="24"/>
      <c r="BS13" s="24"/>
      <c r="BT13" s="32"/>
      <c r="BU13" s="27"/>
      <c r="BV13" s="24"/>
      <c r="BW13" s="24"/>
      <c r="BX13" s="16"/>
      <c r="BY13" s="27"/>
      <c r="BZ13" s="24"/>
      <c r="CA13" s="24"/>
      <c r="CB13" s="16"/>
      <c r="CC13" s="49">
        <f t="shared" si="5"/>
        <v>0</v>
      </c>
      <c r="CD13" s="24"/>
      <c r="CE13" s="49">
        <f t="shared" si="6"/>
        <v>102790731</v>
      </c>
      <c r="CF13" s="50"/>
      <c r="CG13" s="49">
        <f t="shared" ca="1" si="7"/>
        <v>102790731</v>
      </c>
      <c r="CH13" s="33">
        <f t="shared" ca="1" si="8"/>
        <v>1</v>
      </c>
      <c r="CI13" s="33">
        <f t="shared" ca="1" si="9"/>
        <v>1</v>
      </c>
      <c r="CJ13" s="36">
        <f t="shared" ca="1" si="10"/>
        <v>100</v>
      </c>
      <c r="CK13" s="34">
        <f t="shared" si="13"/>
        <v>0</v>
      </c>
      <c r="CL13" s="21"/>
      <c r="CM13" s="35" t="str">
        <f t="shared" ca="1" si="11"/>
        <v>TERMINADO</v>
      </c>
      <c r="CN13" s="82"/>
      <c r="CP13" s="26" t="s">
        <v>142</v>
      </c>
    </row>
    <row r="14" spans="1:96" ht="24.75" customHeight="1">
      <c r="A14" s="48" t="s">
        <v>191</v>
      </c>
      <c r="B14" s="77" t="s">
        <v>192</v>
      </c>
      <c r="C14" s="17" t="s">
        <v>104</v>
      </c>
      <c r="D14" s="18" t="s">
        <v>193</v>
      </c>
      <c r="E14" s="17" t="s">
        <v>106</v>
      </c>
      <c r="F14" s="17" t="s">
        <v>107</v>
      </c>
      <c r="G14" s="17" t="s">
        <v>108</v>
      </c>
      <c r="H14" s="19">
        <v>1012401784</v>
      </c>
      <c r="I14" s="74" t="s">
        <v>194</v>
      </c>
      <c r="J14" s="16"/>
      <c r="K14" s="16"/>
      <c r="L14" s="20" t="s">
        <v>195</v>
      </c>
      <c r="M14" s="16" t="s">
        <v>111</v>
      </c>
      <c r="N14" s="22">
        <v>45294</v>
      </c>
      <c r="O14" s="22">
        <v>45295</v>
      </c>
      <c r="P14" s="22">
        <v>45656</v>
      </c>
      <c r="Q14" s="23">
        <f t="shared" si="0"/>
        <v>361</v>
      </c>
      <c r="R14" s="17" t="s">
        <v>112</v>
      </c>
      <c r="S14" s="16" t="s">
        <v>196</v>
      </c>
      <c r="T14" s="16" t="s">
        <v>114</v>
      </c>
      <c r="U14" s="67">
        <v>73563772</v>
      </c>
      <c r="V14" s="16" t="s">
        <v>115</v>
      </c>
      <c r="W14" s="224">
        <v>73563772</v>
      </c>
      <c r="X14" s="67">
        <v>6130314</v>
      </c>
      <c r="Y14" s="24"/>
      <c r="Z14" s="24"/>
      <c r="AA14" s="17" t="s">
        <v>116</v>
      </c>
      <c r="AB14" s="23" t="str">
        <f>IFERROR(VLOOKUP(AA14,Listas!$A$1:$C$14,2,FALSE),"")</f>
        <v>FREDY CÉSPEDES VILLA</v>
      </c>
      <c r="AC14" s="23">
        <f>IFERROR(VLOOKUP(AA14,Listas!$A$1:$C$14,3,FALSE),"")</f>
        <v>93363483</v>
      </c>
      <c r="AD14" s="17" t="s">
        <v>116</v>
      </c>
      <c r="AE14" s="17" t="s">
        <v>117</v>
      </c>
      <c r="AF14" s="23" t="str">
        <f>IFERROR(VLOOKUP(AE14,Listas!$AD$1:$AF$66,2,FALSE),"")</f>
        <v>DIANA BARRERA MEDINA</v>
      </c>
      <c r="AG14" s="23">
        <f>IFERROR(VLOOKUP(AE14,Listas!$AD$1:$AF$65,3,FALSE),"")</f>
        <v>52964360</v>
      </c>
      <c r="AH14" s="17" t="s">
        <v>118</v>
      </c>
      <c r="AI14" s="65"/>
      <c r="AJ14" s="25" t="s">
        <v>119</v>
      </c>
      <c r="AK14" s="26" t="s">
        <v>120</v>
      </c>
      <c r="AL14" s="26" t="s">
        <v>120</v>
      </c>
      <c r="AM14" s="90" t="s">
        <v>119</v>
      </c>
      <c r="AN14" s="105">
        <v>34192</v>
      </c>
      <c r="AO14" s="91">
        <f t="shared" ca="1" si="1"/>
        <v>32</v>
      </c>
      <c r="AP14" s="26" t="s">
        <v>121</v>
      </c>
      <c r="AQ14" s="26" t="s">
        <v>122</v>
      </c>
      <c r="AR14" s="89"/>
      <c r="AS14" s="27"/>
      <c r="AT14" s="16"/>
      <c r="AU14" s="27"/>
      <c r="AV14" s="86"/>
      <c r="AW14" s="27"/>
      <c r="AX14" s="27"/>
      <c r="AY14" s="27"/>
      <c r="AZ14" s="27"/>
      <c r="BA14" s="27"/>
      <c r="BB14" s="27"/>
      <c r="BC14" s="97"/>
      <c r="BD14" s="27"/>
      <c r="BE14" s="16"/>
      <c r="BF14" s="28">
        <f t="shared" si="2"/>
        <v>0</v>
      </c>
      <c r="BG14" s="29"/>
      <c r="BH14" s="27"/>
      <c r="BI14" s="31">
        <f t="shared" si="3"/>
        <v>361</v>
      </c>
      <c r="BJ14" s="31">
        <f t="shared" si="4"/>
        <v>45656</v>
      </c>
      <c r="BK14" s="27"/>
      <c r="BL14" s="16"/>
      <c r="BM14" s="27"/>
      <c r="BN14" s="16"/>
      <c r="BO14" s="27"/>
      <c r="BP14" s="16"/>
      <c r="BQ14" s="27"/>
      <c r="BR14" s="24"/>
      <c r="BS14" s="24"/>
      <c r="BT14" s="32"/>
      <c r="BU14" s="27"/>
      <c r="BV14" s="24"/>
      <c r="BW14" s="24"/>
      <c r="BX14" s="16"/>
      <c r="BY14" s="27"/>
      <c r="BZ14" s="24"/>
      <c r="CA14" s="24"/>
      <c r="CB14" s="16"/>
      <c r="CC14" s="49">
        <f t="shared" si="5"/>
        <v>0</v>
      </c>
      <c r="CD14" s="24"/>
      <c r="CE14" s="49">
        <f t="shared" si="6"/>
        <v>73563772</v>
      </c>
      <c r="CF14" s="50"/>
      <c r="CG14" s="49">
        <f t="shared" ca="1" si="7"/>
        <v>73563772</v>
      </c>
      <c r="CH14" s="33">
        <f t="shared" ca="1" si="8"/>
        <v>1</v>
      </c>
      <c r="CI14" s="33">
        <f t="shared" ca="1" si="9"/>
        <v>1</v>
      </c>
      <c r="CJ14" s="36">
        <f t="shared" ca="1" si="10"/>
        <v>100</v>
      </c>
      <c r="CK14" s="34">
        <f t="shared" si="13"/>
        <v>0</v>
      </c>
      <c r="CL14" s="21"/>
      <c r="CM14" s="35" t="str">
        <f t="shared" ca="1" si="11"/>
        <v>TERMINADO</v>
      </c>
      <c r="CN14" s="82"/>
      <c r="CP14" s="26" t="s">
        <v>142</v>
      </c>
    </row>
    <row r="15" spans="1:96" ht="24.75" customHeight="1">
      <c r="A15" s="48" t="s">
        <v>197</v>
      </c>
      <c r="B15" s="77" t="s">
        <v>198</v>
      </c>
      <c r="C15" s="17" t="s">
        <v>104</v>
      </c>
      <c r="D15" s="18" t="s">
        <v>199</v>
      </c>
      <c r="E15" s="17" t="s">
        <v>106</v>
      </c>
      <c r="F15" s="17" t="s">
        <v>107</v>
      </c>
      <c r="G15" s="17" t="s">
        <v>108</v>
      </c>
      <c r="H15" s="78">
        <v>79831450</v>
      </c>
      <c r="I15" s="74" t="s">
        <v>200</v>
      </c>
      <c r="J15" s="16"/>
      <c r="K15" s="16"/>
      <c r="L15" s="20" t="s">
        <v>201</v>
      </c>
      <c r="M15" s="16" t="s">
        <v>111</v>
      </c>
      <c r="N15" s="22">
        <v>45294</v>
      </c>
      <c r="O15" s="22">
        <v>45295</v>
      </c>
      <c r="P15" s="22">
        <v>45476</v>
      </c>
      <c r="Q15" s="23">
        <f t="shared" si="0"/>
        <v>181</v>
      </c>
      <c r="R15" s="17" t="s">
        <v>112</v>
      </c>
      <c r="S15" s="16" t="s">
        <v>202</v>
      </c>
      <c r="T15" s="16" t="s">
        <v>114</v>
      </c>
      <c r="U15" s="67">
        <v>102790731</v>
      </c>
      <c r="V15" s="16" t="s">
        <v>115</v>
      </c>
      <c r="W15" s="224">
        <v>102790731</v>
      </c>
      <c r="X15" s="67">
        <v>8565894</v>
      </c>
      <c r="Y15" s="24"/>
      <c r="Z15" s="24"/>
      <c r="AA15" s="17" t="s">
        <v>116</v>
      </c>
      <c r="AB15" s="23" t="str">
        <f>IFERROR(VLOOKUP(AA15,Listas!$A$1:$C$14,2,FALSE),"")</f>
        <v>FREDY CÉSPEDES VILLA</v>
      </c>
      <c r="AC15" s="23">
        <f>IFERROR(VLOOKUP(AA15,Listas!$A$1:$C$14,3,FALSE),"")</f>
        <v>93363483</v>
      </c>
      <c r="AD15" s="17" t="s">
        <v>116</v>
      </c>
      <c r="AE15" s="17" t="s">
        <v>117</v>
      </c>
      <c r="AF15" s="23" t="str">
        <f>IFERROR(VLOOKUP(AE15,Listas!$AD$1:$AF$66,2,FALSE),"")</f>
        <v>DIANA BARRERA MEDINA</v>
      </c>
      <c r="AG15" s="23">
        <f>IFERROR(VLOOKUP(AE15,Listas!$AD$1:$AF$65,3,FALSE),"")</f>
        <v>52964360</v>
      </c>
      <c r="AH15" s="17" t="s">
        <v>118</v>
      </c>
      <c r="AI15" s="65"/>
      <c r="AJ15" s="25" t="s">
        <v>119</v>
      </c>
      <c r="AK15" s="26" t="s">
        <v>120</v>
      </c>
      <c r="AL15" s="26" t="s">
        <v>120</v>
      </c>
      <c r="AM15" s="90" t="s">
        <v>119</v>
      </c>
      <c r="AN15" s="105">
        <v>28229</v>
      </c>
      <c r="AO15" s="91">
        <f t="shared" ca="1" si="1"/>
        <v>48</v>
      </c>
      <c r="AP15" s="26" t="s">
        <v>121</v>
      </c>
      <c r="AQ15" s="26" t="s">
        <v>122</v>
      </c>
      <c r="AR15" s="89"/>
      <c r="AS15" s="27"/>
      <c r="AT15" s="16"/>
      <c r="AU15" s="27"/>
      <c r="AV15" s="86"/>
      <c r="AW15" s="27"/>
      <c r="AX15" s="27"/>
      <c r="AY15" s="27"/>
      <c r="AZ15" s="27"/>
      <c r="BA15" s="27"/>
      <c r="BB15" s="27"/>
      <c r="BC15" s="97"/>
      <c r="BD15" s="27"/>
      <c r="BE15" s="16"/>
      <c r="BF15" s="28">
        <f t="shared" si="2"/>
        <v>0</v>
      </c>
      <c r="BG15" s="29"/>
      <c r="BH15" s="27"/>
      <c r="BI15" s="31">
        <f t="shared" si="3"/>
        <v>181</v>
      </c>
      <c r="BJ15" s="31">
        <f t="shared" si="4"/>
        <v>45476</v>
      </c>
      <c r="BK15" s="27"/>
      <c r="BL15" s="16"/>
      <c r="BM15" s="27"/>
      <c r="BN15" s="16"/>
      <c r="BO15" s="27"/>
      <c r="BP15" s="16"/>
      <c r="BQ15" s="27"/>
      <c r="BR15" s="24"/>
      <c r="BS15" s="24"/>
      <c r="BT15" s="32"/>
      <c r="BU15" s="27"/>
      <c r="BV15" s="24"/>
      <c r="BW15" s="24"/>
      <c r="BX15" s="16"/>
      <c r="BY15" s="27"/>
      <c r="BZ15" s="24"/>
      <c r="CA15" s="24"/>
      <c r="CB15" s="16"/>
      <c r="CC15" s="49">
        <f t="shared" si="5"/>
        <v>0</v>
      </c>
      <c r="CD15" s="24"/>
      <c r="CE15" s="49">
        <f t="shared" si="6"/>
        <v>102790731</v>
      </c>
      <c r="CF15" s="50"/>
      <c r="CG15" s="49">
        <f t="shared" ca="1" si="7"/>
        <v>102790731</v>
      </c>
      <c r="CH15" s="33">
        <f t="shared" ca="1" si="8"/>
        <v>1</v>
      </c>
      <c r="CI15" s="33">
        <f t="shared" ca="1" si="9"/>
        <v>1</v>
      </c>
      <c r="CJ15" s="36">
        <f t="shared" ca="1" si="10"/>
        <v>100</v>
      </c>
      <c r="CK15" s="34">
        <f t="shared" si="13"/>
        <v>0</v>
      </c>
      <c r="CL15" s="21"/>
      <c r="CM15" s="35" t="str">
        <f t="shared" ca="1" si="11"/>
        <v>TERMINADO</v>
      </c>
      <c r="CN15" s="82"/>
      <c r="CP15" s="26" t="s">
        <v>142</v>
      </c>
    </row>
    <row r="16" spans="1:96" ht="24.75" customHeight="1">
      <c r="A16" s="48" t="s">
        <v>203</v>
      </c>
      <c r="B16" s="77" t="s">
        <v>204</v>
      </c>
      <c r="C16" s="17" t="s">
        <v>104</v>
      </c>
      <c r="D16" s="18" t="s">
        <v>205</v>
      </c>
      <c r="E16" s="17" t="s">
        <v>106</v>
      </c>
      <c r="F16" s="17" t="s">
        <v>107</v>
      </c>
      <c r="G16" s="17" t="s">
        <v>108</v>
      </c>
      <c r="H16" s="19">
        <v>1128063454</v>
      </c>
      <c r="I16" s="74" t="s">
        <v>206</v>
      </c>
      <c r="J16" s="16"/>
      <c r="K16" s="16"/>
      <c r="L16" s="20" t="s">
        <v>207</v>
      </c>
      <c r="M16" s="16" t="s">
        <v>111</v>
      </c>
      <c r="N16" s="22">
        <v>45294</v>
      </c>
      <c r="O16" s="22">
        <v>45294</v>
      </c>
      <c r="P16" s="22">
        <v>45476</v>
      </c>
      <c r="Q16" s="23">
        <f t="shared" si="0"/>
        <v>182</v>
      </c>
      <c r="R16" s="17" t="s">
        <v>112</v>
      </c>
      <c r="S16" s="16" t="s">
        <v>208</v>
      </c>
      <c r="T16" s="16" t="s">
        <v>114</v>
      </c>
      <c r="U16" s="67">
        <v>102790731</v>
      </c>
      <c r="V16" s="16" t="s">
        <v>115</v>
      </c>
      <c r="W16" s="224">
        <v>102790731</v>
      </c>
      <c r="X16" s="67">
        <v>8565894</v>
      </c>
      <c r="Y16" s="24"/>
      <c r="Z16" s="24"/>
      <c r="AA16" s="17" t="s">
        <v>116</v>
      </c>
      <c r="AB16" s="23" t="str">
        <f>IFERROR(VLOOKUP(AA16,Listas!$A$1:$C$14,2,FALSE),"")</f>
        <v>FREDY CÉSPEDES VILLA</v>
      </c>
      <c r="AC16" s="23">
        <f>IFERROR(VLOOKUP(AA16,Listas!$A$1:$C$14,3,FALSE),"")</f>
        <v>93363483</v>
      </c>
      <c r="AD16" s="17" t="s">
        <v>116</v>
      </c>
      <c r="AE16" s="17" t="s">
        <v>117</v>
      </c>
      <c r="AF16" s="23" t="str">
        <f>IFERROR(VLOOKUP(AE16,Listas!$AD$1:$AF$66,2,FALSE),"")</f>
        <v>DIANA BARRERA MEDINA</v>
      </c>
      <c r="AG16" s="23">
        <f>IFERROR(VLOOKUP(AE16,Listas!$AD$1:$AF$65,3,FALSE),"")</f>
        <v>52964360</v>
      </c>
      <c r="AH16" s="17" t="s">
        <v>118</v>
      </c>
      <c r="AI16" s="65"/>
      <c r="AJ16" s="25" t="s">
        <v>119</v>
      </c>
      <c r="AK16" s="26" t="s">
        <v>120</v>
      </c>
      <c r="AL16" s="26" t="s">
        <v>120</v>
      </c>
      <c r="AM16" s="90" t="s">
        <v>119</v>
      </c>
      <c r="AN16" s="105">
        <v>32393</v>
      </c>
      <c r="AO16" s="91">
        <f t="shared" ca="1" si="1"/>
        <v>37</v>
      </c>
      <c r="AP16" s="26" t="s">
        <v>121</v>
      </c>
      <c r="AQ16" s="26" t="s">
        <v>122</v>
      </c>
      <c r="AR16" s="89"/>
      <c r="AS16" s="27"/>
      <c r="AT16" s="16"/>
      <c r="AU16" s="27"/>
      <c r="AV16" s="86"/>
      <c r="AW16" s="27"/>
      <c r="AX16" s="27"/>
      <c r="AY16" s="27"/>
      <c r="AZ16" s="27"/>
      <c r="BA16" s="27"/>
      <c r="BB16" s="27"/>
      <c r="BC16" s="97"/>
      <c r="BD16" s="27"/>
      <c r="BE16" s="16"/>
      <c r="BF16" s="28">
        <f t="shared" si="2"/>
        <v>0</v>
      </c>
      <c r="BG16" s="29"/>
      <c r="BH16" s="27"/>
      <c r="BI16" s="31">
        <f t="shared" si="3"/>
        <v>182</v>
      </c>
      <c r="BJ16" s="31">
        <f t="shared" si="4"/>
        <v>45476</v>
      </c>
      <c r="BK16" s="27"/>
      <c r="BL16" s="16"/>
      <c r="BM16" s="27"/>
      <c r="BN16" s="16"/>
      <c r="BO16" s="27"/>
      <c r="BP16" s="16"/>
      <c r="BQ16" s="27"/>
      <c r="BR16" s="24"/>
      <c r="BS16" s="24"/>
      <c r="BT16" s="32"/>
      <c r="BU16" s="27"/>
      <c r="BV16" s="24"/>
      <c r="BW16" s="24"/>
      <c r="BX16" s="16"/>
      <c r="BY16" s="27"/>
      <c r="BZ16" s="24"/>
      <c r="CA16" s="24"/>
      <c r="CB16" s="16"/>
      <c r="CC16" s="49">
        <f t="shared" si="5"/>
        <v>0</v>
      </c>
      <c r="CD16" s="24"/>
      <c r="CE16" s="49">
        <f t="shared" si="6"/>
        <v>102790731</v>
      </c>
      <c r="CF16" s="50"/>
      <c r="CG16" s="49">
        <f t="shared" ca="1" si="7"/>
        <v>102790731</v>
      </c>
      <c r="CH16" s="33">
        <f t="shared" ca="1" si="8"/>
        <v>1</v>
      </c>
      <c r="CI16" s="33">
        <f t="shared" ca="1" si="9"/>
        <v>1</v>
      </c>
      <c r="CJ16" s="36">
        <f t="shared" ca="1" si="10"/>
        <v>100</v>
      </c>
      <c r="CK16" s="34">
        <f t="shared" si="13"/>
        <v>0</v>
      </c>
      <c r="CL16" s="21"/>
      <c r="CM16" s="35" t="str">
        <f t="shared" ca="1" si="11"/>
        <v>TERMINADO</v>
      </c>
      <c r="CN16" s="82"/>
      <c r="CP16" s="26" t="s">
        <v>123</v>
      </c>
    </row>
    <row r="17" spans="1:94" ht="24.75" customHeight="1">
      <c r="A17" s="109" t="s">
        <v>209</v>
      </c>
      <c r="B17" s="77" t="s">
        <v>210</v>
      </c>
      <c r="C17" s="17" t="s">
        <v>104</v>
      </c>
      <c r="D17" s="18" t="s">
        <v>211</v>
      </c>
      <c r="E17" s="17" t="s">
        <v>106</v>
      </c>
      <c r="F17" s="17" t="s">
        <v>107</v>
      </c>
      <c r="G17" s="17" t="s">
        <v>108</v>
      </c>
      <c r="H17" s="78">
        <v>1015408521</v>
      </c>
      <c r="I17" s="74" t="s">
        <v>212</v>
      </c>
      <c r="J17" s="16"/>
      <c r="K17" s="16"/>
      <c r="L17" s="20" t="s">
        <v>213</v>
      </c>
      <c r="M17" s="16" t="s">
        <v>111</v>
      </c>
      <c r="N17" s="115">
        <v>45294</v>
      </c>
      <c r="O17" s="22">
        <v>45294</v>
      </c>
      <c r="P17" s="115">
        <v>45657</v>
      </c>
      <c r="Q17" s="23">
        <f t="shared" si="0"/>
        <v>363</v>
      </c>
      <c r="R17" s="17" t="s">
        <v>112</v>
      </c>
      <c r="S17" s="117" t="s">
        <v>214</v>
      </c>
      <c r="T17" s="16" t="s">
        <v>215</v>
      </c>
      <c r="U17" s="67">
        <v>92883552</v>
      </c>
      <c r="V17" s="16" t="s">
        <v>216</v>
      </c>
      <c r="W17" s="224">
        <v>92883552</v>
      </c>
      <c r="X17" s="24">
        <v>7740296</v>
      </c>
      <c r="Y17" s="24"/>
      <c r="Z17" s="24"/>
      <c r="AA17" s="17" t="s">
        <v>116</v>
      </c>
      <c r="AB17" s="23" t="str">
        <f>IFERROR(VLOOKUP(AA17,Listas!$A$1:$C$14,2,FALSE),"")</f>
        <v>FREDY CÉSPEDES VILLA</v>
      </c>
      <c r="AC17" s="23">
        <f>IFERROR(VLOOKUP(AA17,Listas!$A$1:$C$14,3,FALSE),"")</f>
        <v>93363483</v>
      </c>
      <c r="AD17" s="17" t="s">
        <v>217</v>
      </c>
      <c r="AE17" s="17" t="s">
        <v>218</v>
      </c>
      <c r="AF17" s="23" t="str">
        <f>IFERROR(VLOOKUP(AE17,Listas!$AD$1:$AF$66,2,FALSE),"")</f>
        <v>GISSET XIMENA BARRETO VILLAMIL</v>
      </c>
      <c r="AG17" s="23">
        <f>IFERROR(VLOOKUP(AE17,Listas!$AD$1:$AF$65,3,FALSE),"")</f>
        <v>1015408521</v>
      </c>
      <c r="AH17" s="17" t="s">
        <v>118</v>
      </c>
      <c r="AI17" s="65" t="s">
        <v>219</v>
      </c>
      <c r="AJ17" s="25" t="s">
        <v>119</v>
      </c>
      <c r="AK17" s="26" t="s">
        <v>120</v>
      </c>
      <c r="AL17" s="26" t="s">
        <v>120</v>
      </c>
      <c r="AM17" s="90" t="s">
        <v>119</v>
      </c>
      <c r="AN17" s="105"/>
      <c r="AO17" s="91" t="str">
        <f t="shared" ca="1" si="1"/>
        <v xml:space="preserve"> </v>
      </c>
      <c r="AP17" s="26" t="s">
        <v>121</v>
      </c>
      <c r="AQ17" s="26" t="s">
        <v>220</v>
      </c>
      <c r="AR17" s="89">
        <v>45552</v>
      </c>
      <c r="AS17" s="74" t="s">
        <v>221</v>
      </c>
      <c r="AT17" s="78">
        <v>80119997</v>
      </c>
      <c r="AU17" s="20" t="s">
        <v>213</v>
      </c>
      <c r="AV17" s="86">
        <v>27091036</v>
      </c>
      <c r="AW17" s="86"/>
      <c r="AX17" s="27"/>
      <c r="AY17" s="27"/>
      <c r="AZ17" s="27"/>
      <c r="BA17" s="27"/>
      <c r="BB17" s="27"/>
      <c r="BC17" s="97"/>
      <c r="BD17" s="27"/>
      <c r="BE17" s="16"/>
      <c r="BF17" s="28">
        <f t="shared" si="2"/>
        <v>0</v>
      </c>
      <c r="BG17" s="29"/>
      <c r="BH17" s="27"/>
      <c r="BI17" s="31">
        <f t="shared" si="3"/>
        <v>363</v>
      </c>
      <c r="BJ17" s="31">
        <f t="shared" si="4"/>
        <v>45657</v>
      </c>
      <c r="BK17" s="27"/>
      <c r="BL17" s="16"/>
      <c r="BM17" s="27"/>
      <c r="BN17" s="16"/>
      <c r="BO17" s="27"/>
      <c r="BP17" s="16"/>
      <c r="BQ17" s="27"/>
      <c r="BR17" s="24"/>
      <c r="BS17" s="24"/>
      <c r="BT17" s="32"/>
      <c r="BU17" s="27"/>
      <c r="BV17" s="24"/>
      <c r="BW17" s="24"/>
      <c r="BX17" s="16"/>
      <c r="BY17" s="27"/>
      <c r="BZ17" s="24"/>
      <c r="CA17" s="24"/>
      <c r="CB17" s="16"/>
      <c r="CC17" s="49">
        <f t="shared" si="5"/>
        <v>0</v>
      </c>
      <c r="CD17" s="24"/>
      <c r="CE17" s="49">
        <f t="shared" si="6"/>
        <v>92883552</v>
      </c>
      <c r="CF17" s="50"/>
      <c r="CG17" s="49">
        <f t="shared" ca="1" si="7"/>
        <v>92883552</v>
      </c>
      <c r="CH17" s="33">
        <f t="shared" ca="1" si="8"/>
        <v>1</v>
      </c>
      <c r="CI17" s="33">
        <f t="shared" ca="1" si="9"/>
        <v>1</v>
      </c>
      <c r="CJ17" s="36">
        <f t="shared" ca="1" si="10"/>
        <v>100</v>
      </c>
      <c r="CK17" s="34">
        <f t="shared" si="13"/>
        <v>0</v>
      </c>
      <c r="CL17" s="21"/>
      <c r="CM17" s="35" t="str">
        <f t="shared" ca="1" si="11"/>
        <v>TERMINADO</v>
      </c>
      <c r="CN17" s="82"/>
      <c r="CO17" s="145" t="s">
        <v>222</v>
      </c>
      <c r="CP17" s="26" t="s">
        <v>123</v>
      </c>
    </row>
    <row r="18" spans="1:94" ht="24.75" customHeight="1">
      <c r="A18" s="48" t="s">
        <v>223</v>
      </c>
      <c r="B18" s="77" t="s">
        <v>224</v>
      </c>
      <c r="C18" s="17" t="s">
        <v>104</v>
      </c>
      <c r="D18" s="18" t="s">
        <v>225</v>
      </c>
      <c r="E18" s="17" t="s">
        <v>106</v>
      </c>
      <c r="F18" s="17" t="s">
        <v>107</v>
      </c>
      <c r="G18" s="17" t="s">
        <v>108</v>
      </c>
      <c r="H18" s="78">
        <v>80119997</v>
      </c>
      <c r="I18" s="74" t="s">
        <v>221</v>
      </c>
      <c r="J18" s="16"/>
      <c r="K18" s="16"/>
      <c r="L18" s="96" t="s">
        <v>226</v>
      </c>
      <c r="M18" s="16" t="s">
        <v>111</v>
      </c>
      <c r="N18" s="22">
        <v>45294</v>
      </c>
      <c r="O18" s="22">
        <v>45294</v>
      </c>
      <c r="P18" s="22">
        <v>45657</v>
      </c>
      <c r="Q18" s="23">
        <f t="shared" si="0"/>
        <v>363</v>
      </c>
      <c r="R18" s="17" t="s">
        <v>112</v>
      </c>
      <c r="S18" s="16" t="s">
        <v>227</v>
      </c>
      <c r="T18" s="16" t="s">
        <v>215</v>
      </c>
      <c r="U18" s="104">
        <v>66012000</v>
      </c>
      <c r="V18" s="16" t="s">
        <v>216</v>
      </c>
      <c r="W18" s="225">
        <v>66012000</v>
      </c>
      <c r="X18" s="67">
        <v>5501000</v>
      </c>
      <c r="Y18" s="24"/>
      <c r="Z18" s="24"/>
      <c r="AA18" s="17" t="s">
        <v>116</v>
      </c>
      <c r="AB18" s="23" t="str">
        <f>IFERROR(VLOOKUP(AA18,Listas!$A$1:$C$14,2,FALSE),"")</f>
        <v>FREDY CÉSPEDES VILLA</v>
      </c>
      <c r="AC18" s="23">
        <f>IFERROR(VLOOKUP(AA18,Listas!$A$1:$C$14,3,FALSE),"")</f>
        <v>93363483</v>
      </c>
      <c r="AD18" s="17" t="s">
        <v>217</v>
      </c>
      <c r="AE18" s="17" t="s">
        <v>218</v>
      </c>
      <c r="AF18" s="23" t="str">
        <f>IFERROR(VLOOKUP(AE18,Listas!$AD$1:$AF$66,2,FALSE),"")</f>
        <v>GISSET XIMENA BARRETO VILLAMIL</v>
      </c>
      <c r="AG18" s="23">
        <f>IFERROR(VLOOKUP(AE18,Listas!$AD$1:$AF$65,3,FALSE),"")</f>
        <v>1015408521</v>
      </c>
      <c r="AH18" s="17" t="s">
        <v>118</v>
      </c>
      <c r="AI18" s="65" t="s">
        <v>228</v>
      </c>
      <c r="AJ18" s="25" t="s">
        <v>119</v>
      </c>
      <c r="AK18" s="26" t="s">
        <v>120</v>
      </c>
      <c r="AL18" s="26" t="s">
        <v>120</v>
      </c>
      <c r="AM18" s="90" t="s">
        <v>119</v>
      </c>
      <c r="AN18" s="105"/>
      <c r="AO18" s="91" t="str">
        <f t="shared" ca="1" si="1"/>
        <v xml:space="preserve"> </v>
      </c>
      <c r="AP18" s="26" t="s">
        <v>121</v>
      </c>
      <c r="AQ18" s="26" t="s">
        <v>220</v>
      </c>
      <c r="AS18" s="27"/>
      <c r="AT18" s="16"/>
      <c r="AU18" s="27"/>
      <c r="AW18" s="27"/>
      <c r="AX18" s="27"/>
      <c r="AY18" s="27"/>
      <c r="AZ18" s="27"/>
      <c r="BA18" s="27"/>
      <c r="BB18" s="27"/>
      <c r="BC18" s="97"/>
      <c r="BD18" s="27"/>
      <c r="BE18" s="16"/>
      <c r="BF18" s="28">
        <f t="shared" si="2"/>
        <v>0</v>
      </c>
      <c r="BG18" s="29"/>
      <c r="BH18" s="27">
        <v>45555</v>
      </c>
      <c r="BI18" s="31">
        <f>BF18+Q18</f>
        <v>363</v>
      </c>
      <c r="BJ18" s="31">
        <f t="shared" si="4"/>
        <v>45555</v>
      </c>
      <c r="BK18" s="27"/>
      <c r="BL18" s="16"/>
      <c r="BM18" s="27"/>
      <c r="BN18" s="16"/>
      <c r="BO18" s="27"/>
      <c r="BP18" s="16"/>
      <c r="BQ18" s="27"/>
      <c r="BR18" s="24"/>
      <c r="BS18" s="24"/>
      <c r="BT18" s="32"/>
      <c r="BU18" s="27"/>
      <c r="BV18" s="24"/>
      <c r="BW18" s="24"/>
      <c r="BX18" s="16"/>
      <c r="BY18" s="27"/>
      <c r="BZ18" s="24"/>
      <c r="CA18" s="24"/>
      <c r="CB18" s="16"/>
      <c r="CC18" s="49">
        <f t="shared" si="5"/>
        <v>0</v>
      </c>
      <c r="CD18" s="24"/>
      <c r="CE18" s="49">
        <f t="shared" si="6"/>
        <v>66012000</v>
      </c>
      <c r="CF18" s="50">
        <v>49645388</v>
      </c>
      <c r="CG18" s="49">
        <f t="shared" ca="1" si="7"/>
        <v>66012000</v>
      </c>
      <c r="CH18" s="33">
        <f t="shared" ca="1" si="8"/>
        <v>1</v>
      </c>
      <c r="CI18" s="33">
        <f t="shared" ca="1" si="9"/>
        <v>1</v>
      </c>
      <c r="CJ18" s="36">
        <f t="shared" ca="1" si="10"/>
        <v>100</v>
      </c>
      <c r="CK18" s="34">
        <f t="shared" si="13"/>
        <v>75.206610919226804</v>
      </c>
      <c r="CL18" s="21"/>
      <c r="CM18" s="35" t="str">
        <f t="shared" ca="1" si="11"/>
        <v>TERMINADO</v>
      </c>
      <c r="CN18" s="82"/>
      <c r="CO18" s="145" t="s">
        <v>229</v>
      </c>
      <c r="CP18" s="26" t="s">
        <v>142</v>
      </c>
    </row>
    <row r="19" spans="1:94" ht="24.75" customHeight="1">
      <c r="A19" s="48" t="s">
        <v>230</v>
      </c>
      <c r="B19" s="77" t="s">
        <v>231</v>
      </c>
      <c r="C19" s="17" t="s">
        <v>104</v>
      </c>
      <c r="D19" s="18" t="s">
        <v>232</v>
      </c>
      <c r="E19" s="17" t="s">
        <v>106</v>
      </c>
      <c r="F19" s="17" t="s">
        <v>107</v>
      </c>
      <c r="G19" s="17" t="s">
        <v>108</v>
      </c>
      <c r="H19" s="78">
        <v>1077940566</v>
      </c>
      <c r="I19" s="74" t="s">
        <v>233</v>
      </c>
      <c r="J19" s="16"/>
      <c r="K19" s="16"/>
      <c r="L19" s="20" t="s">
        <v>234</v>
      </c>
      <c r="M19" s="16" t="s">
        <v>111</v>
      </c>
      <c r="N19" s="22">
        <v>45294</v>
      </c>
      <c r="O19" s="22">
        <v>45294</v>
      </c>
      <c r="P19" s="22">
        <v>45656</v>
      </c>
      <c r="Q19" s="23">
        <f t="shared" si="0"/>
        <v>362</v>
      </c>
      <c r="R19" s="17" t="s">
        <v>112</v>
      </c>
      <c r="S19" s="16" t="s">
        <v>235</v>
      </c>
      <c r="T19" s="16" t="s">
        <v>114</v>
      </c>
      <c r="U19" s="67">
        <v>51759243</v>
      </c>
      <c r="V19" s="16" t="s">
        <v>115</v>
      </c>
      <c r="W19" s="224">
        <v>51759240</v>
      </c>
      <c r="X19" s="67">
        <v>4313270</v>
      </c>
      <c r="Y19" s="24"/>
      <c r="Z19" s="24"/>
      <c r="AA19" s="17" t="s">
        <v>116</v>
      </c>
      <c r="AB19" s="23" t="str">
        <f>IFERROR(VLOOKUP(AA19,Listas!$A$1:$C$14,2,FALSE),"")</f>
        <v>FREDY CÉSPEDES VILLA</v>
      </c>
      <c r="AC19" s="23">
        <f>IFERROR(VLOOKUP(AA19,Listas!$A$1:$C$14,3,FALSE),"")</f>
        <v>93363483</v>
      </c>
      <c r="AD19" s="17" t="s">
        <v>116</v>
      </c>
      <c r="AE19" s="17" t="s">
        <v>117</v>
      </c>
      <c r="AF19" s="23" t="str">
        <f>IFERROR(VLOOKUP(AE19,Listas!$AD$1:$AF$66,2,FALSE),"")</f>
        <v>DIANA BARRERA MEDINA</v>
      </c>
      <c r="AG19" s="23">
        <f>IFERROR(VLOOKUP(AE19,Listas!$AD$1:$AF$65,3,FALSE),"")</f>
        <v>52964360</v>
      </c>
      <c r="AH19" s="17" t="s">
        <v>118</v>
      </c>
      <c r="AI19" s="65" t="s">
        <v>236</v>
      </c>
      <c r="AJ19" s="25" t="s">
        <v>119</v>
      </c>
      <c r="AK19" s="26" t="s">
        <v>120</v>
      </c>
      <c r="AL19" s="26" t="s">
        <v>120</v>
      </c>
      <c r="AM19" s="90" t="s">
        <v>119</v>
      </c>
      <c r="AN19" s="105">
        <v>31906</v>
      </c>
      <c r="AO19" s="91">
        <f t="shared" ca="1" si="1"/>
        <v>38</v>
      </c>
      <c r="AP19" s="26" t="s">
        <v>121</v>
      </c>
      <c r="AQ19" s="26" t="s">
        <v>122</v>
      </c>
      <c r="AR19" s="89"/>
      <c r="AS19" s="27"/>
      <c r="AT19" s="16"/>
      <c r="AU19" s="27"/>
      <c r="AV19" s="86"/>
      <c r="AW19" s="27"/>
      <c r="AX19" s="27"/>
      <c r="AY19" s="27"/>
      <c r="AZ19" s="27"/>
      <c r="BA19" s="27"/>
      <c r="BB19" s="27"/>
      <c r="BC19" s="97"/>
      <c r="BD19" s="27"/>
      <c r="BE19" s="16"/>
      <c r="BF19" s="28">
        <f t="shared" si="2"/>
        <v>0</v>
      </c>
      <c r="BG19" s="29"/>
      <c r="BH19" s="27"/>
      <c r="BI19" s="31">
        <f t="shared" si="3"/>
        <v>362</v>
      </c>
      <c r="BJ19" s="31">
        <f t="shared" si="4"/>
        <v>45656</v>
      </c>
      <c r="BK19" s="27"/>
      <c r="BL19" s="16"/>
      <c r="BM19" s="27"/>
      <c r="BN19" s="16"/>
      <c r="BO19" s="27"/>
      <c r="BP19" s="16"/>
      <c r="BQ19" s="27"/>
      <c r="BR19" s="24"/>
      <c r="BS19" s="24"/>
      <c r="BT19" s="32"/>
      <c r="BU19" s="27"/>
      <c r="BV19" s="24"/>
      <c r="BW19" s="24"/>
      <c r="BX19" s="16"/>
      <c r="BY19" s="27"/>
      <c r="BZ19" s="24"/>
      <c r="CA19" s="24"/>
      <c r="CB19" s="16"/>
      <c r="CC19" s="49">
        <f t="shared" si="5"/>
        <v>0</v>
      </c>
      <c r="CD19" s="24"/>
      <c r="CE19" s="49">
        <f t="shared" si="6"/>
        <v>51759240</v>
      </c>
      <c r="CF19" s="50"/>
      <c r="CG19" s="49">
        <f t="shared" ca="1" si="7"/>
        <v>51759240</v>
      </c>
      <c r="CH19" s="33">
        <f t="shared" ca="1" si="8"/>
        <v>1</v>
      </c>
      <c r="CI19" s="33">
        <f t="shared" ca="1" si="9"/>
        <v>1</v>
      </c>
      <c r="CJ19" s="36">
        <f t="shared" ca="1" si="10"/>
        <v>100</v>
      </c>
      <c r="CK19" s="34">
        <f t="shared" si="13"/>
        <v>0</v>
      </c>
      <c r="CL19" s="21"/>
      <c r="CM19" s="35" t="str">
        <f t="shared" ca="1" si="11"/>
        <v>TERMINADO</v>
      </c>
      <c r="CN19" s="82"/>
      <c r="CP19" s="26" t="s">
        <v>142</v>
      </c>
    </row>
    <row r="20" spans="1:94" ht="24.75" customHeight="1">
      <c r="A20" s="48" t="s">
        <v>237</v>
      </c>
      <c r="B20" s="77" t="s">
        <v>238</v>
      </c>
      <c r="C20" s="17" t="s">
        <v>104</v>
      </c>
      <c r="D20" s="18" t="s">
        <v>239</v>
      </c>
      <c r="E20" s="17" t="s">
        <v>106</v>
      </c>
      <c r="F20" s="17" t="s">
        <v>107</v>
      </c>
      <c r="G20" s="17" t="s">
        <v>108</v>
      </c>
      <c r="H20" s="78">
        <v>53030016</v>
      </c>
      <c r="I20" s="74" t="s">
        <v>240</v>
      </c>
      <c r="J20" s="16"/>
      <c r="K20" s="16"/>
      <c r="L20" s="20" t="s">
        <v>241</v>
      </c>
      <c r="M20" s="16" t="s">
        <v>111</v>
      </c>
      <c r="N20" s="22">
        <v>45294</v>
      </c>
      <c r="O20" s="22">
        <v>45294</v>
      </c>
      <c r="P20" s="22">
        <v>45657</v>
      </c>
      <c r="Q20" s="23">
        <f t="shared" si="0"/>
        <v>363</v>
      </c>
      <c r="R20" s="17" t="s">
        <v>242</v>
      </c>
      <c r="S20" s="16" t="s">
        <v>243</v>
      </c>
      <c r="T20" s="16" t="s">
        <v>244</v>
      </c>
      <c r="U20" s="67">
        <v>55908468</v>
      </c>
      <c r="V20" s="16" t="s">
        <v>245</v>
      </c>
      <c r="W20" s="224">
        <v>55908468</v>
      </c>
      <c r="X20" s="67">
        <v>4659039</v>
      </c>
      <c r="Y20" s="24"/>
      <c r="Z20" s="24"/>
      <c r="AA20" s="17" t="s">
        <v>116</v>
      </c>
      <c r="AB20" s="23" t="str">
        <f>IFERROR(VLOOKUP(AA20,Listas!$A$1:$C$14,2,FALSE),"")</f>
        <v>FREDY CÉSPEDES VILLA</v>
      </c>
      <c r="AC20" s="23">
        <f>IFERROR(VLOOKUP(AA20,Listas!$A$1:$C$14,3,FALSE),"")</f>
        <v>93363483</v>
      </c>
      <c r="AD20" s="17" t="s">
        <v>217</v>
      </c>
      <c r="AE20" s="17" t="s">
        <v>218</v>
      </c>
      <c r="AF20" s="23" t="str">
        <f>IFERROR(VLOOKUP(AE20,Listas!$AD$1:$AF$66,2,FALSE),"")</f>
        <v>GISSET XIMENA BARRETO VILLAMIL</v>
      </c>
      <c r="AG20" s="23">
        <f>IFERROR(VLOOKUP(AE20,Listas!$AD$1:$AF$65,3,FALSE),"")</f>
        <v>1015408521</v>
      </c>
      <c r="AH20" s="17" t="s">
        <v>118</v>
      </c>
      <c r="AI20" s="65" t="s">
        <v>246</v>
      </c>
      <c r="AJ20" s="25" t="s">
        <v>119</v>
      </c>
      <c r="AK20" s="26" t="s">
        <v>120</v>
      </c>
      <c r="AL20" s="26" t="s">
        <v>120</v>
      </c>
      <c r="AM20" s="90" t="s">
        <v>119</v>
      </c>
      <c r="AN20" s="105">
        <v>31111</v>
      </c>
      <c r="AO20" s="91">
        <f t="shared" ca="1" si="1"/>
        <v>40</v>
      </c>
      <c r="AP20" s="26" t="s">
        <v>121</v>
      </c>
      <c r="AQ20" s="26" t="s">
        <v>220</v>
      </c>
      <c r="AR20" s="89"/>
      <c r="AS20" s="27"/>
      <c r="AT20" s="16"/>
      <c r="AU20" s="27"/>
      <c r="AV20" s="86"/>
      <c r="AW20" s="27"/>
      <c r="AX20" s="27"/>
      <c r="AY20" s="27"/>
      <c r="AZ20" s="27"/>
      <c r="BA20" s="27"/>
      <c r="BB20" s="27"/>
      <c r="BC20" s="97"/>
      <c r="BD20" s="27"/>
      <c r="BE20" s="16"/>
      <c r="BF20" s="28">
        <f t="shared" si="2"/>
        <v>0</v>
      </c>
      <c r="BG20" s="29"/>
      <c r="BH20" s="27"/>
      <c r="BI20" s="31">
        <f t="shared" si="3"/>
        <v>363</v>
      </c>
      <c r="BJ20" s="31">
        <f t="shared" si="4"/>
        <v>45657</v>
      </c>
      <c r="BK20" s="27"/>
      <c r="BL20" s="16"/>
      <c r="BM20" s="27"/>
      <c r="BN20" s="16"/>
      <c r="BO20" s="27"/>
      <c r="BP20" s="16"/>
      <c r="BQ20" s="27"/>
      <c r="BR20" s="24"/>
      <c r="BS20" s="24"/>
      <c r="BT20" s="32"/>
      <c r="BU20" s="27"/>
      <c r="BV20" s="24"/>
      <c r="BW20" s="24"/>
      <c r="BX20" s="16"/>
      <c r="BY20" s="27"/>
      <c r="BZ20" s="24"/>
      <c r="CA20" s="24"/>
      <c r="CB20" s="16"/>
      <c r="CC20" s="49">
        <f t="shared" si="5"/>
        <v>0</v>
      </c>
      <c r="CD20" s="24"/>
      <c r="CE20" s="49">
        <f t="shared" si="6"/>
        <v>55908468</v>
      </c>
      <c r="CF20" s="50"/>
      <c r="CG20" s="49">
        <f t="shared" ca="1" si="7"/>
        <v>55908468</v>
      </c>
      <c r="CH20" s="33">
        <f t="shared" ca="1" si="8"/>
        <v>1</v>
      </c>
      <c r="CI20" s="33">
        <f t="shared" ca="1" si="9"/>
        <v>1</v>
      </c>
      <c r="CJ20" s="36">
        <f t="shared" ca="1" si="10"/>
        <v>100</v>
      </c>
      <c r="CK20" s="34">
        <f t="shared" si="13"/>
        <v>0</v>
      </c>
      <c r="CL20" s="21"/>
      <c r="CM20" s="35" t="str">
        <f t="shared" ca="1" si="11"/>
        <v>TERMINADO</v>
      </c>
      <c r="CN20" s="82"/>
      <c r="CO20" s="145" t="s">
        <v>247</v>
      </c>
      <c r="CP20" s="26" t="s">
        <v>123</v>
      </c>
    </row>
    <row r="21" spans="1:94" ht="24.75" customHeight="1">
      <c r="A21" s="48" t="s">
        <v>248</v>
      </c>
      <c r="B21" s="77" t="s">
        <v>249</v>
      </c>
      <c r="C21" s="17" t="s">
        <v>104</v>
      </c>
      <c r="D21" s="18" t="s">
        <v>250</v>
      </c>
      <c r="E21" s="17" t="s">
        <v>106</v>
      </c>
      <c r="F21" s="17" t="s">
        <v>107</v>
      </c>
      <c r="G21" s="17" t="s">
        <v>108</v>
      </c>
      <c r="H21" s="78">
        <v>1015476312</v>
      </c>
      <c r="I21" s="74" t="s">
        <v>251</v>
      </c>
      <c r="J21" s="16"/>
      <c r="K21" s="16"/>
      <c r="L21" s="20" t="s">
        <v>252</v>
      </c>
      <c r="M21" s="16" t="s">
        <v>111</v>
      </c>
      <c r="N21" s="22">
        <v>45294</v>
      </c>
      <c r="O21" s="22">
        <v>45294</v>
      </c>
      <c r="P21" s="22">
        <v>45657</v>
      </c>
      <c r="Q21" s="23">
        <f t="shared" si="0"/>
        <v>363</v>
      </c>
      <c r="R21" s="17" t="s">
        <v>112</v>
      </c>
      <c r="S21" s="16" t="s">
        <v>253</v>
      </c>
      <c r="T21" s="16" t="s">
        <v>254</v>
      </c>
      <c r="U21" s="67">
        <v>46643904</v>
      </c>
      <c r="V21" s="16" t="s">
        <v>216</v>
      </c>
      <c r="W21" s="224">
        <v>46643904</v>
      </c>
      <c r="X21" s="67">
        <v>3886992</v>
      </c>
      <c r="Y21" s="24"/>
      <c r="Z21" s="24"/>
      <c r="AA21" s="17" t="s">
        <v>116</v>
      </c>
      <c r="AB21" s="23" t="str">
        <f>IFERROR(VLOOKUP(AA21,Listas!$A$1:$C$14,2,FALSE),"")</f>
        <v>FREDY CÉSPEDES VILLA</v>
      </c>
      <c r="AC21" s="23">
        <f>IFERROR(VLOOKUP(AA21,Listas!$A$1:$C$14,3,FALSE),"")</f>
        <v>93363483</v>
      </c>
      <c r="AD21" s="17" t="s">
        <v>217</v>
      </c>
      <c r="AE21" s="17" t="s">
        <v>218</v>
      </c>
      <c r="AF21" s="23" t="str">
        <f>IFERROR(VLOOKUP(AE21,Listas!$AD$1:$AF$66,2,FALSE),"")</f>
        <v>GISSET XIMENA BARRETO VILLAMIL</v>
      </c>
      <c r="AG21" s="23">
        <f>IFERROR(VLOOKUP(AE21,Listas!$AD$1:$AF$65,3,FALSE),"")</f>
        <v>1015408521</v>
      </c>
      <c r="AH21" s="17" t="s">
        <v>118</v>
      </c>
      <c r="AI21" s="65" t="s">
        <v>255</v>
      </c>
      <c r="AJ21" s="25" t="s">
        <v>119</v>
      </c>
      <c r="AK21" s="26" t="s">
        <v>120</v>
      </c>
      <c r="AL21" s="26" t="s">
        <v>120</v>
      </c>
      <c r="AM21" s="90" t="s">
        <v>119</v>
      </c>
      <c r="AN21" s="105">
        <v>36018</v>
      </c>
      <c r="AO21" s="91">
        <f t="shared" ca="1" si="1"/>
        <v>27</v>
      </c>
      <c r="AP21" s="26" t="s">
        <v>121</v>
      </c>
      <c r="AQ21" s="26" t="s">
        <v>220</v>
      </c>
      <c r="AR21" s="89"/>
      <c r="AS21" s="27"/>
      <c r="AT21" s="16"/>
      <c r="AU21" s="27"/>
      <c r="AV21" s="86"/>
      <c r="AW21" s="27"/>
      <c r="AX21" s="27"/>
      <c r="AY21" s="27"/>
      <c r="AZ21" s="27"/>
      <c r="BA21" s="27"/>
      <c r="BB21" s="27"/>
      <c r="BC21" s="97"/>
      <c r="BD21" s="27"/>
      <c r="BE21" s="16"/>
      <c r="BF21" s="28">
        <f t="shared" si="2"/>
        <v>0</v>
      </c>
      <c r="BG21" s="29"/>
      <c r="BH21" s="27"/>
      <c r="BI21" s="31">
        <f t="shared" si="3"/>
        <v>363</v>
      </c>
      <c r="BJ21" s="31">
        <f t="shared" si="4"/>
        <v>45657</v>
      </c>
      <c r="BK21" s="27"/>
      <c r="BL21" s="16"/>
      <c r="BM21" s="27"/>
      <c r="BN21" s="16"/>
      <c r="BO21" s="27"/>
      <c r="BP21" s="16"/>
      <c r="BQ21" s="27"/>
      <c r="BR21" s="24"/>
      <c r="BS21" s="24"/>
      <c r="BT21" s="32"/>
      <c r="BU21" s="27"/>
      <c r="BV21" s="24"/>
      <c r="BW21" s="24"/>
      <c r="BX21" s="16"/>
      <c r="BY21" s="27"/>
      <c r="BZ21" s="24"/>
      <c r="CA21" s="24"/>
      <c r="CB21" s="16"/>
      <c r="CC21" s="49">
        <f t="shared" si="5"/>
        <v>0</v>
      </c>
      <c r="CD21" s="24"/>
      <c r="CE21" s="49">
        <f t="shared" si="6"/>
        <v>46643904</v>
      </c>
      <c r="CF21" s="50"/>
      <c r="CG21" s="49">
        <f t="shared" ca="1" si="7"/>
        <v>46643904</v>
      </c>
      <c r="CH21" s="33">
        <f t="shared" ca="1" si="8"/>
        <v>1</v>
      </c>
      <c r="CI21" s="33">
        <f t="shared" ca="1" si="9"/>
        <v>1</v>
      </c>
      <c r="CJ21" s="36">
        <f t="shared" ca="1" si="10"/>
        <v>100</v>
      </c>
      <c r="CK21" s="34">
        <f t="shared" si="13"/>
        <v>0</v>
      </c>
      <c r="CL21" s="21"/>
      <c r="CM21" s="35" t="str">
        <f t="shared" ca="1" si="11"/>
        <v>TERMINADO</v>
      </c>
      <c r="CN21" s="82"/>
      <c r="CO21" s="145" t="s">
        <v>256</v>
      </c>
      <c r="CP21" s="26" t="s">
        <v>123</v>
      </c>
    </row>
    <row r="22" spans="1:94" ht="24.75" customHeight="1">
      <c r="A22" s="48" t="s">
        <v>257</v>
      </c>
      <c r="B22" s="77" t="s">
        <v>258</v>
      </c>
      <c r="C22" s="17" t="s">
        <v>104</v>
      </c>
      <c r="D22" s="18" t="s">
        <v>259</v>
      </c>
      <c r="E22" s="17" t="s">
        <v>106</v>
      </c>
      <c r="F22" s="17" t="s">
        <v>107</v>
      </c>
      <c r="G22" s="17" t="s">
        <v>108</v>
      </c>
      <c r="H22" s="78">
        <v>1049624779</v>
      </c>
      <c r="I22" s="74" t="s">
        <v>260</v>
      </c>
      <c r="J22" s="16"/>
      <c r="K22" s="16"/>
      <c r="L22" s="20" t="s">
        <v>261</v>
      </c>
      <c r="M22" s="16" t="s">
        <v>111</v>
      </c>
      <c r="N22" s="22">
        <v>45294</v>
      </c>
      <c r="O22" s="22">
        <v>45295</v>
      </c>
      <c r="P22" s="22">
        <v>45657</v>
      </c>
      <c r="Q22" s="23">
        <f t="shared" si="0"/>
        <v>362</v>
      </c>
      <c r="R22" s="17" t="s">
        <v>112</v>
      </c>
      <c r="S22" s="16" t="s">
        <v>262</v>
      </c>
      <c r="T22" s="16" t="s">
        <v>263</v>
      </c>
      <c r="U22" s="67">
        <v>167142384</v>
      </c>
      <c r="V22" s="16" t="s">
        <v>264</v>
      </c>
      <c r="W22" s="224">
        <v>167142384</v>
      </c>
      <c r="X22" s="67">
        <v>13928532</v>
      </c>
      <c r="Y22" s="24"/>
      <c r="Z22" s="24"/>
      <c r="AA22" s="17" t="s">
        <v>116</v>
      </c>
      <c r="AB22" s="23" t="str">
        <f>IFERROR(VLOOKUP(AA22,Listas!$A$1:$C$14,2,FALSE),"")</f>
        <v>FREDY CÉSPEDES VILLA</v>
      </c>
      <c r="AC22" s="23">
        <f>IFERROR(VLOOKUP(AA22,Listas!$A$1:$C$14,3,FALSE),"")</f>
        <v>93363483</v>
      </c>
      <c r="AD22" s="17" t="s">
        <v>217</v>
      </c>
      <c r="AE22" s="17" t="s">
        <v>265</v>
      </c>
      <c r="AF22" s="23" t="str">
        <f>IFERROR(VLOOKUP(AE22,Listas!$AD$1:$AF$66,2,FALSE),"")</f>
        <v>EDGAR ANTONIO GÓMEZ ÁLVAREZ</v>
      </c>
      <c r="AG22" s="23">
        <f>IFERROR(VLOOKUP(AE22,Listas!$AD$1:$AF$65,3,FALSE),"")</f>
        <v>2231755</v>
      </c>
      <c r="AH22" s="17" t="s">
        <v>118</v>
      </c>
      <c r="AI22" s="65" t="s">
        <v>266</v>
      </c>
      <c r="AJ22" s="25" t="s">
        <v>119</v>
      </c>
      <c r="AK22" s="26" t="s">
        <v>120</v>
      </c>
      <c r="AL22" s="26" t="s">
        <v>120</v>
      </c>
      <c r="AM22" s="90" t="s">
        <v>119</v>
      </c>
      <c r="AN22" s="105">
        <v>33290</v>
      </c>
      <c r="AO22" s="91">
        <f t="shared" ca="1" si="1"/>
        <v>34</v>
      </c>
      <c r="AP22" s="26" t="s">
        <v>121</v>
      </c>
      <c r="AQ22" s="26" t="s">
        <v>220</v>
      </c>
      <c r="AR22" s="89"/>
      <c r="AS22" s="27"/>
      <c r="AT22" s="16"/>
      <c r="AU22" s="27"/>
      <c r="AV22" s="86"/>
      <c r="AW22" s="27"/>
      <c r="AX22" s="27"/>
      <c r="AY22" s="27"/>
      <c r="AZ22" s="27"/>
      <c r="BA22" s="27"/>
      <c r="BB22" s="27"/>
      <c r="BC22" s="97"/>
      <c r="BD22" s="27"/>
      <c r="BE22" s="16"/>
      <c r="BF22" s="28">
        <f t="shared" si="2"/>
        <v>0</v>
      </c>
      <c r="BG22" s="29"/>
      <c r="BH22" s="27"/>
      <c r="BI22" s="31">
        <f t="shared" si="3"/>
        <v>362</v>
      </c>
      <c r="BJ22" s="31">
        <f t="shared" si="4"/>
        <v>45657</v>
      </c>
      <c r="BK22" s="27"/>
      <c r="BL22" s="16"/>
      <c r="BM22" s="27"/>
      <c r="BN22" s="16"/>
      <c r="BO22" s="27"/>
      <c r="BP22" s="16"/>
      <c r="BQ22" s="27"/>
      <c r="BR22" s="24"/>
      <c r="BS22" s="24"/>
      <c r="BT22" s="32"/>
      <c r="BU22" s="27"/>
      <c r="BV22" s="24"/>
      <c r="BW22" s="24"/>
      <c r="BX22" s="16"/>
      <c r="BY22" s="27"/>
      <c r="BZ22" s="24"/>
      <c r="CA22" s="24"/>
      <c r="CB22" s="16"/>
      <c r="CC22" s="49">
        <f t="shared" si="5"/>
        <v>0</v>
      </c>
      <c r="CD22" s="24"/>
      <c r="CE22" s="49">
        <f t="shared" si="6"/>
        <v>167142384</v>
      </c>
      <c r="CF22" s="50"/>
      <c r="CG22" s="49">
        <f t="shared" ca="1" si="7"/>
        <v>167142384</v>
      </c>
      <c r="CH22" s="33">
        <f t="shared" ca="1" si="8"/>
        <v>1</v>
      </c>
      <c r="CI22" s="33">
        <f t="shared" ca="1" si="9"/>
        <v>1</v>
      </c>
      <c r="CJ22" s="36">
        <f t="shared" ca="1" si="10"/>
        <v>100</v>
      </c>
      <c r="CK22" s="34">
        <f t="shared" si="13"/>
        <v>0</v>
      </c>
      <c r="CL22" s="21"/>
      <c r="CM22" s="35" t="str">
        <f t="shared" ca="1" si="11"/>
        <v>TERMINADO</v>
      </c>
      <c r="CN22" s="82"/>
      <c r="CO22" s="145" t="s">
        <v>267</v>
      </c>
      <c r="CP22" s="26" t="s">
        <v>123</v>
      </c>
    </row>
    <row r="23" spans="1:94" ht="24.75" customHeight="1">
      <c r="A23" s="48" t="s">
        <v>268</v>
      </c>
      <c r="B23" s="77" t="s">
        <v>269</v>
      </c>
      <c r="C23" s="17" t="s">
        <v>104</v>
      </c>
      <c r="D23" s="18" t="s">
        <v>270</v>
      </c>
      <c r="E23" s="17" t="s">
        <v>106</v>
      </c>
      <c r="F23" s="17" t="s">
        <v>107</v>
      </c>
      <c r="G23" s="17" t="s">
        <v>108</v>
      </c>
      <c r="H23" s="78">
        <v>1098131056</v>
      </c>
      <c r="I23" s="74" t="s">
        <v>271</v>
      </c>
      <c r="J23" s="16"/>
      <c r="K23" s="16"/>
      <c r="L23" s="20" t="s">
        <v>234</v>
      </c>
      <c r="M23" s="16" t="s">
        <v>111</v>
      </c>
      <c r="N23" s="22">
        <v>45295</v>
      </c>
      <c r="O23" s="22">
        <v>45296</v>
      </c>
      <c r="P23" s="22">
        <v>45656</v>
      </c>
      <c r="Q23" s="23">
        <f t="shared" si="0"/>
        <v>360</v>
      </c>
      <c r="R23" s="17" t="s">
        <v>112</v>
      </c>
      <c r="S23" s="16" t="s">
        <v>272</v>
      </c>
      <c r="T23" s="16" t="s">
        <v>114</v>
      </c>
      <c r="U23" s="67">
        <v>48552084</v>
      </c>
      <c r="V23" s="16" t="s">
        <v>115</v>
      </c>
      <c r="W23" s="224">
        <v>48552084</v>
      </c>
      <c r="X23" s="67">
        <v>4046007</v>
      </c>
      <c r="Y23" s="24"/>
      <c r="Z23" s="24"/>
      <c r="AA23" s="17" t="s">
        <v>116</v>
      </c>
      <c r="AB23" s="23" t="str">
        <f>IFERROR(VLOOKUP(AA23,Listas!$A$1:$C$14,2,FALSE),"")</f>
        <v>FREDY CÉSPEDES VILLA</v>
      </c>
      <c r="AC23" s="23">
        <f>IFERROR(VLOOKUP(AA23,Listas!$A$1:$C$14,3,FALSE),"")</f>
        <v>93363483</v>
      </c>
      <c r="AD23" s="17" t="s">
        <v>116</v>
      </c>
      <c r="AE23" s="17" t="s">
        <v>117</v>
      </c>
      <c r="AF23" s="23" t="str">
        <f>IFERROR(VLOOKUP(AE23,Listas!$AD$1:$AF$66,2,FALSE),"")</f>
        <v>DIANA BARRERA MEDINA</v>
      </c>
      <c r="AG23" s="23">
        <f>IFERROR(VLOOKUP(AE23,Listas!$AD$1:$AF$65,3,FALSE),"")</f>
        <v>52964360</v>
      </c>
      <c r="AH23" s="17" t="s">
        <v>118</v>
      </c>
      <c r="AI23" s="65" t="s">
        <v>273</v>
      </c>
      <c r="AJ23" s="25" t="s">
        <v>119</v>
      </c>
      <c r="AK23" s="26" t="s">
        <v>120</v>
      </c>
      <c r="AL23" s="26" t="s">
        <v>120</v>
      </c>
      <c r="AM23" s="90" t="s">
        <v>119</v>
      </c>
      <c r="AN23" s="105">
        <v>33534</v>
      </c>
      <c r="AO23" s="91">
        <f t="shared" ca="1" si="1"/>
        <v>34</v>
      </c>
      <c r="AP23" s="26" t="s">
        <v>121</v>
      </c>
      <c r="AQ23" s="26" t="s">
        <v>122</v>
      </c>
      <c r="AR23" s="89"/>
      <c r="AS23" s="27"/>
      <c r="AT23" s="16"/>
      <c r="AU23" s="27"/>
      <c r="AV23" s="86"/>
      <c r="AW23" s="27"/>
      <c r="AX23" s="27"/>
      <c r="AY23" s="27"/>
      <c r="AZ23" s="27"/>
      <c r="BA23" s="27"/>
      <c r="BB23" s="27"/>
      <c r="BC23" s="97"/>
      <c r="BD23" s="27"/>
      <c r="BE23" s="16"/>
      <c r="BF23" s="28">
        <f t="shared" si="2"/>
        <v>0</v>
      </c>
      <c r="BG23" s="29"/>
      <c r="BH23" s="27"/>
      <c r="BI23" s="31">
        <f t="shared" si="3"/>
        <v>360</v>
      </c>
      <c r="BJ23" s="31">
        <f t="shared" si="4"/>
        <v>45656</v>
      </c>
      <c r="BK23" s="27"/>
      <c r="BL23" s="16"/>
      <c r="BM23" s="27"/>
      <c r="BN23" s="16"/>
      <c r="BO23" s="27"/>
      <c r="BP23" s="16"/>
      <c r="BQ23" s="27"/>
      <c r="BR23" s="24"/>
      <c r="BS23" s="24"/>
      <c r="BT23" s="32"/>
      <c r="BU23" s="27"/>
      <c r="BV23" s="24"/>
      <c r="BW23" s="24"/>
      <c r="BX23" s="16"/>
      <c r="BY23" s="27"/>
      <c r="BZ23" s="24"/>
      <c r="CA23" s="24"/>
      <c r="CB23" s="16"/>
      <c r="CC23" s="49">
        <f t="shared" si="5"/>
        <v>0</v>
      </c>
      <c r="CD23" s="24"/>
      <c r="CE23" s="49">
        <f t="shared" si="6"/>
        <v>48552084</v>
      </c>
      <c r="CF23" s="50"/>
      <c r="CG23" s="49">
        <f t="shared" ca="1" si="7"/>
        <v>48552084</v>
      </c>
      <c r="CH23" s="33">
        <f t="shared" ca="1" si="8"/>
        <v>1</v>
      </c>
      <c r="CI23" s="33">
        <f t="shared" ca="1" si="9"/>
        <v>1</v>
      </c>
      <c r="CJ23" s="36">
        <f t="shared" ca="1" si="10"/>
        <v>100</v>
      </c>
      <c r="CK23" s="34">
        <f t="shared" si="13"/>
        <v>0</v>
      </c>
      <c r="CL23" s="21"/>
      <c r="CM23" s="35" t="str">
        <f t="shared" ca="1" si="11"/>
        <v>TERMINADO</v>
      </c>
      <c r="CN23" s="82"/>
      <c r="CP23" s="26" t="s">
        <v>123</v>
      </c>
    </row>
    <row r="24" spans="1:94" ht="24.75" customHeight="1">
      <c r="A24" s="48" t="s">
        <v>274</v>
      </c>
      <c r="B24" s="77" t="s">
        <v>275</v>
      </c>
      <c r="C24" s="17" t="s">
        <v>104</v>
      </c>
      <c r="D24" s="18" t="s">
        <v>276</v>
      </c>
      <c r="E24" s="17" t="s">
        <v>106</v>
      </c>
      <c r="F24" s="17" t="s">
        <v>107</v>
      </c>
      <c r="G24" s="17" t="s">
        <v>108</v>
      </c>
      <c r="H24" s="78">
        <v>1018500881</v>
      </c>
      <c r="I24" s="74" t="s">
        <v>277</v>
      </c>
      <c r="J24" s="16"/>
      <c r="K24" s="16"/>
      <c r="L24" s="20" t="s">
        <v>278</v>
      </c>
      <c r="M24" s="16" t="s">
        <v>111</v>
      </c>
      <c r="N24" s="22">
        <v>45295</v>
      </c>
      <c r="O24" s="22">
        <v>45296</v>
      </c>
      <c r="P24" s="22">
        <v>45656</v>
      </c>
      <c r="Q24" s="23">
        <f t="shared" si="0"/>
        <v>360</v>
      </c>
      <c r="R24" s="17" t="s">
        <v>242</v>
      </c>
      <c r="S24" s="16" t="s">
        <v>279</v>
      </c>
      <c r="T24" s="16" t="s">
        <v>280</v>
      </c>
      <c r="U24" s="67">
        <v>69149952</v>
      </c>
      <c r="V24" s="16" t="s">
        <v>281</v>
      </c>
      <c r="W24" s="224">
        <v>69149952</v>
      </c>
      <c r="X24" s="67">
        <v>5762496</v>
      </c>
      <c r="Y24" s="24"/>
      <c r="Z24" s="24"/>
      <c r="AA24" s="17" t="s">
        <v>116</v>
      </c>
      <c r="AB24" s="23" t="str">
        <f>IFERROR(VLOOKUP(AA24,Listas!$A$1:$C$14,2,FALSE),"")</f>
        <v>FREDY CÉSPEDES VILLA</v>
      </c>
      <c r="AC24" s="23">
        <f>IFERROR(VLOOKUP(AA24,Listas!$A$1:$C$14,3,FALSE),"")</f>
        <v>93363483</v>
      </c>
      <c r="AD24" s="17" t="s">
        <v>282</v>
      </c>
      <c r="AE24" s="17" t="s">
        <v>283</v>
      </c>
      <c r="AF24" s="23" t="str">
        <f>IFERROR(VLOOKUP(AE24,Listas!$AD$1:$AF$66,2,FALSE),"")</f>
        <v>MARÍA STELLA CARREÑO JURADO</v>
      </c>
      <c r="AG24" s="23">
        <f>IFERROR(VLOOKUP(AE24,Listas!$AD$1:$AF$65,3,FALSE),"")</f>
        <v>51774925</v>
      </c>
      <c r="AH24" s="17" t="s">
        <v>118</v>
      </c>
      <c r="AI24" s="65" t="s">
        <v>284</v>
      </c>
      <c r="AJ24" s="25" t="s">
        <v>119</v>
      </c>
      <c r="AK24" s="26" t="s">
        <v>120</v>
      </c>
      <c r="AL24" s="26" t="s">
        <v>120</v>
      </c>
      <c r="AM24" s="90" t="s">
        <v>119</v>
      </c>
      <c r="AN24" s="105">
        <v>35830</v>
      </c>
      <c r="AO24" s="91">
        <f t="shared" ca="1" si="1"/>
        <v>27</v>
      </c>
      <c r="AP24" s="26" t="s">
        <v>121</v>
      </c>
      <c r="AQ24" s="26" t="s">
        <v>285</v>
      </c>
      <c r="AR24" s="89"/>
      <c r="AS24" s="27"/>
      <c r="AT24" s="16"/>
      <c r="AU24" s="27"/>
      <c r="AV24" s="86"/>
      <c r="AW24" s="27"/>
      <c r="AX24" s="27"/>
      <c r="AY24" s="27"/>
      <c r="AZ24" s="27"/>
      <c r="BA24" s="27"/>
      <c r="BB24" s="27"/>
      <c r="BC24" s="97"/>
      <c r="BD24" s="27"/>
      <c r="BE24" s="16"/>
      <c r="BF24" s="28">
        <f t="shared" si="2"/>
        <v>0</v>
      </c>
      <c r="BG24" s="29"/>
      <c r="BH24" s="27"/>
      <c r="BI24" s="31">
        <f t="shared" si="3"/>
        <v>360</v>
      </c>
      <c r="BJ24" s="31">
        <f t="shared" si="4"/>
        <v>45656</v>
      </c>
      <c r="BK24" s="27"/>
      <c r="BL24" s="16"/>
      <c r="BM24" s="27"/>
      <c r="BN24" s="16"/>
      <c r="BO24" s="27"/>
      <c r="BP24" s="16"/>
      <c r="BQ24" s="27"/>
      <c r="BR24" s="24"/>
      <c r="BS24" s="24"/>
      <c r="BT24" s="32"/>
      <c r="BU24" s="27"/>
      <c r="BV24" s="24"/>
      <c r="BW24" s="24"/>
      <c r="BX24" s="16"/>
      <c r="BY24" s="27"/>
      <c r="BZ24" s="24"/>
      <c r="CA24" s="24"/>
      <c r="CB24" s="16"/>
      <c r="CC24" s="49">
        <f t="shared" si="5"/>
        <v>0</v>
      </c>
      <c r="CD24" s="24"/>
      <c r="CE24" s="49">
        <f t="shared" si="6"/>
        <v>69149952</v>
      </c>
      <c r="CF24" s="50"/>
      <c r="CG24" s="49">
        <f t="shared" ca="1" si="7"/>
        <v>69149952</v>
      </c>
      <c r="CH24" s="33">
        <f t="shared" ca="1" si="8"/>
        <v>1</v>
      </c>
      <c r="CI24" s="33">
        <f t="shared" ca="1" si="9"/>
        <v>1</v>
      </c>
      <c r="CJ24" s="36">
        <f t="shared" ca="1" si="10"/>
        <v>100</v>
      </c>
      <c r="CK24" s="34">
        <f t="shared" si="13"/>
        <v>0</v>
      </c>
      <c r="CL24" s="21"/>
      <c r="CM24" s="35" t="str">
        <f t="shared" ca="1" si="11"/>
        <v>TERMINADO</v>
      </c>
      <c r="CN24" s="82"/>
      <c r="CO24" s="145" t="s">
        <v>286</v>
      </c>
      <c r="CP24" s="26" t="s">
        <v>142</v>
      </c>
    </row>
    <row r="25" spans="1:94" ht="24.75" customHeight="1">
      <c r="A25" s="48" t="s">
        <v>287</v>
      </c>
      <c r="B25" s="77" t="s">
        <v>288</v>
      </c>
      <c r="C25" s="17" t="s">
        <v>104</v>
      </c>
      <c r="D25" s="18" t="s">
        <v>289</v>
      </c>
      <c r="E25" s="17" t="s">
        <v>106</v>
      </c>
      <c r="F25" s="17" t="s">
        <v>107</v>
      </c>
      <c r="G25" s="17" t="s">
        <v>108</v>
      </c>
      <c r="H25" s="78">
        <v>79788275</v>
      </c>
      <c r="I25" s="74" t="s">
        <v>290</v>
      </c>
      <c r="J25" s="16"/>
      <c r="K25" s="16"/>
      <c r="L25" s="20" t="s">
        <v>291</v>
      </c>
      <c r="M25" s="16" t="s">
        <v>111</v>
      </c>
      <c r="N25" s="22">
        <v>45295</v>
      </c>
      <c r="O25" s="22">
        <v>45296</v>
      </c>
      <c r="P25" s="22">
        <v>45656</v>
      </c>
      <c r="Q25" s="23">
        <f t="shared" si="0"/>
        <v>360</v>
      </c>
      <c r="R25" s="17" t="s">
        <v>242</v>
      </c>
      <c r="S25" s="16" t="s">
        <v>292</v>
      </c>
      <c r="T25" s="16" t="s">
        <v>280</v>
      </c>
      <c r="U25" s="67">
        <v>125058408</v>
      </c>
      <c r="V25" s="16" t="s">
        <v>281</v>
      </c>
      <c r="W25" s="224">
        <v>125058408</v>
      </c>
      <c r="X25" s="67">
        <v>10421534</v>
      </c>
      <c r="Y25" s="24"/>
      <c r="Z25" s="24"/>
      <c r="AA25" s="17" t="s">
        <v>116</v>
      </c>
      <c r="AB25" s="23" t="str">
        <f>IFERROR(VLOOKUP(AA25,Listas!$A$1:$C$14,2,FALSE),"")</f>
        <v>FREDY CÉSPEDES VILLA</v>
      </c>
      <c r="AC25" s="23">
        <f>IFERROR(VLOOKUP(AA25,Listas!$A$1:$C$14,3,FALSE),"")</f>
        <v>93363483</v>
      </c>
      <c r="AD25" s="17" t="s">
        <v>282</v>
      </c>
      <c r="AE25" s="17" t="s">
        <v>293</v>
      </c>
      <c r="AF25" s="23" t="str">
        <f>IFERROR(VLOOKUP(AE25,Listas!$AD$1:$AF$66,2,FALSE),"")</f>
        <v>MÓNICA PINTO GARCÍA</v>
      </c>
      <c r="AG25" s="23">
        <f>IFERROR(VLOOKUP(AE25,Listas!$AD$1:$AF$65,3,FALSE),"")</f>
        <v>52867207</v>
      </c>
      <c r="AH25" s="17" t="s">
        <v>118</v>
      </c>
      <c r="AI25" s="65" t="s">
        <v>294</v>
      </c>
      <c r="AJ25" s="25" t="s">
        <v>119</v>
      </c>
      <c r="AK25" s="26" t="s">
        <v>120</v>
      </c>
      <c r="AL25" s="26" t="s">
        <v>120</v>
      </c>
      <c r="AM25" s="90" t="s">
        <v>119</v>
      </c>
      <c r="AN25" s="105">
        <v>27803</v>
      </c>
      <c r="AO25" s="91">
        <f t="shared" ca="1" si="1"/>
        <v>49</v>
      </c>
      <c r="AP25" s="26" t="s">
        <v>121</v>
      </c>
      <c r="AQ25" s="26" t="s">
        <v>285</v>
      </c>
      <c r="AR25" s="89"/>
      <c r="AS25" s="27"/>
      <c r="AT25" s="16"/>
      <c r="AU25" s="27"/>
      <c r="AV25" s="86"/>
      <c r="AW25" s="27"/>
      <c r="AX25" s="27"/>
      <c r="AY25" s="27"/>
      <c r="AZ25" s="27"/>
      <c r="BA25" s="27"/>
      <c r="BB25" s="27"/>
      <c r="BC25" s="97"/>
      <c r="BD25" s="27"/>
      <c r="BE25" s="16"/>
      <c r="BF25" s="28">
        <f t="shared" si="2"/>
        <v>0</v>
      </c>
      <c r="BG25" s="29"/>
      <c r="BH25" s="27"/>
      <c r="BI25" s="31">
        <f t="shared" si="3"/>
        <v>360</v>
      </c>
      <c r="BJ25" s="31">
        <f t="shared" si="4"/>
        <v>45656</v>
      </c>
      <c r="BK25" s="27"/>
      <c r="BL25" s="16"/>
      <c r="BM25" s="27"/>
      <c r="BN25" s="16"/>
      <c r="BO25" s="27"/>
      <c r="BP25" s="16"/>
      <c r="BQ25" s="27"/>
      <c r="BR25" s="24"/>
      <c r="BS25" s="24"/>
      <c r="BT25" s="32"/>
      <c r="BU25" s="27"/>
      <c r="BV25" s="24"/>
      <c r="BW25" s="24"/>
      <c r="BX25" s="16"/>
      <c r="BY25" s="27"/>
      <c r="BZ25" s="24"/>
      <c r="CA25" s="24"/>
      <c r="CB25" s="16"/>
      <c r="CC25" s="49">
        <f t="shared" si="5"/>
        <v>0</v>
      </c>
      <c r="CD25" s="24"/>
      <c r="CE25" s="49">
        <f t="shared" si="6"/>
        <v>125058408</v>
      </c>
      <c r="CF25" s="50"/>
      <c r="CG25" s="49">
        <f t="shared" ca="1" si="7"/>
        <v>125058408</v>
      </c>
      <c r="CH25" s="33">
        <f t="shared" ca="1" si="8"/>
        <v>1</v>
      </c>
      <c r="CI25" s="33">
        <f t="shared" ca="1" si="9"/>
        <v>1</v>
      </c>
      <c r="CJ25" s="36">
        <f t="shared" ca="1" si="10"/>
        <v>100</v>
      </c>
      <c r="CK25" s="34">
        <f t="shared" si="13"/>
        <v>0</v>
      </c>
      <c r="CL25" s="21"/>
      <c r="CM25" s="35" t="str">
        <f t="shared" ca="1" si="11"/>
        <v>TERMINADO</v>
      </c>
      <c r="CN25" s="82"/>
      <c r="CO25" s="145" t="s">
        <v>295</v>
      </c>
      <c r="CP25" s="26" t="s">
        <v>142</v>
      </c>
    </row>
    <row r="26" spans="1:94" ht="24.75" customHeight="1">
      <c r="A26" s="48" t="s">
        <v>296</v>
      </c>
      <c r="B26" s="77" t="s">
        <v>297</v>
      </c>
      <c r="C26" s="17" t="s">
        <v>104</v>
      </c>
      <c r="D26" s="18" t="s">
        <v>298</v>
      </c>
      <c r="E26" s="17" t="s">
        <v>106</v>
      </c>
      <c r="F26" s="17" t="s">
        <v>107</v>
      </c>
      <c r="G26" s="17" t="s">
        <v>108</v>
      </c>
      <c r="H26" s="78">
        <v>52228100</v>
      </c>
      <c r="I26" s="74" t="s">
        <v>299</v>
      </c>
      <c r="J26" s="16"/>
      <c r="K26" s="16"/>
      <c r="L26" s="96" t="s">
        <v>300</v>
      </c>
      <c r="M26" s="16" t="s">
        <v>111</v>
      </c>
      <c r="N26" s="22">
        <v>45295</v>
      </c>
      <c r="O26" s="22">
        <v>45296</v>
      </c>
      <c r="P26" s="22">
        <v>45656</v>
      </c>
      <c r="Q26" s="23">
        <f t="shared" si="0"/>
        <v>360</v>
      </c>
      <c r="R26" s="17" t="s">
        <v>242</v>
      </c>
      <c r="S26" s="16" t="s">
        <v>301</v>
      </c>
      <c r="T26" s="16" t="s">
        <v>302</v>
      </c>
      <c r="U26" s="67">
        <v>52358605</v>
      </c>
      <c r="V26" s="16" t="s">
        <v>303</v>
      </c>
      <c r="W26" s="224">
        <v>52358605</v>
      </c>
      <c r="X26" s="67">
        <v>4412242</v>
      </c>
      <c r="Y26" s="24"/>
      <c r="Z26" s="24"/>
      <c r="AA26" s="17" t="s">
        <v>116</v>
      </c>
      <c r="AB26" s="23" t="str">
        <f>IFERROR(VLOOKUP(AA26,Listas!$A$1:$C$14,2,FALSE),"")</f>
        <v>FREDY CÉSPEDES VILLA</v>
      </c>
      <c r="AC26" s="23">
        <f>IFERROR(VLOOKUP(AA26,Listas!$A$1:$C$14,3,FALSE),"")</f>
        <v>93363483</v>
      </c>
      <c r="AD26" s="17" t="s">
        <v>304</v>
      </c>
      <c r="AE26" s="17" t="s">
        <v>305</v>
      </c>
      <c r="AF26" s="23" t="str">
        <f>IFERROR(VLOOKUP(AE26,Listas!$AD$1:$AF$66,2,FALSE),"")</f>
        <v>ALVARO HERNAN URQUIJO GOMEZ</v>
      </c>
      <c r="AG26" s="23">
        <v>80505520</v>
      </c>
      <c r="AH26" s="17" t="s">
        <v>118</v>
      </c>
      <c r="AI26" s="65" t="s">
        <v>306</v>
      </c>
      <c r="AJ26" s="25" t="s">
        <v>119</v>
      </c>
      <c r="AK26" s="26" t="s">
        <v>120</v>
      </c>
      <c r="AL26" s="26" t="s">
        <v>120</v>
      </c>
      <c r="AM26" s="90" t="s">
        <v>119</v>
      </c>
      <c r="AN26" s="105">
        <v>27616</v>
      </c>
      <c r="AO26" s="91">
        <f t="shared" ca="1" si="1"/>
        <v>50</v>
      </c>
      <c r="AP26" s="26" t="s">
        <v>121</v>
      </c>
      <c r="AQ26" s="26" t="s">
        <v>122</v>
      </c>
      <c r="AR26" s="89"/>
      <c r="AS26" s="27"/>
      <c r="AT26" s="16"/>
      <c r="AU26" s="27"/>
      <c r="AV26" s="86"/>
      <c r="AW26" s="27"/>
      <c r="AX26" s="27"/>
      <c r="AY26" s="27"/>
      <c r="AZ26" s="27"/>
      <c r="BA26" s="27"/>
      <c r="BB26" s="27"/>
      <c r="BC26" s="97"/>
      <c r="BD26" s="27"/>
      <c r="BE26" s="16"/>
      <c r="BF26" s="28">
        <f t="shared" si="2"/>
        <v>0</v>
      </c>
      <c r="BG26" s="29"/>
      <c r="BH26" s="27"/>
      <c r="BI26" s="31">
        <f t="shared" si="3"/>
        <v>360</v>
      </c>
      <c r="BJ26" s="31">
        <f t="shared" si="4"/>
        <v>45656</v>
      </c>
      <c r="BK26" s="27"/>
      <c r="BL26" s="16"/>
      <c r="BM26" s="27"/>
      <c r="BN26" s="16"/>
      <c r="BO26" s="27"/>
      <c r="BP26" s="16"/>
      <c r="BQ26" s="27"/>
      <c r="BR26" s="24"/>
      <c r="BS26" s="24"/>
      <c r="BT26" s="32"/>
      <c r="BU26" s="27"/>
      <c r="BV26" s="24"/>
      <c r="BW26" s="24"/>
      <c r="BX26" s="16"/>
      <c r="BY26" s="27"/>
      <c r="BZ26" s="24"/>
      <c r="CA26" s="24"/>
      <c r="CB26" s="16"/>
      <c r="CC26" s="49">
        <f t="shared" si="5"/>
        <v>0</v>
      </c>
      <c r="CD26" s="24"/>
      <c r="CE26" s="49">
        <f t="shared" si="6"/>
        <v>52358605</v>
      </c>
      <c r="CF26" s="50"/>
      <c r="CG26" s="49">
        <f t="shared" ca="1" si="7"/>
        <v>52358605</v>
      </c>
      <c r="CH26" s="33">
        <f t="shared" ca="1" si="8"/>
        <v>1</v>
      </c>
      <c r="CI26" s="33">
        <f t="shared" ca="1" si="9"/>
        <v>1</v>
      </c>
      <c r="CJ26" s="36">
        <f t="shared" ca="1" si="10"/>
        <v>100</v>
      </c>
      <c r="CK26" s="34">
        <f t="shared" si="13"/>
        <v>0</v>
      </c>
      <c r="CL26" s="21"/>
      <c r="CM26" s="35" t="str">
        <f t="shared" ca="1" si="11"/>
        <v>TERMINADO</v>
      </c>
      <c r="CN26" s="82"/>
      <c r="CO26" s="145" t="s">
        <v>307</v>
      </c>
      <c r="CP26" s="26" t="s">
        <v>123</v>
      </c>
    </row>
    <row r="27" spans="1:94" ht="24.75" customHeight="1">
      <c r="A27" s="48" t="s">
        <v>308</v>
      </c>
      <c r="B27" s="77" t="s">
        <v>309</v>
      </c>
      <c r="C27" s="17" t="s">
        <v>104</v>
      </c>
      <c r="D27" s="18" t="s">
        <v>310</v>
      </c>
      <c r="E27" s="17" t="s">
        <v>106</v>
      </c>
      <c r="F27" s="17" t="s">
        <v>107</v>
      </c>
      <c r="G27" s="17" t="s">
        <v>108</v>
      </c>
      <c r="H27" s="78">
        <v>1136882812</v>
      </c>
      <c r="I27" s="74" t="s">
        <v>311</v>
      </c>
      <c r="J27" s="16"/>
      <c r="K27" s="16"/>
      <c r="L27" s="20" t="s">
        <v>312</v>
      </c>
      <c r="M27" s="16" t="s">
        <v>111</v>
      </c>
      <c r="N27" s="22">
        <v>45295</v>
      </c>
      <c r="O27" s="22">
        <v>45364</v>
      </c>
      <c r="P27" s="22">
        <v>45651</v>
      </c>
      <c r="Q27" s="23">
        <f t="shared" si="0"/>
        <v>287</v>
      </c>
      <c r="R27" s="17" t="s">
        <v>242</v>
      </c>
      <c r="S27" s="16" t="s">
        <v>313</v>
      </c>
      <c r="T27" s="16" t="s">
        <v>314</v>
      </c>
      <c r="U27" s="67">
        <v>137895647</v>
      </c>
      <c r="V27" s="16" t="s">
        <v>315</v>
      </c>
      <c r="W27" s="224">
        <v>137895647</v>
      </c>
      <c r="X27" s="24">
        <v>11643417</v>
      </c>
      <c r="Y27" s="24"/>
      <c r="Z27" s="24"/>
      <c r="AA27" s="17" t="s">
        <v>116</v>
      </c>
      <c r="AB27" s="23" t="str">
        <f>IFERROR(VLOOKUP(AA27,Listas!$A$1:$C$14,2,FALSE),"")</f>
        <v>FREDY CÉSPEDES VILLA</v>
      </c>
      <c r="AC27" s="23">
        <f>IFERROR(VLOOKUP(AA27,Listas!$A$1:$C$14,3,FALSE),"")</f>
        <v>93363483</v>
      </c>
      <c r="AD27" s="17" t="s">
        <v>304</v>
      </c>
      <c r="AE27" s="17" t="s">
        <v>305</v>
      </c>
      <c r="AF27" s="23" t="str">
        <f>IFERROR(VLOOKUP(AE27,Listas!$AD$1:$AF$66,2,FALSE),"")</f>
        <v>ALVARO HERNAN URQUIJO GOMEZ</v>
      </c>
      <c r="AG27" s="23">
        <v>80505520</v>
      </c>
      <c r="AH27" s="17" t="s">
        <v>118</v>
      </c>
      <c r="AI27" s="65" t="s">
        <v>316</v>
      </c>
      <c r="AJ27" s="25" t="s">
        <v>119</v>
      </c>
      <c r="AK27" s="26" t="s">
        <v>120</v>
      </c>
      <c r="AL27" s="26" t="s">
        <v>120</v>
      </c>
      <c r="AM27" s="90" t="s">
        <v>119</v>
      </c>
      <c r="AN27" s="105">
        <v>33233</v>
      </c>
      <c r="AO27" s="91">
        <f t="shared" ca="1" si="1"/>
        <v>35</v>
      </c>
      <c r="AP27" s="26" t="s">
        <v>121</v>
      </c>
      <c r="AQ27" s="26" t="s">
        <v>122</v>
      </c>
      <c r="AR27" s="89"/>
      <c r="AS27" s="27"/>
      <c r="AT27" s="16"/>
      <c r="AU27" s="27"/>
      <c r="AV27" s="86"/>
      <c r="AW27" s="27"/>
      <c r="AX27" s="27"/>
      <c r="AY27" s="27"/>
      <c r="AZ27" s="27"/>
      <c r="BA27" s="27"/>
      <c r="BB27" s="27"/>
      <c r="BC27" s="97"/>
      <c r="BD27" s="27"/>
      <c r="BE27" s="16"/>
      <c r="BF27" s="28">
        <f t="shared" si="2"/>
        <v>0</v>
      </c>
      <c r="BG27" s="29"/>
      <c r="BH27" s="27">
        <v>45364</v>
      </c>
      <c r="BI27" s="31">
        <f t="shared" si="3"/>
        <v>287</v>
      </c>
      <c r="BJ27" s="31">
        <f t="shared" si="4"/>
        <v>45364</v>
      </c>
      <c r="BK27" s="27"/>
      <c r="BL27" s="16"/>
      <c r="BM27" s="27"/>
      <c r="BN27" s="16"/>
      <c r="BO27" s="27"/>
      <c r="BP27" s="16"/>
      <c r="BQ27" s="27"/>
      <c r="BR27" s="24"/>
      <c r="BS27" s="24"/>
      <c r="BT27" s="32"/>
      <c r="BU27" s="27"/>
      <c r="BV27" s="24"/>
      <c r="BW27" s="24"/>
      <c r="BX27" s="16"/>
      <c r="BY27" s="27"/>
      <c r="BZ27" s="24"/>
      <c r="CA27" s="24"/>
      <c r="CB27" s="16"/>
      <c r="CC27" s="49">
        <f t="shared" si="5"/>
        <v>0</v>
      </c>
      <c r="CD27" s="24"/>
      <c r="CE27" s="49">
        <f t="shared" si="6"/>
        <v>137895647</v>
      </c>
      <c r="CF27" s="50"/>
      <c r="CG27" s="49">
        <f t="shared" ca="1" si="7"/>
        <v>137895647</v>
      </c>
      <c r="CH27" s="33">
        <f t="shared" ca="1" si="8"/>
        <v>1</v>
      </c>
      <c r="CI27" s="33">
        <f t="shared" ca="1" si="9"/>
        <v>1</v>
      </c>
      <c r="CJ27" s="36">
        <f t="shared" ca="1" si="10"/>
        <v>100</v>
      </c>
      <c r="CK27" s="34">
        <f t="shared" si="13"/>
        <v>0</v>
      </c>
      <c r="CL27" s="21"/>
      <c r="CM27" s="35" t="str">
        <f t="shared" ca="1" si="11"/>
        <v>TERMINADO</v>
      </c>
      <c r="CN27" s="82"/>
      <c r="CO27" s="145" t="s">
        <v>317</v>
      </c>
      <c r="CP27" s="26" t="s">
        <v>123</v>
      </c>
    </row>
    <row r="28" spans="1:94" ht="24.75" customHeight="1">
      <c r="A28" s="48" t="s">
        <v>318</v>
      </c>
      <c r="B28" s="77" t="s">
        <v>319</v>
      </c>
      <c r="C28" s="17" t="s">
        <v>104</v>
      </c>
      <c r="D28" s="18" t="s">
        <v>320</v>
      </c>
      <c r="E28" s="17" t="s">
        <v>106</v>
      </c>
      <c r="F28" s="17" t="s">
        <v>107</v>
      </c>
      <c r="G28" s="17" t="s">
        <v>108</v>
      </c>
      <c r="H28" s="78">
        <v>1031135865</v>
      </c>
      <c r="I28" s="74" t="s">
        <v>321</v>
      </c>
      <c r="J28" s="16"/>
      <c r="K28" s="16"/>
      <c r="L28" s="20" t="s">
        <v>322</v>
      </c>
      <c r="M28" s="16" t="s">
        <v>111</v>
      </c>
      <c r="N28" s="22">
        <v>45295</v>
      </c>
      <c r="O28" s="22">
        <v>45300</v>
      </c>
      <c r="P28" s="22">
        <v>45657</v>
      </c>
      <c r="Q28" s="23">
        <f t="shared" si="0"/>
        <v>357</v>
      </c>
      <c r="R28" s="17" t="s">
        <v>112</v>
      </c>
      <c r="S28" s="16" t="s">
        <v>323</v>
      </c>
      <c r="T28" s="16" t="s">
        <v>114</v>
      </c>
      <c r="U28" s="67">
        <v>48182508</v>
      </c>
      <c r="V28" s="16" t="s">
        <v>324</v>
      </c>
      <c r="W28" s="224">
        <v>48182508</v>
      </c>
      <c r="X28" s="24">
        <v>4015209</v>
      </c>
      <c r="Y28" s="24"/>
      <c r="Z28" s="24"/>
      <c r="AA28" s="17" t="s">
        <v>116</v>
      </c>
      <c r="AB28" s="23" t="str">
        <f>IFERROR(VLOOKUP(AA28,Listas!$A$1:$C$14,2,FALSE),"")</f>
        <v>FREDY CÉSPEDES VILLA</v>
      </c>
      <c r="AC28" s="23">
        <f>IFERROR(VLOOKUP(AA28,Listas!$A$1:$C$14,3,FALSE),"")</f>
        <v>93363483</v>
      </c>
      <c r="AD28" s="17" t="s">
        <v>116</v>
      </c>
      <c r="AE28" s="17" t="s">
        <v>325</v>
      </c>
      <c r="AF28" s="23" t="str">
        <f>IFERROR(VLOOKUP(AE28,Listas!$AD$1:$AF$66,2,FALSE),"")</f>
        <v>SANDRA MILENA MÁRQUEZ PARRA</v>
      </c>
      <c r="AG28" s="23">
        <f>IFERROR(VLOOKUP(AE28,Listas!$AD$1:$AF$65,3,FALSE),"")</f>
        <v>52487587</v>
      </c>
      <c r="AH28" s="17" t="s">
        <v>118</v>
      </c>
      <c r="AI28" s="65" t="s">
        <v>326</v>
      </c>
      <c r="AJ28" s="25" t="s">
        <v>119</v>
      </c>
      <c r="AK28" s="26" t="s">
        <v>120</v>
      </c>
      <c r="AL28" s="26" t="s">
        <v>120</v>
      </c>
      <c r="AM28" s="90" t="s">
        <v>119</v>
      </c>
      <c r="AN28" s="105">
        <v>33589</v>
      </c>
      <c r="AO28" s="91">
        <f t="shared" ca="1" si="1"/>
        <v>34</v>
      </c>
      <c r="AP28" s="26" t="s">
        <v>121</v>
      </c>
      <c r="AQ28" s="26" t="s">
        <v>327</v>
      </c>
      <c r="AR28" s="89"/>
      <c r="AS28" s="27"/>
      <c r="AT28" s="16"/>
      <c r="AU28" s="27"/>
      <c r="AV28" s="86"/>
      <c r="AW28" s="27"/>
      <c r="AX28" s="27"/>
      <c r="AY28" s="27"/>
      <c r="AZ28" s="27"/>
      <c r="BA28" s="27"/>
      <c r="BB28" s="27"/>
      <c r="BC28" s="97"/>
      <c r="BD28" s="27"/>
      <c r="BE28" s="16"/>
      <c r="BF28" s="28">
        <f t="shared" si="2"/>
        <v>0</v>
      </c>
      <c r="BG28" s="29"/>
      <c r="BH28" s="27"/>
      <c r="BI28" s="31">
        <f t="shared" si="3"/>
        <v>357</v>
      </c>
      <c r="BJ28" s="31">
        <f t="shared" si="4"/>
        <v>45657</v>
      </c>
      <c r="BK28" s="27"/>
      <c r="BL28" s="16"/>
      <c r="BM28" s="27"/>
      <c r="BN28" s="16"/>
      <c r="BO28" s="27"/>
      <c r="BP28" s="16"/>
      <c r="BQ28" s="27"/>
      <c r="BR28" s="24"/>
      <c r="BS28" s="24"/>
      <c r="BT28" s="32"/>
      <c r="BU28" s="27"/>
      <c r="BV28" s="24"/>
      <c r="BW28" s="24"/>
      <c r="BX28" s="16"/>
      <c r="BY28" s="27"/>
      <c r="BZ28" s="24"/>
      <c r="CA28" s="24"/>
      <c r="CB28" s="16"/>
      <c r="CC28" s="49">
        <f t="shared" si="5"/>
        <v>0</v>
      </c>
      <c r="CD28" s="24"/>
      <c r="CE28" s="49">
        <f t="shared" si="6"/>
        <v>48182508</v>
      </c>
      <c r="CF28" s="50"/>
      <c r="CG28" s="49">
        <f t="shared" ca="1" si="7"/>
        <v>48182508</v>
      </c>
      <c r="CH28" s="33">
        <f t="shared" ca="1" si="8"/>
        <v>1</v>
      </c>
      <c r="CI28" s="33">
        <f t="shared" ca="1" si="9"/>
        <v>1</v>
      </c>
      <c r="CJ28" s="36">
        <f t="shared" ca="1" si="10"/>
        <v>100</v>
      </c>
      <c r="CK28" s="34">
        <f t="shared" si="13"/>
        <v>0</v>
      </c>
      <c r="CL28" s="21"/>
      <c r="CM28" s="35" t="str">
        <f t="shared" ca="1" si="11"/>
        <v>TERMINADO</v>
      </c>
      <c r="CN28" s="82"/>
      <c r="CO28" s="145" t="s">
        <v>328</v>
      </c>
      <c r="CP28" s="26" t="s">
        <v>123</v>
      </c>
    </row>
    <row r="29" spans="1:94" ht="24.75" customHeight="1">
      <c r="A29" s="48" t="s">
        <v>329</v>
      </c>
      <c r="B29" s="77" t="s">
        <v>330</v>
      </c>
      <c r="C29" s="17" t="s">
        <v>104</v>
      </c>
      <c r="D29" s="18" t="s">
        <v>331</v>
      </c>
      <c r="E29" s="17" t="s">
        <v>106</v>
      </c>
      <c r="F29" s="17" t="s">
        <v>107</v>
      </c>
      <c r="G29" s="17" t="s">
        <v>108</v>
      </c>
      <c r="H29" s="78">
        <v>80095738</v>
      </c>
      <c r="I29" s="74" t="s">
        <v>332</v>
      </c>
      <c r="J29" s="16"/>
      <c r="K29" s="16"/>
      <c r="L29" s="20" t="s">
        <v>333</v>
      </c>
      <c r="M29" s="16" t="s">
        <v>111</v>
      </c>
      <c r="N29" s="22">
        <v>45295</v>
      </c>
      <c r="O29" s="22">
        <v>45296</v>
      </c>
      <c r="P29" s="22">
        <v>45657</v>
      </c>
      <c r="Q29" s="23">
        <f t="shared" si="0"/>
        <v>361</v>
      </c>
      <c r="R29" s="17" t="s">
        <v>112</v>
      </c>
      <c r="S29" s="16" t="s">
        <v>323</v>
      </c>
      <c r="T29" s="16" t="s">
        <v>263</v>
      </c>
      <c r="U29" s="67">
        <v>245105064</v>
      </c>
      <c r="V29" s="16" t="s">
        <v>334</v>
      </c>
      <c r="W29" s="224">
        <v>245105064</v>
      </c>
      <c r="X29" s="24">
        <v>20425398</v>
      </c>
      <c r="Y29" s="24"/>
      <c r="Z29" s="24"/>
      <c r="AA29" s="17" t="s">
        <v>116</v>
      </c>
      <c r="AB29" s="23" t="str">
        <f>IFERROR(VLOOKUP(AA29,Listas!$A$1:$C$14,2,FALSE),"")</f>
        <v>FREDY CÉSPEDES VILLA</v>
      </c>
      <c r="AC29" s="23">
        <f>IFERROR(VLOOKUP(AA29,Listas!$A$1:$C$14,3,FALSE),"")</f>
        <v>93363483</v>
      </c>
      <c r="AD29" s="17" t="s">
        <v>217</v>
      </c>
      <c r="AE29" s="17" t="s">
        <v>265</v>
      </c>
      <c r="AF29" s="23" t="str">
        <f>IFERROR(VLOOKUP(AE29,Listas!$AD$1:$AF$66,2,FALSE),"")</f>
        <v>EDGAR ANTONIO GÓMEZ ÁLVAREZ</v>
      </c>
      <c r="AG29" s="23">
        <f>IFERROR(VLOOKUP(AE29,Listas!$AD$1:$AF$65,3,FALSE),"")</f>
        <v>2231755</v>
      </c>
      <c r="AH29" s="17" t="s">
        <v>118</v>
      </c>
      <c r="AI29" s="65" t="s">
        <v>335</v>
      </c>
      <c r="AJ29" s="25" t="s">
        <v>119</v>
      </c>
      <c r="AK29" s="26" t="s">
        <v>120</v>
      </c>
      <c r="AL29" s="26" t="s">
        <v>120</v>
      </c>
      <c r="AM29" s="90" t="s">
        <v>119</v>
      </c>
      <c r="AN29" s="105">
        <v>29977</v>
      </c>
      <c r="AO29" s="91">
        <f t="shared" ca="1" si="1"/>
        <v>43</v>
      </c>
      <c r="AP29" s="26" t="s">
        <v>121</v>
      </c>
      <c r="AQ29" s="26" t="s">
        <v>220</v>
      </c>
      <c r="AR29" s="89"/>
      <c r="AS29" s="27"/>
      <c r="AT29" s="16"/>
      <c r="AU29" s="27"/>
      <c r="AV29" s="86"/>
      <c r="AW29" s="27"/>
      <c r="AX29" s="27"/>
      <c r="AY29" s="27"/>
      <c r="AZ29" s="27"/>
      <c r="BA29" s="27"/>
      <c r="BB29" s="27"/>
      <c r="BC29" s="97"/>
      <c r="BD29" s="27"/>
      <c r="BE29" s="16"/>
      <c r="BF29" s="28">
        <f t="shared" si="2"/>
        <v>0</v>
      </c>
      <c r="BG29" s="29"/>
      <c r="BH29" s="27"/>
      <c r="BI29" s="31">
        <f t="shared" si="3"/>
        <v>361</v>
      </c>
      <c r="BJ29" s="31">
        <f t="shared" si="4"/>
        <v>45657</v>
      </c>
      <c r="BK29" s="27"/>
      <c r="BL29" s="16"/>
      <c r="BM29" s="27"/>
      <c r="BN29" s="16"/>
      <c r="BO29" s="27"/>
      <c r="BP29" s="16"/>
      <c r="BQ29" s="27"/>
      <c r="BR29" s="24"/>
      <c r="BS29" s="24"/>
      <c r="BT29" s="32"/>
      <c r="BU29" s="27"/>
      <c r="BV29" s="24"/>
      <c r="BW29" s="24"/>
      <c r="BX29" s="16"/>
      <c r="BY29" s="27"/>
      <c r="BZ29" s="24"/>
      <c r="CA29" s="24"/>
      <c r="CB29" s="16"/>
      <c r="CC29" s="49">
        <f t="shared" si="5"/>
        <v>0</v>
      </c>
      <c r="CD29" s="24"/>
      <c r="CE29" s="49">
        <f t="shared" si="6"/>
        <v>245105064</v>
      </c>
      <c r="CF29" s="50"/>
      <c r="CG29" s="49">
        <f t="shared" ca="1" si="7"/>
        <v>245105064</v>
      </c>
      <c r="CH29" s="33">
        <f t="shared" ca="1" si="8"/>
        <v>1</v>
      </c>
      <c r="CI29" s="33">
        <f t="shared" ca="1" si="9"/>
        <v>1</v>
      </c>
      <c r="CJ29" s="36">
        <f t="shared" ca="1" si="10"/>
        <v>100</v>
      </c>
      <c r="CK29" s="34">
        <f t="shared" si="13"/>
        <v>0</v>
      </c>
      <c r="CL29" s="21"/>
      <c r="CM29" s="35" t="str">
        <f t="shared" ca="1" si="11"/>
        <v>TERMINADO</v>
      </c>
      <c r="CN29" s="82"/>
      <c r="CO29" s="145" t="s">
        <v>336</v>
      </c>
      <c r="CP29" s="26" t="s">
        <v>142</v>
      </c>
    </row>
    <row r="30" spans="1:94" ht="24.75" customHeight="1">
      <c r="A30" s="48" t="s">
        <v>337</v>
      </c>
      <c r="B30" s="77" t="s">
        <v>338</v>
      </c>
      <c r="C30" s="17" t="s">
        <v>104</v>
      </c>
      <c r="D30" s="18" t="s">
        <v>339</v>
      </c>
      <c r="E30" s="17" t="s">
        <v>106</v>
      </c>
      <c r="F30" s="17" t="s">
        <v>107</v>
      </c>
      <c r="G30" s="17" t="s">
        <v>108</v>
      </c>
      <c r="H30" s="78">
        <v>1013581478</v>
      </c>
      <c r="I30" s="74" t="s">
        <v>340</v>
      </c>
      <c r="J30" s="16"/>
      <c r="K30" s="16"/>
      <c r="L30" s="20" t="s">
        <v>341</v>
      </c>
      <c r="M30" s="16" t="s">
        <v>111</v>
      </c>
      <c r="N30" s="22">
        <v>45295</v>
      </c>
      <c r="O30" s="22">
        <v>45296</v>
      </c>
      <c r="P30" s="22">
        <v>45656</v>
      </c>
      <c r="Q30" s="23">
        <f t="shared" si="0"/>
        <v>360</v>
      </c>
      <c r="R30" s="17" t="s">
        <v>242</v>
      </c>
      <c r="S30" s="16" t="s">
        <v>342</v>
      </c>
      <c r="T30" s="16" t="s">
        <v>343</v>
      </c>
      <c r="U30" s="67">
        <v>162860039</v>
      </c>
      <c r="V30" s="16" t="s">
        <v>344</v>
      </c>
      <c r="W30" s="224">
        <v>162860039</v>
      </c>
      <c r="X30" s="24">
        <v>13609474</v>
      </c>
      <c r="Y30" s="24"/>
      <c r="Z30" s="24"/>
      <c r="AA30" s="17" t="s">
        <v>116</v>
      </c>
      <c r="AB30" s="23" t="str">
        <f>IFERROR(VLOOKUP(AA30,Listas!$A$1:$C$14,2,FALSE),"")</f>
        <v>FREDY CÉSPEDES VILLA</v>
      </c>
      <c r="AC30" s="23">
        <f>IFERROR(VLOOKUP(AA30,Listas!$A$1:$C$14,3,FALSE),"")</f>
        <v>93363483</v>
      </c>
      <c r="AD30" s="17" t="s">
        <v>345</v>
      </c>
      <c r="AE30" s="17" t="s">
        <v>346</v>
      </c>
      <c r="AF30" s="23" t="str">
        <f>IFERROR(VLOOKUP(AE30,Listas!$AD$1:$AF$66,2,FALSE),"")</f>
        <v>RODOLFO GIOVANNI CANCHILA SUÁREZ</v>
      </c>
      <c r="AG30" s="23">
        <f>IFERROR(VLOOKUP(AE30,Listas!$AD$1:$AF$65,3,FALSE),"")</f>
        <v>79672493</v>
      </c>
      <c r="AH30" s="17" t="s">
        <v>118</v>
      </c>
      <c r="AI30" s="65" t="s">
        <v>335</v>
      </c>
      <c r="AJ30" s="25" t="s">
        <v>119</v>
      </c>
      <c r="AK30" s="26" t="s">
        <v>120</v>
      </c>
      <c r="AL30" s="26" t="s">
        <v>120</v>
      </c>
      <c r="AM30" s="90" t="s">
        <v>119</v>
      </c>
      <c r="AN30" s="105">
        <v>32382</v>
      </c>
      <c r="AO30" s="91">
        <f t="shared" ca="1" si="1"/>
        <v>37</v>
      </c>
      <c r="AP30" s="26" t="s">
        <v>121</v>
      </c>
      <c r="AQ30" s="26" t="s">
        <v>347</v>
      </c>
      <c r="AR30" s="89"/>
      <c r="AS30" s="27"/>
      <c r="AT30" s="16"/>
      <c r="AU30" s="27"/>
      <c r="AV30" s="86"/>
      <c r="AW30" s="27"/>
      <c r="AX30" s="27"/>
      <c r="AY30" s="27"/>
      <c r="AZ30" s="27"/>
      <c r="BA30" s="27"/>
      <c r="BB30" s="27"/>
      <c r="BC30" s="97"/>
      <c r="BD30" s="27"/>
      <c r="BE30" s="16"/>
      <c r="BF30" s="28">
        <f t="shared" si="2"/>
        <v>0</v>
      </c>
      <c r="BG30" s="29"/>
      <c r="BH30" s="27"/>
      <c r="BI30" s="31">
        <f t="shared" si="3"/>
        <v>360</v>
      </c>
      <c r="BJ30" s="31">
        <f t="shared" si="4"/>
        <v>45656</v>
      </c>
      <c r="BK30" s="27"/>
      <c r="BL30" s="16"/>
      <c r="BM30" s="27"/>
      <c r="BN30" s="16"/>
      <c r="BO30" s="27"/>
      <c r="BP30" s="16"/>
      <c r="BQ30" s="27"/>
      <c r="BR30" s="24"/>
      <c r="BS30" s="24"/>
      <c r="BT30" s="32"/>
      <c r="BU30" s="27"/>
      <c r="BV30" s="24"/>
      <c r="BW30" s="24"/>
      <c r="BX30" s="16"/>
      <c r="BY30" s="27"/>
      <c r="BZ30" s="24"/>
      <c r="CA30" s="24"/>
      <c r="CB30" s="16"/>
      <c r="CC30" s="49">
        <f t="shared" si="5"/>
        <v>0</v>
      </c>
      <c r="CD30" s="24"/>
      <c r="CE30" s="49">
        <f t="shared" si="6"/>
        <v>162860039</v>
      </c>
      <c r="CF30" s="50"/>
      <c r="CG30" s="49">
        <f t="shared" ca="1" si="7"/>
        <v>162860039</v>
      </c>
      <c r="CH30" s="33">
        <f t="shared" ca="1" si="8"/>
        <v>1</v>
      </c>
      <c r="CI30" s="33">
        <f t="shared" ca="1" si="9"/>
        <v>1</v>
      </c>
      <c r="CJ30" s="36">
        <f t="shared" ca="1" si="10"/>
        <v>100</v>
      </c>
      <c r="CK30" s="34">
        <f t="shared" si="13"/>
        <v>0</v>
      </c>
      <c r="CL30" s="21"/>
      <c r="CM30" s="35" t="str">
        <f t="shared" ca="1" si="11"/>
        <v>TERMINADO</v>
      </c>
      <c r="CN30" s="82"/>
      <c r="CO30" s="145" t="s">
        <v>348</v>
      </c>
      <c r="CP30" s="26" t="s">
        <v>123</v>
      </c>
    </row>
    <row r="31" spans="1:94" ht="24.75" customHeight="1">
      <c r="A31" s="48" t="s">
        <v>349</v>
      </c>
      <c r="B31" s="77" t="s">
        <v>350</v>
      </c>
      <c r="C31" s="17" t="s">
        <v>104</v>
      </c>
      <c r="D31" s="18" t="s">
        <v>351</v>
      </c>
      <c r="E31" s="17" t="s">
        <v>106</v>
      </c>
      <c r="F31" s="17" t="s">
        <v>107</v>
      </c>
      <c r="G31" s="17" t="s">
        <v>108</v>
      </c>
      <c r="H31" s="78">
        <v>1049628299</v>
      </c>
      <c r="I31" s="74" t="s">
        <v>352</v>
      </c>
      <c r="J31" s="16"/>
      <c r="K31" s="16"/>
      <c r="L31" s="20" t="s">
        <v>353</v>
      </c>
      <c r="M31" s="16" t="s">
        <v>111</v>
      </c>
      <c r="N31" s="22">
        <v>45295</v>
      </c>
      <c r="O31" s="22">
        <v>45296</v>
      </c>
      <c r="P31" s="22">
        <v>45656</v>
      </c>
      <c r="Q31" s="23">
        <f t="shared" si="0"/>
        <v>360</v>
      </c>
      <c r="R31" s="17" t="s">
        <v>242</v>
      </c>
      <c r="S31" s="16" t="s">
        <v>354</v>
      </c>
      <c r="T31" s="16" t="s">
        <v>343</v>
      </c>
      <c r="U31" s="67">
        <v>108571951</v>
      </c>
      <c r="V31" s="16" t="s">
        <v>344</v>
      </c>
      <c r="W31" s="224">
        <v>108571951</v>
      </c>
      <c r="X31" s="24">
        <v>9072865</v>
      </c>
      <c r="Y31" s="24"/>
      <c r="Z31" s="24"/>
      <c r="AA31" s="17" t="s">
        <v>116</v>
      </c>
      <c r="AB31" s="23" t="str">
        <f>IFERROR(VLOOKUP(AA31,Listas!$A$1:$C$14,2,FALSE),"")</f>
        <v>FREDY CÉSPEDES VILLA</v>
      </c>
      <c r="AC31" s="23">
        <f>IFERROR(VLOOKUP(AA31,Listas!$A$1:$C$14,3,FALSE),"")</f>
        <v>93363483</v>
      </c>
      <c r="AD31" s="17" t="s">
        <v>345</v>
      </c>
      <c r="AE31" s="17" t="s">
        <v>346</v>
      </c>
      <c r="AF31" s="23" t="str">
        <f>IFERROR(VLOOKUP(AE31,Listas!$AD$1:$AF$66,2,FALSE),"")</f>
        <v>RODOLFO GIOVANNI CANCHILA SUÁREZ</v>
      </c>
      <c r="AG31" s="23">
        <f>IFERROR(VLOOKUP(AE31,Listas!$AD$1:$AF$65,3,FALSE),"")</f>
        <v>79672493</v>
      </c>
      <c r="AH31" s="17" t="s">
        <v>118</v>
      </c>
      <c r="AI31" s="65" t="s">
        <v>355</v>
      </c>
      <c r="AJ31" s="25" t="s">
        <v>119</v>
      </c>
      <c r="AK31" s="26" t="s">
        <v>120</v>
      </c>
      <c r="AL31" s="26" t="s">
        <v>120</v>
      </c>
      <c r="AM31" s="90" t="s">
        <v>119</v>
      </c>
      <c r="AN31" s="105">
        <v>33573</v>
      </c>
      <c r="AO31" s="91">
        <f t="shared" ca="1" si="1"/>
        <v>34</v>
      </c>
      <c r="AP31" s="26" t="s">
        <v>121</v>
      </c>
      <c r="AQ31" s="26" t="s">
        <v>347</v>
      </c>
      <c r="AR31" s="89"/>
      <c r="AS31" s="27"/>
      <c r="AT31" s="16"/>
      <c r="AU31" s="27"/>
      <c r="AV31" s="86"/>
      <c r="AW31" s="27"/>
      <c r="AX31" s="27"/>
      <c r="AY31" s="27"/>
      <c r="AZ31" s="27"/>
      <c r="BA31" s="27"/>
      <c r="BB31" s="27"/>
      <c r="BC31" s="97"/>
      <c r="BD31" s="27"/>
      <c r="BE31" s="16"/>
      <c r="BF31" s="28">
        <f t="shared" si="2"/>
        <v>0</v>
      </c>
      <c r="BG31" s="29"/>
      <c r="BH31" s="27"/>
      <c r="BI31" s="31">
        <f t="shared" si="3"/>
        <v>360</v>
      </c>
      <c r="BJ31" s="31">
        <f t="shared" si="4"/>
        <v>45656</v>
      </c>
      <c r="BK31" s="27"/>
      <c r="BL31" s="16"/>
      <c r="BM31" s="27"/>
      <c r="BN31" s="16"/>
      <c r="BO31" s="27"/>
      <c r="BP31" s="16"/>
      <c r="BQ31" s="27"/>
      <c r="BR31" s="24"/>
      <c r="BS31" s="24"/>
      <c r="BT31" s="32"/>
      <c r="BU31" s="27"/>
      <c r="BV31" s="24"/>
      <c r="BW31" s="24"/>
      <c r="BX31" s="16"/>
      <c r="BY31" s="27"/>
      <c r="BZ31" s="24"/>
      <c r="CA31" s="24"/>
      <c r="CB31" s="16"/>
      <c r="CC31" s="49">
        <f t="shared" si="5"/>
        <v>0</v>
      </c>
      <c r="CD31" s="24"/>
      <c r="CE31" s="49">
        <f t="shared" si="6"/>
        <v>108571951</v>
      </c>
      <c r="CF31" s="50"/>
      <c r="CG31" s="49">
        <f t="shared" ca="1" si="7"/>
        <v>108571951</v>
      </c>
      <c r="CH31" s="33">
        <f t="shared" ca="1" si="8"/>
        <v>1</v>
      </c>
      <c r="CI31" s="33">
        <f t="shared" ca="1" si="9"/>
        <v>1</v>
      </c>
      <c r="CJ31" s="36">
        <f t="shared" ca="1" si="10"/>
        <v>100</v>
      </c>
      <c r="CK31" s="34">
        <f t="shared" si="13"/>
        <v>0</v>
      </c>
      <c r="CL31" s="21"/>
      <c r="CM31" s="35" t="str">
        <f t="shared" ca="1" si="11"/>
        <v>TERMINADO</v>
      </c>
      <c r="CN31" s="82"/>
      <c r="CO31" s="145" t="s">
        <v>356</v>
      </c>
      <c r="CP31" s="26" t="s">
        <v>123</v>
      </c>
    </row>
    <row r="32" spans="1:94" ht="24.75" customHeight="1">
      <c r="A32" s="48" t="s">
        <v>357</v>
      </c>
      <c r="B32" s="77" t="s">
        <v>358</v>
      </c>
      <c r="C32" s="17" t="s">
        <v>104</v>
      </c>
      <c r="D32" s="18" t="s">
        <v>359</v>
      </c>
      <c r="E32" s="17" t="s">
        <v>106</v>
      </c>
      <c r="F32" s="17" t="s">
        <v>107</v>
      </c>
      <c r="G32" s="17" t="s">
        <v>108</v>
      </c>
      <c r="H32" s="78">
        <v>1070819079</v>
      </c>
      <c r="I32" s="74" t="s">
        <v>360</v>
      </c>
      <c r="J32" s="16"/>
      <c r="K32" s="16"/>
      <c r="L32" s="20" t="s">
        <v>361</v>
      </c>
      <c r="M32" s="16" t="s">
        <v>362</v>
      </c>
      <c r="N32" s="22">
        <v>45295</v>
      </c>
      <c r="O32" s="22">
        <v>45295</v>
      </c>
      <c r="P32" s="22">
        <v>45656</v>
      </c>
      <c r="Q32" s="23">
        <f t="shared" si="0"/>
        <v>361</v>
      </c>
      <c r="R32" s="17" t="s">
        <v>112</v>
      </c>
      <c r="S32" s="16" t="s">
        <v>363</v>
      </c>
      <c r="T32" s="16" t="s">
        <v>364</v>
      </c>
      <c r="U32" s="67">
        <v>84859899</v>
      </c>
      <c r="V32" s="16" t="s">
        <v>365</v>
      </c>
      <c r="W32" s="224">
        <v>84859899</v>
      </c>
      <c r="X32" s="24">
        <v>7111165</v>
      </c>
      <c r="Y32" s="24"/>
      <c r="Z32" s="24"/>
      <c r="AA32" s="17" t="s">
        <v>116</v>
      </c>
      <c r="AB32" s="23" t="str">
        <f>IFERROR(VLOOKUP(AA32,Listas!$A$1:$C$14,2,FALSE),"")</f>
        <v>FREDY CÉSPEDES VILLA</v>
      </c>
      <c r="AC32" s="23">
        <f>IFERROR(VLOOKUP(AA32,Listas!$A$1:$C$14,3,FALSE),"")</f>
        <v>93363483</v>
      </c>
      <c r="AD32" s="17" t="s">
        <v>345</v>
      </c>
      <c r="AE32" s="17" t="s">
        <v>346</v>
      </c>
      <c r="AF32" s="23" t="str">
        <f>IFERROR(VLOOKUP(AE32,Listas!$AD$1:$AF$66,2,FALSE),"")</f>
        <v>RODOLFO GIOVANNI CANCHILA SUÁREZ</v>
      </c>
      <c r="AG32" s="23">
        <f>IFERROR(VLOOKUP(AE32,Listas!$AD$1:$AF$65,3,FALSE),"")</f>
        <v>79672493</v>
      </c>
      <c r="AH32" s="17" t="s">
        <v>118</v>
      </c>
      <c r="AI32" s="65" t="s">
        <v>366</v>
      </c>
      <c r="AJ32" s="25" t="s">
        <v>119</v>
      </c>
      <c r="AK32" s="26" t="s">
        <v>120</v>
      </c>
      <c r="AL32" s="26" t="s">
        <v>120</v>
      </c>
      <c r="AM32" s="90" t="s">
        <v>119</v>
      </c>
      <c r="AN32" s="105">
        <v>33940</v>
      </c>
      <c r="AO32" s="91">
        <f t="shared" ca="1" si="1"/>
        <v>33</v>
      </c>
      <c r="AP32" s="26" t="s">
        <v>121</v>
      </c>
      <c r="AQ32" s="26" t="s">
        <v>367</v>
      </c>
      <c r="AR32" s="89"/>
      <c r="AS32" s="27"/>
      <c r="AT32" s="16"/>
      <c r="AU32" s="27"/>
      <c r="AV32" s="86"/>
      <c r="AW32" s="27"/>
      <c r="AX32" s="27"/>
      <c r="AY32" s="27"/>
      <c r="AZ32" s="27"/>
      <c r="BA32" s="27"/>
      <c r="BB32" s="27"/>
      <c r="BC32" s="97"/>
      <c r="BD32" s="27"/>
      <c r="BE32" s="16"/>
      <c r="BF32" s="28">
        <f t="shared" si="2"/>
        <v>0</v>
      </c>
      <c r="BG32" s="29"/>
      <c r="BH32" s="27"/>
      <c r="BI32" s="31">
        <f t="shared" si="3"/>
        <v>361</v>
      </c>
      <c r="BJ32" s="31">
        <f t="shared" si="4"/>
        <v>45656</v>
      </c>
      <c r="BK32" s="27"/>
      <c r="BL32" s="16"/>
      <c r="BM32" s="27"/>
      <c r="BN32" s="16"/>
      <c r="BO32" s="27"/>
      <c r="BP32" s="16"/>
      <c r="BQ32" s="27"/>
      <c r="BR32" s="24"/>
      <c r="BS32" s="24"/>
      <c r="BT32" s="32"/>
      <c r="BU32" s="27"/>
      <c r="BV32" s="24"/>
      <c r="BW32" s="24"/>
      <c r="BX32" s="16"/>
      <c r="BY32" s="27"/>
      <c r="BZ32" s="24"/>
      <c r="CA32" s="24"/>
      <c r="CB32" s="16"/>
      <c r="CC32" s="49">
        <f t="shared" si="5"/>
        <v>0</v>
      </c>
      <c r="CD32" s="24"/>
      <c r="CE32" s="49">
        <f t="shared" si="6"/>
        <v>84859899</v>
      </c>
      <c r="CF32" s="50"/>
      <c r="CG32" s="49">
        <f t="shared" ca="1" si="7"/>
        <v>84859899</v>
      </c>
      <c r="CH32" s="33">
        <f t="shared" ca="1" si="8"/>
        <v>1</v>
      </c>
      <c r="CI32" s="33">
        <f t="shared" ca="1" si="9"/>
        <v>1</v>
      </c>
      <c r="CJ32" s="36">
        <f t="shared" ca="1" si="10"/>
        <v>100</v>
      </c>
      <c r="CK32" s="34">
        <f t="shared" si="13"/>
        <v>0</v>
      </c>
      <c r="CL32" s="21"/>
      <c r="CM32" s="35" t="str">
        <f t="shared" ca="1" si="11"/>
        <v>TERMINADO</v>
      </c>
      <c r="CN32" s="82"/>
      <c r="CP32" s="26" t="s">
        <v>142</v>
      </c>
    </row>
    <row r="33" spans="1:94" ht="24.75" customHeight="1">
      <c r="A33" s="48" t="s">
        <v>368</v>
      </c>
      <c r="B33" s="77" t="s">
        <v>369</v>
      </c>
      <c r="C33" s="17" t="s">
        <v>104</v>
      </c>
      <c r="D33" s="18" t="s">
        <v>370</v>
      </c>
      <c r="E33" s="17" t="s">
        <v>106</v>
      </c>
      <c r="F33" s="17" t="s">
        <v>107</v>
      </c>
      <c r="G33" s="17" t="s">
        <v>108</v>
      </c>
      <c r="H33" s="78">
        <v>52370324</v>
      </c>
      <c r="I33" s="74" t="s">
        <v>371</v>
      </c>
      <c r="J33" s="16"/>
      <c r="K33" s="16"/>
      <c r="L33" s="20" t="s">
        <v>372</v>
      </c>
      <c r="M33" s="16" t="s">
        <v>111</v>
      </c>
      <c r="N33" s="22">
        <v>45295</v>
      </c>
      <c r="O33" s="22">
        <v>45300</v>
      </c>
      <c r="P33" s="22">
        <v>45481</v>
      </c>
      <c r="Q33" s="23">
        <f t="shared" si="0"/>
        <v>181</v>
      </c>
      <c r="R33" s="17" t="s">
        <v>112</v>
      </c>
      <c r="S33" s="16" t="s">
        <v>373</v>
      </c>
      <c r="T33" s="16" t="s">
        <v>114</v>
      </c>
      <c r="U33" s="67">
        <v>102790731</v>
      </c>
      <c r="V33" s="16" t="s">
        <v>115</v>
      </c>
      <c r="W33" s="224">
        <v>102790731</v>
      </c>
      <c r="X33" s="67">
        <v>8565894</v>
      </c>
      <c r="Y33" s="24"/>
      <c r="Z33" s="24"/>
      <c r="AA33" s="17" t="s">
        <v>116</v>
      </c>
      <c r="AB33" s="23" t="str">
        <f>IFERROR(VLOOKUP(AA33,Listas!$A$1:$C$14,2,FALSE),"")</f>
        <v>FREDY CÉSPEDES VILLA</v>
      </c>
      <c r="AC33" s="23">
        <f>IFERROR(VLOOKUP(AA33,Listas!$A$1:$C$14,3,FALSE),"")</f>
        <v>93363483</v>
      </c>
      <c r="AD33" s="17" t="s">
        <v>116</v>
      </c>
      <c r="AE33" s="17" t="s">
        <v>117</v>
      </c>
      <c r="AF33" s="23" t="str">
        <f>IFERROR(VLOOKUP(AE33,Listas!$AD$1:$AF$66,2,FALSE),"")</f>
        <v>DIANA BARRERA MEDINA</v>
      </c>
      <c r="AG33" s="23">
        <f>IFERROR(VLOOKUP(AE33,Listas!$AD$1:$AF$65,3,FALSE),"")</f>
        <v>52964360</v>
      </c>
      <c r="AH33" s="17" t="s">
        <v>118</v>
      </c>
      <c r="AI33" s="65"/>
      <c r="AJ33" s="25" t="s">
        <v>119</v>
      </c>
      <c r="AK33" s="26" t="s">
        <v>120</v>
      </c>
      <c r="AL33" s="26" t="s">
        <v>120</v>
      </c>
      <c r="AM33" s="90" t="s">
        <v>119</v>
      </c>
      <c r="AN33" s="105">
        <v>28292</v>
      </c>
      <c r="AO33" s="91">
        <f t="shared" ca="1" si="1"/>
        <v>48</v>
      </c>
      <c r="AP33" s="26" t="s">
        <v>121</v>
      </c>
      <c r="AQ33" s="26" t="s">
        <v>122</v>
      </c>
      <c r="AR33" s="89"/>
      <c r="AS33" s="27"/>
      <c r="AT33" s="16"/>
      <c r="AU33" s="27"/>
      <c r="AV33" s="86"/>
      <c r="AW33" s="27"/>
      <c r="AX33" s="27"/>
      <c r="AY33" s="27"/>
      <c r="AZ33" s="27"/>
      <c r="BA33" s="27"/>
      <c r="BB33" s="27"/>
      <c r="BC33" s="97"/>
      <c r="BD33" s="27"/>
      <c r="BE33" s="16"/>
      <c r="BF33" s="28">
        <f t="shared" si="2"/>
        <v>0</v>
      </c>
      <c r="BG33" s="29"/>
      <c r="BH33" s="27"/>
      <c r="BI33" s="31">
        <f t="shared" si="3"/>
        <v>181</v>
      </c>
      <c r="BJ33" s="31">
        <f t="shared" si="4"/>
        <v>45481</v>
      </c>
      <c r="BK33" s="27"/>
      <c r="BL33" s="16"/>
      <c r="BM33" s="27"/>
      <c r="BN33" s="16"/>
      <c r="BO33" s="27"/>
      <c r="BP33" s="16"/>
      <c r="BQ33" s="27"/>
      <c r="BR33" s="24"/>
      <c r="BS33" s="24"/>
      <c r="BT33" s="32"/>
      <c r="BU33" s="27"/>
      <c r="BV33" s="24"/>
      <c r="BW33" s="24"/>
      <c r="BX33" s="16"/>
      <c r="BY33" s="27"/>
      <c r="BZ33" s="24"/>
      <c r="CA33" s="24"/>
      <c r="CB33" s="16"/>
      <c r="CC33" s="49">
        <f t="shared" si="5"/>
        <v>0</v>
      </c>
      <c r="CD33" s="24"/>
      <c r="CE33" s="49">
        <f t="shared" si="6"/>
        <v>102790731</v>
      </c>
      <c r="CF33" s="50"/>
      <c r="CG33" s="49">
        <f t="shared" ca="1" si="7"/>
        <v>102790731</v>
      </c>
      <c r="CH33" s="33">
        <f t="shared" ca="1" si="8"/>
        <v>1</v>
      </c>
      <c r="CI33" s="33">
        <f t="shared" ca="1" si="9"/>
        <v>1</v>
      </c>
      <c r="CJ33" s="36">
        <f t="shared" ca="1" si="10"/>
        <v>100</v>
      </c>
      <c r="CK33" s="34">
        <f t="shared" si="13"/>
        <v>0</v>
      </c>
      <c r="CL33" s="21"/>
      <c r="CM33" s="35" t="str">
        <f t="shared" ca="1" si="11"/>
        <v>TERMINADO</v>
      </c>
      <c r="CN33" s="82"/>
      <c r="CP33" s="26" t="s">
        <v>123</v>
      </c>
    </row>
    <row r="34" spans="1:94" ht="24.75" customHeight="1">
      <c r="A34" s="48" t="s">
        <v>374</v>
      </c>
      <c r="B34" s="77" t="s">
        <v>375</v>
      </c>
      <c r="C34" s="17" t="s">
        <v>104</v>
      </c>
      <c r="D34" s="18" t="s">
        <v>376</v>
      </c>
      <c r="E34" s="17" t="s">
        <v>106</v>
      </c>
      <c r="F34" s="17" t="s">
        <v>107</v>
      </c>
      <c r="G34" s="17" t="s">
        <v>108</v>
      </c>
      <c r="H34" s="78">
        <v>1032397330</v>
      </c>
      <c r="I34" s="74" t="s">
        <v>377</v>
      </c>
      <c r="J34" s="16"/>
      <c r="K34" s="16"/>
      <c r="L34" s="20" t="s">
        <v>378</v>
      </c>
      <c r="M34" s="16" t="s">
        <v>111</v>
      </c>
      <c r="N34" s="22">
        <v>45300</v>
      </c>
      <c r="O34" s="22">
        <v>45301</v>
      </c>
      <c r="P34" s="22">
        <v>45656</v>
      </c>
      <c r="Q34" s="23">
        <f t="shared" ref="Q34:Q65" si="14">P34-O34</f>
        <v>355</v>
      </c>
      <c r="R34" s="17" t="s">
        <v>112</v>
      </c>
      <c r="S34" s="16" t="s">
        <v>379</v>
      </c>
      <c r="T34" s="16" t="s">
        <v>215</v>
      </c>
      <c r="U34" s="67">
        <v>97104180</v>
      </c>
      <c r="V34" s="16" t="s">
        <v>380</v>
      </c>
      <c r="W34" s="224">
        <v>97104180</v>
      </c>
      <c r="X34" s="24">
        <v>6130324</v>
      </c>
      <c r="Y34" s="24"/>
      <c r="Z34" s="24"/>
      <c r="AA34" s="17" t="s">
        <v>116</v>
      </c>
      <c r="AB34" s="23" t="str">
        <f>IFERROR(VLOOKUP(AA34,Listas!$A$1:$C$14,2,FALSE),"")</f>
        <v>FREDY CÉSPEDES VILLA</v>
      </c>
      <c r="AC34" s="23">
        <f>IFERROR(VLOOKUP(AA34,Listas!$A$1:$C$14,3,FALSE),"")</f>
        <v>93363483</v>
      </c>
      <c r="AD34" s="17" t="s">
        <v>217</v>
      </c>
      <c r="AE34" s="17" t="s">
        <v>381</v>
      </c>
      <c r="AF34" s="23" t="str">
        <f>IFERROR(VLOOKUP(AE34,Listas!$AD$1:$AF$66,2,FALSE),"")</f>
        <v>MARINA AZUCENA MEDINA SANDOVAL</v>
      </c>
      <c r="AG34" s="23">
        <f>IFERROR(VLOOKUP(AE34,Listas!$AD$1:$AF$65,3,FALSE),"")</f>
        <v>51842510</v>
      </c>
      <c r="AH34" s="17" t="s">
        <v>118</v>
      </c>
      <c r="AI34" s="65" t="s">
        <v>382</v>
      </c>
      <c r="AJ34" s="25" t="s">
        <v>119</v>
      </c>
      <c r="AK34" s="26" t="s">
        <v>120</v>
      </c>
      <c r="AL34" s="26" t="s">
        <v>120</v>
      </c>
      <c r="AM34" s="90" t="s">
        <v>119</v>
      </c>
      <c r="AN34" s="105">
        <v>32044</v>
      </c>
      <c r="AO34" s="91">
        <f t="shared" ref="AO34:AO65" ca="1" si="15">IF(YEAR(TODAY())-YEAR(AN34)&gt;100," ",YEAR(TODAY())-YEAR(AN34))</f>
        <v>38</v>
      </c>
      <c r="AP34" s="26" t="s">
        <v>121</v>
      </c>
      <c r="AQ34" s="26" t="s">
        <v>220</v>
      </c>
      <c r="AR34" s="89"/>
      <c r="AS34" s="27"/>
      <c r="AT34" s="16"/>
      <c r="AU34" s="27"/>
      <c r="AV34" s="86"/>
      <c r="AW34" s="27"/>
      <c r="AX34" s="27"/>
      <c r="AY34" s="27"/>
      <c r="AZ34" s="27"/>
      <c r="BA34" s="27"/>
      <c r="BB34" s="27"/>
      <c r="BC34" s="97"/>
      <c r="BD34" s="27"/>
      <c r="BE34" s="16"/>
      <c r="BF34" s="28">
        <f t="shared" ref="BF34:BF65" si="16">BC34+BE34</f>
        <v>0</v>
      </c>
      <c r="BG34" s="29"/>
      <c r="BH34" s="27"/>
      <c r="BI34" s="31">
        <f t="shared" ref="BI34:BI65" si="17">BF34+Q34</f>
        <v>355</v>
      </c>
      <c r="BJ34" s="31">
        <f t="shared" ref="BJ34:BJ65" si="18">IF(BH34="",P34+BF34,BH34)</f>
        <v>45656</v>
      </c>
      <c r="BK34" s="27"/>
      <c r="BL34" s="16"/>
      <c r="BM34" s="27"/>
      <c r="BN34" s="16"/>
      <c r="BO34" s="27"/>
      <c r="BP34" s="16"/>
      <c r="BQ34" s="27"/>
      <c r="BR34" s="24"/>
      <c r="BS34" s="24"/>
      <c r="BT34" s="32"/>
      <c r="BU34" s="27"/>
      <c r="BV34" s="24"/>
      <c r="BW34" s="24"/>
      <c r="BX34" s="16"/>
      <c r="BY34" s="27"/>
      <c r="BZ34" s="24"/>
      <c r="CA34" s="24"/>
      <c r="CB34" s="16"/>
      <c r="CC34" s="49">
        <f t="shared" ref="CC34:CC65" si="19">BR34+BV34+BZ34</f>
        <v>0</v>
      </c>
      <c r="CD34" s="24"/>
      <c r="CE34" s="49">
        <f t="shared" ref="CE34:CE65" si="20">IF(Y34=0,(W34+CC34)-CD34,IF(Y34&gt;0,(Y34+CC34)-CD34))</f>
        <v>97104180</v>
      </c>
      <c r="CF34" s="50"/>
      <c r="CG34" s="49">
        <f t="shared" ref="CG34:CG65" ca="1" si="21">IFERROR(IF(((CE34/BI34)*(TODAY()-N34))&gt;CE34,CE34,((CE34/BI34)*(TODAY()-N34))),"")</f>
        <v>97104180</v>
      </c>
      <c r="CH34" s="33">
        <f t="shared" ref="CH34:CH65" ca="1" si="22">IF(TODAY()&gt;BJ34,1,+(DAYS360(O34,TODAY())/DAYS360(O34,BJ34)))</f>
        <v>1</v>
      </c>
      <c r="CI34" s="33">
        <f t="shared" ref="CI34:CI65" ca="1" si="23">+IF(CL34&gt;0,DAYS360(O34,CL34)/DAYS360(O34,BJ34),CH34)</f>
        <v>1</v>
      </c>
      <c r="CJ34" s="36">
        <f t="shared" ref="CJ34:CJ65" ca="1" si="24">IFERROR(IF(((CG34/CE34)*100)&gt;100,100,((CG34/CE34)*100)),"")</f>
        <v>100</v>
      </c>
      <c r="CK34" s="34">
        <f t="shared" ref="CK34:CK65" si="25">IFERROR((CF34/CE34)*100,"")</f>
        <v>0</v>
      </c>
      <c r="CL34" s="21"/>
      <c r="CM34" s="35" t="str">
        <f t="shared" ref="CM34:CM65" ca="1" si="26">IF(CL34&gt;1/1/6,"LIQUIDADO",IF(BJ34=0,"",IF(BJ34&gt;=TODAY(),"VIGENTE",IF(BJ34&lt;TODAY(),"TERMINADO",))))</f>
        <v>TERMINADO</v>
      </c>
      <c r="CN34" s="82"/>
      <c r="CO34" s="145" t="s">
        <v>383</v>
      </c>
      <c r="CP34" s="26" t="s">
        <v>142</v>
      </c>
    </row>
    <row r="35" spans="1:94" ht="24.75" customHeight="1">
      <c r="A35" s="48" t="s">
        <v>384</v>
      </c>
      <c r="B35" s="77" t="s">
        <v>385</v>
      </c>
      <c r="C35" s="17" t="s">
        <v>104</v>
      </c>
      <c r="D35" s="18" t="s">
        <v>386</v>
      </c>
      <c r="E35" s="17" t="s">
        <v>106</v>
      </c>
      <c r="F35" s="17" t="s">
        <v>107</v>
      </c>
      <c r="G35" s="17" t="s">
        <v>108</v>
      </c>
      <c r="H35" s="78">
        <v>73239241</v>
      </c>
      <c r="I35" s="74" t="s">
        <v>387</v>
      </c>
      <c r="J35" s="16"/>
      <c r="K35" s="16"/>
      <c r="L35" s="20" t="s">
        <v>388</v>
      </c>
      <c r="M35" s="16" t="s">
        <v>111</v>
      </c>
      <c r="N35" s="22">
        <v>45295</v>
      </c>
      <c r="O35" s="22">
        <v>45296</v>
      </c>
      <c r="P35" s="22">
        <v>45656</v>
      </c>
      <c r="Q35" s="23">
        <f t="shared" si="14"/>
        <v>360</v>
      </c>
      <c r="R35" s="17" t="s">
        <v>112</v>
      </c>
      <c r="S35" s="16" t="s">
        <v>389</v>
      </c>
      <c r="T35" s="16" t="s">
        <v>114</v>
      </c>
      <c r="U35" s="67">
        <v>102790731</v>
      </c>
      <c r="V35" s="16" t="s">
        <v>115</v>
      </c>
      <c r="W35" s="224">
        <v>102790731</v>
      </c>
      <c r="X35" s="67">
        <v>8565894</v>
      </c>
      <c r="Y35" s="24"/>
      <c r="Z35" s="24"/>
      <c r="AA35" s="17" t="s">
        <v>116</v>
      </c>
      <c r="AB35" s="23" t="str">
        <f>IFERROR(VLOOKUP(AA35,Listas!$A$1:$C$14,2,FALSE),"")</f>
        <v>FREDY CÉSPEDES VILLA</v>
      </c>
      <c r="AC35" s="23">
        <f>IFERROR(VLOOKUP(AA35,Listas!$A$1:$C$14,3,FALSE),"")</f>
        <v>93363483</v>
      </c>
      <c r="AD35" s="17" t="s">
        <v>116</v>
      </c>
      <c r="AE35" s="17" t="s">
        <v>117</v>
      </c>
      <c r="AF35" s="23" t="str">
        <f>IFERROR(VLOOKUP(AE35,Listas!$AD$1:$AF$66,2,FALSE),"")</f>
        <v>DIANA BARRERA MEDINA</v>
      </c>
      <c r="AG35" s="23">
        <f>IFERROR(VLOOKUP(AE35,Listas!$AD$1:$AF$65,3,FALSE),"")</f>
        <v>52964360</v>
      </c>
      <c r="AH35" s="17" t="s">
        <v>118</v>
      </c>
      <c r="AI35" s="65" t="s">
        <v>390</v>
      </c>
      <c r="AJ35" s="25" t="s">
        <v>119</v>
      </c>
      <c r="AK35" s="26" t="s">
        <v>120</v>
      </c>
      <c r="AL35" s="26" t="s">
        <v>120</v>
      </c>
      <c r="AM35" s="90" t="s">
        <v>119</v>
      </c>
      <c r="AN35" s="105">
        <v>28027</v>
      </c>
      <c r="AO35" s="91">
        <f t="shared" ca="1" si="15"/>
        <v>49</v>
      </c>
      <c r="AP35" s="26" t="s">
        <v>121</v>
      </c>
      <c r="AQ35" s="26" t="s">
        <v>122</v>
      </c>
      <c r="AR35" s="89"/>
      <c r="AS35" s="27"/>
      <c r="AT35" s="16"/>
      <c r="AU35" s="27"/>
      <c r="AV35" s="86"/>
      <c r="AW35" s="27"/>
      <c r="AX35" s="27"/>
      <c r="AY35" s="27"/>
      <c r="AZ35" s="27"/>
      <c r="BA35" s="27"/>
      <c r="BB35" s="27"/>
      <c r="BC35" s="97"/>
      <c r="BD35" s="27"/>
      <c r="BE35" s="16"/>
      <c r="BF35" s="28">
        <f t="shared" si="16"/>
        <v>0</v>
      </c>
      <c r="BG35" s="29"/>
      <c r="BH35" s="27"/>
      <c r="BI35" s="31">
        <f t="shared" si="17"/>
        <v>360</v>
      </c>
      <c r="BJ35" s="31">
        <f t="shared" si="18"/>
        <v>45656</v>
      </c>
      <c r="BK35" s="27"/>
      <c r="BL35" s="16"/>
      <c r="BM35" s="27"/>
      <c r="BN35" s="16"/>
      <c r="BO35" s="27"/>
      <c r="BP35" s="16"/>
      <c r="BQ35" s="27"/>
      <c r="BR35" s="24"/>
      <c r="BS35" s="24"/>
      <c r="BT35" s="32"/>
      <c r="BU35" s="27"/>
      <c r="BV35" s="24"/>
      <c r="BW35" s="24"/>
      <c r="BX35" s="16"/>
      <c r="BY35" s="27"/>
      <c r="BZ35" s="24"/>
      <c r="CA35" s="24"/>
      <c r="CB35" s="16"/>
      <c r="CC35" s="49">
        <f t="shared" si="19"/>
        <v>0</v>
      </c>
      <c r="CD35" s="24"/>
      <c r="CE35" s="49">
        <f t="shared" si="20"/>
        <v>102790731</v>
      </c>
      <c r="CF35" s="50"/>
      <c r="CG35" s="49">
        <f t="shared" ca="1" si="21"/>
        <v>102790731</v>
      </c>
      <c r="CH35" s="33">
        <f t="shared" ca="1" si="22"/>
        <v>1</v>
      </c>
      <c r="CI35" s="33">
        <f t="shared" ca="1" si="23"/>
        <v>1</v>
      </c>
      <c r="CJ35" s="36">
        <f t="shared" ca="1" si="24"/>
        <v>100</v>
      </c>
      <c r="CK35" s="34">
        <f t="shared" si="25"/>
        <v>0</v>
      </c>
      <c r="CL35" s="21"/>
      <c r="CM35" s="35" t="str">
        <f t="shared" ca="1" si="26"/>
        <v>TERMINADO</v>
      </c>
      <c r="CN35" s="82"/>
      <c r="CP35" s="26" t="s">
        <v>142</v>
      </c>
    </row>
    <row r="36" spans="1:94" ht="24.75" customHeight="1">
      <c r="A36" s="48" t="s">
        <v>391</v>
      </c>
      <c r="B36" s="77" t="s">
        <v>392</v>
      </c>
      <c r="C36" s="17" t="s">
        <v>104</v>
      </c>
      <c r="D36" s="18" t="s">
        <v>393</v>
      </c>
      <c r="E36" s="17" t="s">
        <v>106</v>
      </c>
      <c r="F36" s="17" t="s">
        <v>107</v>
      </c>
      <c r="G36" s="17" t="s">
        <v>108</v>
      </c>
      <c r="H36" s="78">
        <v>37861231</v>
      </c>
      <c r="I36" s="74" t="s">
        <v>394</v>
      </c>
      <c r="J36" s="16"/>
      <c r="K36" s="16"/>
      <c r="L36" s="20" t="s">
        <v>395</v>
      </c>
      <c r="M36" s="16" t="s">
        <v>111</v>
      </c>
      <c r="N36" s="22">
        <v>45295</v>
      </c>
      <c r="O36" s="22">
        <v>45295</v>
      </c>
      <c r="P36" s="22">
        <v>45656</v>
      </c>
      <c r="Q36" s="23">
        <f t="shared" si="14"/>
        <v>361</v>
      </c>
      <c r="R36" s="17" t="s">
        <v>112</v>
      </c>
      <c r="S36" s="16" t="s">
        <v>396</v>
      </c>
      <c r="T36" s="16" t="s">
        <v>114</v>
      </c>
      <c r="U36" s="67">
        <v>92416800</v>
      </c>
      <c r="V36" s="16" t="s">
        <v>115</v>
      </c>
      <c r="W36" s="224">
        <v>92416800</v>
      </c>
      <c r="X36" s="67">
        <v>7701400</v>
      </c>
      <c r="Y36" s="24"/>
      <c r="Z36" s="24"/>
      <c r="AA36" s="17" t="s">
        <v>116</v>
      </c>
      <c r="AB36" s="23" t="str">
        <f>IFERROR(VLOOKUP(AA36,Listas!$A$1:$C$14,2,FALSE),"")</f>
        <v>FREDY CÉSPEDES VILLA</v>
      </c>
      <c r="AC36" s="23">
        <f>IFERROR(VLOOKUP(AA36,Listas!$A$1:$C$14,3,FALSE),"")</f>
        <v>93363483</v>
      </c>
      <c r="AD36" s="17" t="s">
        <v>116</v>
      </c>
      <c r="AE36" s="17" t="s">
        <v>117</v>
      </c>
      <c r="AF36" s="23" t="str">
        <f>IFERROR(VLOOKUP(AE36,Listas!$AD$1:$AF$66,2,FALSE),"")</f>
        <v>DIANA BARRERA MEDINA</v>
      </c>
      <c r="AG36" s="23">
        <f>IFERROR(VLOOKUP(AE36,Listas!$AD$1:$AF$65,3,FALSE),"")</f>
        <v>52964360</v>
      </c>
      <c r="AH36" s="17" t="s">
        <v>118</v>
      </c>
      <c r="AI36" s="65" t="s">
        <v>397</v>
      </c>
      <c r="AJ36" s="25" t="s">
        <v>119</v>
      </c>
      <c r="AK36" s="26" t="s">
        <v>120</v>
      </c>
      <c r="AL36" s="26" t="s">
        <v>120</v>
      </c>
      <c r="AM36" s="90" t="s">
        <v>119</v>
      </c>
      <c r="AN36" s="105">
        <v>29274</v>
      </c>
      <c r="AO36" s="91">
        <f t="shared" ca="1" si="15"/>
        <v>45</v>
      </c>
      <c r="AP36" s="26" t="s">
        <v>121</v>
      </c>
      <c r="AQ36" s="26" t="s">
        <v>122</v>
      </c>
      <c r="AR36" s="89"/>
      <c r="AS36" s="27"/>
      <c r="AT36" s="16"/>
      <c r="AU36" s="27"/>
      <c r="AV36" s="86"/>
      <c r="AW36" s="27"/>
      <c r="AX36" s="27"/>
      <c r="AY36" s="27"/>
      <c r="AZ36" s="27"/>
      <c r="BA36" s="27"/>
      <c r="BB36" s="27"/>
      <c r="BC36" s="97"/>
      <c r="BD36" s="27"/>
      <c r="BE36" s="16"/>
      <c r="BF36" s="28">
        <f t="shared" si="16"/>
        <v>0</v>
      </c>
      <c r="BG36" s="29"/>
      <c r="BH36" s="27"/>
      <c r="BI36" s="31">
        <f t="shared" si="17"/>
        <v>361</v>
      </c>
      <c r="BJ36" s="31">
        <f t="shared" si="18"/>
        <v>45656</v>
      </c>
      <c r="BK36" s="27"/>
      <c r="BL36" s="16"/>
      <c r="BM36" s="27"/>
      <c r="BN36" s="16"/>
      <c r="BO36" s="27"/>
      <c r="BP36" s="16"/>
      <c r="BQ36" s="27"/>
      <c r="BR36" s="24"/>
      <c r="BS36" s="24"/>
      <c r="BT36" s="32"/>
      <c r="BU36" s="27"/>
      <c r="BV36" s="24"/>
      <c r="BW36" s="24"/>
      <c r="BX36" s="16"/>
      <c r="BY36" s="27"/>
      <c r="BZ36" s="24"/>
      <c r="CA36" s="24"/>
      <c r="CB36" s="16"/>
      <c r="CC36" s="49">
        <f t="shared" si="19"/>
        <v>0</v>
      </c>
      <c r="CD36" s="24"/>
      <c r="CE36" s="49">
        <f t="shared" si="20"/>
        <v>92416800</v>
      </c>
      <c r="CF36" s="50"/>
      <c r="CG36" s="49">
        <f t="shared" ca="1" si="21"/>
        <v>92416800</v>
      </c>
      <c r="CH36" s="33">
        <f t="shared" ca="1" si="22"/>
        <v>1</v>
      </c>
      <c r="CI36" s="33">
        <f t="shared" ca="1" si="23"/>
        <v>1</v>
      </c>
      <c r="CJ36" s="36">
        <f t="shared" ca="1" si="24"/>
        <v>100</v>
      </c>
      <c r="CK36" s="34">
        <f t="shared" si="25"/>
        <v>0</v>
      </c>
      <c r="CL36" s="21"/>
      <c r="CM36" s="35" t="str">
        <f t="shared" ca="1" si="26"/>
        <v>TERMINADO</v>
      </c>
      <c r="CN36" s="82"/>
      <c r="CP36" s="26" t="s">
        <v>123</v>
      </c>
    </row>
    <row r="37" spans="1:94" ht="24.75" customHeight="1">
      <c r="A37" s="48" t="s">
        <v>398</v>
      </c>
      <c r="B37" s="77" t="s">
        <v>399</v>
      </c>
      <c r="C37" s="17" t="s">
        <v>104</v>
      </c>
      <c r="D37" s="18" t="s">
        <v>400</v>
      </c>
      <c r="E37" s="17" t="s">
        <v>106</v>
      </c>
      <c r="F37" s="17" t="s">
        <v>107</v>
      </c>
      <c r="G37" s="17" t="s">
        <v>108</v>
      </c>
      <c r="H37" s="78">
        <v>53062356</v>
      </c>
      <c r="I37" s="233" t="s">
        <v>401</v>
      </c>
      <c r="J37" s="16"/>
      <c r="K37" s="16"/>
      <c r="L37" s="20" t="s">
        <v>402</v>
      </c>
      <c r="M37" s="16" t="s">
        <v>111</v>
      </c>
      <c r="N37" s="22">
        <v>45295</v>
      </c>
      <c r="O37" s="22">
        <v>45296</v>
      </c>
      <c r="P37" s="22">
        <v>45656</v>
      </c>
      <c r="Q37" s="23">
        <f t="shared" si="14"/>
        <v>360</v>
      </c>
      <c r="R37" s="17" t="s">
        <v>242</v>
      </c>
      <c r="S37" s="16" t="s">
        <v>403</v>
      </c>
      <c r="T37" s="16" t="s">
        <v>404</v>
      </c>
      <c r="U37" s="67">
        <v>108874380</v>
      </c>
      <c r="V37" s="16" t="s">
        <v>405</v>
      </c>
      <c r="W37" s="224">
        <v>108874380</v>
      </c>
      <c r="X37" s="24">
        <v>8874380</v>
      </c>
      <c r="Y37" s="24"/>
      <c r="Z37" s="24"/>
      <c r="AA37" s="17" t="s">
        <v>116</v>
      </c>
      <c r="AB37" s="23" t="str">
        <f>IFERROR(VLOOKUP(AA37,Listas!$A$1:$C$14,2,FALSE),"")</f>
        <v>FREDY CÉSPEDES VILLA</v>
      </c>
      <c r="AC37" s="23">
        <f>IFERROR(VLOOKUP(AA37,Listas!$A$1:$C$14,3,FALSE),"")</f>
        <v>93363483</v>
      </c>
      <c r="AD37" s="17" t="s">
        <v>406</v>
      </c>
      <c r="AE37" s="17" t="s">
        <v>407</v>
      </c>
      <c r="AF37" s="23" t="str">
        <f>IFERROR(VLOOKUP(AE37,Listas!$AD$1:$AF$66,2,FALSE),"")</f>
        <v>MARÍA VICTORIA CAMARGO CORTÉS</v>
      </c>
      <c r="AG37" s="23">
        <f>IFERROR(VLOOKUP(AE37,Listas!$AD$1:$AF$65,3,FALSE),"")</f>
        <v>52496497</v>
      </c>
      <c r="AH37" s="17" t="s">
        <v>118</v>
      </c>
      <c r="AI37" s="65" t="s">
        <v>408</v>
      </c>
      <c r="AJ37" s="25" t="s">
        <v>119</v>
      </c>
      <c r="AK37" s="26" t="s">
        <v>120</v>
      </c>
      <c r="AL37" s="26" t="s">
        <v>120</v>
      </c>
      <c r="AM37" s="90" t="s">
        <v>119</v>
      </c>
      <c r="AN37" s="105">
        <v>30753</v>
      </c>
      <c r="AO37" s="91">
        <f t="shared" ca="1" si="15"/>
        <v>41</v>
      </c>
      <c r="AP37" s="26" t="s">
        <v>121</v>
      </c>
      <c r="AQ37" s="26" t="s">
        <v>409</v>
      </c>
      <c r="AR37" s="89"/>
      <c r="AS37" s="27"/>
      <c r="AT37" s="16"/>
      <c r="AU37" s="27"/>
      <c r="AV37" s="86"/>
      <c r="AW37" s="27"/>
      <c r="AX37" s="27"/>
      <c r="AY37" s="27"/>
      <c r="AZ37" s="27"/>
      <c r="BA37" s="27"/>
      <c r="BB37" s="27"/>
      <c r="BC37" s="97"/>
      <c r="BD37" s="27"/>
      <c r="BE37" s="16"/>
      <c r="BF37" s="28">
        <f t="shared" si="16"/>
        <v>0</v>
      </c>
      <c r="BG37" s="29"/>
      <c r="BH37" s="27"/>
      <c r="BI37" s="31">
        <f t="shared" si="17"/>
        <v>360</v>
      </c>
      <c r="BJ37" s="31">
        <f t="shared" si="18"/>
        <v>45656</v>
      </c>
      <c r="BK37" s="27"/>
      <c r="BL37" s="16"/>
      <c r="BM37" s="27"/>
      <c r="BN37" s="16"/>
      <c r="BO37" s="27"/>
      <c r="BP37" s="16"/>
      <c r="BQ37" s="27"/>
      <c r="BR37" s="24"/>
      <c r="BS37" s="24"/>
      <c r="BT37" s="32"/>
      <c r="BU37" s="27"/>
      <c r="BV37" s="24"/>
      <c r="BW37" s="24"/>
      <c r="BX37" s="16"/>
      <c r="BY37" s="27"/>
      <c r="BZ37" s="24"/>
      <c r="CA37" s="24"/>
      <c r="CB37" s="16"/>
      <c r="CC37" s="49">
        <f t="shared" si="19"/>
        <v>0</v>
      </c>
      <c r="CD37" s="24"/>
      <c r="CE37" s="49">
        <f t="shared" si="20"/>
        <v>108874380</v>
      </c>
      <c r="CF37" s="50"/>
      <c r="CG37" s="49">
        <f t="shared" ca="1" si="21"/>
        <v>108874380</v>
      </c>
      <c r="CH37" s="33">
        <f t="shared" ca="1" si="22"/>
        <v>1</v>
      </c>
      <c r="CI37" s="33">
        <f t="shared" ca="1" si="23"/>
        <v>1</v>
      </c>
      <c r="CJ37" s="36">
        <f t="shared" ca="1" si="24"/>
        <v>100</v>
      </c>
      <c r="CK37" s="34">
        <f t="shared" si="25"/>
        <v>0</v>
      </c>
      <c r="CL37" s="21"/>
      <c r="CM37" s="35" t="str">
        <f t="shared" ca="1" si="26"/>
        <v>TERMINADO</v>
      </c>
      <c r="CN37" s="82"/>
      <c r="CO37" s="145" t="s">
        <v>410</v>
      </c>
      <c r="CP37" s="26" t="s">
        <v>123</v>
      </c>
    </row>
    <row r="38" spans="1:94" ht="24.75" customHeight="1">
      <c r="A38" s="48" t="s">
        <v>411</v>
      </c>
      <c r="B38" s="77" t="s">
        <v>412</v>
      </c>
      <c r="C38" s="17" t="s">
        <v>104</v>
      </c>
      <c r="D38" s="18" t="s">
        <v>413</v>
      </c>
      <c r="E38" s="17" t="s">
        <v>106</v>
      </c>
      <c r="F38" s="17" t="s">
        <v>107</v>
      </c>
      <c r="G38" s="17" t="s">
        <v>108</v>
      </c>
      <c r="H38" s="78">
        <v>1110562819</v>
      </c>
      <c r="I38" s="233" t="s">
        <v>414</v>
      </c>
      <c r="J38" s="16"/>
      <c r="K38" s="16"/>
      <c r="L38" s="20" t="s">
        <v>415</v>
      </c>
      <c r="M38" s="16" t="s">
        <v>111</v>
      </c>
      <c r="N38" s="22">
        <v>45295</v>
      </c>
      <c r="O38" s="22">
        <v>45296</v>
      </c>
      <c r="P38" s="22">
        <v>45656</v>
      </c>
      <c r="Q38" s="23">
        <f t="shared" si="14"/>
        <v>360</v>
      </c>
      <c r="R38" s="17" t="s">
        <v>242</v>
      </c>
      <c r="S38" s="16" t="s">
        <v>416</v>
      </c>
      <c r="T38" s="16" t="s">
        <v>404</v>
      </c>
      <c r="U38" s="67">
        <v>69149962</v>
      </c>
      <c r="V38" s="16" t="s">
        <v>405</v>
      </c>
      <c r="W38" s="224">
        <v>69149962</v>
      </c>
      <c r="X38" s="24">
        <v>5762496</v>
      </c>
      <c r="Y38" s="24"/>
      <c r="Z38" s="24"/>
      <c r="AA38" s="17" t="s">
        <v>116</v>
      </c>
      <c r="AB38" s="23" t="str">
        <f>IFERROR(VLOOKUP(AA38,Listas!$A$1:$C$14,2,FALSE),"")</f>
        <v>FREDY CÉSPEDES VILLA</v>
      </c>
      <c r="AC38" s="23">
        <f>IFERROR(VLOOKUP(AA38,Listas!$A$1:$C$14,3,FALSE),"")</f>
        <v>93363483</v>
      </c>
      <c r="AD38" s="17" t="s">
        <v>406</v>
      </c>
      <c r="AE38" s="17" t="s">
        <v>407</v>
      </c>
      <c r="AF38" s="23" t="str">
        <f>IFERROR(VLOOKUP(AE38,Listas!$AD$1:$AF$66,2,FALSE),"")</f>
        <v>MARÍA VICTORIA CAMARGO CORTÉS</v>
      </c>
      <c r="AG38" s="23">
        <f>IFERROR(VLOOKUP(AE38,Listas!$AD$1:$AF$65,3,FALSE),"")</f>
        <v>52496497</v>
      </c>
      <c r="AH38" s="17" t="s">
        <v>118</v>
      </c>
      <c r="AI38" s="65" t="s">
        <v>417</v>
      </c>
      <c r="AJ38" s="25" t="s">
        <v>119</v>
      </c>
      <c r="AK38" s="26" t="s">
        <v>120</v>
      </c>
      <c r="AL38" s="26" t="s">
        <v>120</v>
      </c>
      <c r="AM38" s="90" t="s">
        <v>119</v>
      </c>
      <c r="AN38" s="105">
        <v>34870</v>
      </c>
      <c r="AO38" s="91">
        <f t="shared" ca="1" si="15"/>
        <v>30</v>
      </c>
      <c r="AP38" s="26" t="s">
        <v>121</v>
      </c>
      <c r="AQ38" s="26" t="s">
        <v>409</v>
      </c>
      <c r="AR38" s="89"/>
      <c r="AS38" s="27"/>
      <c r="AT38" s="16"/>
      <c r="AU38" s="27"/>
      <c r="AV38" s="86"/>
      <c r="AW38" s="27"/>
      <c r="AX38" s="27"/>
      <c r="AY38" s="27"/>
      <c r="AZ38" s="27"/>
      <c r="BA38" s="27"/>
      <c r="BB38" s="27"/>
      <c r="BC38" s="97"/>
      <c r="BD38" s="27"/>
      <c r="BE38" s="16"/>
      <c r="BF38" s="28">
        <f t="shared" si="16"/>
        <v>0</v>
      </c>
      <c r="BG38" s="29"/>
      <c r="BH38" s="27"/>
      <c r="BI38" s="31">
        <f t="shared" si="17"/>
        <v>360</v>
      </c>
      <c r="BJ38" s="31">
        <f t="shared" si="18"/>
        <v>45656</v>
      </c>
      <c r="BK38" s="27"/>
      <c r="BL38" s="16"/>
      <c r="BM38" s="27"/>
      <c r="BN38" s="16"/>
      <c r="BO38" s="27"/>
      <c r="BP38" s="16"/>
      <c r="BQ38" s="27"/>
      <c r="BR38" s="24"/>
      <c r="BS38" s="24"/>
      <c r="BT38" s="32"/>
      <c r="BU38" s="27"/>
      <c r="BV38" s="24"/>
      <c r="BW38" s="24"/>
      <c r="BX38" s="16"/>
      <c r="BY38" s="27"/>
      <c r="BZ38" s="24"/>
      <c r="CA38" s="24"/>
      <c r="CB38" s="16"/>
      <c r="CC38" s="49">
        <f t="shared" si="19"/>
        <v>0</v>
      </c>
      <c r="CD38" s="24"/>
      <c r="CE38" s="49">
        <f t="shared" si="20"/>
        <v>69149962</v>
      </c>
      <c r="CF38" s="50"/>
      <c r="CG38" s="49">
        <f t="shared" ca="1" si="21"/>
        <v>69149962</v>
      </c>
      <c r="CH38" s="33">
        <f t="shared" ca="1" si="22"/>
        <v>1</v>
      </c>
      <c r="CI38" s="33">
        <f t="shared" ca="1" si="23"/>
        <v>1</v>
      </c>
      <c r="CJ38" s="36">
        <f t="shared" ca="1" si="24"/>
        <v>100</v>
      </c>
      <c r="CK38" s="34">
        <f t="shared" si="25"/>
        <v>0</v>
      </c>
      <c r="CL38" s="21"/>
      <c r="CM38" s="35" t="str">
        <f t="shared" ca="1" si="26"/>
        <v>TERMINADO</v>
      </c>
      <c r="CN38" s="82"/>
      <c r="CO38" s="145" t="s">
        <v>418</v>
      </c>
      <c r="CP38" s="26" t="s">
        <v>123</v>
      </c>
    </row>
    <row r="39" spans="1:94" ht="24.75" customHeight="1">
      <c r="A39" s="48" t="s">
        <v>419</v>
      </c>
      <c r="B39" s="77" t="s">
        <v>420</v>
      </c>
      <c r="C39" s="17" t="s">
        <v>104</v>
      </c>
      <c r="D39" s="18" t="s">
        <v>421</v>
      </c>
      <c r="E39" s="17" t="s">
        <v>106</v>
      </c>
      <c r="F39" s="17" t="s">
        <v>107</v>
      </c>
      <c r="G39" s="17" t="s">
        <v>108</v>
      </c>
      <c r="H39" s="78">
        <v>52884450</v>
      </c>
      <c r="I39" s="74" t="s">
        <v>422</v>
      </c>
      <c r="J39" s="16"/>
      <c r="K39" s="16"/>
      <c r="L39" s="20" t="s">
        <v>423</v>
      </c>
      <c r="M39" s="16" t="s">
        <v>111</v>
      </c>
      <c r="N39" s="22">
        <v>45295</v>
      </c>
      <c r="O39" s="22">
        <v>45296</v>
      </c>
      <c r="P39" s="22">
        <v>45657</v>
      </c>
      <c r="Q39" s="23">
        <f t="shared" si="14"/>
        <v>361</v>
      </c>
      <c r="R39" s="17" t="s">
        <v>242</v>
      </c>
      <c r="S39" s="16" t="s">
        <v>424</v>
      </c>
      <c r="T39" s="16" t="s">
        <v>425</v>
      </c>
      <c r="U39" s="67">
        <v>198621600</v>
      </c>
      <c r="V39" s="16" t="s">
        <v>426</v>
      </c>
      <c r="W39" s="224">
        <v>198621600</v>
      </c>
      <c r="X39" s="24">
        <v>16551800</v>
      </c>
      <c r="Y39" s="24"/>
      <c r="Z39" s="24"/>
      <c r="AA39" s="17" t="s">
        <v>116</v>
      </c>
      <c r="AB39" s="23" t="str">
        <f>IFERROR(VLOOKUP(AA39,Listas!$A$1:$C$14,2,FALSE),"")</f>
        <v>FREDY CÉSPEDES VILLA</v>
      </c>
      <c r="AC39" s="23">
        <f>IFERROR(VLOOKUP(AA39,Listas!$A$1:$C$14,3,FALSE),"")</f>
        <v>93363483</v>
      </c>
      <c r="AD39" s="17" t="s">
        <v>427</v>
      </c>
      <c r="AE39" s="17" t="s">
        <v>428</v>
      </c>
      <c r="AF39" s="23" t="str">
        <f>IFERROR(VLOOKUP(AE39,Listas!$AD$1:$AF$66,2,FALSE),"")</f>
        <v>DINORAH PATRICIA ABADIA MURILLO</v>
      </c>
      <c r="AG39" s="23">
        <f>IFERROR(VLOOKUP(AE39,Listas!$AD$1:$AF$65,3,FALSE),"")</f>
        <v>52220857</v>
      </c>
      <c r="AH39" s="17" t="s">
        <v>118</v>
      </c>
      <c r="AI39" s="65" t="s">
        <v>429</v>
      </c>
      <c r="AJ39" s="25" t="s">
        <v>119</v>
      </c>
      <c r="AK39" s="26" t="s">
        <v>120</v>
      </c>
      <c r="AL39" s="26" t="s">
        <v>120</v>
      </c>
      <c r="AM39" s="90" t="s">
        <v>119</v>
      </c>
      <c r="AN39" s="105">
        <v>29947</v>
      </c>
      <c r="AO39" s="91">
        <f t="shared" ca="1" si="15"/>
        <v>44</v>
      </c>
      <c r="AP39" s="26" t="s">
        <v>121</v>
      </c>
      <c r="AQ39" s="26" t="s">
        <v>327</v>
      </c>
      <c r="AR39" s="89"/>
      <c r="AS39" s="27"/>
      <c r="AT39" s="16"/>
      <c r="AU39" s="27"/>
      <c r="AV39" s="86"/>
      <c r="AW39" s="27"/>
      <c r="AX39" s="27"/>
      <c r="AY39" s="27"/>
      <c r="AZ39" s="27"/>
      <c r="BA39" s="27"/>
      <c r="BB39" s="27"/>
      <c r="BC39" s="97"/>
      <c r="BD39" s="27"/>
      <c r="BE39" s="16"/>
      <c r="BF39" s="28">
        <f t="shared" si="16"/>
        <v>0</v>
      </c>
      <c r="BG39" s="29"/>
      <c r="BH39" s="27"/>
      <c r="BI39" s="31">
        <f t="shared" si="17"/>
        <v>361</v>
      </c>
      <c r="BJ39" s="31">
        <f t="shared" si="18"/>
        <v>45657</v>
      </c>
      <c r="BK39" s="27"/>
      <c r="BL39" s="16"/>
      <c r="BM39" s="27"/>
      <c r="BN39" s="16"/>
      <c r="BO39" s="27"/>
      <c r="BP39" s="16"/>
      <c r="BQ39" s="27"/>
      <c r="BR39" s="24"/>
      <c r="BS39" s="24"/>
      <c r="BT39" s="32"/>
      <c r="BU39" s="27"/>
      <c r="BV39" s="24"/>
      <c r="BW39" s="24"/>
      <c r="BX39" s="16"/>
      <c r="BY39" s="27"/>
      <c r="BZ39" s="24"/>
      <c r="CA39" s="24"/>
      <c r="CB39" s="16"/>
      <c r="CC39" s="49">
        <f t="shared" si="19"/>
        <v>0</v>
      </c>
      <c r="CD39" s="24"/>
      <c r="CE39" s="49">
        <f t="shared" si="20"/>
        <v>198621600</v>
      </c>
      <c r="CF39" s="50"/>
      <c r="CG39" s="49">
        <f t="shared" ca="1" si="21"/>
        <v>198621600</v>
      </c>
      <c r="CH39" s="33">
        <f t="shared" ca="1" si="22"/>
        <v>1</v>
      </c>
      <c r="CI39" s="33">
        <f t="shared" ca="1" si="23"/>
        <v>1</v>
      </c>
      <c r="CJ39" s="36">
        <f t="shared" ca="1" si="24"/>
        <v>100</v>
      </c>
      <c r="CK39" s="34">
        <f t="shared" si="25"/>
        <v>0</v>
      </c>
      <c r="CL39" s="21"/>
      <c r="CM39" s="35" t="str">
        <f t="shared" ca="1" si="26"/>
        <v>TERMINADO</v>
      </c>
      <c r="CN39" s="82"/>
      <c r="CO39" s="145" t="s">
        <v>430</v>
      </c>
      <c r="CP39" s="26" t="s">
        <v>123</v>
      </c>
    </row>
    <row r="40" spans="1:94" ht="24.75" customHeight="1">
      <c r="A40" s="48" t="s">
        <v>431</v>
      </c>
      <c r="B40" s="77" t="s">
        <v>432</v>
      </c>
      <c r="C40" s="17" t="s">
        <v>104</v>
      </c>
      <c r="D40" s="18" t="s">
        <v>433</v>
      </c>
      <c r="E40" s="17" t="s">
        <v>106</v>
      </c>
      <c r="F40" s="17" t="s">
        <v>107</v>
      </c>
      <c r="G40" s="17" t="s">
        <v>108</v>
      </c>
      <c r="H40" s="78">
        <v>1015428427</v>
      </c>
      <c r="I40" s="74" t="s">
        <v>434</v>
      </c>
      <c r="J40" s="16"/>
      <c r="K40" s="16"/>
      <c r="L40" s="20" t="s">
        <v>435</v>
      </c>
      <c r="M40" s="16" t="s">
        <v>111</v>
      </c>
      <c r="N40" s="22">
        <v>45296</v>
      </c>
      <c r="O40" s="22">
        <v>45296</v>
      </c>
      <c r="P40" s="22">
        <v>45656</v>
      </c>
      <c r="Q40" s="23">
        <f t="shared" si="14"/>
        <v>360</v>
      </c>
      <c r="R40" s="17" t="s">
        <v>242</v>
      </c>
      <c r="S40" s="16" t="s">
        <v>436</v>
      </c>
      <c r="T40" s="16" t="s">
        <v>343</v>
      </c>
      <c r="U40" s="67">
        <v>68765786</v>
      </c>
      <c r="V40" s="16" t="s">
        <v>437</v>
      </c>
      <c r="W40" s="224">
        <v>68765786</v>
      </c>
      <c r="X40" s="24">
        <v>5762496</v>
      </c>
      <c r="Y40" s="24"/>
      <c r="Z40" s="24"/>
      <c r="AA40" s="17" t="s">
        <v>116</v>
      </c>
      <c r="AB40" s="23" t="str">
        <f>IFERROR(VLOOKUP(AA40,Listas!$A$1:$C$14,2,FALSE),"")</f>
        <v>FREDY CÉSPEDES VILLA</v>
      </c>
      <c r="AC40" s="23">
        <f>IFERROR(VLOOKUP(AA40,Listas!$A$1:$C$14,3,FALSE),"")</f>
        <v>93363483</v>
      </c>
      <c r="AD40" s="17" t="s">
        <v>345</v>
      </c>
      <c r="AE40" s="17" t="s">
        <v>346</v>
      </c>
      <c r="AF40" s="23" t="str">
        <f>IFERROR(VLOOKUP(AE40,Listas!$AD$1:$AF$66,2,FALSE),"")</f>
        <v>RODOLFO GIOVANNI CANCHILA SUÁREZ</v>
      </c>
      <c r="AG40" s="23">
        <f>IFERROR(VLOOKUP(AE40,Listas!$AD$1:$AF$65,3,FALSE),"")</f>
        <v>79672493</v>
      </c>
      <c r="AH40" s="17" t="s">
        <v>118</v>
      </c>
      <c r="AI40" s="65" t="s">
        <v>438</v>
      </c>
      <c r="AJ40" s="25" t="s">
        <v>119</v>
      </c>
      <c r="AK40" s="26" t="s">
        <v>120</v>
      </c>
      <c r="AL40" s="26" t="s">
        <v>120</v>
      </c>
      <c r="AM40" s="90" t="s">
        <v>119</v>
      </c>
      <c r="AN40" s="105">
        <v>33544</v>
      </c>
      <c r="AO40" s="91">
        <f t="shared" ca="1" si="15"/>
        <v>34</v>
      </c>
      <c r="AP40" s="26" t="s">
        <v>121</v>
      </c>
      <c r="AQ40" s="26" t="s">
        <v>347</v>
      </c>
      <c r="AR40" s="89"/>
      <c r="AS40" s="27"/>
      <c r="AT40" s="16"/>
      <c r="AU40" s="27"/>
      <c r="AV40" s="86"/>
      <c r="AW40" s="27"/>
      <c r="AX40" s="27"/>
      <c r="AY40" s="27"/>
      <c r="AZ40" s="27"/>
      <c r="BA40" s="27"/>
      <c r="BB40" s="27"/>
      <c r="BC40" s="97"/>
      <c r="BD40" s="27"/>
      <c r="BE40" s="16"/>
      <c r="BF40" s="28">
        <f t="shared" si="16"/>
        <v>0</v>
      </c>
      <c r="BG40" s="29"/>
      <c r="BH40" s="27"/>
      <c r="BI40" s="31">
        <f t="shared" si="17"/>
        <v>360</v>
      </c>
      <c r="BJ40" s="31">
        <f t="shared" si="18"/>
        <v>45656</v>
      </c>
      <c r="BK40" s="27"/>
      <c r="BL40" s="16"/>
      <c r="BM40" s="27"/>
      <c r="BN40" s="16"/>
      <c r="BO40" s="27"/>
      <c r="BP40" s="16"/>
      <c r="BQ40" s="27"/>
      <c r="BR40" s="24"/>
      <c r="BS40" s="24"/>
      <c r="BT40" s="32"/>
      <c r="BU40" s="27"/>
      <c r="BV40" s="24"/>
      <c r="BW40" s="24"/>
      <c r="BX40" s="16"/>
      <c r="BY40" s="27"/>
      <c r="BZ40" s="24"/>
      <c r="CA40" s="24"/>
      <c r="CB40" s="16"/>
      <c r="CC40" s="49">
        <f t="shared" si="19"/>
        <v>0</v>
      </c>
      <c r="CD40" s="24"/>
      <c r="CE40" s="49">
        <f t="shared" si="20"/>
        <v>68765786</v>
      </c>
      <c r="CF40" s="50"/>
      <c r="CG40" s="49">
        <f t="shared" ca="1" si="21"/>
        <v>68765786</v>
      </c>
      <c r="CH40" s="33">
        <f t="shared" ca="1" si="22"/>
        <v>1</v>
      </c>
      <c r="CI40" s="33">
        <f t="shared" ca="1" si="23"/>
        <v>1</v>
      </c>
      <c r="CJ40" s="36">
        <f t="shared" ca="1" si="24"/>
        <v>100</v>
      </c>
      <c r="CK40" s="34">
        <f t="shared" si="25"/>
        <v>0</v>
      </c>
      <c r="CL40" s="21"/>
      <c r="CM40" s="35" t="str">
        <f t="shared" ca="1" si="26"/>
        <v>TERMINADO</v>
      </c>
      <c r="CN40" s="82"/>
      <c r="CO40" s="145" t="s">
        <v>439</v>
      </c>
      <c r="CP40" s="26" t="s">
        <v>123</v>
      </c>
    </row>
    <row r="41" spans="1:94" ht="24.75" customHeight="1">
      <c r="A41" s="48" t="s">
        <v>440</v>
      </c>
      <c r="B41" s="77" t="s">
        <v>441</v>
      </c>
      <c r="C41" s="17" t="s">
        <v>104</v>
      </c>
      <c r="D41" s="18" t="s">
        <v>442</v>
      </c>
      <c r="E41" s="17" t="s">
        <v>106</v>
      </c>
      <c r="F41" s="17" t="s">
        <v>107</v>
      </c>
      <c r="G41" s="17" t="s">
        <v>108</v>
      </c>
      <c r="H41" s="78">
        <v>53044709</v>
      </c>
      <c r="I41" s="74" t="s">
        <v>443</v>
      </c>
      <c r="J41" s="16"/>
      <c r="K41" s="16"/>
      <c r="L41" s="20" t="s">
        <v>444</v>
      </c>
      <c r="M41" s="16" t="s">
        <v>111</v>
      </c>
      <c r="N41" s="22">
        <v>45296</v>
      </c>
      <c r="O41" s="22">
        <v>45296</v>
      </c>
      <c r="P41" s="22">
        <v>45656</v>
      </c>
      <c r="Q41" s="23">
        <f t="shared" si="14"/>
        <v>360</v>
      </c>
      <c r="R41" s="17" t="s">
        <v>242</v>
      </c>
      <c r="S41" s="16" t="s">
        <v>445</v>
      </c>
      <c r="T41" s="16" t="s">
        <v>343</v>
      </c>
      <c r="U41" s="67">
        <v>96564712</v>
      </c>
      <c r="V41" s="16" t="s">
        <v>437</v>
      </c>
      <c r="W41" s="224">
        <v>96564712</v>
      </c>
      <c r="X41" s="24">
        <v>8092015</v>
      </c>
      <c r="Y41" s="24"/>
      <c r="Z41" s="24"/>
      <c r="AA41" s="17" t="s">
        <v>116</v>
      </c>
      <c r="AB41" s="23" t="str">
        <f>IFERROR(VLOOKUP(AA41,Listas!$A$1:$C$14,2,FALSE),"")</f>
        <v>FREDY CÉSPEDES VILLA</v>
      </c>
      <c r="AC41" s="23">
        <f>IFERROR(VLOOKUP(AA41,Listas!$A$1:$C$14,3,FALSE),"")</f>
        <v>93363483</v>
      </c>
      <c r="AD41" s="17" t="s">
        <v>345</v>
      </c>
      <c r="AE41" s="17" t="s">
        <v>346</v>
      </c>
      <c r="AF41" s="23" t="str">
        <f>IFERROR(VLOOKUP(AE41,Listas!$AD$1:$AF$66,2,FALSE),"")</f>
        <v>RODOLFO GIOVANNI CANCHILA SUÁREZ</v>
      </c>
      <c r="AG41" s="23">
        <f>IFERROR(VLOOKUP(AE41,Listas!$AD$1:$AF$65,3,FALSE),"")</f>
        <v>79672493</v>
      </c>
      <c r="AH41" s="17" t="s">
        <v>118</v>
      </c>
      <c r="AI41" s="65" t="s">
        <v>446</v>
      </c>
      <c r="AJ41" s="25" t="s">
        <v>119</v>
      </c>
      <c r="AK41" s="26" t="s">
        <v>120</v>
      </c>
      <c r="AL41" s="26" t="s">
        <v>120</v>
      </c>
      <c r="AM41" s="90" t="s">
        <v>119</v>
      </c>
      <c r="AN41" s="105">
        <v>30791</v>
      </c>
      <c r="AO41" s="91">
        <f t="shared" ca="1" si="15"/>
        <v>41</v>
      </c>
      <c r="AP41" s="26" t="s">
        <v>121</v>
      </c>
      <c r="AQ41" s="26" t="s">
        <v>347</v>
      </c>
      <c r="AR41" s="89"/>
      <c r="AS41" s="27"/>
      <c r="AT41" s="16"/>
      <c r="AU41" s="27"/>
      <c r="AV41" s="86"/>
      <c r="AW41" s="27"/>
      <c r="AX41" s="27"/>
      <c r="AY41" s="27"/>
      <c r="AZ41" s="27"/>
      <c r="BA41" s="27"/>
      <c r="BB41" s="27"/>
      <c r="BC41" s="97"/>
      <c r="BD41" s="27"/>
      <c r="BE41" s="16"/>
      <c r="BF41" s="28">
        <f t="shared" si="16"/>
        <v>0</v>
      </c>
      <c r="BG41" s="29"/>
      <c r="BH41" s="27"/>
      <c r="BI41" s="31">
        <f t="shared" si="17"/>
        <v>360</v>
      </c>
      <c r="BJ41" s="31">
        <f t="shared" si="18"/>
        <v>45656</v>
      </c>
      <c r="BK41" s="27"/>
      <c r="BL41" s="16"/>
      <c r="BM41" s="27"/>
      <c r="BN41" s="16"/>
      <c r="BO41" s="27"/>
      <c r="BP41" s="16"/>
      <c r="BQ41" s="27"/>
      <c r="BR41" s="24"/>
      <c r="BS41" s="24"/>
      <c r="BT41" s="32"/>
      <c r="BU41" s="27"/>
      <c r="BV41" s="24"/>
      <c r="BW41" s="24"/>
      <c r="BX41" s="16"/>
      <c r="BY41" s="27"/>
      <c r="BZ41" s="24"/>
      <c r="CA41" s="24"/>
      <c r="CB41" s="16"/>
      <c r="CC41" s="49">
        <f t="shared" si="19"/>
        <v>0</v>
      </c>
      <c r="CD41" s="24"/>
      <c r="CE41" s="49">
        <f t="shared" si="20"/>
        <v>96564712</v>
      </c>
      <c r="CF41" s="50"/>
      <c r="CG41" s="49">
        <f t="shared" ca="1" si="21"/>
        <v>96564712</v>
      </c>
      <c r="CH41" s="33">
        <f t="shared" ca="1" si="22"/>
        <v>1</v>
      </c>
      <c r="CI41" s="33">
        <f t="shared" ca="1" si="23"/>
        <v>1</v>
      </c>
      <c r="CJ41" s="36">
        <f t="shared" ca="1" si="24"/>
        <v>100</v>
      </c>
      <c r="CK41" s="34">
        <f t="shared" si="25"/>
        <v>0</v>
      </c>
      <c r="CL41" s="21"/>
      <c r="CM41" s="35" t="str">
        <f t="shared" ca="1" si="26"/>
        <v>TERMINADO</v>
      </c>
      <c r="CN41" s="82"/>
      <c r="CO41" s="145" t="s">
        <v>447</v>
      </c>
      <c r="CP41" s="26" t="s">
        <v>123</v>
      </c>
    </row>
    <row r="42" spans="1:94" ht="24.75" customHeight="1">
      <c r="A42" s="48" t="s">
        <v>448</v>
      </c>
      <c r="B42" s="77" t="s">
        <v>449</v>
      </c>
      <c r="C42" s="17" t="s">
        <v>104</v>
      </c>
      <c r="D42" s="18" t="s">
        <v>450</v>
      </c>
      <c r="E42" s="17" t="s">
        <v>106</v>
      </c>
      <c r="F42" s="17" t="s">
        <v>107</v>
      </c>
      <c r="G42" s="17" t="s">
        <v>108</v>
      </c>
      <c r="H42" s="78">
        <v>79623265</v>
      </c>
      <c r="I42" s="74" t="s">
        <v>451</v>
      </c>
      <c r="J42" s="16"/>
      <c r="K42" s="16"/>
      <c r="L42" s="20" t="s">
        <v>452</v>
      </c>
      <c r="M42" s="16" t="s">
        <v>111</v>
      </c>
      <c r="N42" s="22">
        <v>45296</v>
      </c>
      <c r="O42" s="22">
        <v>45296</v>
      </c>
      <c r="P42" s="22">
        <v>45656</v>
      </c>
      <c r="Q42" s="23">
        <f t="shared" si="14"/>
        <v>360</v>
      </c>
      <c r="R42" s="17" t="s">
        <v>242</v>
      </c>
      <c r="S42" s="16" t="s">
        <v>453</v>
      </c>
      <c r="T42" s="16" t="s">
        <v>343</v>
      </c>
      <c r="U42" s="67">
        <v>162406390</v>
      </c>
      <c r="V42" s="16" t="s">
        <v>437</v>
      </c>
      <c r="W42" s="224">
        <v>162406390</v>
      </c>
      <c r="X42" s="24">
        <v>13609474</v>
      </c>
      <c r="Y42" s="24"/>
      <c r="Z42" s="24"/>
      <c r="AA42" s="17" t="s">
        <v>116</v>
      </c>
      <c r="AB42" s="23" t="str">
        <f>IFERROR(VLOOKUP(AA42,Listas!$A$1:$C$14,2,FALSE),"")</f>
        <v>FREDY CÉSPEDES VILLA</v>
      </c>
      <c r="AC42" s="23">
        <f>IFERROR(VLOOKUP(AA42,Listas!$A$1:$C$14,3,FALSE),"")</f>
        <v>93363483</v>
      </c>
      <c r="AD42" s="17" t="s">
        <v>345</v>
      </c>
      <c r="AE42" s="17" t="s">
        <v>346</v>
      </c>
      <c r="AF42" s="23" t="str">
        <f>IFERROR(VLOOKUP(AE42,Listas!$AD$1:$AF$66,2,FALSE),"")</f>
        <v>RODOLFO GIOVANNI CANCHILA SUÁREZ</v>
      </c>
      <c r="AG42" s="23">
        <f>IFERROR(VLOOKUP(AE42,Listas!$AD$1:$AF$65,3,FALSE),"")</f>
        <v>79672493</v>
      </c>
      <c r="AH42" s="17" t="s">
        <v>118</v>
      </c>
      <c r="AI42" s="65" t="s">
        <v>454</v>
      </c>
      <c r="AJ42" s="25" t="s">
        <v>119</v>
      </c>
      <c r="AK42" s="26" t="s">
        <v>120</v>
      </c>
      <c r="AL42" s="26" t="s">
        <v>120</v>
      </c>
      <c r="AM42" s="90" t="s">
        <v>119</v>
      </c>
      <c r="AN42" s="105">
        <v>27005</v>
      </c>
      <c r="AO42" s="91">
        <f t="shared" ca="1" si="15"/>
        <v>52</v>
      </c>
      <c r="AP42" s="26" t="s">
        <v>121</v>
      </c>
      <c r="AQ42" s="26" t="s">
        <v>347</v>
      </c>
      <c r="AR42" s="89"/>
      <c r="AS42" s="27"/>
      <c r="AT42" s="16"/>
      <c r="AU42" s="27"/>
      <c r="AV42" s="86"/>
      <c r="AW42" s="27"/>
      <c r="AX42" s="27"/>
      <c r="AY42" s="27"/>
      <c r="AZ42" s="27"/>
      <c r="BA42" s="27"/>
      <c r="BB42" s="27"/>
      <c r="BC42" s="97"/>
      <c r="BD42" s="27"/>
      <c r="BE42" s="16"/>
      <c r="BF42" s="28">
        <f t="shared" si="16"/>
        <v>0</v>
      </c>
      <c r="BG42" s="29"/>
      <c r="BH42" s="27"/>
      <c r="BI42" s="31">
        <f t="shared" si="17"/>
        <v>360</v>
      </c>
      <c r="BJ42" s="31">
        <f t="shared" si="18"/>
        <v>45656</v>
      </c>
      <c r="BK42" s="27"/>
      <c r="BL42" s="16"/>
      <c r="BM42" s="27"/>
      <c r="BN42" s="16"/>
      <c r="BO42" s="27"/>
      <c r="BP42" s="16"/>
      <c r="BQ42" s="27"/>
      <c r="BR42" s="24"/>
      <c r="BS42" s="24"/>
      <c r="BT42" s="32"/>
      <c r="BU42" s="27"/>
      <c r="BV42" s="24"/>
      <c r="BW42" s="24"/>
      <c r="BX42" s="16"/>
      <c r="BY42" s="27"/>
      <c r="BZ42" s="24"/>
      <c r="CA42" s="24"/>
      <c r="CB42" s="16"/>
      <c r="CC42" s="49">
        <f t="shared" si="19"/>
        <v>0</v>
      </c>
      <c r="CD42" s="24"/>
      <c r="CE42" s="49">
        <f t="shared" si="20"/>
        <v>162406390</v>
      </c>
      <c r="CF42" s="50"/>
      <c r="CG42" s="49">
        <f t="shared" ca="1" si="21"/>
        <v>162406390</v>
      </c>
      <c r="CH42" s="33">
        <f t="shared" ca="1" si="22"/>
        <v>1</v>
      </c>
      <c r="CI42" s="33">
        <f t="shared" ca="1" si="23"/>
        <v>1</v>
      </c>
      <c r="CJ42" s="36">
        <f t="shared" ca="1" si="24"/>
        <v>100</v>
      </c>
      <c r="CK42" s="34">
        <f t="shared" si="25"/>
        <v>0</v>
      </c>
      <c r="CL42" s="21"/>
      <c r="CM42" s="35" t="str">
        <f t="shared" ca="1" si="26"/>
        <v>TERMINADO</v>
      </c>
      <c r="CN42" s="82"/>
      <c r="CO42" s="145" t="s">
        <v>455</v>
      </c>
      <c r="CP42" s="26" t="s">
        <v>142</v>
      </c>
    </row>
    <row r="43" spans="1:94" ht="24.75" customHeight="1">
      <c r="A43" s="48" t="s">
        <v>456</v>
      </c>
      <c r="B43" s="77" t="s">
        <v>457</v>
      </c>
      <c r="C43" s="17" t="s">
        <v>104</v>
      </c>
      <c r="D43" s="18" t="s">
        <v>458</v>
      </c>
      <c r="E43" s="17" t="s">
        <v>106</v>
      </c>
      <c r="F43" s="17" t="s">
        <v>107</v>
      </c>
      <c r="G43" s="17" t="s">
        <v>108</v>
      </c>
      <c r="H43" s="78">
        <v>80513301</v>
      </c>
      <c r="I43" s="74" t="s">
        <v>459</v>
      </c>
      <c r="J43" s="16"/>
      <c r="K43" s="16"/>
      <c r="L43" s="20" t="s">
        <v>460</v>
      </c>
      <c r="M43" s="16" t="s">
        <v>111</v>
      </c>
      <c r="N43" s="22">
        <v>45296</v>
      </c>
      <c r="O43" s="22">
        <v>45296</v>
      </c>
      <c r="P43" s="22">
        <v>45656</v>
      </c>
      <c r="Q43" s="23">
        <f t="shared" si="14"/>
        <v>360</v>
      </c>
      <c r="R43" s="17" t="s">
        <v>242</v>
      </c>
      <c r="S43" s="16" t="s">
        <v>453</v>
      </c>
      <c r="T43" s="16" t="s">
        <v>343</v>
      </c>
      <c r="U43" s="67">
        <v>107967094</v>
      </c>
      <c r="V43" s="16" t="s">
        <v>437</v>
      </c>
      <c r="W43" s="224">
        <v>107967094</v>
      </c>
      <c r="X43" s="24">
        <v>9072865</v>
      </c>
      <c r="Y43" s="24"/>
      <c r="Z43" s="24"/>
      <c r="AA43" s="17" t="s">
        <v>116</v>
      </c>
      <c r="AB43" s="23" t="str">
        <f>IFERROR(VLOOKUP(AA43,Listas!$A$1:$C$14,2,FALSE),"")</f>
        <v>FREDY CÉSPEDES VILLA</v>
      </c>
      <c r="AC43" s="23">
        <f>IFERROR(VLOOKUP(AA43,Listas!$A$1:$C$14,3,FALSE),"")</f>
        <v>93363483</v>
      </c>
      <c r="AD43" s="17" t="s">
        <v>345</v>
      </c>
      <c r="AE43" s="17" t="s">
        <v>346</v>
      </c>
      <c r="AF43" s="23" t="str">
        <f>IFERROR(VLOOKUP(AE43,Listas!$AD$1:$AF$66,2,FALSE),"")</f>
        <v>RODOLFO GIOVANNI CANCHILA SUÁREZ</v>
      </c>
      <c r="AG43" s="23">
        <f>IFERROR(VLOOKUP(AE43,Listas!$AD$1:$AF$65,3,FALSE),"")</f>
        <v>79672493</v>
      </c>
      <c r="AH43" s="17" t="s">
        <v>118</v>
      </c>
      <c r="AI43" s="65" t="s">
        <v>461</v>
      </c>
      <c r="AJ43" s="25" t="s">
        <v>119</v>
      </c>
      <c r="AK43" s="26" t="s">
        <v>120</v>
      </c>
      <c r="AL43" s="26" t="s">
        <v>120</v>
      </c>
      <c r="AM43" s="90" t="s">
        <v>119</v>
      </c>
      <c r="AN43" s="105">
        <v>27059</v>
      </c>
      <c r="AO43" s="91">
        <f t="shared" ca="1" si="15"/>
        <v>51</v>
      </c>
      <c r="AP43" s="26" t="s">
        <v>121</v>
      </c>
      <c r="AQ43" s="26" t="s">
        <v>347</v>
      </c>
      <c r="AR43" s="89"/>
      <c r="AS43" s="27"/>
      <c r="AT43" s="16"/>
      <c r="AU43" s="27"/>
      <c r="AV43" s="86"/>
      <c r="AW43" s="27"/>
      <c r="AX43" s="27"/>
      <c r="AY43" s="27"/>
      <c r="AZ43" s="27"/>
      <c r="BA43" s="27"/>
      <c r="BB43" s="27"/>
      <c r="BC43" s="97"/>
      <c r="BD43" s="27"/>
      <c r="BE43" s="16"/>
      <c r="BF43" s="28">
        <f t="shared" si="16"/>
        <v>0</v>
      </c>
      <c r="BG43" s="29"/>
      <c r="BH43" s="27"/>
      <c r="BI43" s="31">
        <f t="shared" si="17"/>
        <v>360</v>
      </c>
      <c r="BJ43" s="31">
        <f t="shared" si="18"/>
        <v>45656</v>
      </c>
      <c r="BK43" s="27"/>
      <c r="BL43" s="16"/>
      <c r="BM43" s="27"/>
      <c r="BN43" s="16"/>
      <c r="BO43" s="27"/>
      <c r="BP43" s="16"/>
      <c r="BQ43" s="27"/>
      <c r="BR43" s="24"/>
      <c r="BS43" s="24"/>
      <c r="BT43" s="32"/>
      <c r="BU43" s="27"/>
      <c r="BV43" s="24"/>
      <c r="BW43" s="24"/>
      <c r="BX43" s="16"/>
      <c r="BY43" s="27"/>
      <c r="BZ43" s="24"/>
      <c r="CA43" s="24"/>
      <c r="CB43" s="16"/>
      <c r="CC43" s="49">
        <f t="shared" si="19"/>
        <v>0</v>
      </c>
      <c r="CD43" s="24"/>
      <c r="CE43" s="49">
        <f t="shared" si="20"/>
        <v>107967094</v>
      </c>
      <c r="CF43" s="50"/>
      <c r="CG43" s="49">
        <f t="shared" ca="1" si="21"/>
        <v>107967094</v>
      </c>
      <c r="CH43" s="33">
        <f t="shared" ca="1" si="22"/>
        <v>1</v>
      </c>
      <c r="CI43" s="33">
        <f t="shared" ca="1" si="23"/>
        <v>1</v>
      </c>
      <c r="CJ43" s="36">
        <f t="shared" ca="1" si="24"/>
        <v>100</v>
      </c>
      <c r="CK43" s="34">
        <f t="shared" si="25"/>
        <v>0</v>
      </c>
      <c r="CL43" s="21"/>
      <c r="CM43" s="35" t="str">
        <f t="shared" ca="1" si="26"/>
        <v>TERMINADO</v>
      </c>
      <c r="CN43" s="82"/>
      <c r="CO43" s="145" t="s">
        <v>462</v>
      </c>
      <c r="CP43" s="26" t="s">
        <v>142</v>
      </c>
    </row>
    <row r="44" spans="1:94" ht="24.75" customHeight="1">
      <c r="A44" s="48" t="s">
        <v>463</v>
      </c>
      <c r="B44" s="77" t="s">
        <v>464</v>
      </c>
      <c r="C44" s="17" t="s">
        <v>104</v>
      </c>
      <c r="D44" s="18" t="s">
        <v>465</v>
      </c>
      <c r="E44" s="17" t="s">
        <v>106</v>
      </c>
      <c r="F44" s="17" t="s">
        <v>107</v>
      </c>
      <c r="G44" s="17" t="s">
        <v>108</v>
      </c>
      <c r="H44" s="78">
        <v>21469959</v>
      </c>
      <c r="I44" s="233" t="s">
        <v>466</v>
      </c>
      <c r="J44" s="16"/>
      <c r="K44" s="16"/>
      <c r="L44" s="96" t="s">
        <v>467</v>
      </c>
      <c r="M44" s="16" t="s">
        <v>468</v>
      </c>
      <c r="N44" s="22">
        <v>45296</v>
      </c>
      <c r="O44" s="22">
        <v>45296</v>
      </c>
      <c r="P44" s="22">
        <v>45656</v>
      </c>
      <c r="Q44" s="23">
        <f t="shared" si="14"/>
        <v>360</v>
      </c>
      <c r="R44" s="17" t="s">
        <v>242</v>
      </c>
      <c r="S44" s="16" t="s">
        <v>469</v>
      </c>
      <c r="T44" s="16" t="s">
        <v>470</v>
      </c>
      <c r="U44" s="67">
        <v>52377402</v>
      </c>
      <c r="V44" s="16" t="s">
        <v>471</v>
      </c>
      <c r="W44" s="224">
        <v>52377402</v>
      </c>
      <c r="X44" s="24">
        <v>4413826</v>
      </c>
      <c r="Y44" s="24"/>
      <c r="Z44" s="24"/>
      <c r="AA44" s="17" t="s">
        <v>116</v>
      </c>
      <c r="AB44" s="23" t="str">
        <f>IFERROR(VLOOKUP(AA44,Listas!$A$1:$C$14,2,FALSE),"")</f>
        <v>FREDY CÉSPEDES VILLA</v>
      </c>
      <c r="AC44" s="23">
        <f>IFERROR(VLOOKUP(AA44,Listas!$A$1:$C$14,3,FALSE),"")</f>
        <v>93363483</v>
      </c>
      <c r="AD44" s="17" t="s">
        <v>472</v>
      </c>
      <c r="AE44" s="17" t="s">
        <v>473</v>
      </c>
      <c r="AF44" s="23" t="str">
        <f>IFERROR(VLOOKUP(AE44,Listas!$AD$1:$AF$66,2,FALSE),"")</f>
        <v>DANIEL ALBERTO CASTAÑO LOPEZ</v>
      </c>
      <c r="AG44" s="23">
        <f>IFERROR(VLOOKUP(AE44,Listas!$AD$1:$AF$65,3,FALSE),"")</f>
        <v>7544385</v>
      </c>
      <c r="AH44" s="17" t="s">
        <v>118</v>
      </c>
      <c r="AI44" s="65" t="s">
        <v>474</v>
      </c>
      <c r="AJ44" s="25" t="s">
        <v>119</v>
      </c>
      <c r="AK44" s="26" t="s">
        <v>120</v>
      </c>
      <c r="AL44" s="26" t="s">
        <v>120</v>
      </c>
      <c r="AM44" s="90" t="s">
        <v>119</v>
      </c>
      <c r="AN44" s="105">
        <v>28361</v>
      </c>
      <c r="AO44" s="91">
        <f t="shared" ca="1" si="15"/>
        <v>48</v>
      </c>
      <c r="AP44" s="26" t="s">
        <v>121</v>
      </c>
      <c r="AQ44" s="26" t="s">
        <v>409</v>
      </c>
      <c r="AR44" s="89"/>
      <c r="AS44" s="27"/>
      <c r="AT44" s="16"/>
      <c r="AU44" s="27"/>
      <c r="AV44" s="86"/>
      <c r="AW44" s="27"/>
      <c r="AX44" s="27"/>
      <c r="AY44" s="27"/>
      <c r="AZ44" s="27"/>
      <c r="BA44" s="27"/>
      <c r="BB44" s="27"/>
      <c r="BC44" s="97"/>
      <c r="BD44" s="27"/>
      <c r="BE44" s="16"/>
      <c r="BF44" s="28">
        <f t="shared" si="16"/>
        <v>0</v>
      </c>
      <c r="BG44" s="29"/>
      <c r="BH44" s="27"/>
      <c r="BI44" s="31">
        <f t="shared" si="17"/>
        <v>360</v>
      </c>
      <c r="BJ44" s="31">
        <f t="shared" si="18"/>
        <v>45656</v>
      </c>
      <c r="BK44" s="27"/>
      <c r="BL44" s="16"/>
      <c r="BM44" s="27"/>
      <c r="BN44" s="16"/>
      <c r="BO44" s="27"/>
      <c r="BP44" s="16"/>
      <c r="BQ44" s="27"/>
      <c r="BR44" s="24"/>
      <c r="BS44" s="24"/>
      <c r="BT44" s="32"/>
      <c r="BU44" s="27"/>
      <c r="BV44" s="24"/>
      <c r="BW44" s="24"/>
      <c r="BX44" s="16"/>
      <c r="BY44" s="27"/>
      <c r="BZ44" s="24"/>
      <c r="CA44" s="24"/>
      <c r="CB44" s="16"/>
      <c r="CC44" s="49">
        <f t="shared" si="19"/>
        <v>0</v>
      </c>
      <c r="CD44" s="24"/>
      <c r="CE44" s="49">
        <f t="shared" si="20"/>
        <v>52377402</v>
      </c>
      <c r="CF44" s="50"/>
      <c r="CG44" s="49">
        <f t="shared" ca="1" si="21"/>
        <v>52377402</v>
      </c>
      <c r="CH44" s="33">
        <f t="shared" ca="1" si="22"/>
        <v>1</v>
      </c>
      <c r="CI44" s="33">
        <f t="shared" ca="1" si="23"/>
        <v>1</v>
      </c>
      <c r="CJ44" s="36">
        <f t="shared" ca="1" si="24"/>
        <v>100</v>
      </c>
      <c r="CK44" s="34">
        <f t="shared" si="25"/>
        <v>0</v>
      </c>
      <c r="CL44" s="21"/>
      <c r="CM44" s="35" t="str">
        <f t="shared" ca="1" si="26"/>
        <v>TERMINADO</v>
      </c>
      <c r="CN44" s="82"/>
      <c r="CO44" s="145" t="s">
        <v>475</v>
      </c>
      <c r="CP44" s="26" t="s">
        <v>123</v>
      </c>
    </row>
    <row r="45" spans="1:94" ht="24.75" customHeight="1">
      <c r="A45" s="48" t="s">
        <v>476</v>
      </c>
      <c r="B45" s="77" t="s">
        <v>477</v>
      </c>
      <c r="C45" s="17" t="s">
        <v>104</v>
      </c>
      <c r="D45" s="18" t="s">
        <v>478</v>
      </c>
      <c r="E45" s="17" t="s">
        <v>106</v>
      </c>
      <c r="F45" s="17" t="s">
        <v>107</v>
      </c>
      <c r="G45" s="17" t="s">
        <v>108</v>
      </c>
      <c r="H45" s="78">
        <v>79553643</v>
      </c>
      <c r="I45" s="74" t="s">
        <v>479</v>
      </c>
      <c r="J45" s="16"/>
      <c r="K45" s="16"/>
      <c r="L45" s="20" t="s">
        <v>480</v>
      </c>
      <c r="M45" s="16" t="s">
        <v>111</v>
      </c>
      <c r="N45" s="22">
        <v>45296</v>
      </c>
      <c r="O45" s="22">
        <v>45300</v>
      </c>
      <c r="P45" s="22">
        <v>45656</v>
      </c>
      <c r="Q45" s="23">
        <f t="shared" si="14"/>
        <v>356</v>
      </c>
      <c r="R45" s="17" t="s">
        <v>242</v>
      </c>
      <c r="S45" s="16" t="s">
        <v>481</v>
      </c>
      <c r="T45" s="16" t="s">
        <v>482</v>
      </c>
      <c r="U45" s="67">
        <v>97800000</v>
      </c>
      <c r="V45" s="16" t="s">
        <v>483</v>
      </c>
      <c r="W45" s="224">
        <v>97800000</v>
      </c>
      <c r="X45" s="24">
        <v>8150000</v>
      </c>
      <c r="Y45" s="24"/>
      <c r="Z45" s="24"/>
      <c r="AA45" s="17" t="s">
        <v>116</v>
      </c>
      <c r="AB45" s="23" t="str">
        <f>IFERROR(VLOOKUP(AA45,Listas!$A$1:$C$14,2,FALSE),"")</f>
        <v>FREDY CÉSPEDES VILLA</v>
      </c>
      <c r="AC45" s="23">
        <f>IFERROR(VLOOKUP(AA45,Listas!$A$1:$C$14,3,FALSE),"")</f>
        <v>93363483</v>
      </c>
      <c r="AD45" s="17" t="s">
        <v>116</v>
      </c>
      <c r="AE45" s="17" t="s">
        <v>484</v>
      </c>
      <c r="AF45" s="23" t="str">
        <f>IFERROR(VLOOKUP(AE45,Listas!$AD$1:$AF$66,2,FALSE),"")</f>
        <v>JAIME ANDRES GIL ACOSTA</v>
      </c>
      <c r="AG45" s="23">
        <f>IFERROR(VLOOKUP(AE45,Listas!$AD$1:$AF$65,3,FALSE),"")</f>
        <v>98622827</v>
      </c>
      <c r="AH45" s="17" t="s">
        <v>118</v>
      </c>
      <c r="AI45" s="65" t="s">
        <v>485</v>
      </c>
      <c r="AJ45" s="25" t="s">
        <v>119</v>
      </c>
      <c r="AK45" s="26" t="s">
        <v>120</v>
      </c>
      <c r="AL45" s="26" t="s">
        <v>120</v>
      </c>
      <c r="AM45" s="90" t="s">
        <v>119</v>
      </c>
      <c r="AN45" s="105">
        <v>25968</v>
      </c>
      <c r="AO45" s="91">
        <f t="shared" ca="1" si="15"/>
        <v>54</v>
      </c>
      <c r="AP45" s="26" t="s">
        <v>121</v>
      </c>
      <c r="AQ45" s="26" t="s">
        <v>486</v>
      </c>
      <c r="AR45" s="89"/>
      <c r="AS45" s="27"/>
      <c r="AT45" s="16"/>
      <c r="AU45" s="27"/>
      <c r="AV45" s="86"/>
      <c r="AW45" s="27"/>
      <c r="AX45" s="27"/>
      <c r="AY45" s="27"/>
      <c r="AZ45" s="27"/>
      <c r="BA45" s="27"/>
      <c r="BB45" s="27"/>
      <c r="BC45" s="97"/>
      <c r="BD45" s="27"/>
      <c r="BE45" s="16"/>
      <c r="BF45" s="28">
        <f t="shared" si="16"/>
        <v>0</v>
      </c>
      <c r="BG45" s="29"/>
      <c r="BH45" s="27"/>
      <c r="BI45" s="31">
        <f t="shared" si="17"/>
        <v>356</v>
      </c>
      <c r="BJ45" s="31">
        <f t="shared" si="18"/>
        <v>45656</v>
      </c>
      <c r="BK45" s="27"/>
      <c r="BL45" s="16"/>
      <c r="BM45" s="27"/>
      <c r="BN45" s="16"/>
      <c r="BO45" s="27"/>
      <c r="BP45" s="16"/>
      <c r="BQ45" s="27"/>
      <c r="BR45" s="24"/>
      <c r="BS45" s="24"/>
      <c r="BT45" s="32"/>
      <c r="BU45" s="27"/>
      <c r="BV45" s="24"/>
      <c r="BW45" s="24"/>
      <c r="BX45" s="16"/>
      <c r="BY45" s="27"/>
      <c r="BZ45" s="24"/>
      <c r="CA45" s="24"/>
      <c r="CB45" s="16"/>
      <c r="CC45" s="49">
        <f t="shared" si="19"/>
        <v>0</v>
      </c>
      <c r="CD45" s="24"/>
      <c r="CE45" s="49">
        <f t="shared" si="20"/>
        <v>97800000</v>
      </c>
      <c r="CF45" s="50"/>
      <c r="CG45" s="49">
        <f t="shared" ca="1" si="21"/>
        <v>97800000</v>
      </c>
      <c r="CH45" s="33">
        <f t="shared" ca="1" si="22"/>
        <v>1</v>
      </c>
      <c r="CI45" s="33">
        <f t="shared" ca="1" si="23"/>
        <v>1</v>
      </c>
      <c r="CJ45" s="36">
        <f t="shared" ca="1" si="24"/>
        <v>100</v>
      </c>
      <c r="CK45" s="34">
        <f t="shared" si="25"/>
        <v>0</v>
      </c>
      <c r="CL45" s="21"/>
      <c r="CM45" s="35" t="str">
        <f t="shared" ca="1" si="26"/>
        <v>TERMINADO</v>
      </c>
      <c r="CN45" s="82"/>
      <c r="CO45" s="145" t="s">
        <v>487</v>
      </c>
      <c r="CP45" s="26" t="s">
        <v>142</v>
      </c>
    </row>
    <row r="46" spans="1:94" ht="24.75" customHeight="1">
      <c r="A46" s="48" t="s">
        <v>488</v>
      </c>
      <c r="B46" s="77" t="s">
        <v>489</v>
      </c>
      <c r="C46" s="17" t="s">
        <v>104</v>
      </c>
      <c r="D46" s="18" t="s">
        <v>490</v>
      </c>
      <c r="E46" s="17" t="s">
        <v>106</v>
      </c>
      <c r="F46" s="17" t="s">
        <v>107</v>
      </c>
      <c r="G46" s="17" t="s">
        <v>108</v>
      </c>
      <c r="H46" s="78">
        <v>1036600526</v>
      </c>
      <c r="I46" s="233" t="s">
        <v>491</v>
      </c>
      <c r="J46" s="16"/>
      <c r="K46" s="16"/>
      <c r="L46" s="20" t="s">
        <v>492</v>
      </c>
      <c r="M46" s="16" t="s">
        <v>468</v>
      </c>
      <c r="N46" s="22">
        <v>45296</v>
      </c>
      <c r="O46" s="22">
        <v>45296</v>
      </c>
      <c r="P46" s="22">
        <v>45656</v>
      </c>
      <c r="Q46" s="23">
        <f t="shared" si="14"/>
        <v>360</v>
      </c>
      <c r="R46" s="17" t="s">
        <v>242</v>
      </c>
      <c r="S46" s="16" t="s">
        <v>493</v>
      </c>
      <c r="T46" s="16" t="s">
        <v>343</v>
      </c>
      <c r="U46" s="67">
        <v>68381619</v>
      </c>
      <c r="V46" s="16" t="s">
        <v>437</v>
      </c>
      <c r="W46" s="224">
        <v>68381619</v>
      </c>
      <c r="X46" s="24">
        <v>5762496</v>
      </c>
      <c r="Y46" s="24"/>
      <c r="Z46" s="24"/>
      <c r="AA46" s="17" t="s">
        <v>116</v>
      </c>
      <c r="AB46" s="23" t="str">
        <f>IFERROR(VLOOKUP(AA46,Listas!$A$1:$C$14,2,FALSE),"")</f>
        <v>FREDY CÉSPEDES VILLA</v>
      </c>
      <c r="AC46" s="23">
        <f>IFERROR(VLOOKUP(AA46,Listas!$A$1:$C$14,3,FALSE),"")</f>
        <v>93363483</v>
      </c>
      <c r="AD46" s="17" t="s">
        <v>472</v>
      </c>
      <c r="AE46" s="17" t="s">
        <v>473</v>
      </c>
      <c r="AF46" s="23" t="str">
        <f>IFERROR(VLOOKUP(AE46,Listas!$AD$1:$AF$66,2,FALSE),"")</f>
        <v>DANIEL ALBERTO CASTAÑO LOPEZ</v>
      </c>
      <c r="AG46" s="23">
        <f>IFERROR(VLOOKUP(AE46,Listas!$AD$1:$AF$65,3,FALSE),"")</f>
        <v>7544385</v>
      </c>
      <c r="AH46" s="17" t="s">
        <v>118</v>
      </c>
      <c r="AI46" s="65" t="s">
        <v>494</v>
      </c>
      <c r="AJ46" s="25" t="s">
        <v>119</v>
      </c>
      <c r="AK46" s="26" t="s">
        <v>120</v>
      </c>
      <c r="AL46" s="26" t="s">
        <v>120</v>
      </c>
      <c r="AM46" s="90" t="s">
        <v>119</v>
      </c>
      <c r="AN46" s="105">
        <v>31562</v>
      </c>
      <c r="AO46" s="91">
        <f t="shared" ca="1" si="15"/>
        <v>39</v>
      </c>
      <c r="AP46" s="26" t="s">
        <v>121</v>
      </c>
      <c r="AQ46" s="26" t="s">
        <v>409</v>
      </c>
      <c r="AR46" s="89"/>
      <c r="AS46" s="27"/>
      <c r="AT46" s="16"/>
      <c r="AU46" s="27"/>
      <c r="AV46" s="86"/>
      <c r="AW46" s="27"/>
      <c r="AX46" s="27"/>
      <c r="AY46" s="27"/>
      <c r="AZ46" s="27"/>
      <c r="BA46" s="27"/>
      <c r="BB46" s="27"/>
      <c r="BC46" s="97"/>
      <c r="BD46" s="27"/>
      <c r="BE46" s="16"/>
      <c r="BF46" s="28">
        <f t="shared" si="16"/>
        <v>0</v>
      </c>
      <c r="BG46" s="29"/>
      <c r="BH46" s="27"/>
      <c r="BI46" s="31">
        <f t="shared" si="17"/>
        <v>360</v>
      </c>
      <c r="BJ46" s="31">
        <f t="shared" si="18"/>
        <v>45656</v>
      </c>
      <c r="BK46" s="27"/>
      <c r="BL46" s="16"/>
      <c r="BM46" s="27"/>
      <c r="BN46" s="16"/>
      <c r="BO46" s="27"/>
      <c r="BP46" s="16"/>
      <c r="BQ46" s="27"/>
      <c r="BR46" s="24"/>
      <c r="BS46" s="24"/>
      <c r="BT46" s="32"/>
      <c r="BU46" s="27"/>
      <c r="BV46" s="24"/>
      <c r="BW46" s="24"/>
      <c r="BX46" s="16"/>
      <c r="BY46" s="27"/>
      <c r="BZ46" s="24"/>
      <c r="CA46" s="24"/>
      <c r="CB46" s="16"/>
      <c r="CC46" s="49">
        <f t="shared" si="19"/>
        <v>0</v>
      </c>
      <c r="CD46" s="24"/>
      <c r="CE46" s="49">
        <f t="shared" si="20"/>
        <v>68381619</v>
      </c>
      <c r="CF46" s="50"/>
      <c r="CG46" s="49">
        <f t="shared" ca="1" si="21"/>
        <v>68381619</v>
      </c>
      <c r="CH46" s="33">
        <f t="shared" ca="1" si="22"/>
        <v>1</v>
      </c>
      <c r="CI46" s="33">
        <f t="shared" ca="1" si="23"/>
        <v>1</v>
      </c>
      <c r="CJ46" s="36">
        <f t="shared" ca="1" si="24"/>
        <v>100</v>
      </c>
      <c r="CK46" s="34">
        <f t="shared" si="25"/>
        <v>0</v>
      </c>
      <c r="CL46" s="21"/>
      <c r="CM46" s="35" t="str">
        <f t="shared" ca="1" si="26"/>
        <v>TERMINADO</v>
      </c>
      <c r="CN46" s="82"/>
      <c r="CO46" s="145" t="s">
        <v>495</v>
      </c>
      <c r="CP46" s="26" t="s">
        <v>123</v>
      </c>
    </row>
    <row r="47" spans="1:94" ht="24.75" customHeight="1">
      <c r="A47" s="48" t="s">
        <v>496</v>
      </c>
      <c r="B47" s="77" t="s">
        <v>497</v>
      </c>
      <c r="C47" s="17" t="s">
        <v>104</v>
      </c>
      <c r="D47" s="18" t="s">
        <v>498</v>
      </c>
      <c r="E47" s="17" t="s">
        <v>106</v>
      </c>
      <c r="F47" s="17" t="s">
        <v>107</v>
      </c>
      <c r="G47" s="17" t="s">
        <v>108</v>
      </c>
      <c r="H47" s="78">
        <v>1031141199</v>
      </c>
      <c r="I47" s="233" t="s">
        <v>499</v>
      </c>
      <c r="J47" s="16"/>
      <c r="K47" s="16"/>
      <c r="L47" s="20" t="s">
        <v>500</v>
      </c>
      <c r="M47" s="16" t="s">
        <v>111</v>
      </c>
      <c r="N47" s="22">
        <v>45296</v>
      </c>
      <c r="O47" s="22">
        <v>45296</v>
      </c>
      <c r="P47" s="22">
        <v>45656</v>
      </c>
      <c r="Q47" s="23">
        <f t="shared" si="14"/>
        <v>360</v>
      </c>
      <c r="R47" s="17" t="s">
        <v>242</v>
      </c>
      <c r="S47" s="16" t="s">
        <v>501</v>
      </c>
      <c r="T47" s="16" t="s">
        <v>502</v>
      </c>
      <c r="U47" s="67">
        <v>85333976</v>
      </c>
      <c r="V47" s="16" t="s">
        <v>503</v>
      </c>
      <c r="W47" s="224">
        <v>85333976</v>
      </c>
      <c r="X47" s="24">
        <v>7111164</v>
      </c>
      <c r="Y47" s="24"/>
      <c r="Z47" s="24"/>
      <c r="AA47" s="17" t="s">
        <v>116</v>
      </c>
      <c r="AB47" s="23" t="str">
        <f>IFERROR(VLOOKUP(AA47,Listas!$A$1:$C$14,2,FALSE),"")</f>
        <v>FREDY CÉSPEDES VILLA</v>
      </c>
      <c r="AC47" s="23">
        <f>IFERROR(VLOOKUP(AA47,Listas!$A$1:$C$14,3,FALSE),"")</f>
        <v>93363483</v>
      </c>
      <c r="AD47" s="17" t="s">
        <v>406</v>
      </c>
      <c r="AE47" s="17" t="s">
        <v>504</v>
      </c>
      <c r="AF47" s="23" t="str">
        <f>IFERROR(VLOOKUP(AE47,Listas!$AD$1:$AF$66,2,FALSE),"")</f>
        <v>EDUARDO ELÍAS BARCHA BOLÍVAR</v>
      </c>
      <c r="AG47" s="23">
        <f>IFERROR(VLOOKUP(AE47,Listas!$AD$1:$AF$65,3,FALSE),"")</f>
        <v>72133921</v>
      </c>
      <c r="AH47" s="17" t="s">
        <v>118</v>
      </c>
      <c r="AI47" s="65" t="s">
        <v>505</v>
      </c>
      <c r="AJ47" s="25" t="s">
        <v>119</v>
      </c>
      <c r="AK47" s="26" t="s">
        <v>120</v>
      </c>
      <c r="AL47" s="26" t="s">
        <v>120</v>
      </c>
      <c r="AM47" s="90" t="s">
        <v>119</v>
      </c>
      <c r="AN47" s="105">
        <v>33877</v>
      </c>
      <c r="AO47" s="91">
        <f t="shared" ca="1" si="15"/>
        <v>33</v>
      </c>
      <c r="AP47" s="26" t="s">
        <v>121</v>
      </c>
      <c r="AQ47" s="26" t="s">
        <v>409</v>
      </c>
      <c r="AR47" s="89"/>
      <c r="AS47" s="27"/>
      <c r="AT47" s="16"/>
      <c r="AU47" s="27"/>
      <c r="AV47" s="86"/>
      <c r="AW47" s="27"/>
      <c r="AX47" s="27"/>
      <c r="AY47" s="27"/>
      <c r="AZ47" s="27"/>
      <c r="BA47" s="27"/>
      <c r="BB47" s="27"/>
      <c r="BC47" s="97"/>
      <c r="BD47" s="27"/>
      <c r="BE47" s="16"/>
      <c r="BF47" s="28">
        <f t="shared" si="16"/>
        <v>0</v>
      </c>
      <c r="BG47" s="29"/>
      <c r="BH47" s="27"/>
      <c r="BI47" s="31">
        <f t="shared" si="17"/>
        <v>360</v>
      </c>
      <c r="BJ47" s="31">
        <f t="shared" si="18"/>
        <v>45656</v>
      </c>
      <c r="BK47" s="27"/>
      <c r="BL47" s="16"/>
      <c r="BM47" s="27"/>
      <c r="BN47" s="16"/>
      <c r="BO47" s="27"/>
      <c r="BP47" s="16"/>
      <c r="BQ47" s="27"/>
      <c r="BR47" s="24"/>
      <c r="BS47" s="24"/>
      <c r="BT47" s="32"/>
      <c r="BU47" s="27"/>
      <c r="BV47" s="24"/>
      <c r="BW47" s="24"/>
      <c r="BX47" s="16"/>
      <c r="BY47" s="27"/>
      <c r="BZ47" s="24"/>
      <c r="CA47" s="24"/>
      <c r="CB47" s="16"/>
      <c r="CC47" s="49">
        <f t="shared" si="19"/>
        <v>0</v>
      </c>
      <c r="CD47" s="24"/>
      <c r="CE47" s="49">
        <f t="shared" si="20"/>
        <v>85333976</v>
      </c>
      <c r="CF47" s="50"/>
      <c r="CG47" s="49">
        <f t="shared" ca="1" si="21"/>
        <v>85333976</v>
      </c>
      <c r="CH47" s="33">
        <f t="shared" ca="1" si="22"/>
        <v>1</v>
      </c>
      <c r="CI47" s="33">
        <f t="shared" ca="1" si="23"/>
        <v>1</v>
      </c>
      <c r="CJ47" s="36">
        <f t="shared" ca="1" si="24"/>
        <v>100</v>
      </c>
      <c r="CK47" s="34">
        <f t="shared" si="25"/>
        <v>0</v>
      </c>
      <c r="CL47" s="21"/>
      <c r="CM47" s="35" t="str">
        <f t="shared" ca="1" si="26"/>
        <v>TERMINADO</v>
      </c>
      <c r="CN47" s="82"/>
      <c r="CO47" s="145" t="s">
        <v>506</v>
      </c>
      <c r="CP47" s="26" t="s">
        <v>123</v>
      </c>
    </row>
    <row r="48" spans="1:94" ht="24.75" customHeight="1">
      <c r="A48" s="48" t="s">
        <v>507</v>
      </c>
      <c r="B48" s="77" t="s">
        <v>508</v>
      </c>
      <c r="C48" s="17" t="s">
        <v>104</v>
      </c>
      <c r="D48" s="18" t="s">
        <v>509</v>
      </c>
      <c r="E48" s="17" t="s">
        <v>106</v>
      </c>
      <c r="F48" s="17" t="s">
        <v>107</v>
      </c>
      <c r="G48" s="17" t="s">
        <v>108</v>
      </c>
      <c r="H48" s="78">
        <v>52532443</v>
      </c>
      <c r="I48" s="74" t="s">
        <v>510</v>
      </c>
      <c r="J48" s="16"/>
      <c r="K48" s="16"/>
      <c r="L48" s="20" t="s">
        <v>511</v>
      </c>
      <c r="M48" s="16" t="s">
        <v>111</v>
      </c>
      <c r="N48" s="22">
        <v>45296</v>
      </c>
      <c r="O48" s="22">
        <v>45296</v>
      </c>
      <c r="P48" s="22">
        <v>45657</v>
      </c>
      <c r="Q48" s="23">
        <f t="shared" si="14"/>
        <v>361</v>
      </c>
      <c r="R48" s="17" t="s">
        <v>242</v>
      </c>
      <c r="S48" s="16" t="s">
        <v>512</v>
      </c>
      <c r="T48" s="16" t="s">
        <v>513</v>
      </c>
      <c r="U48" s="67">
        <v>138244294</v>
      </c>
      <c r="V48" s="16" t="s">
        <v>426</v>
      </c>
      <c r="W48" s="224">
        <v>138244294</v>
      </c>
      <c r="X48" s="24">
        <v>11649800</v>
      </c>
      <c r="Y48" s="24"/>
      <c r="Z48" s="24"/>
      <c r="AA48" s="17" t="s">
        <v>116</v>
      </c>
      <c r="AB48" s="23" t="str">
        <f>IFERROR(VLOOKUP(AA48,Listas!$A$1:$C$14,2,FALSE),"")</f>
        <v>FREDY CÉSPEDES VILLA</v>
      </c>
      <c r="AC48" s="23">
        <f>IFERROR(VLOOKUP(AA48,Listas!$A$1:$C$14,3,FALSE),"")</f>
        <v>93363483</v>
      </c>
      <c r="AD48" s="17" t="s">
        <v>427</v>
      </c>
      <c r="AE48" s="17" t="s">
        <v>428</v>
      </c>
      <c r="AF48" s="23" t="str">
        <f>IFERROR(VLOOKUP(AE48,Listas!$AD$1:$AF$66,2,FALSE),"")</f>
        <v>DINORAH PATRICIA ABADIA MURILLO</v>
      </c>
      <c r="AG48" s="23">
        <f>IFERROR(VLOOKUP(AE48,Listas!$AD$1:$AF$65,3,FALSE),"")</f>
        <v>52220857</v>
      </c>
      <c r="AH48" s="17" t="s">
        <v>118</v>
      </c>
      <c r="AI48" s="65" t="s">
        <v>514</v>
      </c>
      <c r="AJ48" s="25" t="s">
        <v>119</v>
      </c>
      <c r="AK48" s="26" t="s">
        <v>120</v>
      </c>
      <c r="AL48" s="26" t="s">
        <v>120</v>
      </c>
      <c r="AM48" s="90" t="s">
        <v>119</v>
      </c>
      <c r="AN48" s="105">
        <v>28650</v>
      </c>
      <c r="AO48" s="91">
        <f t="shared" ca="1" si="15"/>
        <v>47</v>
      </c>
      <c r="AP48" s="26" t="s">
        <v>121</v>
      </c>
      <c r="AQ48" s="26" t="s">
        <v>515</v>
      </c>
      <c r="AR48" s="89"/>
      <c r="AS48" s="27"/>
      <c r="AT48" s="16"/>
      <c r="AU48" s="27"/>
      <c r="AV48" s="86"/>
      <c r="AW48" s="27"/>
      <c r="AX48" s="27"/>
      <c r="AY48" s="27"/>
      <c r="AZ48" s="27"/>
      <c r="BA48" s="27"/>
      <c r="BB48" s="27"/>
      <c r="BC48" s="97"/>
      <c r="BD48" s="27"/>
      <c r="BE48" s="16"/>
      <c r="BF48" s="28">
        <f t="shared" si="16"/>
        <v>0</v>
      </c>
      <c r="BG48" s="29"/>
      <c r="BH48" s="27"/>
      <c r="BI48" s="31">
        <f t="shared" si="17"/>
        <v>361</v>
      </c>
      <c r="BJ48" s="31">
        <f t="shared" si="18"/>
        <v>45657</v>
      </c>
      <c r="BK48" s="27"/>
      <c r="BL48" s="16"/>
      <c r="BM48" s="27"/>
      <c r="BN48" s="16"/>
      <c r="BO48" s="27"/>
      <c r="BP48" s="16"/>
      <c r="BQ48" s="27"/>
      <c r="BR48" s="24"/>
      <c r="BS48" s="24"/>
      <c r="BT48" s="32"/>
      <c r="BU48" s="27"/>
      <c r="BV48" s="24"/>
      <c r="BW48" s="24"/>
      <c r="BX48" s="16"/>
      <c r="BY48" s="27"/>
      <c r="BZ48" s="24"/>
      <c r="CA48" s="24"/>
      <c r="CB48" s="16"/>
      <c r="CC48" s="49">
        <f t="shared" si="19"/>
        <v>0</v>
      </c>
      <c r="CD48" s="24"/>
      <c r="CE48" s="49">
        <f t="shared" si="20"/>
        <v>138244294</v>
      </c>
      <c r="CF48" s="50"/>
      <c r="CG48" s="49">
        <f t="shared" ca="1" si="21"/>
        <v>138244294</v>
      </c>
      <c r="CH48" s="33">
        <f t="shared" ca="1" si="22"/>
        <v>1</v>
      </c>
      <c r="CI48" s="33">
        <f t="shared" ca="1" si="23"/>
        <v>1</v>
      </c>
      <c r="CJ48" s="36">
        <f t="shared" ca="1" si="24"/>
        <v>100</v>
      </c>
      <c r="CK48" s="34">
        <f t="shared" si="25"/>
        <v>0</v>
      </c>
      <c r="CL48" s="21"/>
      <c r="CM48" s="35" t="str">
        <f t="shared" ca="1" si="26"/>
        <v>TERMINADO</v>
      </c>
      <c r="CN48" s="82"/>
      <c r="CO48" s="145" t="s">
        <v>516</v>
      </c>
      <c r="CP48" s="26" t="s">
        <v>123</v>
      </c>
    </row>
    <row r="49" spans="1:94" ht="24.75" customHeight="1">
      <c r="A49" s="48" t="s">
        <v>517</v>
      </c>
      <c r="B49" s="77" t="s">
        <v>518</v>
      </c>
      <c r="C49" s="17" t="s">
        <v>104</v>
      </c>
      <c r="D49" s="18" t="s">
        <v>519</v>
      </c>
      <c r="E49" s="17" t="s">
        <v>106</v>
      </c>
      <c r="F49" s="17" t="s">
        <v>107</v>
      </c>
      <c r="G49" s="17" t="s">
        <v>108</v>
      </c>
      <c r="H49" s="78">
        <v>52524699</v>
      </c>
      <c r="I49" s="74" t="s">
        <v>520</v>
      </c>
      <c r="J49" s="16"/>
      <c r="K49" s="16"/>
      <c r="L49" s="20" t="s">
        <v>521</v>
      </c>
      <c r="M49" s="16" t="s">
        <v>111</v>
      </c>
      <c r="N49" s="22">
        <v>45296</v>
      </c>
      <c r="O49" s="22">
        <v>45296</v>
      </c>
      <c r="P49" s="22">
        <v>45656</v>
      </c>
      <c r="Q49" s="23">
        <f t="shared" si="14"/>
        <v>360</v>
      </c>
      <c r="R49" s="17" t="s">
        <v>242</v>
      </c>
      <c r="S49" s="16" t="s">
        <v>522</v>
      </c>
      <c r="T49" s="16" t="s">
        <v>343</v>
      </c>
      <c r="U49" s="67">
        <v>52524529</v>
      </c>
      <c r="V49" s="16" t="s">
        <v>471</v>
      </c>
      <c r="W49" s="224">
        <v>52524529</v>
      </c>
      <c r="X49" s="24">
        <v>4413826</v>
      </c>
      <c r="Y49" s="24"/>
      <c r="Z49" s="24"/>
      <c r="AA49" s="17" t="s">
        <v>116</v>
      </c>
      <c r="AB49" s="23" t="str">
        <f>IFERROR(VLOOKUP(AA49,Listas!$A$1:$C$14,2,FALSE),"")</f>
        <v>FREDY CÉSPEDES VILLA</v>
      </c>
      <c r="AC49" s="23">
        <f>IFERROR(VLOOKUP(AA49,Listas!$A$1:$C$14,3,FALSE),"")</f>
        <v>93363483</v>
      </c>
      <c r="AD49" s="17" t="s">
        <v>345</v>
      </c>
      <c r="AE49" s="17" t="s">
        <v>346</v>
      </c>
      <c r="AF49" s="23" t="str">
        <f>IFERROR(VLOOKUP(AE49,Listas!$AD$1:$AF$66,2,FALSE),"")</f>
        <v>RODOLFO GIOVANNI CANCHILA SUÁREZ</v>
      </c>
      <c r="AG49" s="23">
        <f>IFERROR(VLOOKUP(AE49,Listas!$AD$1:$AF$65,3,FALSE),"")</f>
        <v>79672493</v>
      </c>
      <c r="AH49" s="17" t="s">
        <v>118</v>
      </c>
      <c r="AI49" s="65" t="s">
        <v>523</v>
      </c>
      <c r="AJ49" s="25" t="s">
        <v>119</v>
      </c>
      <c r="AK49" s="26" t="s">
        <v>120</v>
      </c>
      <c r="AL49" s="26" t="s">
        <v>120</v>
      </c>
      <c r="AM49" s="90" t="s">
        <v>119</v>
      </c>
      <c r="AN49" s="105">
        <v>28635</v>
      </c>
      <c r="AO49" s="91">
        <f t="shared" ca="1" si="15"/>
        <v>47</v>
      </c>
      <c r="AP49" s="26" t="s">
        <v>121</v>
      </c>
      <c r="AQ49" s="26" t="s">
        <v>347</v>
      </c>
      <c r="AR49" s="89"/>
      <c r="AS49" s="27"/>
      <c r="AT49" s="16"/>
      <c r="AU49" s="27"/>
      <c r="AV49" s="86"/>
      <c r="AW49" s="27"/>
      <c r="AX49" s="27"/>
      <c r="AY49" s="27"/>
      <c r="AZ49" s="27"/>
      <c r="BA49" s="27"/>
      <c r="BB49" s="27"/>
      <c r="BC49" s="97"/>
      <c r="BD49" s="27"/>
      <c r="BE49" s="16"/>
      <c r="BF49" s="28">
        <f t="shared" si="16"/>
        <v>0</v>
      </c>
      <c r="BG49" s="29"/>
      <c r="BH49" s="27"/>
      <c r="BI49" s="31">
        <f t="shared" si="17"/>
        <v>360</v>
      </c>
      <c r="BJ49" s="31">
        <f t="shared" si="18"/>
        <v>45656</v>
      </c>
      <c r="BK49" s="27"/>
      <c r="BL49" s="16"/>
      <c r="BM49" s="27"/>
      <c r="BN49" s="16"/>
      <c r="BO49" s="27"/>
      <c r="BP49" s="16"/>
      <c r="BQ49" s="27"/>
      <c r="BR49" s="24"/>
      <c r="BS49" s="24"/>
      <c r="BT49" s="32"/>
      <c r="BU49" s="27"/>
      <c r="BV49" s="24"/>
      <c r="BW49" s="24"/>
      <c r="BX49" s="16"/>
      <c r="BY49" s="27"/>
      <c r="BZ49" s="24"/>
      <c r="CA49" s="24"/>
      <c r="CB49" s="16"/>
      <c r="CC49" s="49">
        <f t="shared" si="19"/>
        <v>0</v>
      </c>
      <c r="CD49" s="24"/>
      <c r="CE49" s="49">
        <f t="shared" si="20"/>
        <v>52524529</v>
      </c>
      <c r="CF49" s="50"/>
      <c r="CG49" s="49">
        <f t="shared" ca="1" si="21"/>
        <v>52524529</v>
      </c>
      <c r="CH49" s="33">
        <f t="shared" ca="1" si="22"/>
        <v>1</v>
      </c>
      <c r="CI49" s="33">
        <f t="shared" ca="1" si="23"/>
        <v>1</v>
      </c>
      <c r="CJ49" s="36">
        <f t="shared" ca="1" si="24"/>
        <v>100</v>
      </c>
      <c r="CK49" s="34">
        <f t="shared" si="25"/>
        <v>0</v>
      </c>
      <c r="CL49" s="21"/>
      <c r="CM49" s="35" t="str">
        <f t="shared" ca="1" si="26"/>
        <v>TERMINADO</v>
      </c>
      <c r="CN49" s="82"/>
      <c r="CO49" s="145" t="s">
        <v>524</v>
      </c>
      <c r="CP49" s="26" t="s">
        <v>123</v>
      </c>
    </row>
    <row r="50" spans="1:94" ht="24.75" customHeight="1">
      <c r="A50" s="48" t="s">
        <v>525</v>
      </c>
      <c r="B50" s="77" t="s">
        <v>526</v>
      </c>
      <c r="C50" s="17" t="s">
        <v>104</v>
      </c>
      <c r="D50" s="18" t="s">
        <v>527</v>
      </c>
      <c r="E50" s="17" t="s">
        <v>106</v>
      </c>
      <c r="F50" s="17" t="s">
        <v>107</v>
      </c>
      <c r="G50" s="17" t="s">
        <v>108</v>
      </c>
      <c r="H50" s="78">
        <v>1033727637</v>
      </c>
      <c r="I50" s="74" t="s">
        <v>528</v>
      </c>
      <c r="J50" s="16"/>
      <c r="K50" s="16"/>
      <c r="L50" s="96" t="s">
        <v>521</v>
      </c>
      <c r="M50" s="16" t="s">
        <v>111</v>
      </c>
      <c r="N50" s="22">
        <v>45296</v>
      </c>
      <c r="O50" s="22">
        <v>45302</v>
      </c>
      <c r="P50" s="22">
        <v>45656</v>
      </c>
      <c r="Q50" s="23">
        <f t="shared" si="14"/>
        <v>354</v>
      </c>
      <c r="R50" s="17" t="s">
        <v>242</v>
      </c>
      <c r="S50" s="16" t="s">
        <v>529</v>
      </c>
      <c r="T50" s="16" t="s">
        <v>343</v>
      </c>
      <c r="U50" s="67">
        <v>52524529</v>
      </c>
      <c r="V50" s="16" t="s">
        <v>471</v>
      </c>
      <c r="W50" s="224">
        <v>52524529</v>
      </c>
      <c r="X50" s="24">
        <v>4413826</v>
      </c>
      <c r="Y50" s="24"/>
      <c r="Z50" s="24"/>
      <c r="AA50" s="17" t="s">
        <v>116</v>
      </c>
      <c r="AB50" s="23" t="str">
        <f>IFERROR(VLOOKUP(AA50,Listas!$A$1:$C$14,2,FALSE),"")</f>
        <v>FREDY CÉSPEDES VILLA</v>
      </c>
      <c r="AC50" s="23">
        <f>IFERROR(VLOOKUP(AA50,Listas!$A$1:$C$14,3,FALSE),"")</f>
        <v>93363483</v>
      </c>
      <c r="AD50" s="17" t="s">
        <v>345</v>
      </c>
      <c r="AE50" s="17" t="s">
        <v>346</v>
      </c>
      <c r="AF50" s="23" t="str">
        <f>IFERROR(VLOOKUP(AE50,Listas!$AD$1:$AF$66,2,FALSE),"")</f>
        <v>RODOLFO GIOVANNI CANCHILA SUÁREZ</v>
      </c>
      <c r="AG50" s="23">
        <f>IFERROR(VLOOKUP(AE50,Listas!$AD$1:$AF$65,3,FALSE),"")</f>
        <v>79672493</v>
      </c>
      <c r="AH50" s="17" t="s">
        <v>118</v>
      </c>
      <c r="AI50" s="65" t="s">
        <v>530</v>
      </c>
      <c r="AJ50" s="25" t="s">
        <v>119</v>
      </c>
      <c r="AK50" s="26" t="s">
        <v>120</v>
      </c>
      <c r="AL50" s="26" t="s">
        <v>120</v>
      </c>
      <c r="AM50" s="90" t="s">
        <v>119</v>
      </c>
      <c r="AN50" s="105">
        <v>33125</v>
      </c>
      <c r="AO50" s="91">
        <f t="shared" ca="1" si="15"/>
        <v>35</v>
      </c>
      <c r="AP50" s="26" t="s">
        <v>121</v>
      </c>
      <c r="AQ50" s="26" t="s">
        <v>347</v>
      </c>
      <c r="AR50" s="89"/>
      <c r="AS50" s="27"/>
      <c r="AT50" s="16"/>
      <c r="AU50" s="27"/>
      <c r="AV50" s="86"/>
      <c r="AW50" s="27"/>
      <c r="AX50" s="27"/>
      <c r="AY50" s="27"/>
      <c r="AZ50" s="27"/>
      <c r="BA50" s="27"/>
      <c r="BB50" s="27"/>
      <c r="BC50" s="97"/>
      <c r="BD50" s="27"/>
      <c r="BE50" s="16"/>
      <c r="BF50" s="28">
        <f t="shared" si="16"/>
        <v>0</v>
      </c>
      <c r="BG50" s="29"/>
      <c r="BH50" s="27"/>
      <c r="BI50" s="31">
        <f t="shared" si="17"/>
        <v>354</v>
      </c>
      <c r="BJ50" s="31">
        <f t="shared" si="18"/>
        <v>45656</v>
      </c>
      <c r="BK50" s="27"/>
      <c r="BL50" s="16"/>
      <c r="BM50" s="27"/>
      <c r="BN50" s="16"/>
      <c r="BO50" s="27"/>
      <c r="BP50" s="16"/>
      <c r="BQ50" s="27"/>
      <c r="BR50" s="24"/>
      <c r="BS50" s="24"/>
      <c r="BT50" s="32"/>
      <c r="BU50" s="27"/>
      <c r="BV50" s="24"/>
      <c r="BW50" s="24"/>
      <c r="BX50" s="16"/>
      <c r="BY50" s="27"/>
      <c r="BZ50" s="24"/>
      <c r="CA50" s="24"/>
      <c r="CB50" s="16"/>
      <c r="CC50" s="49">
        <f t="shared" si="19"/>
        <v>0</v>
      </c>
      <c r="CD50" s="24"/>
      <c r="CE50" s="49">
        <f t="shared" si="20"/>
        <v>52524529</v>
      </c>
      <c r="CF50" s="50"/>
      <c r="CG50" s="49">
        <f t="shared" ca="1" si="21"/>
        <v>52524529</v>
      </c>
      <c r="CH50" s="33">
        <f t="shared" ca="1" si="22"/>
        <v>1</v>
      </c>
      <c r="CI50" s="33">
        <f t="shared" ca="1" si="23"/>
        <v>1</v>
      </c>
      <c r="CJ50" s="36">
        <f t="shared" ca="1" si="24"/>
        <v>100</v>
      </c>
      <c r="CK50" s="34">
        <f t="shared" si="25"/>
        <v>0</v>
      </c>
      <c r="CL50" s="21"/>
      <c r="CM50" s="35" t="str">
        <f t="shared" ca="1" si="26"/>
        <v>TERMINADO</v>
      </c>
      <c r="CN50" s="82"/>
      <c r="CO50" s="145" t="s">
        <v>531</v>
      </c>
      <c r="CP50" s="26" t="s">
        <v>123</v>
      </c>
    </row>
    <row r="51" spans="1:94" ht="24.75" customHeight="1">
      <c r="A51" s="48" t="s">
        <v>532</v>
      </c>
      <c r="B51" s="77" t="s">
        <v>533</v>
      </c>
      <c r="C51" s="17" t="s">
        <v>104</v>
      </c>
      <c r="D51" s="18" t="s">
        <v>534</v>
      </c>
      <c r="E51" s="17" t="s">
        <v>106</v>
      </c>
      <c r="F51" s="17" t="s">
        <v>107</v>
      </c>
      <c r="G51" s="17" t="s">
        <v>108</v>
      </c>
      <c r="H51" s="78">
        <v>1018486367</v>
      </c>
      <c r="I51" s="74" t="s">
        <v>535</v>
      </c>
      <c r="J51" s="16"/>
      <c r="K51" s="16"/>
      <c r="L51" s="20" t="s">
        <v>536</v>
      </c>
      <c r="M51" s="16" t="s">
        <v>111</v>
      </c>
      <c r="N51" s="22">
        <v>45300</v>
      </c>
      <c r="O51" s="22">
        <v>45301</v>
      </c>
      <c r="P51" s="22">
        <v>45656</v>
      </c>
      <c r="Q51" s="23">
        <f t="shared" si="14"/>
        <v>355</v>
      </c>
      <c r="R51" s="17" t="s">
        <v>242</v>
      </c>
      <c r="S51" s="16" t="s">
        <v>529</v>
      </c>
      <c r="T51" s="16" t="s">
        <v>537</v>
      </c>
      <c r="U51" s="67">
        <v>102492216</v>
      </c>
      <c r="V51" s="16" t="s">
        <v>538</v>
      </c>
      <c r="W51" s="224">
        <v>102492216</v>
      </c>
      <c r="X51" s="24">
        <v>8541018</v>
      </c>
      <c r="Y51" s="24"/>
      <c r="Z51" s="24"/>
      <c r="AA51" s="17" t="s">
        <v>116</v>
      </c>
      <c r="AB51" s="23" t="str">
        <f>IFERROR(VLOOKUP(AA51,Listas!$A$1:$C$14,2,FALSE),"")</f>
        <v>FREDY CÉSPEDES VILLA</v>
      </c>
      <c r="AC51" s="23">
        <f>IFERROR(VLOOKUP(AA51,Listas!$A$1:$C$14,3,FALSE),"")</f>
        <v>93363483</v>
      </c>
      <c r="AD51" s="17" t="s">
        <v>217</v>
      </c>
      <c r="AE51" s="17" t="s">
        <v>539</v>
      </c>
      <c r="AF51" s="23" t="str">
        <f>IFERROR(VLOOKUP(AE51,Listas!$AD$1:$AF$66,2,FALSE),"")</f>
        <v>DORIS POVEDA BELTRÁN</v>
      </c>
      <c r="AG51" s="23">
        <f>IFERROR(VLOOKUP(AE51,Listas!$AD$1:$AF$65,3,FALSE),"")</f>
        <v>52049845</v>
      </c>
      <c r="AH51" s="17" t="s">
        <v>118</v>
      </c>
      <c r="AI51" s="65" t="s">
        <v>540</v>
      </c>
      <c r="AJ51" s="25" t="s">
        <v>119</v>
      </c>
      <c r="AK51" s="26" t="s">
        <v>120</v>
      </c>
      <c r="AL51" s="26" t="s">
        <v>120</v>
      </c>
      <c r="AM51" s="90" t="s">
        <v>119</v>
      </c>
      <c r="AN51" s="105">
        <v>35228</v>
      </c>
      <c r="AO51" s="91">
        <f t="shared" ca="1" si="15"/>
        <v>29</v>
      </c>
      <c r="AP51" s="26" t="s">
        <v>121</v>
      </c>
      <c r="AQ51" s="26" t="s">
        <v>220</v>
      </c>
      <c r="AR51" s="89">
        <v>45581</v>
      </c>
      <c r="AS51" s="27" t="s">
        <v>541</v>
      </c>
      <c r="AT51" s="104">
        <v>93400081</v>
      </c>
      <c r="AU51" s="27" t="s">
        <v>542</v>
      </c>
      <c r="AV51" s="86">
        <v>21352539</v>
      </c>
      <c r="AW51" s="27"/>
      <c r="AX51" s="27"/>
      <c r="AY51" s="27"/>
      <c r="AZ51" s="27"/>
      <c r="BA51" s="27"/>
      <c r="BB51" s="27"/>
      <c r="BC51" s="97"/>
      <c r="BD51" s="27"/>
      <c r="BE51" s="16"/>
      <c r="BF51" s="28">
        <f t="shared" si="16"/>
        <v>0</v>
      </c>
      <c r="BG51" s="29"/>
      <c r="BH51" s="27"/>
      <c r="BI51" s="31">
        <f t="shared" si="17"/>
        <v>355</v>
      </c>
      <c r="BJ51" s="31">
        <f t="shared" si="18"/>
        <v>45656</v>
      </c>
      <c r="BK51" s="27"/>
      <c r="BL51" s="16"/>
      <c r="BM51" s="27"/>
      <c r="BN51" s="16"/>
      <c r="BO51" s="27"/>
      <c r="BP51" s="16"/>
      <c r="BQ51" s="27"/>
      <c r="BR51" s="24"/>
      <c r="BS51" s="24"/>
      <c r="BT51" s="32"/>
      <c r="BU51" s="27"/>
      <c r="BV51" s="24"/>
      <c r="BW51" s="24"/>
      <c r="BX51" s="16"/>
      <c r="BY51" s="27"/>
      <c r="BZ51" s="24"/>
      <c r="CA51" s="24"/>
      <c r="CB51" s="16"/>
      <c r="CC51" s="49">
        <f t="shared" si="19"/>
        <v>0</v>
      </c>
      <c r="CD51" s="24"/>
      <c r="CE51" s="49">
        <f t="shared" si="20"/>
        <v>102492216</v>
      </c>
      <c r="CF51" s="50"/>
      <c r="CG51" s="49">
        <f t="shared" ca="1" si="21"/>
        <v>102492216</v>
      </c>
      <c r="CH51" s="33">
        <f t="shared" ca="1" si="22"/>
        <v>1</v>
      </c>
      <c r="CI51" s="33">
        <f t="shared" ca="1" si="23"/>
        <v>1</v>
      </c>
      <c r="CJ51" s="36">
        <f t="shared" ca="1" si="24"/>
        <v>100</v>
      </c>
      <c r="CK51" s="34">
        <f t="shared" si="25"/>
        <v>0</v>
      </c>
      <c r="CL51" s="21"/>
      <c r="CM51" s="35" t="str">
        <f t="shared" ca="1" si="26"/>
        <v>TERMINADO</v>
      </c>
      <c r="CN51" s="82"/>
      <c r="CO51" s="145" t="s">
        <v>543</v>
      </c>
      <c r="CP51" s="26" t="s">
        <v>123</v>
      </c>
    </row>
    <row r="52" spans="1:94" ht="24.75" customHeight="1">
      <c r="A52" s="48" t="s">
        <v>544</v>
      </c>
      <c r="B52" s="77" t="s">
        <v>545</v>
      </c>
      <c r="C52" s="17" t="s">
        <v>104</v>
      </c>
      <c r="D52" s="18" t="s">
        <v>546</v>
      </c>
      <c r="E52" s="17" t="s">
        <v>106</v>
      </c>
      <c r="F52" s="17" t="s">
        <v>107</v>
      </c>
      <c r="G52" s="17" t="s">
        <v>108</v>
      </c>
      <c r="H52" s="78">
        <v>52153304</v>
      </c>
      <c r="I52" s="74" t="s">
        <v>547</v>
      </c>
      <c r="J52" s="16"/>
      <c r="K52" s="16"/>
      <c r="L52" s="20" t="s">
        <v>548</v>
      </c>
      <c r="M52" s="16" t="s">
        <v>111</v>
      </c>
      <c r="N52" s="22">
        <v>45296</v>
      </c>
      <c r="O52" s="22">
        <v>45300</v>
      </c>
      <c r="P52" s="22">
        <v>45656</v>
      </c>
      <c r="Q52" s="23">
        <f t="shared" si="14"/>
        <v>356</v>
      </c>
      <c r="R52" s="17" t="s">
        <v>242</v>
      </c>
      <c r="S52" s="16" t="s">
        <v>549</v>
      </c>
      <c r="T52" s="16" t="s">
        <v>343</v>
      </c>
      <c r="U52" s="67">
        <v>72746393</v>
      </c>
      <c r="V52" s="16" t="s">
        <v>437</v>
      </c>
      <c r="W52" s="224">
        <v>72746393</v>
      </c>
      <c r="X52" s="24">
        <v>6130314</v>
      </c>
      <c r="Y52" s="24"/>
      <c r="Z52" s="24"/>
      <c r="AA52" s="17" t="s">
        <v>116</v>
      </c>
      <c r="AB52" s="23" t="str">
        <f>IFERROR(VLOOKUP(AA52,Listas!$A$1:$C$14,2,FALSE),"")</f>
        <v>FREDY CÉSPEDES VILLA</v>
      </c>
      <c r="AC52" s="23">
        <f>IFERROR(VLOOKUP(AA52,Listas!$A$1:$C$14,3,FALSE),"")</f>
        <v>93363483</v>
      </c>
      <c r="AD52" s="17" t="s">
        <v>345</v>
      </c>
      <c r="AE52" s="17" t="s">
        <v>346</v>
      </c>
      <c r="AF52" s="23" t="str">
        <f>IFERROR(VLOOKUP(AE52,Listas!$AD$1:$AF$66,2,FALSE),"")</f>
        <v>RODOLFO GIOVANNI CANCHILA SUÁREZ</v>
      </c>
      <c r="AG52" s="23">
        <f>IFERROR(VLOOKUP(AE52,Listas!$AD$1:$AF$65,3,FALSE),"")</f>
        <v>79672493</v>
      </c>
      <c r="AH52" s="17" t="s">
        <v>118</v>
      </c>
      <c r="AI52" s="65" t="s">
        <v>550</v>
      </c>
      <c r="AJ52" s="25" t="s">
        <v>119</v>
      </c>
      <c r="AK52" s="26" t="s">
        <v>120</v>
      </c>
      <c r="AL52" s="26" t="s">
        <v>120</v>
      </c>
      <c r="AM52" s="90" t="s">
        <v>119</v>
      </c>
      <c r="AN52" s="105">
        <v>27595</v>
      </c>
      <c r="AO52" s="91">
        <f t="shared" ca="1" si="15"/>
        <v>50</v>
      </c>
      <c r="AP52" s="26" t="s">
        <v>121</v>
      </c>
      <c r="AQ52" s="26" t="s">
        <v>347</v>
      </c>
      <c r="AR52" s="89"/>
      <c r="AS52" s="27"/>
      <c r="AT52" s="16"/>
      <c r="AU52" s="27"/>
      <c r="AV52" s="86"/>
      <c r="AW52" s="27"/>
      <c r="AX52" s="27"/>
      <c r="AY52" s="27"/>
      <c r="AZ52" s="27"/>
      <c r="BA52" s="27"/>
      <c r="BB52" s="27"/>
      <c r="BC52" s="97"/>
      <c r="BD52" s="27"/>
      <c r="BE52" s="16"/>
      <c r="BF52" s="28">
        <f t="shared" si="16"/>
        <v>0</v>
      </c>
      <c r="BG52" s="29"/>
      <c r="BH52" s="27"/>
      <c r="BI52" s="31">
        <f t="shared" si="17"/>
        <v>356</v>
      </c>
      <c r="BJ52" s="31">
        <f t="shared" si="18"/>
        <v>45656</v>
      </c>
      <c r="BK52" s="27"/>
      <c r="BL52" s="16"/>
      <c r="BM52" s="27"/>
      <c r="BN52" s="16"/>
      <c r="BO52" s="27"/>
      <c r="BP52" s="16"/>
      <c r="BQ52" s="27"/>
      <c r="BR52" s="24"/>
      <c r="BS52" s="24"/>
      <c r="BT52" s="32"/>
      <c r="BU52" s="27"/>
      <c r="BV52" s="24"/>
      <c r="BW52" s="24"/>
      <c r="BX52" s="16"/>
      <c r="BY52" s="27"/>
      <c r="BZ52" s="24"/>
      <c r="CA52" s="24"/>
      <c r="CB52" s="16"/>
      <c r="CC52" s="49">
        <f t="shared" si="19"/>
        <v>0</v>
      </c>
      <c r="CD52" s="24"/>
      <c r="CE52" s="49">
        <f t="shared" si="20"/>
        <v>72746393</v>
      </c>
      <c r="CF52" s="50"/>
      <c r="CG52" s="49">
        <f t="shared" ca="1" si="21"/>
        <v>72746393</v>
      </c>
      <c r="CH52" s="33">
        <f t="shared" ca="1" si="22"/>
        <v>1</v>
      </c>
      <c r="CI52" s="33">
        <f t="shared" ca="1" si="23"/>
        <v>1</v>
      </c>
      <c r="CJ52" s="36">
        <f t="shared" ca="1" si="24"/>
        <v>100</v>
      </c>
      <c r="CK52" s="34">
        <f t="shared" si="25"/>
        <v>0</v>
      </c>
      <c r="CL52" s="21"/>
      <c r="CM52" s="35" t="str">
        <f t="shared" ca="1" si="26"/>
        <v>TERMINADO</v>
      </c>
      <c r="CN52" s="82"/>
      <c r="CO52" s="145" t="s">
        <v>551</v>
      </c>
      <c r="CP52" s="26" t="s">
        <v>123</v>
      </c>
    </row>
    <row r="53" spans="1:94" ht="24.75" customHeight="1">
      <c r="A53" s="48" t="s">
        <v>552</v>
      </c>
      <c r="B53" s="77" t="s">
        <v>553</v>
      </c>
      <c r="C53" s="17" t="s">
        <v>104</v>
      </c>
      <c r="D53" s="18" t="s">
        <v>554</v>
      </c>
      <c r="E53" s="17" t="s">
        <v>106</v>
      </c>
      <c r="F53" s="17" t="s">
        <v>107</v>
      </c>
      <c r="G53" s="17" t="s">
        <v>108</v>
      </c>
      <c r="H53" s="78">
        <v>1144144929</v>
      </c>
      <c r="I53" s="74" t="s">
        <v>555</v>
      </c>
      <c r="J53" s="16"/>
      <c r="K53" s="16"/>
      <c r="L53" s="96" t="s">
        <v>556</v>
      </c>
      <c r="M53" s="16" t="s">
        <v>557</v>
      </c>
      <c r="N53" s="22">
        <v>45296</v>
      </c>
      <c r="O53" s="22">
        <v>45300</v>
      </c>
      <c r="P53" s="22">
        <v>45656</v>
      </c>
      <c r="Q53" s="23">
        <f t="shared" si="14"/>
        <v>356</v>
      </c>
      <c r="R53" s="17" t="s">
        <v>242</v>
      </c>
      <c r="S53" s="16" t="s">
        <v>558</v>
      </c>
      <c r="T53" s="16" t="s">
        <v>343</v>
      </c>
      <c r="U53" s="67">
        <v>84622860</v>
      </c>
      <c r="V53" s="16" t="s">
        <v>437</v>
      </c>
      <c r="W53" s="224">
        <v>84622860</v>
      </c>
      <c r="X53" s="24">
        <v>7111165</v>
      </c>
      <c r="Y53" s="24"/>
      <c r="Z53" s="24"/>
      <c r="AA53" s="17" t="s">
        <v>116</v>
      </c>
      <c r="AB53" s="23" t="str">
        <f>IFERROR(VLOOKUP(AA53,Listas!$A$1:$C$14,2,FALSE),"")</f>
        <v>FREDY CÉSPEDES VILLA</v>
      </c>
      <c r="AC53" s="23">
        <f>IFERROR(VLOOKUP(AA53,Listas!$A$1:$C$14,3,FALSE),"")</f>
        <v>93363483</v>
      </c>
      <c r="AD53" s="17" t="s">
        <v>559</v>
      </c>
      <c r="AE53" s="17" t="s">
        <v>560</v>
      </c>
      <c r="AF53" s="23" t="str">
        <f>IFERROR(VLOOKUP(AE53,Listas!$AD$1:$AF$66,2,FALSE),"")</f>
        <v>CESAR AUGUSTO LÓPEZ LÓPEZ</v>
      </c>
      <c r="AG53" s="23">
        <f>IFERROR(VLOOKUP(AE53,Listas!$AD$1:$AF$65,3,FALSE),"")</f>
        <v>6103856</v>
      </c>
      <c r="AH53" s="17" t="s">
        <v>118</v>
      </c>
      <c r="AI53" s="65" t="s">
        <v>561</v>
      </c>
      <c r="AJ53" s="25" t="s">
        <v>119</v>
      </c>
      <c r="AK53" s="26" t="s">
        <v>120</v>
      </c>
      <c r="AL53" s="26" t="s">
        <v>120</v>
      </c>
      <c r="AM53" s="90" t="s">
        <v>119</v>
      </c>
      <c r="AN53" s="105"/>
      <c r="AO53" s="91" t="str">
        <f t="shared" ca="1" si="15"/>
        <v xml:space="preserve"> </v>
      </c>
      <c r="AP53" s="26" t="s">
        <v>121</v>
      </c>
      <c r="AQ53" s="26" t="s">
        <v>327</v>
      </c>
      <c r="AR53" s="89"/>
      <c r="AS53" s="27"/>
      <c r="AT53" s="16"/>
      <c r="AU53" s="27"/>
      <c r="AV53" s="86"/>
      <c r="AW53" s="27"/>
      <c r="AX53" s="27"/>
      <c r="AY53" s="27"/>
      <c r="AZ53" s="27"/>
      <c r="BA53" s="27"/>
      <c r="BB53" s="27"/>
      <c r="BC53" s="97"/>
      <c r="BD53" s="27"/>
      <c r="BE53" s="16"/>
      <c r="BF53" s="28">
        <f t="shared" si="16"/>
        <v>0</v>
      </c>
      <c r="BG53" s="29"/>
      <c r="BH53" s="27"/>
      <c r="BI53" s="31">
        <f t="shared" si="17"/>
        <v>356</v>
      </c>
      <c r="BJ53" s="31">
        <f t="shared" si="18"/>
        <v>45656</v>
      </c>
      <c r="BK53" s="27"/>
      <c r="BL53" s="16"/>
      <c r="BM53" s="27"/>
      <c r="BN53" s="16"/>
      <c r="BO53" s="27"/>
      <c r="BP53" s="16"/>
      <c r="BQ53" s="27"/>
      <c r="BR53" s="24"/>
      <c r="BS53" s="24"/>
      <c r="BT53" s="32"/>
      <c r="BU53" s="27"/>
      <c r="BV53" s="24"/>
      <c r="BW53" s="24"/>
      <c r="BX53" s="16"/>
      <c r="BY53" s="27"/>
      <c r="BZ53" s="24"/>
      <c r="CA53" s="24"/>
      <c r="CB53" s="16"/>
      <c r="CC53" s="49">
        <f t="shared" si="19"/>
        <v>0</v>
      </c>
      <c r="CD53" s="24"/>
      <c r="CE53" s="49">
        <f t="shared" si="20"/>
        <v>84622860</v>
      </c>
      <c r="CF53" s="50"/>
      <c r="CG53" s="49">
        <f t="shared" ca="1" si="21"/>
        <v>84622860</v>
      </c>
      <c r="CH53" s="33">
        <f t="shared" ca="1" si="22"/>
        <v>1</v>
      </c>
      <c r="CI53" s="33">
        <f t="shared" ca="1" si="23"/>
        <v>1</v>
      </c>
      <c r="CJ53" s="36">
        <f t="shared" ca="1" si="24"/>
        <v>100</v>
      </c>
      <c r="CK53" s="34">
        <f t="shared" si="25"/>
        <v>0</v>
      </c>
      <c r="CL53" s="21"/>
      <c r="CM53" s="35" t="str">
        <f t="shared" ca="1" si="26"/>
        <v>TERMINADO</v>
      </c>
      <c r="CN53" s="82"/>
      <c r="CO53" s="145" t="s">
        <v>562</v>
      </c>
      <c r="CP53" s="26" t="s">
        <v>142</v>
      </c>
    </row>
    <row r="54" spans="1:94" ht="24.75" customHeight="1">
      <c r="A54" s="48" t="s">
        <v>563</v>
      </c>
      <c r="B54" s="77" t="s">
        <v>564</v>
      </c>
      <c r="C54" s="17" t="s">
        <v>104</v>
      </c>
      <c r="D54" s="18" t="s">
        <v>565</v>
      </c>
      <c r="E54" s="17" t="s">
        <v>106</v>
      </c>
      <c r="F54" s="17" t="s">
        <v>107</v>
      </c>
      <c r="G54" s="17" t="s">
        <v>108</v>
      </c>
      <c r="H54" s="78">
        <v>1047411076</v>
      </c>
      <c r="I54" s="74" t="s">
        <v>566</v>
      </c>
      <c r="J54" s="16"/>
      <c r="K54" s="16"/>
      <c r="L54" s="96" t="s">
        <v>567</v>
      </c>
      <c r="M54" s="16" t="s">
        <v>111</v>
      </c>
      <c r="N54" s="22">
        <v>45296</v>
      </c>
      <c r="O54" s="22">
        <v>45296</v>
      </c>
      <c r="P54" s="22">
        <v>45656</v>
      </c>
      <c r="Q54" s="23">
        <f t="shared" si="14"/>
        <v>360</v>
      </c>
      <c r="R54" s="17" t="s">
        <v>112</v>
      </c>
      <c r="S54" s="16" t="s">
        <v>568</v>
      </c>
      <c r="T54" s="16" t="s">
        <v>114</v>
      </c>
      <c r="U54" s="67">
        <v>55908467</v>
      </c>
      <c r="V54" s="16" t="s">
        <v>115</v>
      </c>
      <c r="W54" s="224">
        <v>55908467</v>
      </c>
      <c r="X54" s="24">
        <v>4414700</v>
      </c>
      <c r="Y54" s="24"/>
      <c r="Z54" s="24"/>
      <c r="AA54" s="17" t="s">
        <v>116</v>
      </c>
      <c r="AB54" s="23" t="str">
        <f>IFERROR(VLOOKUP(AA54,Listas!$A$1:$C$14,2,FALSE),"")</f>
        <v>FREDY CÉSPEDES VILLA</v>
      </c>
      <c r="AC54" s="23">
        <f>IFERROR(VLOOKUP(AA54,Listas!$A$1:$C$14,3,FALSE),"")</f>
        <v>93363483</v>
      </c>
      <c r="AD54" s="17" t="s">
        <v>116</v>
      </c>
      <c r="AE54" s="17" t="s">
        <v>117</v>
      </c>
      <c r="AF54" s="23" t="str">
        <f>IFERROR(VLOOKUP(AE54,Listas!$AD$1:$AF$66,2,FALSE),"")</f>
        <v>DIANA BARRERA MEDINA</v>
      </c>
      <c r="AG54" s="23">
        <f>IFERROR(VLOOKUP(AE54,Listas!$AD$1:$AF$65,3,FALSE),"")</f>
        <v>52964360</v>
      </c>
      <c r="AH54" s="17" t="s">
        <v>118</v>
      </c>
      <c r="AI54" s="65" t="s">
        <v>569</v>
      </c>
      <c r="AJ54" s="25" t="s">
        <v>119</v>
      </c>
      <c r="AK54" s="26" t="s">
        <v>120</v>
      </c>
      <c r="AL54" s="26" t="s">
        <v>120</v>
      </c>
      <c r="AM54" s="90" t="s">
        <v>119</v>
      </c>
      <c r="AN54" s="105">
        <v>32727</v>
      </c>
      <c r="AO54" s="91">
        <f t="shared" ca="1" si="15"/>
        <v>36</v>
      </c>
      <c r="AP54" s="26" t="s">
        <v>121</v>
      </c>
      <c r="AQ54" s="26" t="s">
        <v>122</v>
      </c>
      <c r="AR54" s="89"/>
      <c r="AS54" s="27"/>
      <c r="AT54" s="16"/>
      <c r="AU54" s="27"/>
      <c r="AV54" s="86"/>
      <c r="AW54" s="27"/>
      <c r="AX54" s="27"/>
      <c r="AY54" s="27"/>
      <c r="AZ54" s="27"/>
      <c r="BA54" s="27"/>
      <c r="BB54" s="27"/>
      <c r="BC54" s="97"/>
      <c r="BD54" s="27"/>
      <c r="BE54" s="16"/>
      <c r="BF54" s="28">
        <f t="shared" si="16"/>
        <v>0</v>
      </c>
      <c r="BG54" s="29"/>
      <c r="BH54" s="27"/>
      <c r="BI54" s="31">
        <f t="shared" si="17"/>
        <v>360</v>
      </c>
      <c r="BJ54" s="31">
        <f t="shared" si="18"/>
        <v>45656</v>
      </c>
      <c r="BK54" s="27"/>
      <c r="BL54" s="16"/>
      <c r="BM54" s="27"/>
      <c r="BN54" s="16"/>
      <c r="BO54" s="27"/>
      <c r="BP54" s="16"/>
      <c r="BQ54" s="27"/>
      <c r="BR54" s="24"/>
      <c r="BS54" s="24"/>
      <c r="BT54" s="32"/>
      <c r="BU54" s="27"/>
      <c r="BV54" s="24"/>
      <c r="BW54" s="24"/>
      <c r="BX54" s="16"/>
      <c r="BY54" s="27"/>
      <c r="BZ54" s="24"/>
      <c r="CA54" s="24"/>
      <c r="CB54" s="16"/>
      <c r="CC54" s="49">
        <f t="shared" si="19"/>
        <v>0</v>
      </c>
      <c r="CD54" s="24"/>
      <c r="CE54" s="49">
        <f t="shared" si="20"/>
        <v>55908467</v>
      </c>
      <c r="CF54" s="50"/>
      <c r="CG54" s="49">
        <f t="shared" ca="1" si="21"/>
        <v>55908467</v>
      </c>
      <c r="CH54" s="33">
        <f t="shared" ca="1" si="22"/>
        <v>1</v>
      </c>
      <c r="CI54" s="33">
        <f t="shared" ca="1" si="23"/>
        <v>1</v>
      </c>
      <c r="CJ54" s="36">
        <f t="shared" ca="1" si="24"/>
        <v>100</v>
      </c>
      <c r="CK54" s="34">
        <f t="shared" si="25"/>
        <v>0</v>
      </c>
      <c r="CL54" s="21"/>
      <c r="CM54" s="35" t="str">
        <f t="shared" ca="1" si="26"/>
        <v>TERMINADO</v>
      </c>
      <c r="CN54" s="82"/>
      <c r="CP54" s="26" t="s">
        <v>123</v>
      </c>
    </row>
    <row r="55" spans="1:94" ht="24.75" customHeight="1">
      <c r="A55" s="48" t="s">
        <v>570</v>
      </c>
      <c r="B55" s="77" t="s">
        <v>571</v>
      </c>
      <c r="C55" s="17" t="s">
        <v>104</v>
      </c>
      <c r="D55" s="18" t="s">
        <v>572</v>
      </c>
      <c r="E55" s="17" t="s">
        <v>106</v>
      </c>
      <c r="F55" s="17" t="s">
        <v>107</v>
      </c>
      <c r="G55" s="17" t="s">
        <v>108</v>
      </c>
      <c r="H55" s="78">
        <v>80096101</v>
      </c>
      <c r="I55" s="74" t="s">
        <v>573</v>
      </c>
      <c r="J55" s="16"/>
      <c r="K55" s="16"/>
      <c r="L55" s="96" t="s">
        <v>574</v>
      </c>
      <c r="M55" s="16" t="s">
        <v>111</v>
      </c>
      <c r="N55" s="22">
        <v>45296</v>
      </c>
      <c r="O55" s="22">
        <v>45300</v>
      </c>
      <c r="P55" s="22">
        <v>45656</v>
      </c>
      <c r="Q55" s="23">
        <f t="shared" si="14"/>
        <v>356</v>
      </c>
      <c r="R55" s="17" t="s">
        <v>242</v>
      </c>
      <c r="S55" s="16" t="s">
        <v>575</v>
      </c>
      <c r="T55" s="16" t="s">
        <v>576</v>
      </c>
      <c r="U55" s="67">
        <v>183909432</v>
      </c>
      <c r="V55" s="16" t="s">
        <v>437</v>
      </c>
      <c r="W55" s="224">
        <v>183909432</v>
      </c>
      <c r="X55" s="24">
        <v>15325786</v>
      </c>
      <c r="Y55" s="24"/>
      <c r="Z55" s="24"/>
      <c r="AA55" s="17" t="s">
        <v>116</v>
      </c>
      <c r="AB55" s="23" t="str">
        <f>IFERROR(VLOOKUP(AA55,Listas!$A$1:$C$14,2,FALSE),"")</f>
        <v>FREDY CÉSPEDES VILLA</v>
      </c>
      <c r="AC55" s="23">
        <f>IFERROR(VLOOKUP(AA55,Listas!$A$1:$C$14,3,FALSE),"")</f>
        <v>93363483</v>
      </c>
      <c r="AD55" s="17" t="s">
        <v>577</v>
      </c>
      <c r="AE55" s="17" t="s">
        <v>578</v>
      </c>
      <c r="AF55" s="23" t="str">
        <f>IFERROR(VLOOKUP(AE55,Listas!$AD$1:$AF$66,2,FALSE),"")</f>
        <v>EDGAR FABIO DÍAZ RAMIREZ</v>
      </c>
      <c r="AG55" s="23">
        <f>IFERROR(VLOOKUP(AE55,Listas!$AD$1:$AF$65,3,FALSE),"")</f>
        <v>79537198</v>
      </c>
      <c r="AH55" s="17" t="s">
        <v>118</v>
      </c>
      <c r="AI55" s="65" t="s">
        <v>579</v>
      </c>
      <c r="AJ55" s="25" t="s">
        <v>119</v>
      </c>
      <c r="AK55" s="26" t="s">
        <v>120</v>
      </c>
      <c r="AL55" s="26" t="s">
        <v>120</v>
      </c>
      <c r="AM55" s="90" t="s">
        <v>119</v>
      </c>
      <c r="AN55" s="105">
        <v>30187</v>
      </c>
      <c r="AO55" s="91">
        <f t="shared" ca="1" si="15"/>
        <v>43</v>
      </c>
      <c r="AP55" s="26" t="s">
        <v>121</v>
      </c>
      <c r="AQ55" s="26" t="s">
        <v>122</v>
      </c>
      <c r="AR55" s="89"/>
      <c r="AS55" s="27"/>
      <c r="AT55" s="16"/>
      <c r="AU55" s="27"/>
      <c r="AV55" s="86"/>
      <c r="AW55" s="27"/>
      <c r="AX55" s="27"/>
      <c r="AY55" s="27"/>
      <c r="AZ55" s="27"/>
      <c r="BA55" s="27"/>
      <c r="BB55" s="27"/>
      <c r="BC55" s="97"/>
      <c r="BD55" s="27"/>
      <c r="BE55" s="16"/>
      <c r="BF55" s="28">
        <f t="shared" si="16"/>
        <v>0</v>
      </c>
      <c r="BG55" s="29"/>
      <c r="BH55" s="27">
        <v>45537</v>
      </c>
      <c r="BI55" s="31">
        <f t="shared" si="17"/>
        <v>356</v>
      </c>
      <c r="BJ55" s="31">
        <f t="shared" si="18"/>
        <v>45537</v>
      </c>
      <c r="BK55" s="27"/>
      <c r="BL55" s="16"/>
      <c r="BM55" s="27"/>
      <c r="BN55" s="16"/>
      <c r="BO55" s="27"/>
      <c r="BP55" s="16"/>
      <c r="BQ55" s="27"/>
      <c r="BR55" s="24"/>
      <c r="BS55" s="24"/>
      <c r="BT55" s="32"/>
      <c r="BU55" s="27"/>
      <c r="BV55" s="24"/>
      <c r="BW55" s="24"/>
      <c r="BX55" s="16"/>
      <c r="BY55" s="27"/>
      <c r="BZ55" s="24"/>
      <c r="CA55" s="24"/>
      <c r="CB55" s="16"/>
      <c r="CC55" s="49">
        <f t="shared" si="19"/>
        <v>0</v>
      </c>
      <c r="CD55" s="24"/>
      <c r="CE55" s="49">
        <f t="shared" si="20"/>
        <v>183909432</v>
      </c>
      <c r="CF55" s="50"/>
      <c r="CG55" s="49">
        <f t="shared" ca="1" si="21"/>
        <v>183909432</v>
      </c>
      <c r="CH55" s="33">
        <f t="shared" ca="1" si="22"/>
        <v>1</v>
      </c>
      <c r="CI55" s="33">
        <f t="shared" ca="1" si="23"/>
        <v>1</v>
      </c>
      <c r="CJ55" s="36">
        <f t="shared" ca="1" si="24"/>
        <v>100</v>
      </c>
      <c r="CK55" s="34">
        <f t="shared" si="25"/>
        <v>0</v>
      </c>
      <c r="CL55" s="21"/>
      <c r="CM55" s="35" t="str">
        <f t="shared" ca="1" si="26"/>
        <v>TERMINADO</v>
      </c>
      <c r="CN55" s="82"/>
      <c r="CO55" s="145" t="s">
        <v>580</v>
      </c>
      <c r="CP55" s="26" t="s">
        <v>142</v>
      </c>
    </row>
    <row r="56" spans="1:94" ht="24.75" customHeight="1">
      <c r="A56" s="48" t="s">
        <v>581</v>
      </c>
      <c r="B56" s="77" t="s">
        <v>582</v>
      </c>
      <c r="C56" s="17" t="s">
        <v>104</v>
      </c>
      <c r="D56" s="18" t="s">
        <v>583</v>
      </c>
      <c r="E56" s="17" t="s">
        <v>106</v>
      </c>
      <c r="F56" s="17" t="s">
        <v>107</v>
      </c>
      <c r="G56" s="17" t="s">
        <v>108</v>
      </c>
      <c r="H56" s="78">
        <v>53071019</v>
      </c>
      <c r="I56" s="74" t="s">
        <v>584</v>
      </c>
      <c r="J56" s="16"/>
      <c r="K56" s="16"/>
      <c r="L56" s="20" t="s">
        <v>585</v>
      </c>
      <c r="M56" s="16" t="s">
        <v>111</v>
      </c>
      <c r="N56" s="22">
        <v>45296</v>
      </c>
      <c r="O56" s="22">
        <v>45301</v>
      </c>
      <c r="P56" s="22">
        <v>45656</v>
      </c>
      <c r="Q56" s="23">
        <f t="shared" si="14"/>
        <v>355</v>
      </c>
      <c r="R56" s="17" t="s">
        <v>242</v>
      </c>
      <c r="S56" s="16" t="s">
        <v>575</v>
      </c>
      <c r="T56" s="16" t="s">
        <v>586</v>
      </c>
      <c r="U56" s="67">
        <v>52965916</v>
      </c>
      <c r="V56" s="16" t="s">
        <v>587</v>
      </c>
      <c r="W56" s="224">
        <v>52965916</v>
      </c>
      <c r="X56" s="24">
        <v>4413826</v>
      </c>
      <c r="Y56" s="24"/>
      <c r="Z56" s="24"/>
      <c r="AA56" s="17" t="s">
        <v>116</v>
      </c>
      <c r="AB56" s="23" t="str">
        <f>IFERROR(VLOOKUP(AA56,Listas!$A$1:$C$14,2,FALSE),"")</f>
        <v>FREDY CÉSPEDES VILLA</v>
      </c>
      <c r="AC56" s="23">
        <f>IFERROR(VLOOKUP(AA56,Listas!$A$1:$C$14,3,FALSE),"")</f>
        <v>93363483</v>
      </c>
      <c r="AD56" s="17" t="s">
        <v>588</v>
      </c>
      <c r="AE56" s="17" t="s">
        <v>589</v>
      </c>
      <c r="AF56" s="23" t="str">
        <f>IFERROR(VLOOKUP(AE56,Listas!$AD$1:$AF$66,2,FALSE),"")</f>
        <v>ANA LUCY CASTRO CASTRO</v>
      </c>
      <c r="AG56" s="23">
        <f>IFERROR(VLOOKUP(AE56,Listas!$AD$1:$AF$65,3,FALSE),"")</f>
        <v>51743499</v>
      </c>
      <c r="AH56" s="17" t="s">
        <v>118</v>
      </c>
      <c r="AI56" s="65" t="s">
        <v>590</v>
      </c>
      <c r="AJ56" s="25" t="s">
        <v>119</v>
      </c>
      <c r="AK56" s="26" t="s">
        <v>120</v>
      </c>
      <c r="AL56" s="26" t="s">
        <v>120</v>
      </c>
      <c r="AM56" s="90" t="s">
        <v>119</v>
      </c>
      <c r="AN56" s="105">
        <v>30718</v>
      </c>
      <c r="AO56" s="91">
        <f t="shared" ca="1" si="15"/>
        <v>41</v>
      </c>
      <c r="AP56" s="26" t="s">
        <v>121</v>
      </c>
      <c r="AQ56" s="26" t="s">
        <v>486</v>
      </c>
      <c r="AR56" s="89"/>
      <c r="AS56" s="27"/>
      <c r="AT56" s="16"/>
      <c r="AU56" s="27"/>
      <c r="AV56" s="86"/>
      <c r="AW56" s="27"/>
      <c r="AX56" s="27"/>
      <c r="AY56" s="27"/>
      <c r="AZ56" s="27"/>
      <c r="BA56" s="27"/>
      <c r="BB56" s="27"/>
      <c r="BC56" s="97"/>
      <c r="BD56" s="27"/>
      <c r="BE56" s="16"/>
      <c r="BF56" s="28">
        <f t="shared" si="16"/>
        <v>0</v>
      </c>
      <c r="BG56" s="29"/>
      <c r="BH56" s="27"/>
      <c r="BI56" s="31">
        <f t="shared" si="17"/>
        <v>355</v>
      </c>
      <c r="BJ56" s="31">
        <f t="shared" si="18"/>
        <v>45656</v>
      </c>
      <c r="BK56" s="27"/>
      <c r="BL56" s="16"/>
      <c r="BM56" s="27"/>
      <c r="BN56" s="16"/>
      <c r="BO56" s="27"/>
      <c r="BP56" s="16"/>
      <c r="BQ56" s="27"/>
      <c r="BR56" s="24"/>
      <c r="BS56" s="24"/>
      <c r="BT56" s="32"/>
      <c r="BU56" s="27"/>
      <c r="BV56" s="24"/>
      <c r="BW56" s="24"/>
      <c r="BX56" s="16"/>
      <c r="BY56" s="27"/>
      <c r="BZ56" s="24"/>
      <c r="CA56" s="24"/>
      <c r="CB56" s="16"/>
      <c r="CC56" s="49">
        <f t="shared" si="19"/>
        <v>0</v>
      </c>
      <c r="CD56" s="24"/>
      <c r="CE56" s="49">
        <f t="shared" si="20"/>
        <v>52965916</v>
      </c>
      <c r="CF56" s="50"/>
      <c r="CG56" s="49">
        <f t="shared" ca="1" si="21"/>
        <v>52965916</v>
      </c>
      <c r="CH56" s="33">
        <f t="shared" ca="1" si="22"/>
        <v>1</v>
      </c>
      <c r="CI56" s="33">
        <f t="shared" ca="1" si="23"/>
        <v>1</v>
      </c>
      <c r="CJ56" s="36">
        <f t="shared" ca="1" si="24"/>
        <v>100</v>
      </c>
      <c r="CK56" s="34">
        <f t="shared" si="25"/>
        <v>0</v>
      </c>
      <c r="CL56" s="21"/>
      <c r="CM56" s="35" t="str">
        <f t="shared" ca="1" si="26"/>
        <v>TERMINADO</v>
      </c>
      <c r="CN56" s="82"/>
      <c r="CO56" s="145" t="s">
        <v>591</v>
      </c>
      <c r="CP56" s="26" t="s">
        <v>123</v>
      </c>
    </row>
    <row r="57" spans="1:94" ht="24.75" customHeight="1">
      <c r="A57" s="48" t="s">
        <v>592</v>
      </c>
      <c r="B57" s="77" t="s">
        <v>593</v>
      </c>
      <c r="C57" s="17" t="s">
        <v>104</v>
      </c>
      <c r="D57" s="18" t="s">
        <v>594</v>
      </c>
      <c r="E57" s="17" t="s">
        <v>106</v>
      </c>
      <c r="F57" s="17" t="s">
        <v>107</v>
      </c>
      <c r="G57" s="17" t="s">
        <v>108</v>
      </c>
      <c r="H57" s="78">
        <v>52919175</v>
      </c>
      <c r="I57" s="74" t="s">
        <v>595</v>
      </c>
      <c r="J57" s="16"/>
      <c r="K57" s="16"/>
      <c r="L57" s="96" t="s">
        <v>585</v>
      </c>
      <c r="M57" s="16" t="s">
        <v>111</v>
      </c>
      <c r="N57" s="22">
        <v>45296</v>
      </c>
      <c r="O57" s="22">
        <v>45300</v>
      </c>
      <c r="P57" s="22">
        <v>45656</v>
      </c>
      <c r="Q57" s="23">
        <f t="shared" si="14"/>
        <v>356</v>
      </c>
      <c r="R57" s="17" t="s">
        <v>242</v>
      </c>
      <c r="S57" s="16" t="s">
        <v>596</v>
      </c>
      <c r="T57" s="16" t="s">
        <v>513</v>
      </c>
      <c r="U57" s="67">
        <v>198621600</v>
      </c>
      <c r="V57" s="16" t="s">
        <v>426</v>
      </c>
      <c r="W57" s="224">
        <v>198621600</v>
      </c>
      <c r="X57" s="24">
        <v>16551800</v>
      </c>
      <c r="Y57" s="24"/>
      <c r="Z57" s="24"/>
      <c r="AA57" s="17" t="s">
        <v>116</v>
      </c>
      <c r="AB57" s="23" t="str">
        <f>IFERROR(VLOOKUP(AA57,Listas!$A$1:$C$14,2,FALSE),"")</f>
        <v>FREDY CÉSPEDES VILLA</v>
      </c>
      <c r="AC57" s="23">
        <f>IFERROR(VLOOKUP(AA57,Listas!$A$1:$C$14,3,FALSE),"")</f>
        <v>93363483</v>
      </c>
      <c r="AD57" s="17" t="s">
        <v>427</v>
      </c>
      <c r="AE57" s="17" t="s">
        <v>428</v>
      </c>
      <c r="AF57" s="23" t="str">
        <f>IFERROR(VLOOKUP(AE57,Listas!$AD$1:$AF$66,2,FALSE),"")</f>
        <v>DINORAH PATRICIA ABADIA MURILLO</v>
      </c>
      <c r="AG57" s="23">
        <f>IFERROR(VLOOKUP(AE57,Listas!$AD$1:$AF$65,3,FALSE),"")</f>
        <v>52220857</v>
      </c>
      <c r="AH57" s="17" t="s">
        <v>118</v>
      </c>
      <c r="AI57" s="65" t="s">
        <v>597</v>
      </c>
      <c r="AJ57" s="25" t="s">
        <v>119</v>
      </c>
      <c r="AK57" s="26" t="s">
        <v>120</v>
      </c>
      <c r="AL57" s="26" t="s">
        <v>120</v>
      </c>
      <c r="AM57" s="90" t="s">
        <v>119</v>
      </c>
      <c r="AN57" s="105">
        <v>31320</v>
      </c>
      <c r="AO57" s="91">
        <f t="shared" ca="1" si="15"/>
        <v>40</v>
      </c>
      <c r="AP57" s="26" t="s">
        <v>121</v>
      </c>
      <c r="AQ57" s="26" t="s">
        <v>515</v>
      </c>
      <c r="AR57" s="89"/>
      <c r="AS57" s="27"/>
      <c r="AT57" s="16"/>
      <c r="AU57" s="27"/>
      <c r="AV57" s="86"/>
      <c r="AW57" s="27"/>
      <c r="AX57" s="27"/>
      <c r="AY57" s="27"/>
      <c r="AZ57" s="27"/>
      <c r="BA57" s="27"/>
      <c r="BB57" s="27"/>
      <c r="BC57" s="97"/>
      <c r="BD57" s="27"/>
      <c r="BE57" s="16"/>
      <c r="BF57" s="28">
        <f t="shared" si="16"/>
        <v>0</v>
      </c>
      <c r="BG57" s="29"/>
      <c r="BH57" s="27"/>
      <c r="BI57" s="31">
        <f t="shared" si="17"/>
        <v>356</v>
      </c>
      <c r="BJ57" s="31">
        <f t="shared" si="18"/>
        <v>45656</v>
      </c>
      <c r="BK57" s="27"/>
      <c r="BL57" s="16"/>
      <c r="BM57" s="27"/>
      <c r="BN57" s="16"/>
      <c r="BO57" s="27"/>
      <c r="BP57" s="16"/>
      <c r="BQ57" s="27"/>
      <c r="BR57" s="24"/>
      <c r="BS57" s="24"/>
      <c r="BT57" s="32"/>
      <c r="BU57" s="27"/>
      <c r="BV57" s="24"/>
      <c r="BW57" s="24"/>
      <c r="BX57" s="16"/>
      <c r="BY57" s="27"/>
      <c r="BZ57" s="24"/>
      <c r="CA57" s="24"/>
      <c r="CB57" s="16"/>
      <c r="CC57" s="49">
        <f t="shared" si="19"/>
        <v>0</v>
      </c>
      <c r="CD57" s="24"/>
      <c r="CE57" s="49">
        <f t="shared" si="20"/>
        <v>198621600</v>
      </c>
      <c r="CF57" s="50"/>
      <c r="CG57" s="49">
        <f t="shared" ca="1" si="21"/>
        <v>198621600</v>
      </c>
      <c r="CH57" s="33">
        <f t="shared" ca="1" si="22"/>
        <v>1</v>
      </c>
      <c r="CI57" s="33">
        <f t="shared" ca="1" si="23"/>
        <v>1</v>
      </c>
      <c r="CJ57" s="36">
        <f t="shared" ca="1" si="24"/>
        <v>100</v>
      </c>
      <c r="CK57" s="34">
        <f t="shared" si="25"/>
        <v>0</v>
      </c>
      <c r="CL57" s="21"/>
      <c r="CM57" s="35" t="str">
        <f t="shared" ca="1" si="26"/>
        <v>TERMINADO</v>
      </c>
      <c r="CN57" s="82"/>
      <c r="CO57" s="145" t="s">
        <v>598</v>
      </c>
      <c r="CP57" s="26" t="s">
        <v>123</v>
      </c>
    </row>
    <row r="58" spans="1:94" ht="24.75" customHeight="1">
      <c r="A58" s="48" t="s">
        <v>599</v>
      </c>
      <c r="B58" s="77" t="s">
        <v>600</v>
      </c>
      <c r="C58" s="17" t="s">
        <v>104</v>
      </c>
      <c r="D58" s="18" t="s">
        <v>601</v>
      </c>
      <c r="E58" s="17" t="s">
        <v>106</v>
      </c>
      <c r="F58" s="17" t="s">
        <v>107</v>
      </c>
      <c r="G58" s="17" t="s">
        <v>108</v>
      </c>
      <c r="H58" s="78">
        <v>23623354</v>
      </c>
      <c r="I58" s="74" t="s">
        <v>602</v>
      </c>
      <c r="J58" s="16"/>
      <c r="K58" s="16"/>
      <c r="L58" s="20" t="s">
        <v>603</v>
      </c>
      <c r="M58" s="16" t="s">
        <v>111</v>
      </c>
      <c r="N58" s="22">
        <v>45300</v>
      </c>
      <c r="O58" s="22">
        <v>45301</v>
      </c>
      <c r="P58" s="22">
        <v>45656</v>
      </c>
      <c r="Q58" s="23">
        <f t="shared" si="14"/>
        <v>355</v>
      </c>
      <c r="R58" s="17" t="s">
        <v>242</v>
      </c>
      <c r="S58" s="16" t="s">
        <v>604</v>
      </c>
      <c r="T58" s="16" t="s">
        <v>605</v>
      </c>
      <c r="U58" s="67">
        <v>140414400</v>
      </c>
      <c r="V58" s="16" t="s">
        <v>606</v>
      </c>
      <c r="W58" s="224">
        <v>140414400</v>
      </c>
      <c r="X58" s="24">
        <v>11701200</v>
      </c>
      <c r="Y58" s="24"/>
      <c r="Z58" s="24"/>
      <c r="AA58" s="17" t="s">
        <v>116</v>
      </c>
      <c r="AB58" s="23" t="str">
        <f>IFERROR(VLOOKUP(AA58,Listas!$A$1:$C$14,2,FALSE),"")</f>
        <v>FREDY CÉSPEDES VILLA</v>
      </c>
      <c r="AC58" s="23">
        <f>IFERROR(VLOOKUP(AA58,Listas!$A$1:$C$14,3,FALSE),"")</f>
        <v>93363483</v>
      </c>
      <c r="AD58" s="17" t="s">
        <v>607</v>
      </c>
      <c r="AE58" s="17" t="s">
        <v>608</v>
      </c>
      <c r="AF58" s="23" t="str">
        <f>IFERROR(VLOOKUP(AE58,Listas!$AD$1:$AF$66,2,FALSE),"")</f>
        <v>WILLIAM BARRETO MENDEZ</v>
      </c>
      <c r="AG58" s="23">
        <f>IFERROR(VLOOKUP(AE58,Listas!$AD$1:$AF$65,3,FALSE),"")</f>
        <v>79321982</v>
      </c>
      <c r="AH58" s="17" t="s">
        <v>118</v>
      </c>
      <c r="AI58" s="65" t="s">
        <v>609</v>
      </c>
      <c r="AJ58" s="25" t="s">
        <v>119</v>
      </c>
      <c r="AK58" s="26" t="s">
        <v>120</v>
      </c>
      <c r="AL58" s="26" t="s">
        <v>120</v>
      </c>
      <c r="AM58" s="90" t="s">
        <v>119</v>
      </c>
      <c r="AN58" s="105">
        <v>28661</v>
      </c>
      <c r="AO58" s="91">
        <f t="shared" ca="1" si="15"/>
        <v>47</v>
      </c>
      <c r="AP58" s="26" t="s">
        <v>121</v>
      </c>
      <c r="AQ58" s="26" t="s">
        <v>486</v>
      </c>
      <c r="AR58" s="89"/>
      <c r="AS58" s="27"/>
      <c r="AT58" s="16"/>
      <c r="AU58" s="27"/>
      <c r="AV58" s="86"/>
      <c r="AW58" s="27"/>
      <c r="AX58" s="27"/>
      <c r="AY58" s="27"/>
      <c r="AZ58" s="27"/>
      <c r="BA58" s="27"/>
      <c r="BB58" s="27"/>
      <c r="BC58" s="97"/>
      <c r="BD58" s="27"/>
      <c r="BE58" s="16"/>
      <c r="BF58" s="28">
        <f t="shared" si="16"/>
        <v>0</v>
      </c>
      <c r="BG58" s="29"/>
      <c r="BH58" s="27"/>
      <c r="BI58" s="27">
        <f t="shared" si="17"/>
        <v>355</v>
      </c>
      <c r="BJ58" s="31">
        <f t="shared" si="18"/>
        <v>45656</v>
      </c>
      <c r="BK58" s="27"/>
      <c r="BL58" s="16"/>
      <c r="BM58" s="27"/>
      <c r="BN58" s="16"/>
      <c r="BO58" s="27"/>
      <c r="BP58" s="16"/>
      <c r="BQ58" s="27"/>
      <c r="BR58" s="24"/>
      <c r="BS58" s="24"/>
      <c r="BT58" s="32"/>
      <c r="BU58" s="27"/>
      <c r="BV58" s="24"/>
      <c r="BW58" s="24"/>
      <c r="BX58" s="16"/>
      <c r="BY58" s="27"/>
      <c r="BZ58" s="24"/>
      <c r="CA58" s="24"/>
      <c r="CB58" s="16"/>
      <c r="CC58" s="49">
        <f t="shared" si="19"/>
        <v>0</v>
      </c>
      <c r="CD58" s="24"/>
      <c r="CE58" s="49">
        <f t="shared" si="20"/>
        <v>140414400</v>
      </c>
      <c r="CF58" s="50"/>
      <c r="CG58" s="49">
        <f t="shared" ca="1" si="21"/>
        <v>140414400</v>
      </c>
      <c r="CH58" s="33">
        <f t="shared" ca="1" si="22"/>
        <v>1</v>
      </c>
      <c r="CI58" s="33">
        <f t="shared" ca="1" si="23"/>
        <v>1</v>
      </c>
      <c r="CJ58" s="36">
        <f t="shared" ca="1" si="24"/>
        <v>100</v>
      </c>
      <c r="CK58" s="34">
        <f t="shared" si="25"/>
        <v>0</v>
      </c>
      <c r="CL58" s="21"/>
      <c r="CM58" s="35" t="str">
        <f t="shared" ca="1" si="26"/>
        <v>TERMINADO</v>
      </c>
      <c r="CN58" s="82"/>
      <c r="CO58" s="145" t="s">
        <v>610</v>
      </c>
      <c r="CP58" s="26" t="s">
        <v>123</v>
      </c>
    </row>
    <row r="59" spans="1:94" ht="24.75" customHeight="1">
      <c r="A59" s="48" t="s">
        <v>611</v>
      </c>
      <c r="B59" s="77" t="s">
        <v>612</v>
      </c>
      <c r="C59" s="17" t="s">
        <v>104</v>
      </c>
      <c r="D59" s="18" t="s">
        <v>613</v>
      </c>
      <c r="E59" s="17" t="s">
        <v>106</v>
      </c>
      <c r="F59" s="17" t="s">
        <v>107</v>
      </c>
      <c r="G59" s="17" t="s">
        <v>108</v>
      </c>
      <c r="H59" s="78">
        <v>1071839528</v>
      </c>
      <c r="I59" s="74" t="s">
        <v>614</v>
      </c>
      <c r="J59" s="16"/>
      <c r="K59" s="16"/>
      <c r="L59" s="20" t="s">
        <v>615</v>
      </c>
      <c r="M59" s="16" t="s">
        <v>111</v>
      </c>
      <c r="N59" s="22">
        <v>45300</v>
      </c>
      <c r="O59" s="22">
        <v>45302</v>
      </c>
      <c r="P59" s="22">
        <v>45656</v>
      </c>
      <c r="Q59" s="23">
        <f t="shared" si="14"/>
        <v>354</v>
      </c>
      <c r="R59" s="17" t="s">
        <v>242</v>
      </c>
      <c r="S59" s="16" t="s">
        <v>616</v>
      </c>
      <c r="T59" s="16" t="s">
        <v>605</v>
      </c>
      <c r="U59" s="67">
        <v>60311328</v>
      </c>
      <c r="V59" s="16" t="s">
        <v>606</v>
      </c>
      <c r="W59" s="224">
        <v>60311328</v>
      </c>
      <c r="X59" s="24">
        <v>5025944</v>
      </c>
      <c r="Y59" s="24"/>
      <c r="Z59" s="24"/>
      <c r="AA59" s="17" t="s">
        <v>116</v>
      </c>
      <c r="AB59" s="23" t="str">
        <f>IFERROR(VLOOKUP(AA59,Listas!$A$1:$C$14,2,FALSE),"")</f>
        <v>FREDY CÉSPEDES VILLA</v>
      </c>
      <c r="AC59" s="23">
        <f>IFERROR(VLOOKUP(AA59,Listas!$A$1:$C$14,3,FALSE),"")</f>
        <v>93363483</v>
      </c>
      <c r="AD59" s="17" t="s">
        <v>607</v>
      </c>
      <c r="AE59" s="17" t="s">
        <v>608</v>
      </c>
      <c r="AF59" s="23" t="str">
        <f>IFERROR(VLOOKUP(AE59,Listas!$AD$1:$AF$66,2,FALSE),"")</f>
        <v>WILLIAM BARRETO MENDEZ</v>
      </c>
      <c r="AG59" s="23">
        <f>IFERROR(VLOOKUP(AE59,Listas!$AD$1:$AF$65,3,FALSE),"")</f>
        <v>79321982</v>
      </c>
      <c r="AH59" s="17" t="s">
        <v>118</v>
      </c>
      <c r="AI59" s="65"/>
      <c r="AJ59" s="25" t="s">
        <v>119</v>
      </c>
      <c r="AK59" s="26" t="s">
        <v>120</v>
      </c>
      <c r="AL59" s="26" t="s">
        <v>120</v>
      </c>
      <c r="AM59" s="90" t="s">
        <v>119</v>
      </c>
      <c r="AN59" s="105">
        <v>33525</v>
      </c>
      <c r="AO59" s="91">
        <f t="shared" ca="1" si="15"/>
        <v>34</v>
      </c>
      <c r="AP59" s="26" t="s">
        <v>121</v>
      </c>
      <c r="AQ59" s="26" t="s">
        <v>486</v>
      </c>
      <c r="AR59" s="89"/>
      <c r="AS59" s="27"/>
      <c r="AT59" s="16"/>
      <c r="AU59" s="27"/>
      <c r="AV59" s="86"/>
      <c r="AW59" s="27"/>
      <c r="AX59" s="27"/>
      <c r="AY59" s="27"/>
      <c r="AZ59" s="27"/>
      <c r="BA59" s="27"/>
      <c r="BB59" s="27"/>
      <c r="BC59" s="97"/>
      <c r="BD59" s="27"/>
      <c r="BE59" s="16"/>
      <c r="BF59" s="28">
        <f t="shared" si="16"/>
        <v>0</v>
      </c>
      <c r="BG59" s="29"/>
      <c r="BH59" s="27"/>
      <c r="BI59" s="30">
        <f t="shared" si="17"/>
        <v>354</v>
      </c>
      <c r="BJ59" s="31">
        <f t="shared" si="18"/>
        <v>45656</v>
      </c>
      <c r="BK59" s="27"/>
      <c r="BL59" s="16"/>
      <c r="BM59" s="27"/>
      <c r="BN59" s="16"/>
      <c r="BO59" s="27"/>
      <c r="BP59" s="16"/>
      <c r="BQ59" s="27"/>
      <c r="BR59" s="24"/>
      <c r="BS59" s="24"/>
      <c r="BT59" s="32"/>
      <c r="BU59" s="27"/>
      <c r="BV59" s="24"/>
      <c r="BW59" s="24"/>
      <c r="BX59" s="16"/>
      <c r="BY59" s="27"/>
      <c r="BZ59" s="24"/>
      <c r="CA59" s="24"/>
      <c r="CB59" s="16"/>
      <c r="CC59" s="49">
        <f t="shared" si="19"/>
        <v>0</v>
      </c>
      <c r="CD59" s="24"/>
      <c r="CE59" s="49">
        <f t="shared" si="20"/>
        <v>60311328</v>
      </c>
      <c r="CF59" s="50"/>
      <c r="CG59" s="49">
        <f t="shared" ca="1" si="21"/>
        <v>60311328</v>
      </c>
      <c r="CH59" s="33">
        <f t="shared" ca="1" si="22"/>
        <v>1</v>
      </c>
      <c r="CI59" s="33">
        <f t="shared" ca="1" si="23"/>
        <v>1</v>
      </c>
      <c r="CJ59" s="36">
        <f t="shared" ca="1" si="24"/>
        <v>100</v>
      </c>
      <c r="CK59" s="34">
        <f t="shared" si="25"/>
        <v>0</v>
      </c>
      <c r="CL59" s="21"/>
      <c r="CM59" s="35" t="str">
        <f t="shared" ca="1" si="26"/>
        <v>TERMINADO</v>
      </c>
      <c r="CN59" s="82"/>
      <c r="CO59" s="145" t="s">
        <v>617</v>
      </c>
      <c r="CP59" s="26" t="s">
        <v>142</v>
      </c>
    </row>
    <row r="60" spans="1:94" ht="24.75" customHeight="1">
      <c r="A60" s="48" t="s">
        <v>618</v>
      </c>
      <c r="B60" s="77" t="s">
        <v>619</v>
      </c>
      <c r="C60" s="17" t="s">
        <v>104</v>
      </c>
      <c r="D60" s="18" t="s">
        <v>620</v>
      </c>
      <c r="E60" s="17" t="s">
        <v>106</v>
      </c>
      <c r="F60" s="17" t="s">
        <v>107</v>
      </c>
      <c r="G60" s="17" t="s">
        <v>108</v>
      </c>
      <c r="H60" s="78">
        <v>1000861315</v>
      </c>
      <c r="I60" s="74" t="s">
        <v>621</v>
      </c>
      <c r="J60" s="16"/>
      <c r="K60" s="16"/>
      <c r="L60" s="20" t="s">
        <v>622</v>
      </c>
      <c r="M60" s="16" t="s">
        <v>111</v>
      </c>
      <c r="N60" s="22">
        <v>45300</v>
      </c>
      <c r="O60" s="22">
        <v>45302</v>
      </c>
      <c r="P60" s="22">
        <v>45656</v>
      </c>
      <c r="Q60" s="23">
        <f t="shared" si="14"/>
        <v>354</v>
      </c>
      <c r="R60" s="17" t="s">
        <v>242</v>
      </c>
      <c r="S60" s="16" t="s">
        <v>623</v>
      </c>
      <c r="T60" s="16" t="s">
        <v>605</v>
      </c>
      <c r="U60" s="67">
        <v>54828480</v>
      </c>
      <c r="V60" s="16" t="s">
        <v>606</v>
      </c>
      <c r="W60" s="224">
        <v>54828480</v>
      </c>
      <c r="X60" s="24">
        <v>4569040</v>
      </c>
      <c r="Y60" s="24"/>
      <c r="Z60" s="24"/>
      <c r="AA60" s="17" t="s">
        <v>116</v>
      </c>
      <c r="AB60" s="23" t="str">
        <f>IFERROR(VLOOKUP(AA60,Listas!$A$1:$C$14,2,FALSE),"")</f>
        <v>FREDY CÉSPEDES VILLA</v>
      </c>
      <c r="AC60" s="23">
        <f>IFERROR(VLOOKUP(AA60,Listas!$A$1:$C$14,3,FALSE),"")</f>
        <v>93363483</v>
      </c>
      <c r="AD60" s="17" t="s">
        <v>607</v>
      </c>
      <c r="AE60" s="17" t="s">
        <v>608</v>
      </c>
      <c r="AF60" s="23" t="str">
        <f>IFERROR(VLOOKUP(AE60,Listas!$AD$1:$AF$66,2,FALSE),"")</f>
        <v>WILLIAM BARRETO MENDEZ</v>
      </c>
      <c r="AG60" s="23">
        <f>IFERROR(VLOOKUP(AE60,Listas!$AD$1:$AF$65,3,FALSE),"")</f>
        <v>79321982</v>
      </c>
      <c r="AH60" s="17" t="s">
        <v>118</v>
      </c>
      <c r="AI60" s="65" t="s">
        <v>624</v>
      </c>
      <c r="AJ60" s="25" t="s">
        <v>119</v>
      </c>
      <c r="AK60" s="26" t="s">
        <v>120</v>
      </c>
      <c r="AL60" s="26" t="s">
        <v>120</v>
      </c>
      <c r="AM60" s="90" t="s">
        <v>119</v>
      </c>
      <c r="AN60" s="105">
        <v>37016</v>
      </c>
      <c r="AO60" s="91">
        <f t="shared" ca="1" si="15"/>
        <v>24</v>
      </c>
      <c r="AP60" s="26" t="s">
        <v>121</v>
      </c>
      <c r="AQ60" s="26" t="s">
        <v>486</v>
      </c>
      <c r="AR60" s="89"/>
      <c r="AS60" s="27"/>
      <c r="AT60" s="16"/>
      <c r="AU60" s="27"/>
      <c r="AV60" s="86"/>
      <c r="AW60" s="27"/>
      <c r="AX60" s="27"/>
      <c r="AY60" s="27"/>
      <c r="AZ60" s="27"/>
      <c r="BA60" s="27"/>
      <c r="BB60" s="27"/>
      <c r="BC60" s="97"/>
      <c r="BD60" s="27"/>
      <c r="BE60" s="16"/>
      <c r="BF60" s="28">
        <f t="shared" si="16"/>
        <v>0</v>
      </c>
      <c r="BG60" s="29"/>
      <c r="BH60" s="27"/>
      <c r="BI60" s="30">
        <f t="shared" si="17"/>
        <v>354</v>
      </c>
      <c r="BJ60" s="31">
        <f t="shared" si="18"/>
        <v>45656</v>
      </c>
      <c r="BK60" s="27"/>
      <c r="BL60" s="16"/>
      <c r="BM60" s="27"/>
      <c r="BN60" s="16"/>
      <c r="BO60" s="27"/>
      <c r="BP60" s="16"/>
      <c r="BQ60" s="27"/>
      <c r="BR60" s="24"/>
      <c r="BS60" s="24"/>
      <c r="BT60" s="32"/>
      <c r="BU60" s="27"/>
      <c r="BV60" s="24"/>
      <c r="BW60" s="24"/>
      <c r="BX60" s="16"/>
      <c r="BY60" s="27"/>
      <c r="BZ60" s="24"/>
      <c r="CA60" s="24"/>
      <c r="CB60" s="16"/>
      <c r="CC60" s="49">
        <f t="shared" si="19"/>
        <v>0</v>
      </c>
      <c r="CD60" s="24"/>
      <c r="CE60" s="49">
        <f t="shared" si="20"/>
        <v>54828480</v>
      </c>
      <c r="CF60" s="50"/>
      <c r="CG60" s="49">
        <f t="shared" ca="1" si="21"/>
        <v>54828480</v>
      </c>
      <c r="CH60" s="33">
        <f t="shared" ca="1" si="22"/>
        <v>1</v>
      </c>
      <c r="CI60" s="33">
        <f t="shared" ca="1" si="23"/>
        <v>1</v>
      </c>
      <c r="CJ60" s="36">
        <f t="shared" ca="1" si="24"/>
        <v>100</v>
      </c>
      <c r="CK60" s="34">
        <f t="shared" si="25"/>
        <v>0</v>
      </c>
      <c r="CL60" s="21"/>
      <c r="CM60" s="35" t="str">
        <f t="shared" ca="1" si="26"/>
        <v>TERMINADO</v>
      </c>
      <c r="CN60" s="82"/>
      <c r="CO60" s="145" t="s">
        <v>625</v>
      </c>
      <c r="CP60" s="26" t="s">
        <v>142</v>
      </c>
    </row>
    <row r="61" spans="1:94" ht="24.75" customHeight="1">
      <c r="A61" s="48" t="s">
        <v>626</v>
      </c>
      <c r="B61" s="77" t="s">
        <v>627</v>
      </c>
      <c r="C61" s="17" t="s">
        <v>104</v>
      </c>
      <c r="D61" s="18" t="s">
        <v>628</v>
      </c>
      <c r="E61" s="17" t="s">
        <v>106</v>
      </c>
      <c r="F61" s="17" t="s">
        <v>107</v>
      </c>
      <c r="G61" s="17" t="s">
        <v>108</v>
      </c>
      <c r="H61" s="78">
        <v>53069239</v>
      </c>
      <c r="I61" s="74" t="s">
        <v>629</v>
      </c>
      <c r="J61" s="16"/>
      <c r="K61" s="16"/>
      <c r="L61" s="96" t="s">
        <v>630</v>
      </c>
      <c r="M61" s="16" t="s">
        <v>111</v>
      </c>
      <c r="N61" s="22">
        <v>45300</v>
      </c>
      <c r="O61" s="22">
        <v>45301</v>
      </c>
      <c r="P61" s="22">
        <v>45656</v>
      </c>
      <c r="Q61" s="23">
        <f t="shared" si="14"/>
        <v>355</v>
      </c>
      <c r="R61" s="17" t="s">
        <v>242</v>
      </c>
      <c r="S61" s="16" t="s">
        <v>631</v>
      </c>
      <c r="T61" s="16" t="s">
        <v>343</v>
      </c>
      <c r="U61" s="67">
        <v>101716667</v>
      </c>
      <c r="V61" s="16" t="s">
        <v>437</v>
      </c>
      <c r="W61" s="224">
        <v>101716667</v>
      </c>
      <c r="X61" s="24">
        <v>8500000</v>
      </c>
      <c r="Y61" s="24"/>
      <c r="Z61" s="24"/>
      <c r="AA61" s="17" t="s">
        <v>116</v>
      </c>
      <c r="AB61" s="23" t="str">
        <f>IFERROR(VLOOKUP(AA61,Listas!$A$1:$C$14,2,FALSE),"")</f>
        <v>FREDY CÉSPEDES VILLA</v>
      </c>
      <c r="AC61" s="23">
        <f>IFERROR(VLOOKUP(AA61,Listas!$A$1:$C$14,3,FALSE),"")</f>
        <v>93363483</v>
      </c>
      <c r="AD61" s="17" t="s">
        <v>345</v>
      </c>
      <c r="AE61" s="17" t="s">
        <v>632</v>
      </c>
      <c r="AF61" s="23" t="str">
        <f>IFERROR(VLOOKUP(AE61,Listas!$AD$1:$AF$66,2,FALSE),"")</f>
        <v>MANUEL ALBERTO LOZANO CARDONA</v>
      </c>
      <c r="AG61" s="23">
        <f>IFERROR(VLOOKUP(AE61,Listas!$AD$1:$AF$65,3,FALSE),"")</f>
        <v>79940034</v>
      </c>
      <c r="AH61" s="17" t="s">
        <v>118</v>
      </c>
      <c r="AI61" s="65" t="s">
        <v>633</v>
      </c>
      <c r="AJ61" s="25" t="s">
        <v>119</v>
      </c>
      <c r="AK61" s="26" t="s">
        <v>120</v>
      </c>
      <c r="AL61" s="26" t="s">
        <v>120</v>
      </c>
      <c r="AM61" s="90" t="s">
        <v>119</v>
      </c>
      <c r="AN61" s="105">
        <v>31080</v>
      </c>
      <c r="AO61" s="91">
        <f t="shared" ca="1" si="15"/>
        <v>40</v>
      </c>
      <c r="AP61" s="26" t="s">
        <v>121</v>
      </c>
      <c r="AQ61" s="26" t="s">
        <v>347</v>
      </c>
      <c r="AR61" s="89"/>
      <c r="AS61" s="27"/>
      <c r="AT61" s="16"/>
      <c r="AU61" s="27"/>
      <c r="AV61" s="86"/>
      <c r="AW61" s="27"/>
      <c r="AX61" s="27"/>
      <c r="AY61" s="27"/>
      <c r="AZ61" s="27"/>
      <c r="BA61" s="27"/>
      <c r="BB61" s="27"/>
      <c r="BC61" s="97"/>
      <c r="BD61" s="27"/>
      <c r="BE61" s="16"/>
      <c r="BF61" s="28">
        <f t="shared" si="16"/>
        <v>0</v>
      </c>
      <c r="BG61" s="29"/>
      <c r="BH61" s="27"/>
      <c r="BI61" s="30">
        <f t="shared" si="17"/>
        <v>355</v>
      </c>
      <c r="BJ61" s="31">
        <f t="shared" si="18"/>
        <v>45656</v>
      </c>
      <c r="BK61" s="27"/>
      <c r="BL61" s="16"/>
      <c r="BM61" s="27"/>
      <c r="BN61" s="16"/>
      <c r="BO61" s="27"/>
      <c r="BP61" s="16"/>
      <c r="BQ61" s="27"/>
      <c r="BR61" s="24"/>
      <c r="BS61" s="24"/>
      <c r="BT61" s="32"/>
      <c r="BU61" s="27"/>
      <c r="BV61" s="24"/>
      <c r="BW61" s="24"/>
      <c r="BX61" s="16"/>
      <c r="BY61" s="27"/>
      <c r="BZ61" s="24"/>
      <c r="CA61" s="24"/>
      <c r="CB61" s="16"/>
      <c r="CC61" s="49">
        <f t="shared" si="19"/>
        <v>0</v>
      </c>
      <c r="CD61" s="24"/>
      <c r="CE61" s="49">
        <f t="shared" si="20"/>
        <v>101716667</v>
      </c>
      <c r="CF61" s="50"/>
      <c r="CG61" s="49">
        <f t="shared" ca="1" si="21"/>
        <v>101716667</v>
      </c>
      <c r="CH61" s="33">
        <f t="shared" ca="1" si="22"/>
        <v>1</v>
      </c>
      <c r="CI61" s="33">
        <f t="shared" ca="1" si="23"/>
        <v>1</v>
      </c>
      <c r="CJ61" s="36">
        <f t="shared" ca="1" si="24"/>
        <v>100</v>
      </c>
      <c r="CK61" s="34">
        <f t="shared" si="25"/>
        <v>0</v>
      </c>
      <c r="CL61" s="21"/>
      <c r="CM61" s="35" t="str">
        <f t="shared" ca="1" si="26"/>
        <v>TERMINADO</v>
      </c>
      <c r="CN61" s="82"/>
      <c r="CO61" s="145" t="s">
        <v>634</v>
      </c>
      <c r="CP61" s="26" t="s">
        <v>123</v>
      </c>
    </row>
    <row r="62" spans="1:94" ht="24.75" customHeight="1">
      <c r="A62" s="48" t="s">
        <v>635</v>
      </c>
      <c r="B62" s="77" t="s">
        <v>636</v>
      </c>
      <c r="C62" s="17" t="s">
        <v>104</v>
      </c>
      <c r="D62" s="18" t="s">
        <v>637</v>
      </c>
      <c r="E62" s="17" t="s">
        <v>106</v>
      </c>
      <c r="F62" s="17" t="s">
        <v>107</v>
      </c>
      <c r="G62" s="17" t="s">
        <v>108</v>
      </c>
      <c r="H62" s="78">
        <v>80085564</v>
      </c>
      <c r="I62" s="74" t="s">
        <v>638</v>
      </c>
      <c r="J62" s="16"/>
      <c r="K62" s="16"/>
      <c r="L62" s="96" t="s">
        <v>639</v>
      </c>
      <c r="M62" s="16" t="s">
        <v>111</v>
      </c>
      <c r="N62" s="22">
        <v>45300</v>
      </c>
      <c r="O62" s="22">
        <v>45301</v>
      </c>
      <c r="P62" s="22">
        <v>45656</v>
      </c>
      <c r="Q62" s="23">
        <f t="shared" si="14"/>
        <v>355</v>
      </c>
      <c r="R62" s="17" t="s">
        <v>242</v>
      </c>
      <c r="S62" s="16" t="s">
        <v>640</v>
      </c>
      <c r="T62" s="16" t="s">
        <v>343</v>
      </c>
      <c r="U62" s="67">
        <v>108269522</v>
      </c>
      <c r="V62" s="16" t="s">
        <v>344</v>
      </c>
      <c r="W62" s="224">
        <v>108269522</v>
      </c>
      <c r="X62" s="24">
        <v>9072865</v>
      </c>
      <c r="Y62" s="24"/>
      <c r="Z62" s="24"/>
      <c r="AA62" s="17" t="s">
        <v>116</v>
      </c>
      <c r="AB62" s="23" t="str">
        <f>IFERROR(VLOOKUP(AA62,Listas!$A$1:$C$14,2,FALSE),"")</f>
        <v>FREDY CÉSPEDES VILLA</v>
      </c>
      <c r="AC62" s="23">
        <f>IFERROR(VLOOKUP(AA62,Listas!$A$1:$C$14,3,FALSE),"")</f>
        <v>93363483</v>
      </c>
      <c r="AD62" s="17" t="s">
        <v>345</v>
      </c>
      <c r="AE62" s="17" t="s">
        <v>632</v>
      </c>
      <c r="AF62" s="23" t="str">
        <f>IFERROR(VLOOKUP(AE62,Listas!$AD$1:$AF$66,2,FALSE),"")</f>
        <v>MANUEL ALBERTO LOZANO CARDONA</v>
      </c>
      <c r="AG62" s="23">
        <f>IFERROR(VLOOKUP(AE62,Listas!$AD$1:$AF$65,3,FALSE),"")</f>
        <v>79940034</v>
      </c>
      <c r="AH62" s="17" t="s">
        <v>118</v>
      </c>
      <c r="AI62" s="65" t="s">
        <v>641</v>
      </c>
      <c r="AJ62" s="25" t="s">
        <v>119</v>
      </c>
      <c r="AK62" s="26" t="s">
        <v>120</v>
      </c>
      <c r="AL62" s="26" t="s">
        <v>120</v>
      </c>
      <c r="AM62" s="90" t="s">
        <v>119</v>
      </c>
      <c r="AN62" s="105">
        <v>29213</v>
      </c>
      <c r="AO62" s="91">
        <f t="shared" ca="1" si="15"/>
        <v>46</v>
      </c>
      <c r="AP62" s="26" t="s">
        <v>121</v>
      </c>
      <c r="AQ62" s="26" t="s">
        <v>347</v>
      </c>
      <c r="AR62" s="89"/>
      <c r="AS62" s="27"/>
      <c r="AT62" s="16"/>
      <c r="AU62" s="27"/>
      <c r="AV62" s="86"/>
      <c r="AW62" s="27"/>
      <c r="AX62" s="27"/>
      <c r="AY62" s="27"/>
      <c r="AZ62" s="27"/>
      <c r="BA62" s="27"/>
      <c r="BB62" s="27"/>
      <c r="BC62" s="97"/>
      <c r="BD62" s="27"/>
      <c r="BE62" s="16"/>
      <c r="BF62" s="28">
        <f t="shared" si="16"/>
        <v>0</v>
      </c>
      <c r="BG62" s="29"/>
      <c r="BH62" s="27"/>
      <c r="BI62" s="30">
        <f t="shared" si="17"/>
        <v>355</v>
      </c>
      <c r="BJ62" s="31">
        <f t="shared" si="18"/>
        <v>45656</v>
      </c>
      <c r="BK62" s="27"/>
      <c r="BL62" s="16"/>
      <c r="BM62" s="27"/>
      <c r="BN62" s="16"/>
      <c r="BO62" s="27"/>
      <c r="BP62" s="16"/>
      <c r="BQ62" s="27"/>
      <c r="BR62" s="24"/>
      <c r="BS62" s="24"/>
      <c r="BT62" s="32"/>
      <c r="BU62" s="27"/>
      <c r="BV62" s="24"/>
      <c r="BW62" s="24"/>
      <c r="BX62" s="16"/>
      <c r="BY62" s="27"/>
      <c r="BZ62" s="24"/>
      <c r="CA62" s="24"/>
      <c r="CB62" s="16"/>
      <c r="CC62" s="49">
        <f t="shared" si="19"/>
        <v>0</v>
      </c>
      <c r="CD62" s="24"/>
      <c r="CE62" s="49">
        <f t="shared" si="20"/>
        <v>108269522</v>
      </c>
      <c r="CF62" s="50"/>
      <c r="CG62" s="49">
        <f t="shared" ca="1" si="21"/>
        <v>108269522</v>
      </c>
      <c r="CH62" s="33">
        <f t="shared" ca="1" si="22"/>
        <v>1</v>
      </c>
      <c r="CI62" s="33">
        <f t="shared" ca="1" si="23"/>
        <v>1</v>
      </c>
      <c r="CJ62" s="36">
        <f t="shared" ca="1" si="24"/>
        <v>100</v>
      </c>
      <c r="CK62" s="34">
        <f t="shared" si="25"/>
        <v>0</v>
      </c>
      <c r="CL62" s="21"/>
      <c r="CM62" s="35" t="str">
        <f t="shared" ca="1" si="26"/>
        <v>TERMINADO</v>
      </c>
      <c r="CN62" s="82"/>
      <c r="CO62" s="145" t="s">
        <v>642</v>
      </c>
      <c r="CP62" s="26" t="s">
        <v>142</v>
      </c>
    </row>
    <row r="63" spans="1:94" ht="24.75" customHeight="1">
      <c r="A63" s="48" t="s">
        <v>643</v>
      </c>
      <c r="B63" s="77" t="s">
        <v>644</v>
      </c>
      <c r="C63" s="17" t="s">
        <v>104</v>
      </c>
      <c r="D63" s="18" t="s">
        <v>645</v>
      </c>
      <c r="E63" s="17" t="s">
        <v>106</v>
      </c>
      <c r="F63" s="17" t="s">
        <v>107</v>
      </c>
      <c r="G63" s="17" t="s">
        <v>108</v>
      </c>
      <c r="H63" s="78">
        <v>1143868758</v>
      </c>
      <c r="I63" s="74" t="s">
        <v>646</v>
      </c>
      <c r="J63" s="16"/>
      <c r="K63" s="16"/>
      <c r="L63" s="96" t="s">
        <v>647</v>
      </c>
      <c r="M63" s="16" t="s">
        <v>557</v>
      </c>
      <c r="N63" s="22">
        <v>45300</v>
      </c>
      <c r="O63" s="22">
        <v>45301</v>
      </c>
      <c r="P63" s="22">
        <v>45656</v>
      </c>
      <c r="Q63" s="23">
        <f t="shared" si="14"/>
        <v>355</v>
      </c>
      <c r="R63" s="17" t="s">
        <v>242</v>
      </c>
      <c r="S63" s="16" t="s">
        <v>648</v>
      </c>
      <c r="T63" s="16" t="s">
        <v>343</v>
      </c>
      <c r="U63" s="67">
        <v>68765780</v>
      </c>
      <c r="V63" s="16" t="s">
        <v>344</v>
      </c>
      <c r="W63" s="224">
        <v>68765780</v>
      </c>
      <c r="X63" s="24">
        <v>5762495</v>
      </c>
      <c r="Y63" s="24"/>
      <c r="Z63" s="24"/>
      <c r="AA63" s="17" t="s">
        <v>116</v>
      </c>
      <c r="AB63" s="23" t="str">
        <f>IFERROR(VLOOKUP(AA63,Listas!$A$1:$C$14,2,FALSE),"")</f>
        <v>FREDY CÉSPEDES VILLA</v>
      </c>
      <c r="AC63" s="23">
        <f>IFERROR(VLOOKUP(AA63,Listas!$A$1:$C$14,3,FALSE),"")</f>
        <v>93363483</v>
      </c>
      <c r="AD63" s="17" t="s">
        <v>559</v>
      </c>
      <c r="AE63" s="17" t="s">
        <v>560</v>
      </c>
      <c r="AF63" s="23" t="str">
        <f>IFERROR(VLOOKUP(AE63,Listas!$AD$1:$AF$66,2,FALSE),"")</f>
        <v>CESAR AUGUSTO LÓPEZ LÓPEZ</v>
      </c>
      <c r="AG63" s="23">
        <f>IFERROR(VLOOKUP(AE63,Listas!$AD$1:$AF$65,3,FALSE),"")</f>
        <v>6103856</v>
      </c>
      <c r="AH63" s="17" t="s">
        <v>118</v>
      </c>
      <c r="AI63" s="65" t="s">
        <v>649</v>
      </c>
      <c r="AJ63" s="25" t="s">
        <v>119</v>
      </c>
      <c r="AK63" s="26" t="s">
        <v>120</v>
      </c>
      <c r="AL63" s="26" t="s">
        <v>120</v>
      </c>
      <c r="AM63" s="90" t="s">
        <v>119</v>
      </c>
      <c r="AN63" s="105">
        <v>35364</v>
      </c>
      <c r="AO63" s="91">
        <f t="shared" ca="1" si="15"/>
        <v>29</v>
      </c>
      <c r="AP63" s="26" t="s">
        <v>121</v>
      </c>
      <c r="AQ63" s="26" t="s">
        <v>327</v>
      </c>
      <c r="AR63" s="89"/>
      <c r="AS63" s="27"/>
      <c r="AT63" s="16"/>
      <c r="AU63" s="27"/>
      <c r="AV63" s="86"/>
      <c r="AW63" s="27"/>
      <c r="AX63" s="27"/>
      <c r="AY63" s="27"/>
      <c r="AZ63" s="27"/>
      <c r="BA63" s="27"/>
      <c r="BB63" s="27"/>
      <c r="BC63" s="97"/>
      <c r="BD63" s="27"/>
      <c r="BE63" s="16"/>
      <c r="BF63" s="28">
        <f t="shared" si="16"/>
        <v>0</v>
      </c>
      <c r="BG63" s="29"/>
      <c r="BH63" s="27"/>
      <c r="BI63" s="30">
        <f t="shared" si="17"/>
        <v>355</v>
      </c>
      <c r="BJ63" s="31">
        <f t="shared" si="18"/>
        <v>45656</v>
      </c>
      <c r="BK63" s="27"/>
      <c r="BL63" s="16"/>
      <c r="BM63" s="27"/>
      <c r="BN63" s="16"/>
      <c r="BO63" s="27"/>
      <c r="BP63" s="16"/>
      <c r="BQ63" s="27"/>
      <c r="BR63" s="24"/>
      <c r="BS63" s="24"/>
      <c r="BT63" s="32"/>
      <c r="BU63" s="27"/>
      <c r="BV63" s="24"/>
      <c r="BW63" s="24"/>
      <c r="BX63" s="16"/>
      <c r="BY63" s="27"/>
      <c r="BZ63" s="24"/>
      <c r="CA63" s="24"/>
      <c r="CB63" s="16"/>
      <c r="CC63" s="49">
        <f t="shared" si="19"/>
        <v>0</v>
      </c>
      <c r="CD63" s="24"/>
      <c r="CE63" s="49">
        <f t="shared" si="20"/>
        <v>68765780</v>
      </c>
      <c r="CF63" s="50"/>
      <c r="CG63" s="49">
        <f t="shared" ca="1" si="21"/>
        <v>68765780</v>
      </c>
      <c r="CH63" s="33">
        <f t="shared" ca="1" si="22"/>
        <v>1</v>
      </c>
      <c r="CI63" s="33">
        <f t="shared" ca="1" si="23"/>
        <v>1</v>
      </c>
      <c r="CJ63" s="36">
        <f t="shared" ca="1" si="24"/>
        <v>100</v>
      </c>
      <c r="CK63" s="34">
        <f t="shared" si="25"/>
        <v>0</v>
      </c>
      <c r="CL63" s="21"/>
      <c r="CM63" s="35" t="str">
        <f t="shared" ca="1" si="26"/>
        <v>TERMINADO</v>
      </c>
      <c r="CN63" s="82"/>
      <c r="CO63" s="145" t="s">
        <v>650</v>
      </c>
      <c r="CP63" s="26" t="s">
        <v>123</v>
      </c>
    </row>
    <row r="64" spans="1:94" ht="24.75" customHeight="1">
      <c r="A64" s="48" t="s">
        <v>651</v>
      </c>
      <c r="B64" s="77" t="s">
        <v>652</v>
      </c>
      <c r="C64" s="17" t="s">
        <v>104</v>
      </c>
      <c r="D64" s="18" t="s">
        <v>653</v>
      </c>
      <c r="E64" s="17" t="s">
        <v>106</v>
      </c>
      <c r="F64" s="17" t="s">
        <v>107</v>
      </c>
      <c r="G64" s="17" t="s">
        <v>108</v>
      </c>
      <c r="H64" s="78">
        <v>52896897</v>
      </c>
      <c r="I64" s="74" t="s">
        <v>654</v>
      </c>
      <c r="J64" s="16"/>
      <c r="K64" s="16"/>
      <c r="L64" s="20" t="s">
        <v>655</v>
      </c>
      <c r="M64" s="16" t="s">
        <v>111</v>
      </c>
      <c r="N64" s="22">
        <v>45300</v>
      </c>
      <c r="O64" s="22">
        <v>45301</v>
      </c>
      <c r="P64" s="22">
        <v>45656</v>
      </c>
      <c r="Q64" s="23">
        <f t="shared" si="14"/>
        <v>355</v>
      </c>
      <c r="R64" s="17" t="s">
        <v>242</v>
      </c>
      <c r="S64" s="16" t="s">
        <v>656</v>
      </c>
      <c r="T64" s="16" t="s">
        <v>657</v>
      </c>
      <c r="U64" s="67">
        <v>69149952</v>
      </c>
      <c r="V64" s="16" t="s">
        <v>658</v>
      </c>
      <c r="W64" s="224">
        <v>69149952</v>
      </c>
      <c r="X64" s="24">
        <v>5762496</v>
      </c>
      <c r="Y64" s="24"/>
      <c r="Z64" s="24"/>
      <c r="AA64" s="17" t="s">
        <v>116</v>
      </c>
      <c r="AB64" s="23" t="str">
        <f>IFERROR(VLOOKUP(AA64,Listas!$A$1:$C$14,2,FALSE),"")</f>
        <v>FREDY CÉSPEDES VILLA</v>
      </c>
      <c r="AC64" s="23">
        <f>IFERROR(VLOOKUP(AA64,Listas!$A$1:$C$14,3,FALSE),"")</f>
        <v>93363483</v>
      </c>
      <c r="AD64" s="17" t="s">
        <v>116</v>
      </c>
      <c r="AE64" s="17" t="s">
        <v>659</v>
      </c>
      <c r="AF64" s="23" t="str">
        <f>IFERROR(VLOOKUP(AE64,Listas!$AD$1:$AF$66,2,FALSE),"")</f>
        <v>TATIANA FORERO TORRES</v>
      </c>
      <c r="AG64" s="23">
        <f>IFERROR(VLOOKUP(AE64,Listas!$AD$1:$AF$65,3,FALSE),"")</f>
        <v>1072446921</v>
      </c>
      <c r="AH64" s="17" t="s">
        <v>118</v>
      </c>
      <c r="AI64" s="65" t="s">
        <v>660</v>
      </c>
      <c r="AJ64" s="25" t="s">
        <v>119</v>
      </c>
      <c r="AK64" s="26" t="s">
        <v>120</v>
      </c>
      <c r="AL64" s="26" t="s">
        <v>120</v>
      </c>
      <c r="AM64" s="90" t="s">
        <v>119</v>
      </c>
      <c r="AN64" s="105">
        <v>29890</v>
      </c>
      <c r="AO64" s="91">
        <f t="shared" ca="1" si="15"/>
        <v>44</v>
      </c>
      <c r="AP64" s="26" t="s">
        <v>121</v>
      </c>
      <c r="AQ64" s="26" t="s">
        <v>285</v>
      </c>
      <c r="AR64" s="89"/>
      <c r="AS64" s="27"/>
      <c r="AT64" s="16"/>
      <c r="AU64" s="27"/>
      <c r="AV64" s="86"/>
      <c r="AW64" s="27"/>
      <c r="AX64" s="27"/>
      <c r="AY64" s="27"/>
      <c r="AZ64" s="27"/>
      <c r="BA64" s="27"/>
      <c r="BB64" s="27"/>
      <c r="BC64" s="97"/>
      <c r="BD64" s="27"/>
      <c r="BE64" s="16"/>
      <c r="BF64" s="28">
        <f t="shared" si="16"/>
        <v>0</v>
      </c>
      <c r="BG64" s="29"/>
      <c r="BH64" s="27"/>
      <c r="BI64" s="30">
        <f t="shared" si="17"/>
        <v>355</v>
      </c>
      <c r="BJ64" s="31">
        <f t="shared" si="18"/>
        <v>45656</v>
      </c>
      <c r="BK64" s="27"/>
      <c r="BL64" s="16"/>
      <c r="BM64" s="27"/>
      <c r="BN64" s="16"/>
      <c r="BO64" s="27"/>
      <c r="BP64" s="16"/>
      <c r="BQ64" s="27"/>
      <c r="BR64" s="24"/>
      <c r="BS64" s="24"/>
      <c r="BT64" s="32"/>
      <c r="BU64" s="27"/>
      <c r="BV64" s="24"/>
      <c r="BW64" s="24"/>
      <c r="BX64" s="16"/>
      <c r="BY64" s="27"/>
      <c r="BZ64" s="24"/>
      <c r="CA64" s="24"/>
      <c r="CB64" s="16"/>
      <c r="CC64" s="49">
        <f t="shared" si="19"/>
        <v>0</v>
      </c>
      <c r="CD64" s="24"/>
      <c r="CE64" s="49">
        <f t="shared" si="20"/>
        <v>69149952</v>
      </c>
      <c r="CF64" s="50"/>
      <c r="CG64" s="49">
        <f t="shared" ca="1" si="21"/>
        <v>69149952</v>
      </c>
      <c r="CH64" s="33">
        <f t="shared" ca="1" si="22"/>
        <v>1</v>
      </c>
      <c r="CI64" s="33">
        <f t="shared" ca="1" si="23"/>
        <v>1</v>
      </c>
      <c r="CJ64" s="36">
        <f t="shared" ca="1" si="24"/>
        <v>100</v>
      </c>
      <c r="CK64" s="34">
        <f t="shared" si="25"/>
        <v>0</v>
      </c>
      <c r="CL64" s="21"/>
      <c r="CM64" s="35" t="str">
        <f t="shared" ca="1" si="26"/>
        <v>TERMINADO</v>
      </c>
      <c r="CN64" s="82"/>
      <c r="CO64" s="145" t="s">
        <v>661</v>
      </c>
      <c r="CP64" s="26" t="s">
        <v>123</v>
      </c>
    </row>
    <row r="65" spans="1:94" ht="24.75" customHeight="1">
      <c r="A65" s="48" t="s">
        <v>662</v>
      </c>
      <c r="B65" s="77" t="s">
        <v>663</v>
      </c>
      <c r="C65" s="17" t="s">
        <v>104</v>
      </c>
      <c r="D65" s="18" t="s">
        <v>664</v>
      </c>
      <c r="E65" s="17" t="s">
        <v>106</v>
      </c>
      <c r="F65" s="17" t="s">
        <v>107</v>
      </c>
      <c r="G65" s="17" t="s">
        <v>108</v>
      </c>
      <c r="H65" s="78">
        <v>17596726</v>
      </c>
      <c r="I65" s="74" t="s">
        <v>665</v>
      </c>
      <c r="J65" s="16"/>
      <c r="K65" s="16"/>
      <c r="L65" s="20" t="s">
        <v>666</v>
      </c>
      <c r="M65" s="16" t="s">
        <v>111</v>
      </c>
      <c r="N65" s="22">
        <v>45300</v>
      </c>
      <c r="O65" s="22">
        <v>45292</v>
      </c>
      <c r="P65" s="22">
        <v>45656</v>
      </c>
      <c r="Q65" s="23">
        <f t="shared" si="14"/>
        <v>364</v>
      </c>
      <c r="R65" s="17" t="s">
        <v>242</v>
      </c>
      <c r="S65" s="16" t="s">
        <v>667</v>
      </c>
      <c r="T65" s="16" t="s">
        <v>668</v>
      </c>
      <c r="U65" s="67">
        <v>108874380</v>
      </c>
      <c r="V65" s="16" t="s">
        <v>669</v>
      </c>
      <c r="W65" s="224">
        <v>108874380</v>
      </c>
      <c r="X65" s="24">
        <v>9072865</v>
      </c>
      <c r="Y65" s="24"/>
      <c r="Z65" s="24"/>
      <c r="AA65" s="17" t="s">
        <v>116</v>
      </c>
      <c r="AB65" s="23" t="str">
        <f>IFERROR(VLOOKUP(AA65,Listas!$A$1:$C$14,2,FALSE),"")</f>
        <v>FREDY CÉSPEDES VILLA</v>
      </c>
      <c r="AC65" s="23">
        <f>IFERROR(VLOOKUP(AA65,Listas!$A$1:$C$14,3,FALSE),"")</f>
        <v>93363483</v>
      </c>
      <c r="AD65" s="17" t="s">
        <v>282</v>
      </c>
      <c r="AE65" s="17" t="s">
        <v>293</v>
      </c>
      <c r="AF65" s="23" t="str">
        <f>IFERROR(VLOOKUP(AE65,Listas!$AD$1:$AF$66,2,FALSE),"")</f>
        <v>MÓNICA PINTO GARCÍA</v>
      </c>
      <c r="AG65" s="23">
        <f>IFERROR(VLOOKUP(AE65,Listas!$AD$1:$AF$65,3,FALSE),"")</f>
        <v>52867207</v>
      </c>
      <c r="AH65" s="17" t="s">
        <v>118</v>
      </c>
      <c r="AI65" s="65" t="s">
        <v>670</v>
      </c>
      <c r="AJ65" s="25" t="s">
        <v>119</v>
      </c>
      <c r="AK65" s="26" t="s">
        <v>120</v>
      </c>
      <c r="AL65" s="26" t="s">
        <v>120</v>
      </c>
      <c r="AM65" s="90" t="s">
        <v>119</v>
      </c>
      <c r="AN65" s="105">
        <v>31160</v>
      </c>
      <c r="AO65" s="91">
        <f t="shared" ca="1" si="15"/>
        <v>40</v>
      </c>
      <c r="AP65" s="26" t="s">
        <v>121</v>
      </c>
      <c r="AQ65" s="26" t="s">
        <v>285</v>
      </c>
      <c r="AR65" s="89"/>
      <c r="AS65" s="27"/>
      <c r="AT65" s="16"/>
      <c r="AU65" s="27"/>
      <c r="AV65" s="86"/>
      <c r="AW65" s="27"/>
      <c r="AX65" s="27"/>
      <c r="AY65" s="27"/>
      <c r="AZ65" s="27"/>
      <c r="BA65" s="27"/>
      <c r="BB65" s="27"/>
      <c r="BC65" s="97"/>
      <c r="BD65" s="27"/>
      <c r="BE65" s="16"/>
      <c r="BF65" s="28">
        <f t="shared" si="16"/>
        <v>0</v>
      </c>
      <c r="BG65" s="29"/>
      <c r="BH65" s="27"/>
      <c r="BI65" s="30">
        <f t="shared" si="17"/>
        <v>364</v>
      </c>
      <c r="BJ65" s="31">
        <f t="shared" si="18"/>
        <v>45656</v>
      </c>
      <c r="BK65" s="27"/>
      <c r="BL65" s="16"/>
      <c r="BM65" s="27"/>
      <c r="BN65" s="16"/>
      <c r="BO65" s="27"/>
      <c r="BP65" s="16"/>
      <c r="BQ65" s="27"/>
      <c r="BR65" s="24"/>
      <c r="BS65" s="24"/>
      <c r="BT65" s="32"/>
      <c r="BU65" s="27"/>
      <c r="BV65" s="24"/>
      <c r="BW65" s="24"/>
      <c r="BX65" s="16"/>
      <c r="BY65" s="27"/>
      <c r="BZ65" s="24"/>
      <c r="CA65" s="24"/>
      <c r="CB65" s="16"/>
      <c r="CC65" s="49">
        <f t="shared" si="19"/>
        <v>0</v>
      </c>
      <c r="CD65" s="24"/>
      <c r="CE65" s="49">
        <f t="shared" si="20"/>
        <v>108874380</v>
      </c>
      <c r="CF65" s="50"/>
      <c r="CG65" s="49">
        <f t="shared" ca="1" si="21"/>
        <v>108874380</v>
      </c>
      <c r="CH65" s="33">
        <f t="shared" ca="1" si="22"/>
        <v>1</v>
      </c>
      <c r="CI65" s="33">
        <f t="shared" ca="1" si="23"/>
        <v>1</v>
      </c>
      <c r="CJ65" s="36">
        <f t="shared" ca="1" si="24"/>
        <v>100</v>
      </c>
      <c r="CK65" s="34">
        <f t="shared" si="25"/>
        <v>0</v>
      </c>
      <c r="CL65" s="21"/>
      <c r="CM65" s="35" t="str">
        <f t="shared" ca="1" si="26"/>
        <v>TERMINADO</v>
      </c>
      <c r="CN65" s="82"/>
      <c r="CO65" s="145" t="s">
        <v>671</v>
      </c>
      <c r="CP65" s="26" t="s">
        <v>142</v>
      </c>
    </row>
    <row r="66" spans="1:94" ht="24.75" customHeight="1">
      <c r="A66" s="48" t="s">
        <v>672</v>
      </c>
      <c r="B66" s="77" t="s">
        <v>673</v>
      </c>
      <c r="C66" s="17" t="s">
        <v>104</v>
      </c>
      <c r="D66" s="18" t="s">
        <v>674</v>
      </c>
      <c r="E66" s="17" t="s">
        <v>106</v>
      </c>
      <c r="F66" s="17" t="s">
        <v>107</v>
      </c>
      <c r="G66" s="17" t="s">
        <v>108</v>
      </c>
      <c r="H66" s="78">
        <v>1097391289</v>
      </c>
      <c r="I66" s="74" t="s">
        <v>675</v>
      </c>
      <c r="J66" s="16"/>
      <c r="K66" s="16"/>
      <c r="L66" s="20" t="s">
        <v>676</v>
      </c>
      <c r="M66" s="16" t="s">
        <v>111</v>
      </c>
      <c r="N66" s="22">
        <v>45300</v>
      </c>
      <c r="O66" s="22">
        <v>45300</v>
      </c>
      <c r="P66" s="22">
        <v>45657</v>
      </c>
      <c r="Q66" s="23">
        <f t="shared" ref="Q66:Q97" si="27">P66-O66</f>
        <v>357</v>
      </c>
      <c r="R66" s="17" t="s">
        <v>242</v>
      </c>
      <c r="S66" s="16" t="s">
        <v>677</v>
      </c>
      <c r="T66" s="16" t="s">
        <v>513</v>
      </c>
      <c r="U66" s="67">
        <v>107980600</v>
      </c>
      <c r="V66" s="16" t="s">
        <v>426</v>
      </c>
      <c r="W66" s="224">
        <v>107980600</v>
      </c>
      <c r="X66" s="24">
        <v>9074000</v>
      </c>
      <c r="Y66" s="24"/>
      <c r="Z66" s="24"/>
      <c r="AA66" s="17" t="s">
        <v>116</v>
      </c>
      <c r="AB66" s="23" t="str">
        <f>IFERROR(VLOOKUP(AA66,Listas!$A$1:$C$14,2,FALSE),"")</f>
        <v>FREDY CÉSPEDES VILLA</v>
      </c>
      <c r="AC66" s="23">
        <f>IFERROR(VLOOKUP(AA66,Listas!$A$1:$C$14,3,FALSE),"")</f>
        <v>93363483</v>
      </c>
      <c r="AD66" s="17" t="s">
        <v>427</v>
      </c>
      <c r="AE66" s="17" t="s">
        <v>428</v>
      </c>
      <c r="AF66" s="23" t="str">
        <f>IFERROR(VLOOKUP(AE66,Listas!$AD$1:$AF$66,2,FALSE),"")</f>
        <v>DINORAH PATRICIA ABADIA MURILLO</v>
      </c>
      <c r="AG66" s="23">
        <f>IFERROR(VLOOKUP(AE66,Listas!$AD$1:$AF$65,3,FALSE),"")</f>
        <v>52220857</v>
      </c>
      <c r="AH66" s="17" t="s">
        <v>118</v>
      </c>
      <c r="AI66" s="65" t="s">
        <v>678</v>
      </c>
      <c r="AJ66" s="25" t="s">
        <v>119</v>
      </c>
      <c r="AK66" s="26" t="s">
        <v>120</v>
      </c>
      <c r="AL66" s="26" t="s">
        <v>120</v>
      </c>
      <c r="AM66" s="90" t="s">
        <v>119</v>
      </c>
      <c r="AN66" s="105">
        <v>32111</v>
      </c>
      <c r="AO66" s="91">
        <f t="shared" ref="AO66:AO72" ca="1" si="28">IF(YEAR(TODAY())-YEAR(AN66)&gt;100," ",YEAR(TODAY())-YEAR(AN66))</f>
        <v>38</v>
      </c>
      <c r="AP66" s="26" t="s">
        <v>121</v>
      </c>
      <c r="AQ66" s="26" t="s">
        <v>515</v>
      </c>
      <c r="AR66" s="89"/>
      <c r="AS66" s="27" t="s">
        <v>679</v>
      </c>
      <c r="AT66" s="104">
        <v>1049611032</v>
      </c>
      <c r="AU66" s="27" t="s">
        <v>680</v>
      </c>
      <c r="AV66" s="86"/>
      <c r="AW66" s="27"/>
      <c r="AX66" s="27"/>
      <c r="AY66" s="27"/>
      <c r="AZ66" s="27"/>
      <c r="BA66" s="27"/>
      <c r="BB66" s="27"/>
      <c r="BC66" s="97"/>
      <c r="BD66" s="27"/>
      <c r="BE66" s="16"/>
      <c r="BF66" s="28">
        <f t="shared" ref="BF66:BF97" si="29">BC66+BE66</f>
        <v>0</v>
      </c>
      <c r="BG66" s="29"/>
      <c r="BH66" s="27"/>
      <c r="BI66" s="30">
        <f t="shared" ref="BI66:BI97" si="30">BF66+Q66</f>
        <v>357</v>
      </c>
      <c r="BJ66" s="31">
        <f t="shared" ref="BJ66:BJ97" si="31">IF(BH66="",P66+BF66,BH66)</f>
        <v>45657</v>
      </c>
      <c r="BK66" s="27"/>
      <c r="BL66" s="16"/>
      <c r="BM66" s="27"/>
      <c r="BN66" s="16"/>
      <c r="BO66" s="27"/>
      <c r="BP66" s="16"/>
      <c r="BQ66" s="27"/>
      <c r="BR66" s="24"/>
      <c r="BS66" s="24"/>
      <c r="BT66" s="32"/>
      <c r="BU66" s="27"/>
      <c r="BV66" s="24"/>
      <c r="BW66" s="24"/>
      <c r="BX66" s="16"/>
      <c r="BY66" s="27"/>
      <c r="BZ66" s="24"/>
      <c r="CA66" s="24"/>
      <c r="CB66" s="16"/>
      <c r="CC66" s="49">
        <f t="shared" ref="CC66:CC97" si="32">BR66+BV66+BZ66</f>
        <v>0</v>
      </c>
      <c r="CD66" s="24"/>
      <c r="CE66" s="49">
        <f t="shared" ref="CE66:CE97" si="33">IF(Y66=0,(W66+CC66)-CD66,IF(Y66&gt;0,(Y66+CC66)-CD66))</f>
        <v>107980600</v>
      </c>
      <c r="CF66" s="50"/>
      <c r="CG66" s="49">
        <f t="shared" ref="CG66:CG97" ca="1" si="34">IFERROR(IF(((CE66/BI66)*(TODAY()-N66))&gt;CE66,CE66,((CE66/BI66)*(TODAY()-N66))),"")</f>
        <v>107980600</v>
      </c>
      <c r="CH66" s="33">
        <f t="shared" ref="CH66:CH97" ca="1" si="35">IF(TODAY()&gt;BJ66,1,+(DAYS360(O66,TODAY())/DAYS360(O66,BJ66)))</f>
        <v>1</v>
      </c>
      <c r="CI66" s="33">
        <f t="shared" ref="CI66:CI97" ca="1" si="36">+IF(CL66&gt;0,DAYS360(O66,CL66)/DAYS360(O66,BJ66),CH66)</f>
        <v>1</v>
      </c>
      <c r="CJ66" s="36">
        <f t="shared" ref="CJ66:CJ97" ca="1" si="37">IFERROR(IF(((CG66/CE66)*100)&gt;100,100,((CG66/CE66)*100)),"")</f>
        <v>100</v>
      </c>
      <c r="CK66" s="34">
        <f t="shared" ref="CK66:CK97" si="38">IFERROR((CF66/CE66)*100,"")</f>
        <v>0</v>
      </c>
      <c r="CL66" s="21"/>
      <c r="CM66" s="35" t="str">
        <f t="shared" ref="CM66:CM97" ca="1" si="39">IF(CL66&gt;1/1/6,"LIQUIDADO",IF(BJ66=0,"",IF(BJ66&gt;=TODAY(),"VIGENTE",IF(BJ66&lt;TODAY(),"TERMINADO",))))</f>
        <v>TERMINADO</v>
      </c>
      <c r="CN66" s="82"/>
      <c r="CO66" s="145" t="s">
        <v>681</v>
      </c>
      <c r="CP66" s="26" t="s">
        <v>123</v>
      </c>
    </row>
    <row r="67" spans="1:94" ht="24.75" customHeight="1">
      <c r="A67" s="48" t="s">
        <v>682</v>
      </c>
      <c r="B67" s="77" t="s">
        <v>683</v>
      </c>
      <c r="C67" s="17" t="s">
        <v>104</v>
      </c>
      <c r="D67" s="18" t="s">
        <v>684</v>
      </c>
      <c r="E67" s="17" t="s">
        <v>106</v>
      </c>
      <c r="F67" s="17" t="s">
        <v>107</v>
      </c>
      <c r="G67" s="17" t="s">
        <v>108</v>
      </c>
      <c r="H67" s="78">
        <v>1045740459</v>
      </c>
      <c r="I67" s="74" t="s">
        <v>685</v>
      </c>
      <c r="J67" s="16"/>
      <c r="K67" s="16"/>
      <c r="L67" s="20" t="s">
        <v>676</v>
      </c>
      <c r="M67" s="16" t="s">
        <v>111</v>
      </c>
      <c r="N67" s="22">
        <v>45300</v>
      </c>
      <c r="O67" s="22">
        <v>45301</v>
      </c>
      <c r="P67" s="22">
        <v>45656</v>
      </c>
      <c r="Q67" s="23">
        <f t="shared" si="27"/>
        <v>355</v>
      </c>
      <c r="R67" s="17" t="s">
        <v>242</v>
      </c>
      <c r="S67" s="16" t="s">
        <v>686</v>
      </c>
      <c r="T67" s="16" t="s">
        <v>687</v>
      </c>
      <c r="U67" s="67">
        <v>123426618</v>
      </c>
      <c r="V67" s="16" t="s">
        <v>688</v>
      </c>
      <c r="W67" s="224">
        <v>123424618</v>
      </c>
      <c r="X67" s="24">
        <v>10421534</v>
      </c>
      <c r="Y67" s="24"/>
      <c r="Z67" s="24"/>
      <c r="AA67" s="17" t="s">
        <v>116</v>
      </c>
      <c r="AB67" s="23" t="str">
        <f>IFERROR(VLOOKUP(AA67,Listas!$A$1:$C$14,2,FALSE),"")</f>
        <v>FREDY CÉSPEDES VILLA</v>
      </c>
      <c r="AC67" s="23">
        <f>IFERROR(VLOOKUP(AA67,Listas!$A$1:$C$14,3,FALSE),"")</f>
        <v>93363483</v>
      </c>
      <c r="AD67" s="17" t="s">
        <v>304</v>
      </c>
      <c r="AE67" s="17" t="s">
        <v>305</v>
      </c>
      <c r="AF67" s="23" t="str">
        <f>IFERROR(VLOOKUP(AE67,Listas!$AD$1:$AF$66,2,FALSE),"")</f>
        <v>ALVARO HERNAN URQUIJO GOMEZ</v>
      </c>
      <c r="AG67" s="23">
        <v>80505520</v>
      </c>
      <c r="AH67" s="17" t="s">
        <v>118</v>
      </c>
      <c r="AI67" s="65" t="s">
        <v>689</v>
      </c>
      <c r="AJ67" s="25" t="s">
        <v>119</v>
      </c>
      <c r="AK67" s="26" t="s">
        <v>120</v>
      </c>
      <c r="AL67" s="26" t="s">
        <v>120</v>
      </c>
      <c r="AM67" s="90" t="s">
        <v>119</v>
      </c>
      <c r="AN67" s="105">
        <v>35273</v>
      </c>
      <c r="AO67" s="91">
        <f t="shared" ca="1" si="28"/>
        <v>29</v>
      </c>
      <c r="AP67" s="26" t="s">
        <v>121</v>
      </c>
      <c r="AQ67" s="26" t="s">
        <v>122</v>
      </c>
      <c r="AR67" s="89"/>
      <c r="AS67" s="27"/>
      <c r="AT67" s="16"/>
      <c r="AU67" s="27"/>
      <c r="AV67" s="86"/>
      <c r="AW67" s="27"/>
      <c r="AX67" s="27"/>
      <c r="AY67" s="27"/>
      <c r="AZ67" s="27"/>
      <c r="BA67" s="27"/>
      <c r="BB67" s="27"/>
      <c r="BC67" s="97"/>
      <c r="BD67" s="27"/>
      <c r="BE67" s="16"/>
      <c r="BF67" s="28">
        <f t="shared" si="29"/>
        <v>0</v>
      </c>
      <c r="BG67" s="29"/>
      <c r="BH67" s="27"/>
      <c r="BI67" s="30">
        <f t="shared" si="30"/>
        <v>355</v>
      </c>
      <c r="BJ67" s="31">
        <f t="shared" si="31"/>
        <v>45656</v>
      </c>
      <c r="BK67" s="27"/>
      <c r="BL67" s="16"/>
      <c r="BM67" s="27"/>
      <c r="BN67" s="16"/>
      <c r="BO67" s="27"/>
      <c r="BP67" s="16"/>
      <c r="BQ67" s="27"/>
      <c r="BR67" s="24"/>
      <c r="BS67" s="24"/>
      <c r="BT67" s="32"/>
      <c r="BU67" s="27"/>
      <c r="BV67" s="24"/>
      <c r="BW67" s="24"/>
      <c r="BX67" s="16"/>
      <c r="BY67" s="27"/>
      <c r="BZ67" s="24"/>
      <c r="CA67" s="24"/>
      <c r="CB67" s="16"/>
      <c r="CC67" s="49">
        <f t="shared" si="32"/>
        <v>0</v>
      </c>
      <c r="CD67" s="24"/>
      <c r="CE67" s="49">
        <f t="shared" si="33"/>
        <v>123424618</v>
      </c>
      <c r="CF67" s="50"/>
      <c r="CG67" s="49">
        <f t="shared" ca="1" si="34"/>
        <v>123424618</v>
      </c>
      <c r="CH67" s="33">
        <f t="shared" ca="1" si="35"/>
        <v>1</v>
      </c>
      <c r="CI67" s="33">
        <f t="shared" ca="1" si="36"/>
        <v>1</v>
      </c>
      <c r="CJ67" s="36">
        <f t="shared" ca="1" si="37"/>
        <v>100</v>
      </c>
      <c r="CK67" s="34">
        <f t="shared" si="38"/>
        <v>0</v>
      </c>
      <c r="CL67" s="21"/>
      <c r="CM67" s="35" t="str">
        <f t="shared" ca="1" si="39"/>
        <v>TERMINADO</v>
      </c>
      <c r="CN67" s="82"/>
      <c r="CO67" s="145" t="s">
        <v>690</v>
      </c>
      <c r="CP67" s="26" t="s">
        <v>142</v>
      </c>
    </row>
    <row r="68" spans="1:94" ht="24.75" customHeight="1">
      <c r="A68" s="48" t="s">
        <v>691</v>
      </c>
      <c r="B68" s="77" t="s">
        <v>692</v>
      </c>
      <c r="C68" s="17" t="s">
        <v>104</v>
      </c>
      <c r="D68" s="18" t="s">
        <v>693</v>
      </c>
      <c r="E68" s="17" t="s">
        <v>106</v>
      </c>
      <c r="F68" s="17" t="s">
        <v>107</v>
      </c>
      <c r="G68" s="17" t="s">
        <v>108</v>
      </c>
      <c r="H68" s="78">
        <v>53063025</v>
      </c>
      <c r="I68" s="233" t="s">
        <v>694</v>
      </c>
      <c r="J68" s="16"/>
      <c r="K68" s="16"/>
      <c r="L68" s="96" t="s">
        <v>695</v>
      </c>
      <c r="M68" s="16" t="s">
        <v>111</v>
      </c>
      <c r="N68" s="22">
        <v>45300</v>
      </c>
      <c r="O68" s="22">
        <v>45301</v>
      </c>
      <c r="P68" s="22">
        <v>45656</v>
      </c>
      <c r="Q68" s="23">
        <f t="shared" si="27"/>
        <v>355</v>
      </c>
      <c r="R68" s="17" t="s">
        <v>242</v>
      </c>
      <c r="S68" s="16" t="s">
        <v>696</v>
      </c>
      <c r="T68" s="16" t="s">
        <v>697</v>
      </c>
      <c r="U68" s="67">
        <v>52965916</v>
      </c>
      <c r="V68" s="16" t="s">
        <v>698</v>
      </c>
      <c r="W68" s="224">
        <v>52965916</v>
      </c>
      <c r="X68" s="24">
        <v>4413826</v>
      </c>
      <c r="Y68" s="24"/>
      <c r="Z68" s="24"/>
      <c r="AA68" s="17" t="s">
        <v>116</v>
      </c>
      <c r="AB68" s="23" t="str">
        <f>IFERROR(VLOOKUP(AA68,Listas!$A$1:$C$14,2,FALSE),"")</f>
        <v>FREDY CÉSPEDES VILLA</v>
      </c>
      <c r="AC68" s="23">
        <f>IFERROR(VLOOKUP(AA68,Listas!$A$1:$C$14,3,FALSE),"")</f>
        <v>93363483</v>
      </c>
      <c r="AD68" s="17" t="s">
        <v>406</v>
      </c>
      <c r="AE68" s="17" t="s">
        <v>504</v>
      </c>
      <c r="AF68" s="23" t="str">
        <f>IFERROR(VLOOKUP(AE68,Listas!$AD$1:$AF$66,2,FALSE),"")</f>
        <v>EDUARDO ELÍAS BARCHA BOLÍVAR</v>
      </c>
      <c r="AG68" s="23">
        <f>IFERROR(VLOOKUP(AE68,Listas!$AD$1:$AF$65,3,FALSE),"")</f>
        <v>72133921</v>
      </c>
      <c r="AH68" s="17" t="s">
        <v>118</v>
      </c>
      <c r="AI68" s="65" t="s">
        <v>699</v>
      </c>
      <c r="AJ68" s="25" t="s">
        <v>119</v>
      </c>
      <c r="AK68" s="26" t="s">
        <v>120</v>
      </c>
      <c r="AL68" s="26" t="s">
        <v>120</v>
      </c>
      <c r="AM68" s="90" t="s">
        <v>119</v>
      </c>
      <c r="AN68" s="105">
        <v>30742</v>
      </c>
      <c r="AO68" s="91">
        <f t="shared" ca="1" si="28"/>
        <v>41</v>
      </c>
      <c r="AP68" s="26" t="s">
        <v>121</v>
      </c>
      <c r="AQ68" s="26" t="s">
        <v>409</v>
      </c>
      <c r="AR68" s="89"/>
      <c r="AS68" s="27"/>
      <c r="AT68" s="16"/>
      <c r="AU68" s="27"/>
      <c r="AV68" s="86"/>
      <c r="AW68" s="27"/>
      <c r="AX68" s="27"/>
      <c r="AY68" s="27"/>
      <c r="AZ68" s="27"/>
      <c r="BA68" s="27"/>
      <c r="BB68" s="27"/>
      <c r="BC68" s="97"/>
      <c r="BD68" s="27"/>
      <c r="BE68" s="16"/>
      <c r="BF68" s="28">
        <f t="shared" si="29"/>
        <v>0</v>
      </c>
      <c r="BG68" s="29"/>
      <c r="BH68" s="27"/>
      <c r="BI68" s="30">
        <f t="shared" si="30"/>
        <v>355</v>
      </c>
      <c r="BJ68" s="31">
        <f t="shared" si="31"/>
        <v>45656</v>
      </c>
      <c r="BK68" s="27"/>
      <c r="BL68" s="16"/>
      <c r="BM68" s="27"/>
      <c r="BN68" s="16"/>
      <c r="BO68" s="27"/>
      <c r="BP68" s="16"/>
      <c r="BQ68" s="27"/>
      <c r="BR68" s="24"/>
      <c r="BS68" s="24"/>
      <c r="BT68" s="32"/>
      <c r="BU68" s="27"/>
      <c r="BV68" s="24"/>
      <c r="BW68" s="24"/>
      <c r="BX68" s="16"/>
      <c r="BY68" s="27"/>
      <c r="BZ68" s="24"/>
      <c r="CA68" s="24"/>
      <c r="CB68" s="16"/>
      <c r="CC68" s="49">
        <f t="shared" si="32"/>
        <v>0</v>
      </c>
      <c r="CD68" s="24"/>
      <c r="CE68" s="49">
        <f t="shared" si="33"/>
        <v>52965916</v>
      </c>
      <c r="CF68" s="50"/>
      <c r="CG68" s="49">
        <f t="shared" ca="1" si="34"/>
        <v>52965916</v>
      </c>
      <c r="CH68" s="33">
        <f t="shared" ca="1" si="35"/>
        <v>1</v>
      </c>
      <c r="CI68" s="33">
        <f t="shared" ca="1" si="36"/>
        <v>1</v>
      </c>
      <c r="CJ68" s="36">
        <f t="shared" ca="1" si="37"/>
        <v>100</v>
      </c>
      <c r="CK68" s="34">
        <f t="shared" si="38"/>
        <v>0</v>
      </c>
      <c r="CL68" s="21"/>
      <c r="CM68" s="35" t="str">
        <f t="shared" ca="1" si="39"/>
        <v>TERMINADO</v>
      </c>
      <c r="CN68" s="82"/>
      <c r="CO68" s="145" t="s">
        <v>700</v>
      </c>
      <c r="CP68" s="26" t="s">
        <v>123</v>
      </c>
    </row>
    <row r="69" spans="1:94" ht="24.75" customHeight="1">
      <c r="A69" s="48" t="s">
        <v>701</v>
      </c>
      <c r="B69" s="77" t="s">
        <v>702</v>
      </c>
      <c r="C69" s="17" t="s">
        <v>104</v>
      </c>
      <c r="D69" s="18" t="s">
        <v>703</v>
      </c>
      <c r="E69" s="17" t="s">
        <v>106</v>
      </c>
      <c r="F69" s="17" t="s">
        <v>107</v>
      </c>
      <c r="G69" s="17" t="s">
        <v>108</v>
      </c>
      <c r="H69" s="78">
        <v>1031151334</v>
      </c>
      <c r="I69" s="233" t="s">
        <v>704</v>
      </c>
      <c r="J69" s="16"/>
      <c r="K69" s="16"/>
      <c r="L69" s="20" t="s">
        <v>705</v>
      </c>
      <c r="M69" s="16" t="s">
        <v>111</v>
      </c>
      <c r="N69" s="22">
        <v>45300</v>
      </c>
      <c r="O69" s="22">
        <v>45303</v>
      </c>
      <c r="P69" s="22">
        <v>45656</v>
      </c>
      <c r="Q69" s="23">
        <f t="shared" si="27"/>
        <v>353</v>
      </c>
      <c r="R69" s="17" t="s">
        <v>242</v>
      </c>
      <c r="S69" s="16" t="s">
        <v>706</v>
      </c>
      <c r="T69" s="16" t="s">
        <v>697</v>
      </c>
      <c r="U69" s="67">
        <v>52965916</v>
      </c>
      <c r="V69" s="16" t="s">
        <v>698</v>
      </c>
      <c r="W69" s="224">
        <v>52965916</v>
      </c>
      <c r="X69" s="24">
        <v>4413826</v>
      </c>
      <c r="Y69" s="24"/>
      <c r="Z69" s="24"/>
      <c r="AA69" s="17" t="s">
        <v>116</v>
      </c>
      <c r="AB69" s="23" t="str">
        <f>IFERROR(VLOOKUP(AA69,Listas!$A$1:$C$14,2,FALSE),"")</f>
        <v>FREDY CÉSPEDES VILLA</v>
      </c>
      <c r="AC69" s="23">
        <f>IFERROR(VLOOKUP(AA69,Listas!$A$1:$C$14,3,FALSE),"")</f>
        <v>93363483</v>
      </c>
      <c r="AD69" s="17" t="s">
        <v>406</v>
      </c>
      <c r="AE69" s="17" t="s">
        <v>504</v>
      </c>
      <c r="AF69" s="23" t="str">
        <f>IFERROR(VLOOKUP(AE69,Listas!$AD$1:$AF$66,2,FALSE),"")</f>
        <v>EDUARDO ELÍAS BARCHA BOLÍVAR</v>
      </c>
      <c r="AG69" s="23">
        <f>IFERROR(VLOOKUP(AE69,Listas!$AD$1:$AF$65,3,FALSE),"")</f>
        <v>72133921</v>
      </c>
      <c r="AH69" s="17" t="s">
        <v>118</v>
      </c>
      <c r="AI69" s="65" t="s">
        <v>707</v>
      </c>
      <c r="AJ69" s="25" t="s">
        <v>119</v>
      </c>
      <c r="AK69" s="26" t="s">
        <v>120</v>
      </c>
      <c r="AL69" s="26" t="s">
        <v>120</v>
      </c>
      <c r="AM69" s="90" t="s">
        <v>119</v>
      </c>
      <c r="AN69" s="105">
        <v>34322</v>
      </c>
      <c r="AO69" s="91">
        <f t="shared" ca="1" si="28"/>
        <v>32</v>
      </c>
      <c r="AP69" s="26" t="s">
        <v>121</v>
      </c>
      <c r="AQ69" s="26" t="s">
        <v>409</v>
      </c>
      <c r="AR69" s="89"/>
      <c r="AS69" s="27"/>
      <c r="AT69" s="16"/>
      <c r="AU69" s="27"/>
      <c r="AV69" s="86"/>
      <c r="AW69" s="27"/>
      <c r="AX69" s="27"/>
      <c r="AY69" s="27"/>
      <c r="AZ69" s="27"/>
      <c r="BA69" s="27"/>
      <c r="BB69" s="27"/>
      <c r="BC69" s="97"/>
      <c r="BD69" s="27"/>
      <c r="BE69" s="16"/>
      <c r="BF69" s="28">
        <f t="shared" si="29"/>
        <v>0</v>
      </c>
      <c r="BG69" s="29"/>
      <c r="BH69" s="27"/>
      <c r="BI69" s="30">
        <f t="shared" si="30"/>
        <v>353</v>
      </c>
      <c r="BJ69" s="31">
        <f t="shared" si="31"/>
        <v>45656</v>
      </c>
      <c r="BK69" s="27"/>
      <c r="BL69" s="16"/>
      <c r="BM69" s="27"/>
      <c r="BN69" s="16"/>
      <c r="BO69" s="27"/>
      <c r="BP69" s="16"/>
      <c r="BQ69" s="27"/>
      <c r="BR69" s="24"/>
      <c r="BS69" s="24"/>
      <c r="BT69" s="32"/>
      <c r="BU69" s="27"/>
      <c r="BV69" s="24"/>
      <c r="BW69" s="24"/>
      <c r="BX69" s="16"/>
      <c r="BY69" s="27"/>
      <c r="BZ69" s="24"/>
      <c r="CA69" s="24"/>
      <c r="CB69" s="16"/>
      <c r="CC69" s="49">
        <f t="shared" si="32"/>
        <v>0</v>
      </c>
      <c r="CD69" s="24"/>
      <c r="CE69" s="49">
        <f t="shared" si="33"/>
        <v>52965916</v>
      </c>
      <c r="CF69" s="50"/>
      <c r="CG69" s="49">
        <f t="shared" ca="1" si="34"/>
        <v>52965916</v>
      </c>
      <c r="CH69" s="33">
        <f t="shared" ca="1" si="35"/>
        <v>1</v>
      </c>
      <c r="CI69" s="33">
        <f t="shared" ca="1" si="36"/>
        <v>1</v>
      </c>
      <c r="CJ69" s="36">
        <f t="shared" ca="1" si="37"/>
        <v>100</v>
      </c>
      <c r="CK69" s="34">
        <f t="shared" si="38"/>
        <v>0</v>
      </c>
      <c r="CL69" s="21"/>
      <c r="CM69" s="35" t="str">
        <f t="shared" ca="1" si="39"/>
        <v>TERMINADO</v>
      </c>
      <c r="CN69" s="82"/>
      <c r="CO69" s="145" t="s">
        <v>708</v>
      </c>
      <c r="CP69" s="26" t="s">
        <v>123</v>
      </c>
    </row>
    <row r="70" spans="1:94" ht="24.75" customHeight="1">
      <c r="A70" s="48" t="s">
        <v>709</v>
      </c>
      <c r="B70" s="77" t="s">
        <v>710</v>
      </c>
      <c r="C70" s="17" t="s">
        <v>104</v>
      </c>
      <c r="D70" s="18" t="s">
        <v>711</v>
      </c>
      <c r="E70" s="17" t="s">
        <v>106</v>
      </c>
      <c r="F70" s="17" t="s">
        <v>107</v>
      </c>
      <c r="G70" s="17" t="s">
        <v>108</v>
      </c>
      <c r="H70" s="78">
        <v>1014234625</v>
      </c>
      <c r="I70" s="233" t="s">
        <v>712</v>
      </c>
      <c r="J70" s="16"/>
      <c r="K70" s="16"/>
      <c r="L70" s="96" t="s">
        <v>713</v>
      </c>
      <c r="M70" s="16" t="s">
        <v>111</v>
      </c>
      <c r="N70" s="22">
        <v>45300</v>
      </c>
      <c r="O70" s="22">
        <v>45301</v>
      </c>
      <c r="P70" s="22">
        <v>45656</v>
      </c>
      <c r="Q70" s="23">
        <f t="shared" si="27"/>
        <v>355</v>
      </c>
      <c r="R70" s="17" t="s">
        <v>242</v>
      </c>
      <c r="S70" s="16" t="s">
        <v>714</v>
      </c>
      <c r="T70" s="16" t="s">
        <v>715</v>
      </c>
      <c r="U70" s="67">
        <v>73563773</v>
      </c>
      <c r="V70" s="16" t="s">
        <v>698</v>
      </c>
      <c r="W70" s="224">
        <v>73563773</v>
      </c>
      <c r="X70" s="24">
        <v>6130314</v>
      </c>
      <c r="Y70" s="24"/>
      <c r="Z70" s="24"/>
      <c r="AA70" s="17" t="s">
        <v>116</v>
      </c>
      <c r="AB70" s="23" t="str">
        <f>IFERROR(VLOOKUP(AA70,Listas!$A$1:$C$14,2,FALSE),"")</f>
        <v>FREDY CÉSPEDES VILLA</v>
      </c>
      <c r="AC70" s="23">
        <f>IFERROR(VLOOKUP(AA70,Listas!$A$1:$C$14,3,FALSE),"")</f>
        <v>93363483</v>
      </c>
      <c r="AD70" s="17" t="s">
        <v>406</v>
      </c>
      <c r="AE70" s="17" t="s">
        <v>504</v>
      </c>
      <c r="AF70" s="23" t="str">
        <f>IFERROR(VLOOKUP(AE70,Listas!$AD$1:$AF$66,2,FALSE),"")</f>
        <v>EDUARDO ELÍAS BARCHA BOLÍVAR</v>
      </c>
      <c r="AG70" s="23">
        <f>IFERROR(VLOOKUP(AE70,Listas!$AD$1:$AF$65,3,FALSE),"")</f>
        <v>72133921</v>
      </c>
      <c r="AH70" s="17" t="s">
        <v>118</v>
      </c>
      <c r="AI70" s="65" t="s">
        <v>716</v>
      </c>
      <c r="AJ70" s="25" t="s">
        <v>119</v>
      </c>
      <c r="AK70" s="26" t="s">
        <v>120</v>
      </c>
      <c r="AL70" s="26" t="s">
        <v>120</v>
      </c>
      <c r="AM70" s="90" t="s">
        <v>119</v>
      </c>
      <c r="AN70" s="105">
        <v>33810</v>
      </c>
      <c r="AO70" s="91">
        <f t="shared" ca="1" si="28"/>
        <v>33</v>
      </c>
      <c r="AP70" s="26" t="s">
        <v>121</v>
      </c>
      <c r="AQ70" s="26" t="s">
        <v>409</v>
      </c>
      <c r="AR70" s="89"/>
      <c r="AS70" s="27"/>
      <c r="AT70" s="16"/>
      <c r="AU70" s="27"/>
      <c r="AV70" s="86"/>
      <c r="AW70" s="27"/>
      <c r="AX70" s="27"/>
      <c r="AY70" s="27"/>
      <c r="AZ70" s="27"/>
      <c r="BA70" s="27"/>
      <c r="BB70" s="27"/>
      <c r="BC70" s="97"/>
      <c r="BD70" s="27"/>
      <c r="BE70" s="16"/>
      <c r="BF70" s="28">
        <f t="shared" si="29"/>
        <v>0</v>
      </c>
      <c r="BG70" s="29"/>
      <c r="BH70" s="27"/>
      <c r="BI70" s="30">
        <f t="shared" si="30"/>
        <v>355</v>
      </c>
      <c r="BJ70" s="31">
        <f t="shared" si="31"/>
        <v>45656</v>
      </c>
      <c r="BK70" s="27"/>
      <c r="BL70" s="16"/>
      <c r="BM70" s="27"/>
      <c r="BN70" s="16"/>
      <c r="BO70" s="27"/>
      <c r="BP70" s="16"/>
      <c r="BQ70" s="27"/>
      <c r="BR70" s="24"/>
      <c r="BS70" s="24"/>
      <c r="BT70" s="32"/>
      <c r="BU70" s="27"/>
      <c r="BV70" s="24"/>
      <c r="BW70" s="24"/>
      <c r="BX70" s="16"/>
      <c r="BY70" s="27"/>
      <c r="BZ70" s="24"/>
      <c r="CA70" s="24"/>
      <c r="CB70" s="16"/>
      <c r="CC70" s="49">
        <f t="shared" si="32"/>
        <v>0</v>
      </c>
      <c r="CD70" s="24"/>
      <c r="CE70" s="49">
        <f t="shared" si="33"/>
        <v>73563773</v>
      </c>
      <c r="CF70" s="50"/>
      <c r="CG70" s="49">
        <f t="shared" ca="1" si="34"/>
        <v>73563773</v>
      </c>
      <c r="CH70" s="33">
        <f t="shared" ca="1" si="35"/>
        <v>1</v>
      </c>
      <c r="CI70" s="33">
        <f t="shared" ca="1" si="36"/>
        <v>1</v>
      </c>
      <c r="CJ70" s="36">
        <f t="shared" ca="1" si="37"/>
        <v>100</v>
      </c>
      <c r="CK70" s="34">
        <f t="shared" si="38"/>
        <v>0</v>
      </c>
      <c r="CL70" s="21"/>
      <c r="CM70" s="35" t="str">
        <f t="shared" ca="1" si="39"/>
        <v>TERMINADO</v>
      </c>
      <c r="CN70" s="82"/>
      <c r="CO70" s="145" t="s">
        <v>717</v>
      </c>
      <c r="CP70" s="26" t="s">
        <v>142</v>
      </c>
    </row>
    <row r="71" spans="1:94" ht="24.75" customHeight="1">
      <c r="A71" s="48" t="s">
        <v>718</v>
      </c>
      <c r="B71" s="77" t="s">
        <v>719</v>
      </c>
      <c r="C71" s="17" t="s">
        <v>104</v>
      </c>
      <c r="D71" s="18" t="s">
        <v>720</v>
      </c>
      <c r="E71" s="17" t="s">
        <v>106</v>
      </c>
      <c r="F71" s="17" t="s">
        <v>107</v>
      </c>
      <c r="G71" s="17" t="s">
        <v>108</v>
      </c>
      <c r="H71" s="78">
        <v>79612776</v>
      </c>
      <c r="I71" s="233" t="s">
        <v>721</v>
      </c>
      <c r="J71" s="16"/>
      <c r="K71" s="16"/>
      <c r="L71" s="96" t="s">
        <v>722</v>
      </c>
      <c r="M71" s="16" t="s">
        <v>111</v>
      </c>
      <c r="N71" s="22">
        <v>45300</v>
      </c>
      <c r="O71" s="22">
        <v>45304</v>
      </c>
      <c r="P71" s="22">
        <v>45656</v>
      </c>
      <c r="Q71" s="23">
        <f t="shared" si="27"/>
        <v>352</v>
      </c>
      <c r="R71" s="17" t="s">
        <v>242</v>
      </c>
      <c r="S71" s="16" t="s">
        <v>723</v>
      </c>
      <c r="T71" s="16" t="s">
        <v>697</v>
      </c>
      <c r="U71" s="67">
        <v>52965916</v>
      </c>
      <c r="V71" s="16" t="s">
        <v>698</v>
      </c>
      <c r="W71" s="224">
        <v>52965916</v>
      </c>
      <c r="X71" s="24">
        <v>4413826</v>
      </c>
      <c r="Y71" s="24"/>
      <c r="Z71" s="24"/>
      <c r="AA71" s="17" t="s">
        <v>116</v>
      </c>
      <c r="AB71" s="23" t="str">
        <f>IFERROR(VLOOKUP(AA71,Listas!$A$1:$C$14,2,FALSE),"")</f>
        <v>FREDY CÉSPEDES VILLA</v>
      </c>
      <c r="AC71" s="23">
        <f>IFERROR(VLOOKUP(AA71,Listas!$A$1:$C$14,3,FALSE),"")</f>
        <v>93363483</v>
      </c>
      <c r="AD71" s="17" t="s">
        <v>406</v>
      </c>
      <c r="AE71" s="17" t="s">
        <v>504</v>
      </c>
      <c r="AF71" s="23" t="str">
        <f>IFERROR(VLOOKUP(AE71,Listas!$AD$1:$AF$66,2,FALSE),"")</f>
        <v>EDUARDO ELÍAS BARCHA BOLÍVAR</v>
      </c>
      <c r="AG71" s="23">
        <f>IFERROR(VLOOKUP(AE71,Listas!$AD$1:$AF$65,3,FALSE),"")</f>
        <v>72133921</v>
      </c>
      <c r="AH71" s="17" t="s">
        <v>118</v>
      </c>
      <c r="AI71" s="65" t="s">
        <v>724</v>
      </c>
      <c r="AJ71" s="25" t="s">
        <v>119</v>
      </c>
      <c r="AK71" s="26" t="s">
        <v>120</v>
      </c>
      <c r="AL71" s="26" t="s">
        <v>120</v>
      </c>
      <c r="AM71" s="90" t="s">
        <v>119</v>
      </c>
      <c r="AN71" s="105">
        <v>26459</v>
      </c>
      <c r="AO71" s="91">
        <f t="shared" ca="1" si="28"/>
        <v>53</v>
      </c>
      <c r="AP71" s="26" t="s">
        <v>121</v>
      </c>
      <c r="AQ71" s="26" t="s">
        <v>409</v>
      </c>
      <c r="AR71" s="89"/>
      <c r="AS71" s="27"/>
      <c r="AT71" s="16"/>
      <c r="AU71" s="27"/>
      <c r="AV71" s="86"/>
      <c r="AW71" s="27"/>
      <c r="AX71" s="27"/>
      <c r="AY71" s="27"/>
      <c r="AZ71" s="27"/>
      <c r="BA71" s="27"/>
      <c r="BB71" s="27"/>
      <c r="BC71" s="97"/>
      <c r="BD71" s="27"/>
      <c r="BE71" s="16"/>
      <c r="BF71" s="28">
        <f t="shared" si="29"/>
        <v>0</v>
      </c>
      <c r="BG71" s="29"/>
      <c r="BH71" s="27"/>
      <c r="BI71" s="30">
        <f t="shared" si="30"/>
        <v>352</v>
      </c>
      <c r="BJ71" s="31">
        <f t="shared" si="31"/>
        <v>45656</v>
      </c>
      <c r="BK71" s="27"/>
      <c r="BL71" s="16"/>
      <c r="BM71" s="27"/>
      <c r="BN71" s="16"/>
      <c r="BO71" s="27"/>
      <c r="BP71" s="16"/>
      <c r="BQ71" s="27"/>
      <c r="BR71" s="24"/>
      <c r="BS71" s="24"/>
      <c r="BT71" s="32"/>
      <c r="BU71" s="27"/>
      <c r="BV71" s="24"/>
      <c r="BW71" s="24"/>
      <c r="BX71" s="16"/>
      <c r="BY71" s="27"/>
      <c r="BZ71" s="24"/>
      <c r="CA71" s="24"/>
      <c r="CB71" s="16"/>
      <c r="CC71" s="49">
        <f t="shared" si="32"/>
        <v>0</v>
      </c>
      <c r="CD71" s="24"/>
      <c r="CE71" s="49">
        <f t="shared" si="33"/>
        <v>52965916</v>
      </c>
      <c r="CF71" s="50"/>
      <c r="CG71" s="49">
        <f t="shared" ca="1" si="34"/>
        <v>52965916</v>
      </c>
      <c r="CH71" s="33">
        <f t="shared" ca="1" si="35"/>
        <v>1</v>
      </c>
      <c r="CI71" s="33">
        <f t="shared" ca="1" si="36"/>
        <v>1</v>
      </c>
      <c r="CJ71" s="36">
        <f t="shared" ca="1" si="37"/>
        <v>100</v>
      </c>
      <c r="CK71" s="34">
        <f t="shared" si="38"/>
        <v>0</v>
      </c>
      <c r="CL71" s="21"/>
      <c r="CM71" s="35" t="str">
        <f t="shared" ca="1" si="39"/>
        <v>TERMINADO</v>
      </c>
      <c r="CN71" s="82"/>
      <c r="CO71" s="145" t="s">
        <v>725</v>
      </c>
      <c r="CP71" s="26" t="s">
        <v>142</v>
      </c>
    </row>
    <row r="72" spans="1:94" ht="24.75" customHeight="1">
      <c r="A72" s="48" t="s">
        <v>726</v>
      </c>
      <c r="B72" s="77" t="s">
        <v>727</v>
      </c>
      <c r="C72" s="17" t="s">
        <v>104</v>
      </c>
      <c r="D72" s="18" t="s">
        <v>728</v>
      </c>
      <c r="E72" s="17" t="s">
        <v>106</v>
      </c>
      <c r="F72" s="17" t="s">
        <v>107</v>
      </c>
      <c r="G72" s="17" t="s">
        <v>108</v>
      </c>
      <c r="H72" s="78">
        <v>1030544495</v>
      </c>
      <c r="I72" s="74" t="s">
        <v>729</v>
      </c>
      <c r="J72" s="16"/>
      <c r="K72" s="16"/>
      <c r="L72" s="20" t="s">
        <v>730</v>
      </c>
      <c r="M72" s="16" t="s">
        <v>111</v>
      </c>
      <c r="N72" s="22">
        <v>45300</v>
      </c>
      <c r="O72" s="22">
        <v>45302</v>
      </c>
      <c r="P72" s="22">
        <v>45656</v>
      </c>
      <c r="Q72" s="23">
        <f t="shared" si="27"/>
        <v>354</v>
      </c>
      <c r="R72" s="17" t="s">
        <v>242</v>
      </c>
      <c r="S72" s="16" t="s">
        <v>731</v>
      </c>
      <c r="T72" s="16" t="s">
        <v>732</v>
      </c>
      <c r="U72" s="67">
        <v>102989282</v>
      </c>
      <c r="V72" s="16" t="s">
        <v>733</v>
      </c>
      <c r="W72" s="224">
        <v>102989282</v>
      </c>
      <c r="X72" s="24">
        <v>8582440</v>
      </c>
      <c r="Y72" s="24"/>
      <c r="Z72" s="24"/>
      <c r="AA72" s="17" t="s">
        <v>116</v>
      </c>
      <c r="AB72" s="23" t="str">
        <f>IFERROR(VLOOKUP(AA72,Listas!$A$1:$C$14,2,FALSE),"")</f>
        <v>FREDY CÉSPEDES VILLA</v>
      </c>
      <c r="AC72" s="23">
        <f>IFERROR(VLOOKUP(AA72,Listas!$A$1:$C$14,3,FALSE),"")</f>
        <v>93363483</v>
      </c>
      <c r="AD72" s="17" t="s">
        <v>588</v>
      </c>
      <c r="AE72" s="17" t="s">
        <v>589</v>
      </c>
      <c r="AF72" s="23" t="str">
        <f>IFERROR(VLOOKUP(AE72,Listas!$AD$1:$AF$66,2,FALSE),"")</f>
        <v>ANA LUCY CASTRO CASTRO</v>
      </c>
      <c r="AG72" s="23">
        <f>IFERROR(VLOOKUP(AE72,Listas!$AD$1:$AF$65,3,FALSE),"")</f>
        <v>51743499</v>
      </c>
      <c r="AH72" s="17" t="s">
        <v>118</v>
      </c>
      <c r="AI72" s="65" t="s">
        <v>734</v>
      </c>
      <c r="AJ72" s="25" t="s">
        <v>119</v>
      </c>
      <c r="AK72" s="26" t="s">
        <v>120</v>
      </c>
      <c r="AL72" s="26" t="s">
        <v>120</v>
      </c>
      <c r="AM72" s="90" t="s">
        <v>119</v>
      </c>
      <c r="AN72" s="105">
        <v>32228</v>
      </c>
      <c r="AO72" s="91">
        <f t="shared" ca="1" si="28"/>
        <v>37</v>
      </c>
      <c r="AP72" s="26" t="s">
        <v>121</v>
      </c>
      <c r="AQ72" s="26" t="s">
        <v>486</v>
      </c>
      <c r="AR72" s="89"/>
      <c r="AS72" s="27"/>
      <c r="AT72" s="16"/>
      <c r="AU72" s="27"/>
      <c r="AV72" s="86"/>
      <c r="AW72" s="27"/>
      <c r="AX72" s="27"/>
      <c r="AY72" s="27"/>
      <c r="AZ72" s="27"/>
      <c r="BA72" s="27"/>
      <c r="BB72" s="27"/>
      <c r="BC72" s="97"/>
      <c r="BD72" s="27"/>
      <c r="BE72" s="16"/>
      <c r="BF72" s="28">
        <f t="shared" si="29"/>
        <v>0</v>
      </c>
      <c r="BG72" s="29"/>
      <c r="BH72" s="27"/>
      <c r="BI72" s="30">
        <f t="shared" si="30"/>
        <v>354</v>
      </c>
      <c r="BJ72" s="31">
        <f t="shared" si="31"/>
        <v>45656</v>
      </c>
      <c r="BK72" s="27"/>
      <c r="BL72" s="16"/>
      <c r="BM72" s="27"/>
      <c r="BN72" s="16"/>
      <c r="BO72" s="27"/>
      <c r="BP72" s="16"/>
      <c r="BQ72" s="27"/>
      <c r="BR72" s="24"/>
      <c r="BS72" s="24"/>
      <c r="BT72" s="32"/>
      <c r="BU72" s="27"/>
      <c r="BV72" s="24"/>
      <c r="BW72" s="24"/>
      <c r="BX72" s="16"/>
      <c r="BY72" s="27"/>
      <c r="BZ72" s="24"/>
      <c r="CA72" s="24"/>
      <c r="CB72" s="16"/>
      <c r="CC72" s="49">
        <f t="shared" si="32"/>
        <v>0</v>
      </c>
      <c r="CD72" s="24"/>
      <c r="CE72" s="49">
        <f t="shared" si="33"/>
        <v>102989282</v>
      </c>
      <c r="CF72" s="50"/>
      <c r="CG72" s="49">
        <f t="shared" ca="1" si="34"/>
        <v>102989282</v>
      </c>
      <c r="CH72" s="33">
        <f t="shared" ca="1" si="35"/>
        <v>1</v>
      </c>
      <c r="CI72" s="33">
        <f t="shared" ca="1" si="36"/>
        <v>1</v>
      </c>
      <c r="CJ72" s="36">
        <f t="shared" ca="1" si="37"/>
        <v>100</v>
      </c>
      <c r="CK72" s="34">
        <f t="shared" si="38"/>
        <v>0</v>
      </c>
      <c r="CL72" s="21"/>
      <c r="CM72" s="35" t="str">
        <f t="shared" ca="1" si="39"/>
        <v>TERMINADO</v>
      </c>
      <c r="CN72" s="82"/>
      <c r="CO72" s="145" t="s">
        <v>735</v>
      </c>
      <c r="CP72" s="26" t="s">
        <v>142</v>
      </c>
    </row>
    <row r="73" spans="1:94" ht="24.75" customHeight="1">
      <c r="A73" s="48" t="s">
        <v>736</v>
      </c>
      <c r="B73" s="77" t="s">
        <v>737</v>
      </c>
      <c r="C73" s="17" t="s">
        <v>104</v>
      </c>
      <c r="D73" s="18" t="s">
        <v>738</v>
      </c>
      <c r="E73" s="17" t="s">
        <v>106</v>
      </c>
      <c r="F73" s="17" t="s">
        <v>107</v>
      </c>
      <c r="G73" s="17" t="s">
        <v>108</v>
      </c>
      <c r="H73" s="78">
        <v>1015435010</v>
      </c>
      <c r="I73" s="74" t="s">
        <v>739</v>
      </c>
      <c r="J73" s="16"/>
      <c r="K73" s="16"/>
      <c r="L73" s="20" t="s">
        <v>740</v>
      </c>
      <c r="M73" s="16" t="s">
        <v>111</v>
      </c>
      <c r="N73" s="22">
        <v>45300</v>
      </c>
      <c r="O73" s="22">
        <v>45301</v>
      </c>
      <c r="P73" s="22">
        <v>45656</v>
      </c>
      <c r="Q73" s="23">
        <f t="shared" si="27"/>
        <v>355</v>
      </c>
      <c r="R73" s="17" t="s">
        <v>112</v>
      </c>
      <c r="S73" s="16" t="s">
        <v>741</v>
      </c>
      <c r="T73" s="16" t="s">
        <v>114</v>
      </c>
      <c r="U73" s="67">
        <v>41337999</v>
      </c>
      <c r="V73" s="16" t="s">
        <v>742</v>
      </c>
      <c r="W73" s="224">
        <v>41337999</v>
      </c>
      <c r="X73" s="24">
        <v>3433600</v>
      </c>
      <c r="Y73" s="24"/>
      <c r="Z73" s="24"/>
      <c r="AA73" s="17" t="s">
        <v>116</v>
      </c>
      <c r="AB73" s="23" t="str">
        <f>IFERROR(VLOOKUP(AA73,Listas!$A$1:$C$14,2,FALSE),"")</f>
        <v>FREDY CÉSPEDES VILLA</v>
      </c>
      <c r="AC73" s="23">
        <f>IFERROR(VLOOKUP(AA73,Listas!$A$1:$C$14,3,FALSE),"")</f>
        <v>93363483</v>
      </c>
      <c r="AD73" s="17" t="s">
        <v>116</v>
      </c>
      <c r="AE73" s="17" t="s">
        <v>743</v>
      </c>
      <c r="AF73" s="23" t="str">
        <f>IFERROR(VLOOKUP(AE73,Listas!$AD$1:$AF$66,2,FALSE),"")</f>
        <v>FREDY CÉSPEDES VILLA</v>
      </c>
      <c r="AG73" s="23">
        <f>IFERROR(VLOOKUP(AE73,Listas!$AD$1:$AF$65,3,FALSE),"")</f>
        <v>93363483</v>
      </c>
      <c r="AH73" s="17" t="s">
        <v>118</v>
      </c>
      <c r="AI73" s="65" t="s">
        <v>744</v>
      </c>
      <c r="AJ73" s="25" t="s">
        <v>119</v>
      </c>
      <c r="AK73" s="26" t="s">
        <v>120</v>
      </c>
      <c r="AL73" s="26" t="s">
        <v>120</v>
      </c>
      <c r="AM73" s="90" t="s">
        <v>119</v>
      </c>
      <c r="AN73" s="105">
        <v>33884</v>
      </c>
      <c r="AO73" s="91">
        <f ca="1">IF(YEAR(TODAY())-YEAR(AN75)&gt;100," ",YEAR(TODAY())-YEAR(AN75))</f>
        <v>43</v>
      </c>
      <c r="AP73" s="26" t="s">
        <v>121</v>
      </c>
      <c r="AQ73" s="26" t="s">
        <v>122</v>
      </c>
      <c r="AR73" s="89"/>
      <c r="AS73" s="27"/>
      <c r="AT73" s="16"/>
      <c r="AU73" s="27"/>
      <c r="AV73" s="86"/>
      <c r="AW73" s="27"/>
      <c r="AX73" s="27"/>
      <c r="AY73" s="27"/>
      <c r="AZ73" s="27"/>
      <c r="BA73" s="27"/>
      <c r="BB73" s="27"/>
      <c r="BC73" s="97"/>
      <c r="BD73" s="27"/>
      <c r="BE73" s="16"/>
      <c r="BF73" s="28">
        <f t="shared" si="29"/>
        <v>0</v>
      </c>
      <c r="BG73" s="29"/>
      <c r="BH73" s="27"/>
      <c r="BI73" s="30">
        <f t="shared" si="30"/>
        <v>355</v>
      </c>
      <c r="BJ73" s="31">
        <f t="shared" si="31"/>
        <v>45656</v>
      </c>
      <c r="BK73" s="27"/>
      <c r="BL73" s="16"/>
      <c r="BM73" s="27"/>
      <c r="BN73" s="16"/>
      <c r="BO73" s="27"/>
      <c r="BP73" s="16"/>
      <c r="BQ73" s="27"/>
      <c r="BR73" s="24"/>
      <c r="BS73" s="24"/>
      <c r="BT73" s="32"/>
      <c r="BU73" s="27"/>
      <c r="BV73" s="24"/>
      <c r="BW73" s="24"/>
      <c r="BX73" s="16"/>
      <c r="BY73" s="27"/>
      <c r="BZ73" s="24"/>
      <c r="CA73" s="24"/>
      <c r="CB73" s="16"/>
      <c r="CC73" s="49">
        <f t="shared" si="32"/>
        <v>0</v>
      </c>
      <c r="CD73" s="24"/>
      <c r="CE73" s="49">
        <f t="shared" si="33"/>
        <v>41337999</v>
      </c>
      <c r="CF73" s="50"/>
      <c r="CG73" s="49">
        <f t="shared" ca="1" si="34"/>
        <v>41337999</v>
      </c>
      <c r="CH73" s="33">
        <f t="shared" ca="1" si="35"/>
        <v>1</v>
      </c>
      <c r="CI73" s="33">
        <f t="shared" ca="1" si="36"/>
        <v>1</v>
      </c>
      <c r="CJ73" s="36">
        <f t="shared" ca="1" si="37"/>
        <v>100</v>
      </c>
      <c r="CK73" s="34">
        <f t="shared" si="38"/>
        <v>0</v>
      </c>
      <c r="CL73" s="21"/>
      <c r="CM73" s="35" t="str">
        <f t="shared" ca="1" si="39"/>
        <v>TERMINADO</v>
      </c>
      <c r="CN73" s="82"/>
      <c r="CO73" s="145" t="s">
        <v>745</v>
      </c>
      <c r="CP73" s="26" t="s">
        <v>123</v>
      </c>
    </row>
    <row r="74" spans="1:94" ht="24.75" customHeight="1">
      <c r="A74" s="48" t="s">
        <v>746</v>
      </c>
      <c r="B74" s="77" t="s">
        <v>747</v>
      </c>
      <c r="C74" s="17" t="s">
        <v>104</v>
      </c>
      <c r="D74" s="18" t="s">
        <v>748</v>
      </c>
      <c r="E74" s="17" t="s">
        <v>106</v>
      </c>
      <c r="F74" s="17" t="s">
        <v>107</v>
      </c>
      <c r="G74" s="17" t="s">
        <v>108</v>
      </c>
      <c r="H74" s="78">
        <v>32798783</v>
      </c>
      <c r="I74" s="74" t="s">
        <v>749</v>
      </c>
      <c r="J74" s="16"/>
      <c r="K74" s="16"/>
      <c r="L74" s="96" t="s">
        <v>750</v>
      </c>
      <c r="M74" s="16" t="s">
        <v>111</v>
      </c>
      <c r="N74" s="22">
        <v>45300</v>
      </c>
      <c r="O74" s="22">
        <v>45307</v>
      </c>
      <c r="P74" s="22">
        <v>45656</v>
      </c>
      <c r="Q74" s="23">
        <f t="shared" si="27"/>
        <v>349</v>
      </c>
      <c r="R74" s="17" t="s">
        <v>242</v>
      </c>
      <c r="S74" s="16" t="s">
        <v>751</v>
      </c>
      <c r="T74" s="16" t="s">
        <v>752</v>
      </c>
      <c r="U74" s="67">
        <v>183909432</v>
      </c>
      <c r="V74" s="16" t="s">
        <v>753</v>
      </c>
      <c r="W74" s="224">
        <v>183909432</v>
      </c>
      <c r="X74" s="24">
        <v>15325786</v>
      </c>
      <c r="Y74" s="24"/>
      <c r="Z74" s="24"/>
      <c r="AA74" s="17" t="s">
        <v>116</v>
      </c>
      <c r="AB74" s="23" t="str">
        <f>IFERROR(VLOOKUP(AA74,Listas!$A$1:$C$14,2,FALSE),"")</f>
        <v>FREDY CÉSPEDES VILLA</v>
      </c>
      <c r="AC74" s="23">
        <f>IFERROR(VLOOKUP(AA74,Listas!$A$1:$C$14,3,FALSE),"")</f>
        <v>93363483</v>
      </c>
      <c r="AD74" s="17" t="s">
        <v>406</v>
      </c>
      <c r="AE74" s="17" t="s">
        <v>504</v>
      </c>
      <c r="AF74" s="23" t="str">
        <f>IFERROR(VLOOKUP(AE74,Listas!$AD$1:$AF$66,2,FALSE),"")</f>
        <v>EDUARDO ELÍAS BARCHA BOLÍVAR</v>
      </c>
      <c r="AG74" s="23">
        <f>IFERROR(VLOOKUP(AE74,Listas!$AD$1:$AF$65,3,FALSE),"")</f>
        <v>72133921</v>
      </c>
      <c r="AH74" s="17" t="s">
        <v>118</v>
      </c>
      <c r="AI74" s="65" t="s">
        <v>754</v>
      </c>
      <c r="AJ74" s="25" t="s">
        <v>119</v>
      </c>
      <c r="AK74" s="26" t="s">
        <v>120</v>
      </c>
      <c r="AL74" s="26" t="s">
        <v>120</v>
      </c>
      <c r="AM74" s="90" t="s">
        <v>119</v>
      </c>
      <c r="AN74" s="105">
        <v>28107</v>
      </c>
      <c r="AO74" s="91">
        <f t="shared" ref="AO74:AO105" ca="1" si="40">IF(YEAR(TODAY())-YEAR(AN74)&gt;100," ",YEAR(TODAY())-YEAR(AN74))</f>
        <v>49</v>
      </c>
      <c r="AP74" s="26" t="s">
        <v>121</v>
      </c>
      <c r="AQ74" s="26" t="s">
        <v>122</v>
      </c>
      <c r="AR74" s="89"/>
      <c r="AS74" s="27"/>
      <c r="AT74" s="16"/>
      <c r="AU74" s="27"/>
      <c r="AV74" s="86"/>
      <c r="AW74" s="27"/>
      <c r="AX74" s="27"/>
      <c r="AY74" s="27"/>
      <c r="AZ74" s="27"/>
      <c r="BA74" s="27"/>
      <c r="BB74" s="27"/>
      <c r="BC74" s="97"/>
      <c r="BD74" s="27"/>
      <c r="BE74" s="16"/>
      <c r="BF74" s="28">
        <f t="shared" si="29"/>
        <v>0</v>
      </c>
      <c r="BG74" s="29"/>
      <c r="BH74" s="27"/>
      <c r="BI74" s="30">
        <f t="shared" si="30"/>
        <v>349</v>
      </c>
      <c r="BJ74" s="31">
        <f t="shared" si="31"/>
        <v>45656</v>
      </c>
      <c r="BK74" s="27"/>
      <c r="BL74" s="16"/>
      <c r="BM74" s="27"/>
      <c r="BN74" s="16"/>
      <c r="BO74" s="27"/>
      <c r="BP74" s="16"/>
      <c r="BQ74" s="27"/>
      <c r="BR74" s="24"/>
      <c r="BS74" s="24"/>
      <c r="BT74" s="32"/>
      <c r="BU74" s="27"/>
      <c r="BV74" s="24"/>
      <c r="BW74" s="24"/>
      <c r="BX74" s="16"/>
      <c r="BY74" s="27"/>
      <c r="BZ74" s="24"/>
      <c r="CA74" s="24"/>
      <c r="CB74" s="16"/>
      <c r="CC74" s="49">
        <f t="shared" si="32"/>
        <v>0</v>
      </c>
      <c r="CD74" s="24"/>
      <c r="CE74" s="49">
        <f t="shared" si="33"/>
        <v>183909432</v>
      </c>
      <c r="CF74" s="50"/>
      <c r="CG74" s="49">
        <f t="shared" ca="1" si="34"/>
        <v>183909432</v>
      </c>
      <c r="CH74" s="33">
        <f t="shared" ca="1" si="35"/>
        <v>1</v>
      </c>
      <c r="CI74" s="33">
        <f t="shared" ca="1" si="36"/>
        <v>1</v>
      </c>
      <c r="CJ74" s="36">
        <f t="shared" ca="1" si="37"/>
        <v>100</v>
      </c>
      <c r="CK74" s="34">
        <f t="shared" si="38"/>
        <v>0</v>
      </c>
      <c r="CL74" s="21"/>
      <c r="CM74" s="35" t="str">
        <f t="shared" ca="1" si="39"/>
        <v>TERMINADO</v>
      </c>
      <c r="CN74" s="82"/>
      <c r="CO74" s="145" t="s">
        <v>755</v>
      </c>
      <c r="CP74" s="26" t="s">
        <v>123</v>
      </c>
    </row>
    <row r="75" spans="1:94" ht="24.75" customHeight="1">
      <c r="A75" s="48" t="s">
        <v>756</v>
      </c>
      <c r="B75" s="77" t="s">
        <v>757</v>
      </c>
      <c r="C75" s="17" t="s">
        <v>104</v>
      </c>
      <c r="D75" s="18" t="s">
        <v>758</v>
      </c>
      <c r="E75" s="17" t="s">
        <v>106</v>
      </c>
      <c r="F75" s="17" t="s">
        <v>107</v>
      </c>
      <c r="G75" s="17" t="s">
        <v>108</v>
      </c>
      <c r="H75" s="78">
        <v>40992964</v>
      </c>
      <c r="I75" s="74" t="s">
        <v>759</v>
      </c>
      <c r="J75" s="16"/>
      <c r="K75" s="16"/>
      <c r="L75" s="96" t="s">
        <v>760</v>
      </c>
      <c r="M75" s="16" t="s">
        <v>111</v>
      </c>
      <c r="N75" s="22">
        <v>45300</v>
      </c>
      <c r="O75" s="22">
        <v>45302</v>
      </c>
      <c r="P75" s="22">
        <v>45657</v>
      </c>
      <c r="Q75" s="23">
        <f t="shared" si="27"/>
        <v>355</v>
      </c>
      <c r="R75" s="17" t="s">
        <v>112</v>
      </c>
      <c r="S75" s="16" t="s">
        <v>761</v>
      </c>
      <c r="T75" s="16" t="s">
        <v>114</v>
      </c>
      <c r="U75" s="67">
        <v>102790728</v>
      </c>
      <c r="V75" s="16" t="s">
        <v>742</v>
      </c>
      <c r="W75" s="224">
        <v>102790728</v>
      </c>
      <c r="X75" s="24">
        <v>8565894</v>
      </c>
      <c r="Y75" s="24"/>
      <c r="Z75" s="24"/>
      <c r="AA75" s="17" t="s">
        <v>116</v>
      </c>
      <c r="AB75" s="23" t="str">
        <f>IFERROR(VLOOKUP(AA75,Listas!$A$1:$C$14,2,FALSE),"")</f>
        <v>FREDY CÉSPEDES VILLA</v>
      </c>
      <c r="AC75" s="23">
        <f>IFERROR(VLOOKUP(AA75,Listas!$A$1:$C$14,3,FALSE),"")</f>
        <v>93363483</v>
      </c>
      <c r="AD75" s="17" t="s">
        <v>116</v>
      </c>
      <c r="AE75" s="17" t="s">
        <v>325</v>
      </c>
      <c r="AF75" s="23" t="str">
        <f>IFERROR(VLOOKUP(AE75,Listas!$AD$1:$AF$66,2,FALSE),"")</f>
        <v>SANDRA MILENA MÁRQUEZ PARRA</v>
      </c>
      <c r="AG75" s="23">
        <f>IFERROR(VLOOKUP(AE75,Listas!$AD$1:$AF$65,3,FALSE),"")</f>
        <v>52487587</v>
      </c>
      <c r="AH75" s="17" t="s">
        <v>118</v>
      </c>
      <c r="AI75" s="65" t="s">
        <v>762</v>
      </c>
      <c r="AJ75" s="25" t="s">
        <v>119</v>
      </c>
      <c r="AK75" s="26" t="s">
        <v>120</v>
      </c>
      <c r="AL75" s="26" t="s">
        <v>120</v>
      </c>
      <c r="AM75" s="90" t="s">
        <v>119</v>
      </c>
      <c r="AN75" s="105">
        <v>30246</v>
      </c>
      <c r="AO75" s="91">
        <f t="shared" ca="1" si="40"/>
        <v>43</v>
      </c>
      <c r="AP75" s="26" t="s">
        <v>121</v>
      </c>
      <c r="AQ75" s="26" t="s">
        <v>327</v>
      </c>
      <c r="AR75" s="89"/>
      <c r="AS75" s="27"/>
      <c r="AT75" s="16"/>
      <c r="AU75" s="27"/>
      <c r="AV75" s="86"/>
      <c r="AW75" s="27"/>
      <c r="AX75" s="27"/>
      <c r="AY75" s="27"/>
      <c r="AZ75" s="27"/>
      <c r="BA75" s="27"/>
      <c r="BB75" s="27"/>
      <c r="BC75" s="97"/>
      <c r="BD75" s="27"/>
      <c r="BE75" s="16"/>
      <c r="BF75" s="28">
        <f t="shared" si="29"/>
        <v>0</v>
      </c>
      <c r="BG75" s="29"/>
      <c r="BH75" s="27"/>
      <c r="BI75" s="30">
        <f t="shared" si="30"/>
        <v>355</v>
      </c>
      <c r="BJ75" s="31">
        <f t="shared" si="31"/>
        <v>45657</v>
      </c>
      <c r="BK75" s="27"/>
      <c r="BL75" s="16"/>
      <c r="BM75" s="27"/>
      <c r="BN75" s="16"/>
      <c r="BO75" s="27"/>
      <c r="BP75" s="16"/>
      <c r="BQ75" s="27"/>
      <c r="BR75" s="24"/>
      <c r="BS75" s="24"/>
      <c r="BT75" s="32"/>
      <c r="BU75" s="27"/>
      <c r="BV75" s="24"/>
      <c r="BW75" s="24"/>
      <c r="BX75" s="16"/>
      <c r="BY75" s="27"/>
      <c r="BZ75" s="24"/>
      <c r="CA75" s="24"/>
      <c r="CB75" s="16"/>
      <c r="CC75" s="49">
        <f t="shared" si="32"/>
        <v>0</v>
      </c>
      <c r="CD75" s="24"/>
      <c r="CE75" s="49">
        <f t="shared" si="33"/>
        <v>102790728</v>
      </c>
      <c r="CF75" s="50"/>
      <c r="CG75" s="49">
        <f t="shared" ca="1" si="34"/>
        <v>102790728</v>
      </c>
      <c r="CH75" s="33">
        <f t="shared" ca="1" si="35"/>
        <v>1</v>
      </c>
      <c r="CI75" s="33">
        <f t="shared" ca="1" si="36"/>
        <v>1</v>
      </c>
      <c r="CJ75" s="36">
        <f t="shared" ca="1" si="37"/>
        <v>100</v>
      </c>
      <c r="CK75" s="34">
        <f t="shared" si="38"/>
        <v>0</v>
      </c>
      <c r="CL75" s="21"/>
      <c r="CM75" s="35" t="str">
        <f t="shared" ca="1" si="39"/>
        <v>TERMINADO</v>
      </c>
      <c r="CN75" s="82"/>
      <c r="CO75" s="145" t="s">
        <v>763</v>
      </c>
      <c r="CP75" s="26" t="s">
        <v>123</v>
      </c>
    </row>
    <row r="76" spans="1:94" ht="24.75" customHeight="1">
      <c r="A76" s="48" t="s">
        <v>764</v>
      </c>
      <c r="B76" s="77" t="s">
        <v>765</v>
      </c>
      <c r="C76" s="17" t="s">
        <v>104</v>
      </c>
      <c r="D76" s="18" t="s">
        <v>766</v>
      </c>
      <c r="E76" s="17" t="s">
        <v>106</v>
      </c>
      <c r="F76" s="17" t="s">
        <v>107</v>
      </c>
      <c r="G76" s="17" t="s">
        <v>108</v>
      </c>
      <c r="H76" s="78">
        <v>52424646</v>
      </c>
      <c r="I76" s="74" t="s">
        <v>767</v>
      </c>
      <c r="J76" s="16"/>
      <c r="K76" s="16"/>
      <c r="L76" s="20" t="s">
        <v>760</v>
      </c>
      <c r="M76" s="16" t="s">
        <v>111</v>
      </c>
      <c r="N76" s="22">
        <v>45301</v>
      </c>
      <c r="O76" s="22">
        <v>45302</v>
      </c>
      <c r="P76" s="22">
        <v>45657</v>
      </c>
      <c r="Q76" s="23">
        <f t="shared" si="27"/>
        <v>355</v>
      </c>
      <c r="R76" s="17" t="s">
        <v>112</v>
      </c>
      <c r="S76" s="16" t="s">
        <v>768</v>
      </c>
      <c r="T76" s="16" t="s">
        <v>114</v>
      </c>
      <c r="U76" s="67">
        <v>102790728</v>
      </c>
      <c r="V76" s="16" t="s">
        <v>742</v>
      </c>
      <c r="W76" s="224">
        <v>102790728</v>
      </c>
      <c r="X76" s="24">
        <v>8565894</v>
      </c>
      <c r="Y76" s="24"/>
      <c r="Z76" s="24"/>
      <c r="AA76" s="17" t="s">
        <v>116</v>
      </c>
      <c r="AB76" s="23" t="str">
        <f>IFERROR(VLOOKUP(AA76,Listas!$A$1:$C$14,2,FALSE),"")</f>
        <v>FREDY CÉSPEDES VILLA</v>
      </c>
      <c r="AC76" s="23">
        <f>IFERROR(VLOOKUP(AA76,Listas!$A$1:$C$14,3,FALSE),"")</f>
        <v>93363483</v>
      </c>
      <c r="AD76" s="17" t="s">
        <v>116</v>
      </c>
      <c r="AE76" s="17" t="s">
        <v>325</v>
      </c>
      <c r="AF76" s="23" t="str">
        <f>IFERROR(VLOOKUP(AE76,Listas!$AD$1:$AF$66,2,FALSE),"")</f>
        <v>SANDRA MILENA MÁRQUEZ PARRA</v>
      </c>
      <c r="AG76" s="23">
        <f>IFERROR(VLOOKUP(AE76,Listas!$AD$1:$AF$65,3,FALSE),"")</f>
        <v>52487587</v>
      </c>
      <c r="AH76" s="17" t="s">
        <v>118</v>
      </c>
      <c r="AI76" s="65" t="s">
        <v>762</v>
      </c>
      <c r="AJ76" s="25" t="s">
        <v>119</v>
      </c>
      <c r="AK76" s="26" t="s">
        <v>120</v>
      </c>
      <c r="AL76" s="26" t="s">
        <v>120</v>
      </c>
      <c r="AM76" s="90" t="s">
        <v>119</v>
      </c>
      <c r="AN76" s="105">
        <v>28296</v>
      </c>
      <c r="AO76" s="91">
        <f t="shared" ca="1" si="40"/>
        <v>48</v>
      </c>
      <c r="AP76" s="26" t="s">
        <v>121</v>
      </c>
      <c r="AQ76" s="26" t="s">
        <v>327</v>
      </c>
      <c r="AR76" s="89"/>
      <c r="AS76" s="27"/>
      <c r="AT76" s="16"/>
      <c r="AU76" s="27"/>
      <c r="AV76" s="86"/>
      <c r="AW76" s="27"/>
      <c r="AX76" s="27"/>
      <c r="AY76" s="27"/>
      <c r="AZ76" s="27"/>
      <c r="BA76" s="27"/>
      <c r="BB76" s="27"/>
      <c r="BC76" s="97"/>
      <c r="BD76" s="27"/>
      <c r="BE76" s="16"/>
      <c r="BF76" s="28">
        <f t="shared" si="29"/>
        <v>0</v>
      </c>
      <c r="BG76" s="29"/>
      <c r="BH76" s="27"/>
      <c r="BI76" s="30">
        <f t="shared" si="30"/>
        <v>355</v>
      </c>
      <c r="BJ76" s="31">
        <f t="shared" si="31"/>
        <v>45657</v>
      </c>
      <c r="BK76" s="27"/>
      <c r="BL76" s="16"/>
      <c r="BM76" s="27"/>
      <c r="BN76" s="16"/>
      <c r="BO76" s="27"/>
      <c r="BP76" s="16"/>
      <c r="BQ76" s="27"/>
      <c r="BR76" s="24"/>
      <c r="BS76" s="24"/>
      <c r="BT76" s="32"/>
      <c r="BU76" s="27"/>
      <c r="BV76" s="24"/>
      <c r="BW76" s="24"/>
      <c r="BX76" s="16"/>
      <c r="BY76" s="27"/>
      <c r="BZ76" s="24"/>
      <c r="CA76" s="24"/>
      <c r="CB76" s="16"/>
      <c r="CC76" s="49">
        <f t="shared" si="32"/>
        <v>0</v>
      </c>
      <c r="CD76" s="24"/>
      <c r="CE76" s="49">
        <f t="shared" si="33"/>
        <v>102790728</v>
      </c>
      <c r="CF76" s="50"/>
      <c r="CG76" s="49">
        <f t="shared" ca="1" si="34"/>
        <v>102790728</v>
      </c>
      <c r="CH76" s="33">
        <f t="shared" ca="1" si="35"/>
        <v>1</v>
      </c>
      <c r="CI76" s="33">
        <f t="shared" ca="1" si="36"/>
        <v>1</v>
      </c>
      <c r="CJ76" s="36">
        <f t="shared" ca="1" si="37"/>
        <v>100</v>
      </c>
      <c r="CK76" s="34">
        <f t="shared" si="38"/>
        <v>0</v>
      </c>
      <c r="CL76" s="21"/>
      <c r="CM76" s="35" t="str">
        <f t="shared" ca="1" si="39"/>
        <v>TERMINADO</v>
      </c>
      <c r="CN76" s="82"/>
      <c r="CO76" s="145" t="s">
        <v>769</v>
      </c>
      <c r="CP76" s="26" t="s">
        <v>123</v>
      </c>
    </row>
    <row r="77" spans="1:94" ht="24.75" customHeight="1">
      <c r="A77" s="48" t="s">
        <v>770</v>
      </c>
      <c r="B77" s="77" t="s">
        <v>771</v>
      </c>
      <c r="C77" s="17" t="s">
        <v>104</v>
      </c>
      <c r="D77" s="18" t="s">
        <v>772</v>
      </c>
      <c r="E77" s="17" t="s">
        <v>106</v>
      </c>
      <c r="F77" s="17" t="s">
        <v>107</v>
      </c>
      <c r="G77" s="17" t="s">
        <v>108</v>
      </c>
      <c r="H77" s="78">
        <v>80238881</v>
      </c>
      <c r="I77" s="74" t="s">
        <v>773</v>
      </c>
      <c r="J77" s="16"/>
      <c r="K77" s="16"/>
      <c r="L77" s="20" t="s">
        <v>774</v>
      </c>
      <c r="M77" s="16" t="s">
        <v>111</v>
      </c>
      <c r="N77" s="22">
        <v>45301</v>
      </c>
      <c r="O77" s="22">
        <v>45303</v>
      </c>
      <c r="P77" s="22">
        <v>45657</v>
      </c>
      <c r="Q77" s="23">
        <f t="shared" si="27"/>
        <v>354</v>
      </c>
      <c r="R77" s="17" t="s">
        <v>112</v>
      </c>
      <c r="S77" s="16" t="s">
        <v>775</v>
      </c>
      <c r="T77" s="16" t="s">
        <v>114</v>
      </c>
      <c r="U77" s="67">
        <v>102790728</v>
      </c>
      <c r="V77" s="16" t="s">
        <v>742</v>
      </c>
      <c r="W77" s="224">
        <v>102790728</v>
      </c>
      <c r="X77" s="24">
        <v>8565894</v>
      </c>
      <c r="Y77" s="24"/>
      <c r="Z77" s="24"/>
      <c r="AA77" s="17" t="s">
        <v>116</v>
      </c>
      <c r="AB77" s="23" t="str">
        <f>IFERROR(VLOOKUP(AA77,Listas!$A$1:$C$14,2,FALSE),"")</f>
        <v>FREDY CÉSPEDES VILLA</v>
      </c>
      <c r="AC77" s="23">
        <f>IFERROR(VLOOKUP(AA77,Listas!$A$1:$C$14,3,FALSE),"")</f>
        <v>93363483</v>
      </c>
      <c r="AD77" s="17" t="s">
        <v>116</v>
      </c>
      <c r="AE77" s="17" t="s">
        <v>325</v>
      </c>
      <c r="AF77" s="23" t="str">
        <f>IFERROR(VLOOKUP(AE77,Listas!$AD$1:$AF$66,2,FALSE),"")</f>
        <v>SANDRA MILENA MÁRQUEZ PARRA</v>
      </c>
      <c r="AG77" s="23">
        <f>IFERROR(VLOOKUP(AE77,Listas!$AD$1:$AF$65,3,FALSE),"")</f>
        <v>52487587</v>
      </c>
      <c r="AH77" s="17" t="s">
        <v>118</v>
      </c>
      <c r="AI77" s="65" t="s">
        <v>762</v>
      </c>
      <c r="AJ77" s="25" t="s">
        <v>119</v>
      </c>
      <c r="AK77" s="26" t="s">
        <v>120</v>
      </c>
      <c r="AL77" s="26" t="s">
        <v>120</v>
      </c>
      <c r="AM77" s="90" t="s">
        <v>119</v>
      </c>
      <c r="AN77" s="105">
        <v>29667</v>
      </c>
      <c r="AO77" s="91">
        <f t="shared" ca="1" si="40"/>
        <v>44</v>
      </c>
      <c r="AP77" s="26" t="s">
        <v>121</v>
      </c>
      <c r="AQ77" s="26" t="s">
        <v>327</v>
      </c>
      <c r="AR77" s="89"/>
      <c r="AS77" s="27"/>
      <c r="AT77" s="16"/>
      <c r="AU77" s="27"/>
      <c r="AV77" s="86"/>
      <c r="AW77" s="27"/>
      <c r="AX77" s="27"/>
      <c r="AY77" s="27"/>
      <c r="AZ77" s="27"/>
      <c r="BA77" s="27"/>
      <c r="BB77" s="27"/>
      <c r="BC77" s="97"/>
      <c r="BD77" s="27"/>
      <c r="BE77" s="16"/>
      <c r="BF77" s="28">
        <f t="shared" si="29"/>
        <v>0</v>
      </c>
      <c r="BG77" s="29"/>
      <c r="BH77" s="27"/>
      <c r="BI77" s="30">
        <f t="shared" si="30"/>
        <v>354</v>
      </c>
      <c r="BJ77" s="31">
        <f t="shared" si="31"/>
        <v>45657</v>
      </c>
      <c r="BK77" s="27"/>
      <c r="BL77" s="16"/>
      <c r="BM77" s="27"/>
      <c r="BN77" s="16"/>
      <c r="BO77" s="27"/>
      <c r="BP77" s="16"/>
      <c r="BQ77" s="27"/>
      <c r="BR77" s="24"/>
      <c r="BS77" s="24"/>
      <c r="BT77" s="32"/>
      <c r="BU77" s="27"/>
      <c r="BV77" s="24"/>
      <c r="BW77" s="24"/>
      <c r="BX77" s="16"/>
      <c r="BY77" s="27"/>
      <c r="BZ77" s="24"/>
      <c r="CA77" s="24"/>
      <c r="CB77" s="16"/>
      <c r="CC77" s="49">
        <f t="shared" si="32"/>
        <v>0</v>
      </c>
      <c r="CD77" s="24"/>
      <c r="CE77" s="49">
        <f t="shared" si="33"/>
        <v>102790728</v>
      </c>
      <c r="CF77" s="50"/>
      <c r="CG77" s="49">
        <f t="shared" ca="1" si="34"/>
        <v>102790728</v>
      </c>
      <c r="CH77" s="33">
        <f t="shared" ca="1" si="35"/>
        <v>1</v>
      </c>
      <c r="CI77" s="33">
        <f t="shared" ca="1" si="36"/>
        <v>1</v>
      </c>
      <c r="CJ77" s="36">
        <f t="shared" ca="1" si="37"/>
        <v>100</v>
      </c>
      <c r="CK77" s="34">
        <f t="shared" si="38"/>
        <v>0</v>
      </c>
      <c r="CL77" s="21"/>
      <c r="CM77" s="35" t="str">
        <f t="shared" ca="1" si="39"/>
        <v>TERMINADO</v>
      </c>
      <c r="CN77" s="82"/>
      <c r="CO77" s="145" t="s">
        <v>776</v>
      </c>
      <c r="CP77" s="26" t="s">
        <v>142</v>
      </c>
    </row>
    <row r="78" spans="1:94" ht="24.75" customHeight="1">
      <c r="A78" s="48" t="s">
        <v>777</v>
      </c>
      <c r="B78" s="77" t="s">
        <v>778</v>
      </c>
      <c r="C78" s="17" t="s">
        <v>104</v>
      </c>
      <c r="D78" s="18" t="s">
        <v>779</v>
      </c>
      <c r="E78" s="17" t="s">
        <v>106</v>
      </c>
      <c r="F78" s="17" t="s">
        <v>107</v>
      </c>
      <c r="G78" s="17" t="s">
        <v>108</v>
      </c>
      <c r="H78" s="78">
        <v>1018437942</v>
      </c>
      <c r="I78" s="74" t="s">
        <v>780</v>
      </c>
      <c r="J78" s="16"/>
      <c r="K78" s="16"/>
      <c r="L78" s="96" t="s">
        <v>781</v>
      </c>
      <c r="M78" s="16" t="s">
        <v>111</v>
      </c>
      <c r="N78" s="22">
        <v>45300</v>
      </c>
      <c r="O78" s="22">
        <v>45303</v>
      </c>
      <c r="P78" s="22">
        <v>45656</v>
      </c>
      <c r="Q78" s="23">
        <f t="shared" si="27"/>
        <v>353</v>
      </c>
      <c r="R78" s="17" t="s">
        <v>242</v>
      </c>
      <c r="S78" s="16" t="s">
        <v>782</v>
      </c>
      <c r="T78" s="16" t="s">
        <v>783</v>
      </c>
      <c r="U78" s="67">
        <v>97800000</v>
      </c>
      <c r="V78" s="16" t="s">
        <v>784</v>
      </c>
      <c r="W78" s="224">
        <v>97800000</v>
      </c>
      <c r="X78" s="24">
        <v>8150000</v>
      </c>
      <c r="Y78" s="24"/>
      <c r="Z78" s="24"/>
      <c r="AA78" s="17" t="s">
        <v>116</v>
      </c>
      <c r="AB78" s="23" t="str">
        <f>IFERROR(VLOOKUP(AA78,Listas!$A$1:$C$14,2,FALSE),"")</f>
        <v>FREDY CÉSPEDES VILLA</v>
      </c>
      <c r="AC78" s="23">
        <f>IFERROR(VLOOKUP(AA78,Listas!$A$1:$C$14,3,FALSE),"")</f>
        <v>93363483</v>
      </c>
      <c r="AD78" s="17" t="s">
        <v>116</v>
      </c>
      <c r="AE78" s="17" t="s">
        <v>484</v>
      </c>
      <c r="AF78" s="23" t="str">
        <f>IFERROR(VLOOKUP(AE78,Listas!$AD$1:$AF$66,2,FALSE),"")</f>
        <v>JAIME ANDRES GIL ACOSTA</v>
      </c>
      <c r="AG78" s="23">
        <f>IFERROR(VLOOKUP(AE78,Listas!$AD$1:$AF$65,3,FALSE),"")</f>
        <v>98622827</v>
      </c>
      <c r="AH78" s="17" t="s">
        <v>118</v>
      </c>
      <c r="AI78" s="65" t="s">
        <v>785</v>
      </c>
      <c r="AJ78" s="25" t="s">
        <v>119</v>
      </c>
      <c r="AK78" s="26" t="s">
        <v>120</v>
      </c>
      <c r="AL78" s="26" t="s">
        <v>120</v>
      </c>
      <c r="AM78" s="90" t="s">
        <v>119</v>
      </c>
      <c r="AN78" s="105">
        <v>33135</v>
      </c>
      <c r="AO78" s="91">
        <f t="shared" ca="1" si="40"/>
        <v>35</v>
      </c>
      <c r="AP78" s="26" t="s">
        <v>121</v>
      </c>
      <c r="AQ78" s="26" t="s">
        <v>486</v>
      </c>
      <c r="AR78" s="89"/>
      <c r="AS78" s="27"/>
      <c r="AT78" s="16"/>
      <c r="AU78" s="27"/>
      <c r="AV78" s="86"/>
      <c r="AW78" s="27"/>
      <c r="AX78" s="27"/>
      <c r="AY78" s="27"/>
      <c r="AZ78" s="27"/>
      <c r="BA78" s="27"/>
      <c r="BB78" s="27"/>
      <c r="BC78" s="97"/>
      <c r="BD78" s="27"/>
      <c r="BE78" s="16"/>
      <c r="BF78" s="28">
        <f t="shared" si="29"/>
        <v>0</v>
      </c>
      <c r="BG78" s="29"/>
      <c r="BH78" s="27"/>
      <c r="BI78" s="30">
        <f t="shared" si="30"/>
        <v>353</v>
      </c>
      <c r="BJ78" s="31">
        <f t="shared" si="31"/>
        <v>45656</v>
      </c>
      <c r="BK78" s="27"/>
      <c r="BL78" s="16"/>
      <c r="BM78" s="27"/>
      <c r="BN78" s="16"/>
      <c r="BO78" s="27"/>
      <c r="BP78" s="16"/>
      <c r="BQ78" s="27"/>
      <c r="BR78" s="24"/>
      <c r="BS78" s="24"/>
      <c r="BT78" s="32"/>
      <c r="BU78" s="27"/>
      <c r="BV78" s="24"/>
      <c r="BW78" s="24"/>
      <c r="BX78" s="16"/>
      <c r="BY78" s="27"/>
      <c r="BZ78" s="24"/>
      <c r="CA78" s="24"/>
      <c r="CB78" s="16"/>
      <c r="CC78" s="49">
        <f t="shared" si="32"/>
        <v>0</v>
      </c>
      <c r="CD78" s="24"/>
      <c r="CE78" s="49">
        <f t="shared" si="33"/>
        <v>97800000</v>
      </c>
      <c r="CF78" s="50"/>
      <c r="CG78" s="49">
        <f t="shared" ca="1" si="34"/>
        <v>97800000</v>
      </c>
      <c r="CH78" s="33">
        <f t="shared" ca="1" si="35"/>
        <v>1</v>
      </c>
      <c r="CI78" s="33">
        <f t="shared" ca="1" si="36"/>
        <v>1</v>
      </c>
      <c r="CJ78" s="36">
        <f t="shared" ca="1" si="37"/>
        <v>100</v>
      </c>
      <c r="CK78" s="34">
        <f t="shared" si="38"/>
        <v>0</v>
      </c>
      <c r="CL78" s="21"/>
      <c r="CM78" s="35" t="str">
        <f t="shared" ca="1" si="39"/>
        <v>TERMINADO</v>
      </c>
      <c r="CN78" s="82"/>
      <c r="CO78" s="145" t="s">
        <v>786</v>
      </c>
      <c r="CP78" s="26" t="s">
        <v>123</v>
      </c>
    </row>
    <row r="79" spans="1:94" ht="24.75" customHeight="1">
      <c r="A79" s="48" t="s">
        <v>787</v>
      </c>
      <c r="B79" s="77" t="s">
        <v>788</v>
      </c>
      <c r="C79" s="17" t="s">
        <v>104</v>
      </c>
      <c r="D79" s="18" t="s">
        <v>789</v>
      </c>
      <c r="E79" s="17" t="s">
        <v>106</v>
      </c>
      <c r="F79" s="17" t="s">
        <v>107</v>
      </c>
      <c r="G79" s="17" t="s">
        <v>108</v>
      </c>
      <c r="H79" s="78">
        <v>52967366</v>
      </c>
      <c r="I79" s="74" t="s">
        <v>790</v>
      </c>
      <c r="J79" s="16"/>
      <c r="K79" s="16"/>
      <c r="L79" s="20" t="s">
        <v>774</v>
      </c>
      <c r="M79" s="16" t="s">
        <v>111</v>
      </c>
      <c r="N79" s="22">
        <v>45300</v>
      </c>
      <c r="O79" s="22">
        <v>45302</v>
      </c>
      <c r="P79" s="22">
        <v>45483</v>
      </c>
      <c r="Q79" s="23">
        <f t="shared" si="27"/>
        <v>181</v>
      </c>
      <c r="R79" s="17" t="s">
        <v>112</v>
      </c>
      <c r="S79" s="16" t="s">
        <v>791</v>
      </c>
      <c r="T79" s="16" t="s">
        <v>114</v>
      </c>
      <c r="U79" s="67">
        <v>51395364</v>
      </c>
      <c r="V79" s="16" t="s">
        <v>742</v>
      </c>
      <c r="W79" s="224">
        <v>51395364</v>
      </c>
      <c r="X79" s="24">
        <v>8565894</v>
      </c>
      <c r="Y79" s="24"/>
      <c r="Z79" s="24"/>
      <c r="AA79" s="17" t="s">
        <v>116</v>
      </c>
      <c r="AB79" s="23" t="str">
        <f>IFERROR(VLOOKUP(AA79,Listas!$A$1:$C$14,2,FALSE),"")</f>
        <v>FREDY CÉSPEDES VILLA</v>
      </c>
      <c r="AC79" s="23">
        <f>IFERROR(VLOOKUP(AA79,Listas!$A$1:$C$14,3,FALSE),"")</f>
        <v>93363483</v>
      </c>
      <c r="AD79" s="17" t="s">
        <v>116</v>
      </c>
      <c r="AE79" s="17" t="s">
        <v>325</v>
      </c>
      <c r="AF79" s="23" t="str">
        <f>IFERROR(VLOOKUP(AE79,Listas!$AD$1:$AF$66,2,FALSE),"")</f>
        <v>SANDRA MILENA MÁRQUEZ PARRA</v>
      </c>
      <c r="AG79" s="23">
        <f>IFERROR(VLOOKUP(AE79,Listas!$AD$1:$AF$65,3,FALSE),"")</f>
        <v>52487587</v>
      </c>
      <c r="AH79" s="17" t="s">
        <v>118</v>
      </c>
      <c r="AI79" s="65" t="s">
        <v>785</v>
      </c>
      <c r="AJ79" s="25" t="s">
        <v>119</v>
      </c>
      <c r="AK79" s="26" t="s">
        <v>120</v>
      </c>
      <c r="AL79" s="26" t="s">
        <v>120</v>
      </c>
      <c r="AM79" s="90" t="s">
        <v>119</v>
      </c>
      <c r="AN79" s="105">
        <v>30729</v>
      </c>
      <c r="AO79" s="91">
        <f t="shared" ca="1" si="40"/>
        <v>41</v>
      </c>
      <c r="AP79" s="26" t="s">
        <v>121</v>
      </c>
      <c r="AQ79" s="26" t="s">
        <v>327</v>
      </c>
      <c r="AR79" s="89"/>
      <c r="AS79" s="27"/>
      <c r="AT79" s="16"/>
      <c r="AU79" s="27"/>
      <c r="AV79" s="86"/>
      <c r="AW79" s="27"/>
      <c r="AX79" s="27"/>
      <c r="AY79" s="27"/>
      <c r="AZ79" s="27"/>
      <c r="BA79" s="27"/>
      <c r="BB79" s="27"/>
      <c r="BC79" s="97"/>
      <c r="BD79" s="27"/>
      <c r="BE79" s="16"/>
      <c r="BF79" s="28">
        <f t="shared" si="29"/>
        <v>0</v>
      </c>
      <c r="BG79" s="29"/>
      <c r="BH79" s="27"/>
      <c r="BI79" s="30">
        <f t="shared" si="30"/>
        <v>181</v>
      </c>
      <c r="BJ79" s="31">
        <f t="shared" si="31"/>
        <v>45483</v>
      </c>
      <c r="BK79" s="27"/>
      <c r="BL79" s="16"/>
      <c r="BM79" s="27"/>
      <c r="BN79" s="16"/>
      <c r="BO79" s="27"/>
      <c r="BP79" s="16"/>
      <c r="BQ79" s="27"/>
      <c r="BR79" s="24"/>
      <c r="BS79" s="24"/>
      <c r="BT79" s="32"/>
      <c r="BU79" s="27"/>
      <c r="BV79" s="24"/>
      <c r="BW79" s="24"/>
      <c r="BX79" s="16"/>
      <c r="BY79" s="27"/>
      <c r="BZ79" s="24"/>
      <c r="CA79" s="24"/>
      <c r="CB79" s="16"/>
      <c r="CC79" s="49">
        <f t="shared" si="32"/>
        <v>0</v>
      </c>
      <c r="CD79" s="24"/>
      <c r="CE79" s="49">
        <f t="shared" si="33"/>
        <v>51395364</v>
      </c>
      <c r="CF79" s="50"/>
      <c r="CG79" s="49">
        <f t="shared" ca="1" si="34"/>
        <v>51395364</v>
      </c>
      <c r="CH79" s="33">
        <f t="shared" ca="1" si="35"/>
        <v>1</v>
      </c>
      <c r="CI79" s="33">
        <f t="shared" ca="1" si="36"/>
        <v>1</v>
      </c>
      <c r="CJ79" s="36">
        <f t="shared" ca="1" si="37"/>
        <v>100</v>
      </c>
      <c r="CK79" s="34">
        <f t="shared" si="38"/>
        <v>0</v>
      </c>
      <c r="CL79" s="21"/>
      <c r="CM79" s="35" t="str">
        <f t="shared" ca="1" si="39"/>
        <v>TERMINADO</v>
      </c>
      <c r="CN79" s="82"/>
      <c r="CO79" s="145" t="s">
        <v>792</v>
      </c>
      <c r="CP79" s="26" t="s">
        <v>123</v>
      </c>
    </row>
    <row r="80" spans="1:94" ht="24.75" customHeight="1">
      <c r="A80" s="48" t="s">
        <v>793</v>
      </c>
      <c r="B80" s="77" t="s">
        <v>794</v>
      </c>
      <c r="C80" s="17" t="s">
        <v>104</v>
      </c>
      <c r="D80" s="18" t="s">
        <v>795</v>
      </c>
      <c r="E80" s="17" t="s">
        <v>106</v>
      </c>
      <c r="F80" s="17" t="s">
        <v>107</v>
      </c>
      <c r="G80" s="17" t="s">
        <v>108</v>
      </c>
      <c r="H80" s="78">
        <v>1049637033</v>
      </c>
      <c r="I80" s="74" t="s">
        <v>796</v>
      </c>
      <c r="J80" s="16"/>
      <c r="K80" s="16"/>
      <c r="L80" s="96" t="s">
        <v>797</v>
      </c>
      <c r="M80" s="16" t="s">
        <v>111</v>
      </c>
      <c r="N80" s="22">
        <v>45301</v>
      </c>
      <c r="O80" s="22">
        <v>45301</v>
      </c>
      <c r="P80" s="22">
        <v>45656</v>
      </c>
      <c r="Q80" s="23">
        <f t="shared" si="27"/>
        <v>355</v>
      </c>
      <c r="R80" s="17" t="s">
        <v>242</v>
      </c>
      <c r="S80" s="16" t="s">
        <v>791</v>
      </c>
      <c r="T80" s="16" t="s">
        <v>425</v>
      </c>
      <c r="U80" s="67">
        <v>55452810</v>
      </c>
      <c r="V80" s="16" t="s">
        <v>426</v>
      </c>
      <c r="W80" s="224">
        <v>55452810</v>
      </c>
      <c r="X80" s="24">
        <v>4659900</v>
      </c>
      <c r="Y80" s="24"/>
      <c r="Z80" s="24"/>
      <c r="AA80" s="17" t="s">
        <v>116</v>
      </c>
      <c r="AB80" s="23" t="str">
        <f>IFERROR(VLOOKUP(AA80,Listas!$A$1:$C$14,2,FALSE),"")</f>
        <v>FREDY CÉSPEDES VILLA</v>
      </c>
      <c r="AC80" s="23">
        <f>IFERROR(VLOOKUP(AA80,Listas!$A$1:$C$14,3,FALSE),"")</f>
        <v>93363483</v>
      </c>
      <c r="AD80" s="17" t="s">
        <v>427</v>
      </c>
      <c r="AE80" s="17" t="s">
        <v>428</v>
      </c>
      <c r="AF80" s="23" t="str">
        <f>IFERROR(VLOOKUP(AE80,Listas!$AD$1:$AF$66,2,FALSE),"")</f>
        <v>DINORAH PATRICIA ABADIA MURILLO</v>
      </c>
      <c r="AG80" s="23">
        <f>IFERROR(VLOOKUP(AE80,Listas!$AD$1:$AF$65,3,FALSE),"")</f>
        <v>52220857</v>
      </c>
      <c r="AH80" s="17" t="s">
        <v>118</v>
      </c>
      <c r="AI80" s="65" t="s">
        <v>798</v>
      </c>
      <c r="AJ80" s="25" t="s">
        <v>119</v>
      </c>
      <c r="AK80" s="26" t="s">
        <v>120</v>
      </c>
      <c r="AL80" s="26" t="s">
        <v>120</v>
      </c>
      <c r="AM80" s="90" t="s">
        <v>119</v>
      </c>
      <c r="AN80" s="105">
        <v>34377</v>
      </c>
      <c r="AO80" s="91">
        <f t="shared" ca="1" si="40"/>
        <v>31</v>
      </c>
      <c r="AP80" s="26" t="s">
        <v>121</v>
      </c>
      <c r="AQ80" s="26" t="s">
        <v>515</v>
      </c>
      <c r="AR80" s="89"/>
      <c r="AS80" s="27"/>
      <c r="AT80" s="16"/>
      <c r="AU80" s="27"/>
      <c r="AV80" s="86"/>
      <c r="AW80" s="27"/>
      <c r="AX80" s="27"/>
      <c r="AY80" s="27"/>
      <c r="AZ80" s="27"/>
      <c r="BA80" s="27"/>
      <c r="BB80" s="27"/>
      <c r="BC80" s="97"/>
      <c r="BD80" s="27"/>
      <c r="BE80" s="16"/>
      <c r="BF80" s="28">
        <f t="shared" si="29"/>
        <v>0</v>
      </c>
      <c r="BG80" s="29"/>
      <c r="BH80" s="27"/>
      <c r="BI80" s="30">
        <f t="shared" si="30"/>
        <v>355</v>
      </c>
      <c r="BJ80" s="31">
        <f t="shared" si="31"/>
        <v>45656</v>
      </c>
      <c r="BK80" s="27"/>
      <c r="BL80" s="16"/>
      <c r="BM80" s="27"/>
      <c r="BN80" s="16"/>
      <c r="BO80" s="27"/>
      <c r="BP80" s="16"/>
      <c r="BQ80" s="27"/>
      <c r="BR80" s="24"/>
      <c r="BS80" s="24"/>
      <c r="BT80" s="32"/>
      <c r="BU80" s="27"/>
      <c r="BV80" s="24"/>
      <c r="BW80" s="24"/>
      <c r="BX80" s="16"/>
      <c r="BY80" s="27"/>
      <c r="BZ80" s="24"/>
      <c r="CA80" s="24"/>
      <c r="CB80" s="16"/>
      <c r="CC80" s="49">
        <f t="shared" si="32"/>
        <v>0</v>
      </c>
      <c r="CD80" s="24"/>
      <c r="CE80" s="49">
        <f t="shared" si="33"/>
        <v>55452810</v>
      </c>
      <c r="CF80" s="50"/>
      <c r="CG80" s="49">
        <f t="shared" ca="1" si="34"/>
        <v>55452810</v>
      </c>
      <c r="CH80" s="33">
        <f t="shared" ca="1" si="35"/>
        <v>1</v>
      </c>
      <c r="CI80" s="33">
        <f t="shared" ca="1" si="36"/>
        <v>1</v>
      </c>
      <c r="CJ80" s="36">
        <f t="shared" ca="1" si="37"/>
        <v>100</v>
      </c>
      <c r="CK80" s="34">
        <f t="shared" si="38"/>
        <v>0</v>
      </c>
      <c r="CL80" s="21"/>
      <c r="CM80" s="35" t="str">
        <f t="shared" ca="1" si="39"/>
        <v>TERMINADO</v>
      </c>
      <c r="CN80" s="82"/>
      <c r="CP80" s="26" t="s">
        <v>123</v>
      </c>
    </row>
    <row r="81" spans="1:94" ht="24.75" customHeight="1">
      <c r="A81" s="48" t="s">
        <v>799</v>
      </c>
      <c r="B81" s="77" t="s">
        <v>800</v>
      </c>
      <c r="C81" s="17" t="s">
        <v>104</v>
      </c>
      <c r="D81" s="18" t="s">
        <v>801</v>
      </c>
      <c r="E81" s="17" t="s">
        <v>106</v>
      </c>
      <c r="F81" s="17" t="s">
        <v>107</v>
      </c>
      <c r="G81" s="17" t="s">
        <v>108</v>
      </c>
      <c r="H81" s="78">
        <v>30400995</v>
      </c>
      <c r="I81" s="74" t="s">
        <v>802</v>
      </c>
      <c r="J81" s="16"/>
      <c r="K81" s="16"/>
      <c r="L81" s="20" t="s">
        <v>803</v>
      </c>
      <c r="M81" s="16" t="s">
        <v>111</v>
      </c>
      <c r="N81" s="22">
        <v>45306</v>
      </c>
      <c r="O81" s="22">
        <v>45307</v>
      </c>
      <c r="P81" s="22">
        <v>45657</v>
      </c>
      <c r="Q81" s="23">
        <f t="shared" si="27"/>
        <v>350</v>
      </c>
      <c r="R81" s="17" t="s">
        <v>112</v>
      </c>
      <c r="S81" s="16" t="s">
        <v>804</v>
      </c>
      <c r="T81" s="16" t="s">
        <v>805</v>
      </c>
      <c r="U81" s="67">
        <v>155339748</v>
      </c>
      <c r="V81" s="16" t="s">
        <v>264</v>
      </c>
      <c r="W81" s="224">
        <v>155339748</v>
      </c>
      <c r="X81" s="24">
        <v>12944979</v>
      </c>
      <c r="Y81" s="24"/>
      <c r="Z81" s="24"/>
      <c r="AA81" s="17" t="s">
        <v>116</v>
      </c>
      <c r="AB81" s="23" t="str">
        <f>IFERROR(VLOOKUP(AA81,Listas!$A$1:$C$14,2,FALSE),"")</f>
        <v>FREDY CÉSPEDES VILLA</v>
      </c>
      <c r="AC81" s="23">
        <f>IFERROR(VLOOKUP(AA81,Listas!$A$1:$C$14,3,FALSE),"")</f>
        <v>93363483</v>
      </c>
      <c r="AD81" s="17" t="s">
        <v>217</v>
      </c>
      <c r="AE81" s="17" t="s">
        <v>265</v>
      </c>
      <c r="AF81" s="23" t="str">
        <f>IFERROR(VLOOKUP(AE81,Listas!$AD$1:$AF$66,2,FALSE),"")</f>
        <v>EDGAR ANTONIO GÓMEZ ÁLVAREZ</v>
      </c>
      <c r="AG81" s="23">
        <f>IFERROR(VLOOKUP(AE81,Listas!$AD$1:$AF$65,3,FALSE),"")</f>
        <v>2231755</v>
      </c>
      <c r="AH81" s="17" t="s">
        <v>118</v>
      </c>
      <c r="AI81" s="65" t="s">
        <v>806</v>
      </c>
      <c r="AJ81" s="25" t="s">
        <v>119</v>
      </c>
      <c r="AK81" s="26" t="s">
        <v>120</v>
      </c>
      <c r="AL81" s="26" t="s">
        <v>120</v>
      </c>
      <c r="AM81" s="90" t="s">
        <v>119</v>
      </c>
      <c r="AN81" s="105">
        <v>28987</v>
      </c>
      <c r="AO81" s="91">
        <f t="shared" ca="1" si="40"/>
        <v>46</v>
      </c>
      <c r="AP81" s="26" t="s">
        <v>121</v>
      </c>
      <c r="AQ81" s="26" t="s">
        <v>220</v>
      </c>
      <c r="AR81" s="89"/>
      <c r="AS81" s="27"/>
      <c r="AT81" s="16"/>
      <c r="AU81" s="27"/>
      <c r="AV81" s="86"/>
      <c r="AW81" s="27"/>
      <c r="AX81" s="27"/>
      <c r="AY81" s="27"/>
      <c r="AZ81" s="27"/>
      <c r="BA81" s="27"/>
      <c r="BB81" s="27"/>
      <c r="BC81" s="97"/>
      <c r="BD81" s="27"/>
      <c r="BE81" s="16"/>
      <c r="BF81" s="28">
        <f t="shared" si="29"/>
        <v>0</v>
      </c>
      <c r="BG81" s="29"/>
      <c r="BH81" s="27"/>
      <c r="BI81" s="30">
        <f t="shared" si="30"/>
        <v>350</v>
      </c>
      <c r="BJ81" s="31">
        <f t="shared" si="31"/>
        <v>45657</v>
      </c>
      <c r="BK81" s="27"/>
      <c r="BL81" s="16"/>
      <c r="BM81" s="27"/>
      <c r="BN81" s="16"/>
      <c r="BO81" s="27"/>
      <c r="BP81" s="16"/>
      <c r="BQ81" s="27"/>
      <c r="BR81" s="24"/>
      <c r="BS81" s="24"/>
      <c r="BT81" s="32"/>
      <c r="BU81" s="27"/>
      <c r="BV81" s="24"/>
      <c r="BW81" s="24"/>
      <c r="BX81" s="16"/>
      <c r="BY81" s="27"/>
      <c r="BZ81" s="24"/>
      <c r="CA81" s="24"/>
      <c r="CB81" s="16"/>
      <c r="CC81" s="49">
        <f t="shared" si="32"/>
        <v>0</v>
      </c>
      <c r="CD81" s="24"/>
      <c r="CE81" s="49">
        <f t="shared" si="33"/>
        <v>155339748</v>
      </c>
      <c r="CF81" s="50"/>
      <c r="CG81" s="49">
        <f t="shared" ca="1" si="34"/>
        <v>155339748</v>
      </c>
      <c r="CH81" s="33">
        <f t="shared" ca="1" si="35"/>
        <v>1</v>
      </c>
      <c r="CI81" s="33">
        <f t="shared" ca="1" si="36"/>
        <v>1</v>
      </c>
      <c r="CJ81" s="36">
        <f t="shared" ca="1" si="37"/>
        <v>100</v>
      </c>
      <c r="CK81" s="34">
        <f t="shared" si="38"/>
        <v>0</v>
      </c>
      <c r="CL81" s="21"/>
      <c r="CM81" s="35" t="str">
        <f t="shared" ca="1" si="39"/>
        <v>TERMINADO</v>
      </c>
      <c r="CN81" s="82"/>
      <c r="CO81" s="145" t="s">
        <v>807</v>
      </c>
      <c r="CP81" s="26" t="s">
        <v>123</v>
      </c>
    </row>
    <row r="82" spans="1:94" ht="24.75" customHeight="1">
      <c r="A82" s="48" t="s">
        <v>808</v>
      </c>
      <c r="B82" s="77" t="s">
        <v>809</v>
      </c>
      <c r="C82" s="17" t="s">
        <v>104</v>
      </c>
      <c r="D82" s="18" t="s">
        <v>810</v>
      </c>
      <c r="E82" s="17" t="s">
        <v>106</v>
      </c>
      <c r="F82" s="17" t="s">
        <v>107</v>
      </c>
      <c r="G82" s="17" t="s">
        <v>108</v>
      </c>
      <c r="H82" s="78">
        <v>52965384</v>
      </c>
      <c r="I82" s="74" t="s">
        <v>811</v>
      </c>
      <c r="J82" s="16"/>
      <c r="K82" s="16"/>
      <c r="L82" s="96" t="s">
        <v>812</v>
      </c>
      <c r="M82" s="16" t="s">
        <v>111</v>
      </c>
      <c r="N82" s="22">
        <v>45301</v>
      </c>
      <c r="O82" s="22">
        <v>45302</v>
      </c>
      <c r="P82" s="22">
        <v>45656</v>
      </c>
      <c r="Q82" s="23">
        <f t="shared" si="27"/>
        <v>354</v>
      </c>
      <c r="R82" s="17" t="s">
        <v>242</v>
      </c>
      <c r="S82" s="16" t="s">
        <v>813</v>
      </c>
      <c r="T82" s="16" t="s">
        <v>814</v>
      </c>
      <c r="U82" s="67">
        <v>98126667</v>
      </c>
      <c r="V82" s="16" t="s">
        <v>815</v>
      </c>
      <c r="W82" s="224">
        <v>98126667</v>
      </c>
      <c r="X82" s="24">
        <v>8200000</v>
      </c>
      <c r="Y82" s="24"/>
      <c r="Z82" s="24"/>
      <c r="AA82" s="17" t="s">
        <v>116</v>
      </c>
      <c r="AB82" s="23" t="str">
        <f>IFERROR(VLOOKUP(AA82,Listas!$A$1:$C$14,2,FALSE),"")</f>
        <v>FREDY CÉSPEDES VILLA</v>
      </c>
      <c r="AC82" s="23">
        <f>IFERROR(VLOOKUP(AA82,Listas!$A$1:$C$14,3,FALSE),"")</f>
        <v>93363483</v>
      </c>
      <c r="AD82" s="17" t="s">
        <v>816</v>
      </c>
      <c r="AE82" s="17" t="s">
        <v>817</v>
      </c>
      <c r="AF82" s="23" t="str">
        <f>IFERROR(VLOOKUP(AE82,Listas!$AD$1:$AF$66,2,FALSE),"")</f>
        <v>JOSÉ EDUARDO PARADA JIMÉNEZ</v>
      </c>
      <c r="AG82" s="23">
        <f>IFERROR(VLOOKUP(AE82,Listas!$AD$1:$AF$65,3,FALSE),"")</f>
        <v>79434805</v>
      </c>
      <c r="AH82" s="17" t="s">
        <v>118</v>
      </c>
      <c r="AI82" s="65" t="s">
        <v>818</v>
      </c>
      <c r="AJ82" s="25" t="s">
        <v>119</v>
      </c>
      <c r="AK82" s="26" t="s">
        <v>120</v>
      </c>
      <c r="AL82" s="26" t="s">
        <v>120</v>
      </c>
      <c r="AM82" s="90" t="s">
        <v>119</v>
      </c>
      <c r="AN82" s="105">
        <v>30566</v>
      </c>
      <c r="AO82" s="91">
        <f t="shared" ca="1" si="40"/>
        <v>42</v>
      </c>
      <c r="AP82" s="26" t="s">
        <v>121</v>
      </c>
      <c r="AQ82" s="26" t="s">
        <v>819</v>
      </c>
      <c r="AR82" s="89"/>
      <c r="AS82" s="27"/>
      <c r="AT82" s="16"/>
      <c r="AU82" s="27"/>
      <c r="AV82" s="86"/>
      <c r="AW82" s="27"/>
      <c r="AX82" s="27"/>
      <c r="AY82" s="27"/>
      <c r="AZ82" s="27"/>
      <c r="BA82" s="27"/>
      <c r="BB82" s="27"/>
      <c r="BC82" s="97"/>
      <c r="BD82" s="27"/>
      <c r="BE82" s="16"/>
      <c r="BF82" s="28">
        <f t="shared" si="29"/>
        <v>0</v>
      </c>
      <c r="BG82" s="29"/>
      <c r="BH82" s="27"/>
      <c r="BI82" s="30">
        <f t="shared" si="30"/>
        <v>354</v>
      </c>
      <c r="BJ82" s="31">
        <f t="shared" si="31"/>
        <v>45656</v>
      </c>
      <c r="BK82" s="27"/>
      <c r="BL82" s="16"/>
      <c r="BM82" s="27"/>
      <c r="BN82" s="16"/>
      <c r="BO82" s="27"/>
      <c r="BP82" s="16"/>
      <c r="BQ82" s="27"/>
      <c r="BR82" s="24"/>
      <c r="BS82" s="24"/>
      <c r="BT82" s="32"/>
      <c r="BU82" s="27"/>
      <c r="BV82" s="24"/>
      <c r="BW82" s="24"/>
      <c r="BX82" s="16"/>
      <c r="BY82" s="27"/>
      <c r="BZ82" s="24"/>
      <c r="CA82" s="24"/>
      <c r="CB82" s="16"/>
      <c r="CC82" s="49">
        <f t="shared" si="32"/>
        <v>0</v>
      </c>
      <c r="CD82" s="24"/>
      <c r="CE82" s="49">
        <f t="shared" si="33"/>
        <v>98126667</v>
      </c>
      <c r="CF82" s="50"/>
      <c r="CG82" s="49">
        <f t="shared" ca="1" si="34"/>
        <v>98126667</v>
      </c>
      <c r="CH82" s="33">
        <f t="shared" ca="1" si="35"/>
        <v>1</v>
      </c>
      <c r="CI82" s="33">
        <f t="shared" ca="1" si="36"/>
        <v>1</v>
      </c>
      <c r="CJ82" s="36">
        <f t="shared" ca="1" si="37"/>
        <v>100</v>
      </c>
      <c r="CK82" s="34">
        <f t="shared" si="38"/>
        <v>0</v>
      </c>
      <c r="CL82" s="21"/>
      <c r="CM82" s="35" t="str">
        <f t="shared" ca="1" si="39"/>
        <v>TERMINADO</v>
      </c>
      <c r="CN82" s="82"/>
      <c r="CO82" s="145" t="s">
        <v>820</v>
      </c>
      <c r="CP82" s="26" t="s">
        <v>123</v>
      </c>
    </row>
    <row r="83" spans="1:94" ht="24.75" customHeight="1">
      <c r="A83" s="48" t="s">
        <v>821</v>
      </c>
      <c r="B83" s="77" t="s">
        <v>822</v>
      </c>
      <c r="C83" s="17" t="s">
        <v>104</v>
      </c>
      <c r="D83" s="18" t="s">
        <v>823</v>
      </c>
      <c r="E83" s="17" t="s">
        <v>106</v>
      </c>
      <c r="F83" s="17" t="s">
        <v>107</v>
      </c>
      <c r="G83" s="17" t="s">
        <v>108</v>
      </c>
      <c r="H83" s="78">
        <v>1010238060</v>
      </c>
      <c r="I83" s="74" t="s">
        <v>824</v>
      </c>
      <c r="J83" s="16"/>
      <c r="K83" s="16"/>
      <c r="L83" s="20" t="s">
        <v>825</v>
      </c>
      <c r="M83" s="16" t="s">
        <v>111</v>
      </c>
      <c r="N83" s="22">
        <v>45301</v>
      </c>
      <c r="O83" s="22">
        <v>45307</v>
      </c>
      <c r="P83" s="22">
        <v>45656</v>
      </c>
      <c r="Q83" s="23">
        <f t="shared" si="27"/>
        <v>349</v>
      </c>
      <c r="R83" s="17" t="s">
        <v>112</v>
      </c>
      <c r="S83" s="16" t="s">
        <v>826</v>
      </c>
      <c r="T83" s="16" t="s">
        <v>114</v>
      </c>
      <c r="U83" s="67">
        <v>73578000</v>
      </c>
      <c r="V83" s="16" t="s">
        <v>324</v>
      </c>
      <c r="W83" s="224">
        <v>73578000</v>
      </c>
      <c r="X83" s="24">
        <v>6131500</v>
      </c>
      <c r="Y83" s="24"/>
      <c r="Z83" s="24"/>
      <c r="AA83" s="17" t="s">
        <v>116</v>
      </c>
      <c r="AB83" s="23" t="str">
        <f>IFERROR(VLOOKUP(AA83,Listas!$A$1:$C$14,2,FALSE),"")</f>
        <v>FREDY CÉSPEDES VILLA</v>
      </c>
      <c r="AC83" s="23">
        <f>IFERROR(VLOOKUP(AA83,Listas!$A$1:$C$14,3,FALSE),"")</f>
        <v>93363483</v>
      </c>
      <c r="AD83" s="17" t="s">
        <v>116</v>
      </c>
      <c r="AE83" s="17" t="s">
        <v>743</v>
      </c>
      <c r="AF83" s="23" t="str">
        <f>IFERROR(VLOOKUP(AE83,Listas!$AD$1:$AF$66,2,FALSE),"")</f>
        <v>FREDY CÉSPEDES VILLA</v>
      </c>
      <c r="AG83" s="23">
        <f>IFERROR(VLOOKUP(AE83,Listas!$AD$1:$AF$65,3,FALSE),"")</f>
        <v>93363483</v>
      </c>
      <c r="AH83" s="17" t="s">
        <v>118</v>
      </c>
      <c r="AI83" s="65" t="s">
        <v>827</v>
      </c>
      <c r="AJ83" s="25" t="s">
        <v>119</v>
      </c>
      <c r="AK83" s="26" t="s">
        <v>120</v>
      </c>
      <c r="AL83" s="26" t="s">
        <v>120</v>
      </c>
      <c r="AM83" s="90" t="s">
        <v>119</v>
      </c>
      <c r="AN83" s="105">
        <v>35843</v>
      </c>
      <c r="AO83" s="91">
        <f t="shared" ca="1" si="40"/>
        <v>27</v>
      </c>
      <c r="AP83" s="26" t="s">
        <v>121</v>
      </c>
      <c r="AQ83" s="26" t="s">
        <v>122</v>
      </c>
      <c r="AR83" s="89"/>
      <c r="AS83" s="27"/>
      <c r="AT83" s="16"/>
      <c r="AU83" s="27"/>
      <c r="AV83" s="86"/>
      <c r="AW83" s="27"/>
      <c r="AX83" s="27"/>
      <c r="AY83" s="27"/>
      <c r="AZ83" s="27"/>
      <c r="BA83" s="27"/>
      <c r="BB83" s="27"/>
      <c r="BC83" s="97"/>
      <c r="BD83" s="27"/>
      <c r="BE83" s="16"/>
      <c r="BF83" s="28">
        <f t="shared" si="29"/>
        <v>0</v>
      </c>
      <c r="BG83" s="29"/>
      <c r="BH83" s="27"/>
      <c r="BI83" s="30">
        <f t="shared" si="30"/>
        <v>349</v>
      </c>
      <c r="BJ83" s="31">
        <f t="shared" si="31"/>
        <v>45656</v>
      </c>
      <c r="BK83" s="27"/>
      <c r="BL83" s="16"/>
      <c r="BM83" s="27"/>
      <c r="BN83" s="16"/>
      <c r="BO83" s="27"/>
      <c r="BP83" s="16"/>
      <c r="BQ83" s="27"/>
      <c r="BR83" s="24"/>
      <c r="BS83" s="24"/>
      <c r="BT83" s="32"/>
      <c r="BU83" s="27"/>
      <c r="BV83" s="24"/>
      <c r="BW83" s="24"/>
      <c r="BX83" s="16"/>
      <c r="BY83" s="27"/>
      <c r="BZ83" s="24"/>
      <c r="CA83" s="24"/>
      <c r="CB83" s="16"/>
      <c r="CC83" s="49">
        <f t="shared" si="32"/>
        <v>0</v>
      </c>
      <c r="CD83" s="24"/>
      <c r="CE83" s="49">
        <f t="shared" si="33"/>
        <v>73578000</v>
      </c>
      <c r="CF83" s="50"/>
      <c r="CG83" s="49">
        <f t="shared" ca="1" si="34"/>
        <v>73578000</v>
      </c>
      <c r="CH83" s="33">
        <f t="shared" ca="1" si="35"/>
        <v>1</v>
      </c>
      <c r="CI83" s="33">
        <f t="shared" ca="1" si="36"/>
        <v>1</v>
      </c>
      <c r="CJ83" s="36">
        <f t="shared" ca="1" si="37"/>
        <v>100</v>
      </c>
      <c r="CK83" s="34">
        <f t="shared" si="38"/>
        <v>0</v>
      </c>
      <c r="CL83" s="21"/>
      <c r="CM83" s="35" t="str">
        <f t="shared" ca="1" si="39"/>
        <v>TERMINADO</v>
      </c>
      <c r="CN83" s="82"/>
      <c r="CO83" s="145" t="s">
        <v>828</v>
      </c>
      <c r="CP83" s="26" t="s">
        <v>142</v>
      </c>
    </row>
    <row r="84" spans="1:94" ht="24.75" customHeight="1">
      <c r="A84" s="48" t="s">
        <v>829</v>
      </c>
      <c r="B84" s="77" t="s">
        <v>830</v>
      </c>
      <c r="C84" s="17" t="s">
        <v>104</v>
      </c>
      <c r="D84" s="18" t="s">
        <v>831</v>
      </c>
      <c r="E84" s="17" t="s">
        <v>106</v>
      </c>
      <c r="F84" s="17" t="s">
        <v>107</v>
      </c>
      <c r="G84" s="17" t="s">
        <v>108</v>
      </c>
      <c r="H84" s="78">
        <v>52533738</v>
      </c>
      <c r="I84" s="74" t="s">
        <v>832</v>
      </c>
      <c r="J84" s="16"/>
      <c r="K84" s="16"/>
      <c r="L84" s="20" t="s">
        <v>760</v>
      </c>
      <c r="M84" s="16" t="s">
        <v>111</v>
      </c>
      <c r="N84" s="22">
        <v>45302</v>
      </c>
      <c r="O84" s="22">
        <v>45303</v>
      </c>
      <c r="P84" s="22">
        <v>45657</v>
      </c>
      <c r="Q84" s="23">
        <f t="shared" si="27"/>
        <v>354</v>
      </c>
      <c r="R84" s="17" t="s">
        <v>112</v>
      </c>
      <c r="S84" s="16" t="s">
        <v>833</v>
      </c>
      <c r="T84" s="16" t="s">
        <v>114</v>
      </c>
      <c r="U84" s="67">
        <v>102790728</v>
      </c>
      <c r="V84" s="16" t="s">
        <v>742</v>
      </c>
      <c r="W84" s="224">
        <v>102790728</v>
      </c>
      <c r="X84" s="24">
        <v>8565894</v>
      </c>
      <c r="Y84" s="24"/>
      <c r="Z84" s="24"/>
      <c r="AA84" s="17" t="s">
        <v>116</v>
      </c>
      <c r="AB84" s="23" t="str">
        <f>IFERROR(VLOOKUP(AA84,Listas!$A$1:$C$14,2,FALSE),"")</f>
        <v>FREDY CÉSPEDES VILLA</v>
      </c>
      <c r="AC84" s="23">
        <f>IFERROR(VLOOKUP(AA84,Listas!$A$1:$C$14,3,FALSE),"")</f>
        <v>93363483</v>
      </c>
      <c r="AD84" s="17" t="s">
        <v>116</v>
      </c>
      <c r="AE84" s="17" t="s">
        <v>325</v>
      </c>
      <c r="AF84" s="23" t="str">
        <f>IFERROR(VLOOKUP(AE84,Listas!$AD$1:$AF$66,2,FALSE),"")</f>
        <v>SANDRA MILENA MÁRQUEZ PARRA</v>
      </c>
      <c r="AG84" s="23">
        <f>IFERROR(VLOOKUP(AE84,Listas!$AD$1:$AF$65,3,FALSE),"")</f>
        <v>52487587</v>
      </c>
      <c r="AH84" s="17" t="s">
        <v>118</v>
      </c>
      <c r="AI84" s="65" t="s">
        <v>762</v>
      </c>
      <c r="AJ84" s="25" t="s">
        <v>119</v>
      </c>
      <c r="AK84" s="26" t="s">
        <v>120</v>
      </c>
      <c r="AL84" s="26" t="s">
        <v>120</v>
      </c>
      <c r="AM84" s="90" t="s">
        <v>119</v>
      </c>
      <c r="AN84" s="105">
        <v>28962</v>
      </c>
      <c r="AO84" s="91">
        <f t="shared" ca="1" si="40"/>
        <v>46</v>
      </c>
      <c r="AP84" s="26" t="s">
        <v>121</v>
      </c>
      <c r="AQ84" s="26" t="s">
        <v>327</v>
      </c>
      <c r="AR84" s="89"/>
      <c r="AS84" s="27"/>
      <c r="AT84" s="16"/>
      <c r="AU84" s="27"/>
      <c r="AV84" s="86"/>
      <c r="AW84" s="27"/>
      <c r="AX84" s="27"/>
      <c r="AY84" s="27"/>
      <c r="AZ84" s="27"/>
      <c r="BA84" s="27"/>
      <c r="BB84" s="27"/>
      <c r="BC84" s="97"/>
      <c r="BD84" s="27"/>
      <c r="BE84" s="16"/>
      <c r="BF84" s="28">
        <f t="shared" si="29"/>
        <v>0</v>
      </c>
      <c r="BG84" s="29"/>
      <c r="BH84" s="27"/>
      <c r="BI84" s="30">
        <f t="shared" si="30"/>
        <v>354</v>
      </c>
      <c r="BJ84" s="31">
        <f t="shared" si="31"/>
        <v>45657</v>
      </c>
      <c r="BK84" s="27"/>
      <c r="BL84" s="16"/>
      <c r="BM84" s="27"/>
      <c r="BN84" s="16"/>
      <c r="BO84" s="27"/>
      <c r="BP84" s="16"/>
      <c r="BQ84" s="27"/>
      <c r="BR84" s="24"/>
      <c r="BS84" s="24"/>
      <c r="BT84" s="32"/>
      <c r="BU84" s="27"/>
      <c r="BV84" s="24"/>
      <c r="BW84" s="24"/>
      <c r="BX84" s="16"/>
      <c r="BY84" s="27"/>
      <c r="BZ84" s="24"/>
      <c r="CA84" s="24"/>
      <c r="CB84" s="16"/>
      <c r="CC84" s="49">
        <f t="shared" si="32"/>
        <v>0</v>
      </c>
      <c r="CD84" s="24"/>
      <c r="CE84" s="49">
        <f t="shared" si="33"/>
        <v>102790728</v>
      </c>
      <c r="CF84" s="50"/>
      <c r="CG84" s="49">
        <f t="shared" ca="1" si="34"/>
        <v>102790728</v>
      </c>
      <c r="CH84" s="33">
        <f t="shared" ca="1" si="35"/>
        <v>1</v>
      </c>
      <c r="CI84" s="33">
        <f t="shared" ca="1" si="36"/>
        <v>1</v>
      </c>
      <c r="CJ84" s="36">
        <f t="shared" ca="1" si="37"/>
        <v>100</v>
      </c>
      <c r="CK84" s="34">
        <f t="shared" si="38"/>
        <v>0</v>
      </c>
      <c r="CL84" s="21"/>
      <c r="CM84" s="35" t="str">
        <f t="shared" ca="1" si="39"/>
        <v>TERMINADO</v>
      </c>
      <c r="CN84" s="82"/>
      <c r="CO84" s="145" t="s">
        <v>834</v>
      </c>
      <c r="CP84" s="26" t="s">
        <v>123</v>
      </c>
    </row>
    <row r="85" spans="1:94" ht="24.75" customHeight="1">
      <c r="A85" s="48" t="s">
        <v>835</v>
      </c>
      <c r="B85" s="77" t="s">
        <v>836</v>
      </c>
      <c r="C85" s="17" t="s">
        <v>104</v>
      </c>
      <c r="D85" s="18" t="s">
        <v>837</v>
      </c>
      <c r="E85" s="17" t="s">
        <v>106</v>
      </c>
      <c r="F85" s="17" t="s">
        <v>107</v>
      </c>
      <c r="G85" s="17" t="s">
        <v>108</v>
      </c>
      <c r="H85" s="78">
        <v>52986716</v>
      </c>
      <c r="I85" s="74" t="s">
        <v>838</v>
      </c>
      <c r="J85" s="16"/>
      <c r="K85" s="16"/>
      <c r="L85" s="96" t="s">
        <v>839</v>
      </c>
      <c r="M85" s="16" t="s">
        <v>111</v>
      </c>
      <c r="N85" s="22">
        <v>45301</v>
      </c>
      <c r="O85" s="22">
        <v>45302</v>
      </c>
      <c r="P85" s="22">
        <v>45656</v>
      </c>
      <c r="Q85" s="23">
        <f t="shared" si="27"/>
        <v>354</v>
      </c>
      <c r="R85" s="17" t="s">
        <v>242</v>
      </c>
      <c r="S85" s="16" t="s">
        <v>840</v>
      </c>
      <c r="T85" s="16" t="s">
        <v>814</v>
      </c>
      <c r="U85" s="67">
        <v>98126667</v>
      </c>
      <c r="V85" s="16" t="s">
        <v>815</v>
      </c>
      <c r="W85" s="224">
        <v>98126667</v>
      </c>
      <c r="X85" s="24">
        <v>8200000</v>
      </c>
      <c r="Y85" s="24"/>
      <c r="Z85" s="24"/>
      <c r="AA85" s="17" t="s">
        <v>116</v>
      </c>
      <c r="AB85" s="23" t="str">
        <f>IFERROR(VLOOKUP(AA85,Listas!$A$1:$C$14,2,FALSE),"")</f>
        <v>FREDY CÉSPEDES VILLA</v>
      </c>
      <c r="AC85" s="23">
        <f>IFERROR(VLOOKUP(AA85,Listas!$A$1:$C$14,3,FALSE),"")</f>
        <v>93363483</v>
      </c>
      <c r="AD85" s="17" t="s">
        <v>816</v>
      </c>
      <c r="AE85" s="17" t="s">
        <v>817</v>
      </c>
      <c r="AF85" s="23" t="str">
        <f>IFERROR(VLOOKUP(AE85,Listas!$AD$1:$AF$66,2,FALSE),"")</f>
        <v>JOSÉ EDUARDO PARADA JIMÉNEZ</v>
      </c>
      <c r="AG85" s="23">
        <f>IFERROR(VLOOKUP(AE85,Listas!$AD$1:$AF$65,3,FALSE),"")</f>
        <v>79434805</v>
      </c>
      <c r="AH85" s="17" t="s">
        <v>118</v>
      </c>
      <c r="AI85" s="65" t="s">
        <v>841</v>
      </c>
      <c r="AJ85" s="25" t="s">
        <v>119</v>
      </c>
      <c r="AK85" s="26" t="s">
        <v>120</v>
      </c>
      <c r="AL85" s="26" t="s">
        <v>120</v>
      </c>
      <c r="AM85" s="90" t="s">
        <v>119</v>
      </c>
      <c r="AN85" s="105">
        <v>30395</v>
      </c>
      <c r="AO85" s="91">
        <f t="shared" ca="1" si="40"/>
        <v>42</v>
      </c>
      <c r="AP85" s="26" t="s">
        <v>121</v>
      </c>
      <c r="AQ85" s="26" t="s">
        <v>819</v>
      </c>
      <c r="AR85" s="89"/>
      <c r="AS85" s="27"/>
      <c r="AT85" s="16"/>
      <c r="AU85" s="27"/>
      <c r="AV85" s="86"/>
      <c r="AW85" s="27"/>
      <c r="AX85" s="27"/>
      <c r="AY85" s="27"/>
      <c r="AZ85" s="27"/>
      <c r="BA85" s="27"/>
      <c r="BB85" s="27"/>
      <c r="BC85" s="97"/>
      <c r="BD85" s="27"/>
      <c r="BE85" s="16"/>
      <c r="BF85" s="28">
        <f t="shared" si="29"/>
        <v>0</v>
      </c>
      <c r="BG85" s="29"/>
      <c r="BH85" s="27"/>
      <c r="BI85" s="30">
        <f t="shared" si="30"/>
        <v>354</v>
      </c>
      <c r="BJ85" s="31">
        <f t="shared" si="31"/>
        <v>45656</v>
      </c>
      <c r="BK85" s="27"/>
      <c r="BL85" s="16"/>
      <c r="BM85" s="27"/>
      <c r="BN85" s="16"/>
      <c r="BO85" s="27"/>
      <c r="BP85" s="16"/>
      <c r="BQ85" s="27"/>
      <c r="BR85" s="24"/>
      <c r="BS85" s="24"/>
      <c r="BT85" s="32"/>
      <c r="BU85" s="27"/>
      <c r="BV85" s="24"/>
      <c r="BW85" s="24"/>
      <c r="BX85" s="16"/>
      <c r="BY85" s="27"/>
      <c r="BZ85" s="24"/>
      <c r="CA85" s="24"/>
      <c r="CB85" s="16"/>
      <c r="CC85" s="49">
        <f t="shared" si="32"/>
        <v>0</v>
      </c>
      <c r="CD85" s="24"/>
      <c r="CE85" s="49">
        <f t="shared" si="33"/>
        <v>98126667</v>
      </c>
      <c r="CF85" s="50"/>
      <c r="CG85" s="49">
        <f t="shared" ca="1" si="34"/>
        <v>98126667</v>
      </c>
      <c r="CH85" s="33">
        <f t="shared" ca="1" si="35"/>
        <v>1</v>
      </c>
      <c r="CI85" s="33">
        <f t="shared" ca="1" si="36"/>
        <v>1</v>
      </c>
      <c r="CJ85" s="36">
        <f t="shared" ca="1" si="37"/>
        <v>100</v>
      </c>
      <c r="CK85" s="34">
        <f t="shared" si="38"/>
        <v>0</v>
      </c>
      <c r="CL85" s="21"/>
      <c r="CM85" s="35" t="str">
        <f t="shared" ca="1" si="39"/>
        <v>TERMINADO</v>
      </c>
      <c r="CN85" s="82"/>
      <c r="CO85" s="145" t="s">
        <v>842</v>
      </c>
      <c r="CP85" s="26" t="s">
        <v>123</v>
      </c>
    </row>
    <row r="86" spans="1:94" ht="24.75" customHeight="1">
      <c r="A86" s="48" t="s">
        <v>843</v>
      </c>
      <c r="B86" s="77" t="s">
        <v>844</v>
      </c>
      <c r="C86" s="17" t="s">
        <v>104</v>
      </c>
      <c r="D86" s="18" t="s">
        <v>845</v>
      </c>
      <c r="E86" s="17" t="s">
        <v>106</v>
      </c>
      <c r="F86" s="17" t="s">
        <v>107</v>
      </c>
      <c r="G86" s="17" t="s">
        <v>108</v>
      </c>
      <c r="H86" s="78">
        <v>1020765165</v>
      </c>
      <c r="I86" s="74" t="s">
        <v>846</v>
      </c>
      <c r="J86" s="16"/>
      <c r="K86" s="16"/>
      <c r="L86" s="20" t="s">
        <v>676</v>
      </c>
      <c r="M86" s="16" t="s">
        <v>111</v>
      </c>
      <c r="N86" s="22">
        <v>45301</v>
      </c>
      <c r="O86" s="22">
        <v>45301</v>
      </c>
      <c r="P86" s="22">
        <v>45657</v>
      </c>
      <c r="Q86" s="23">
        <f t="shared" si="27"/>
        <v>356</v>
      </c>
      <c r="R86" s="17" t="s">
        <v>242</v>
      </c>
      <c r="S86" s="16" t="s">
        <v>847</v>
      </c>
      <c r="T86" s="16" t="s">
        <v>425</v>
      </c>
      <c r="U86" s="67">
        <v>107980600</v>
      </c>
      <c r="V86" s="16" t="s">
        <v>426</v>
      </c>
      <c r="W86" s="224">
        <v>107980600</v>
      </c>
      <c r="X86" s="24">
        <v>9074000</v>
      </c>
      <c r="Y86" s="24"/>
      <c r="Z86" s="24" t="s">
        <v>848</v>
      </c>
      <c r="AA86" s="17" t="s">
        <v>116</v>
      </c>
      <c r="AB86" s="23" t="str">
        <f>IFERROR(VLOOKUP(AA86,Listas!$A$1:$C$14,2,FALSE),"")</f>
        <v>FREDY CÉSPEDES VILLA</v>
      </c>
      <c r="AC86" s="23">
        <f>IFERROR(VLOOKUP(AA86,Listas!$A$1:$C$14,3,FALSE),"")</f>
        <v>93363483</v>
      </c>
      <c r="AD86" s="17" t="s">
        <v>427</v>
      </c>
      <c r="AE86" s="17" t="s">
        <v>428</v>
      </c>
      <c r="AF86" s="23" t="str">
        <f>IFERROR(VLOOKUP(AE86,Listas!$AD$1:$AF$66,2,FALSE),"")</f>
        <v>DINORAH PATRICIA ABADIA MURILLO</v>
      </c>
      <c r="AG86" s="23">
        <f>IFERROR(VLOOKUP(AE86,Listas!$AD$1:$AF$65,3,FALSE),"")</f>
        <v>52220857</v>
      </c>
      <c r="AH86" s="17" t="s">
        <v>118</v>
      </c>
      <c r="AI86" s="65" t="s">
        <v>849</v>
      </c>
      <c r="AJ86" s="25" t="s">
        <v>119</v>
      </c>
      <c r="AK86" s="26" t="s">
        <v>120</v>
      </c>
      <c r="AL86" s="26" t="s">
        <v>120</v>
      </c>
      <c r="AM86" s="90" t="s">
        <v>119</v>
      </c>
      <c r="AN86" s="105">
        <v>33466</v>
      </c>
      <c r="AO86" s="91">
        <f t="shared" ca="1" si="40"/>
        <v>34</v>
      </c>
      <c r="AP86" s="26" t="s">
        <v>121</v>
      </c>
      <c r="AQ86" s="26" t="s">
        <v>515</v>
      </c>
      <c r="AR86" s="89"/>
      <c r="AS86" s="27"/>
      <c r="AT86" s="16"/>
      <c r="AU86" s="27"/>
      <c r="AV86" s="86"/>
      <c r="AW86" s="27"/>
      <c r="AX86" s="27"/>
      <c r="AY86" s="27"/>
      <c r="AZ86" s="27"/>
      <c r="BA86" s="27"/>
      <c r="BB86" s="27"/>
      <c r="BC86" s="97"/>
      <c r="BD86" s="27"/>
      <c r="BE86" s="16"/>
      <c r="BF86" s="28">
        <f t="shared" si="29"/>
        <v>0</v>
      </c>
      <c r="BG86" s="29"/>
      <c r="BH86" s="27"/>
      <c r="BI86" s="30">
        <f t="shared" si="30"/>
        <v>356</v>
      </c>
      <c r="BJ86" s="31">
        <f t="shared" si="31"/>
        <v>45657</v>
      </c>
      <c r="BK86" s="27"/>
      <c r="BL86" s="16"/>
      <c r="BM86" s="27"/>
      <c r="BN86" s="16"/>
      <c r="BO86" s="27"/>
      <c r="BP86" s="16"/>
      <c r="BQ86" s="27"/>
      <c r="BR86" s="24"/>
      <c r="BS86" s="24"/>
      <c r="BT86" s="32"/>
      <c r="BU86" s="27"/>
      <c r="BV86" s="24"/>
      <c r="BW86" s="24"/>
      <c r="BX86" s="16"/>
      <c r="BY86" s="27"/>
      <c r="BZ86" s="24"/>
      <c r="CA86" s="24"/>
      <c r="CB86" s="16"/>
      <c r="CC86" s="49">
        <f t="shared" si="32"/>
        <v>0</v>
      </c>
      <c r="CD86" s="24"/>
      <c r="CE86" s="49">
        <f t="shared" si="33"/>
        <v>107980600</v>
      </c>
      <c r="CF86" s="50"/>
      <c r="CG86" s="49">
        <f t="shared" ca="1" si="34"/>
        <v>107980600</v>
      </c>
      <c r="CH86" s="33">
        <f t="shared" ca="1" si="35"/>
        <v>1</v>
      </c>
      <c r="CI86" s="33">
        <f t="shared" ca="1" si="36"/>
        <v>1</v>
      </c>
      <c r="CJ86" s="36">
        <f t="shared" ca="1" si="37"/>
        <v>100</v>
      </c>
      <c r="CK86" s="34">
        <f t="shared" si="38"/>
        <v>0</v>
      </c>
      <c r="CL86" s="21"/>
      <c r="CM86" s="35" t="str">
        <f t="shared" ca="1" si="39"/>
        <v>TERMINADO</v>
      </c>
      <c r="CN86" s="82"/>
      <c r="CO86" s="145" t="s">
        <v>850</v>
      </c>
      <c r="CP86" s="26" t="s">
        <v>123</v>
      </c>
    </row>
    <row r="87" spans="1:94" ht="24.75" customHeight="1">
      <c r="A87" s="48" t="s">
        <v>851</v>
      </c>
      <c r="B87" s="77" t="s">
        <v>852</v>
      </c>
      <c r="C87" s="17" t="s">
        <v>104</v>
      </c>
      <c r="D87" s="18" t="s">
        <v>853</v>
      </c>
      <c r="E87" s="17" t="s">
        <v>106</v>
      </c>
      <c r="F87" s="17" t="s">
        <v>107</v>
      </c>
      <c r="G87" s="17" t="s">
        <v>108</v>
      </c>
      <c r="H87" s="78">
        <v>1234092942</v>
      </c>
      <c r="I87" s="74" t="s">
        <v>854</v>
      </c>
      <c r="J87" s="16"/>
      <c r="K87" s="16"/>
      <c r="L87" s="20" t="s">
        <v>855</v>
      </c>
      <c r="M87" s="16" t="s">
        <v>111</v>
      </c>
      <c r="N87" s="22">
        <v>45301</v>
      </c>
      <c r="O87" s="22">
        <v>45302</v>
      </c>
      <c r="P87" s="22">
        <v>45657</v>
      </c>
      <c r="Q87" s="23">
        <f t="shared" si="27"/>
        <v>355</v>
      </c>
      <c r="R87" s="17" t="s">
        <v>242</v>
      </c>
      <c r="S87" s="16" t="s">
        <v>856</v>
      </c>
      <c r="T87" s="16" t="s">
        <v>425</v>
      </c>
      <c r="U87" s="67">
        <v>64207640</v>
      </c>
      <c r="V87" s="16" t="s">
        <v>426</v>
      </c>
      <c r="W87" s="224">
        <v>64207640</v>
      </c>
      <c r="X87" s="24">
        <v>5395600</v>
      </c>
      <c r="Y87" s="24"/>
      <c r="Z87" s="24"/>
      <c r="AA87" s="17" t="s">
        <v>116</v>
      </c>
      <c r="AB87" s="23" t="str">
        <f>IFERROR(VLOOKUP(AA87,Listas!$A$1:$C$14,2,FALSE),"")</f>
        <v>FREDY CÉSPEDES VILLA</v>
      </c>
      <c r="AC87" s="23">
        <f>IFERROR(VLOOKUP(AA87,Listas!$A$1:$C$14,3,FALSE),"")</f>
        <v>93363483</v>
      </c>
      <c r="AD87" s="17" t="s">
        <v>427</v>
      </c>
      <c r="AE87" s="17" t="s">
        <v>428</v>
      </c>
      <c r="AF87" s="23" t="str">
        <f>IFERROR(VLOOKUP(AE87,Listas!$AD$1:$AF$66,2,FALSE),"")</f>
        <v>DINORAH PATRICIA ABADIA MURILLO</v>
      </c>
      <c r="AG87" s="23">
        <f>IFERROR(VLOOKUP(AE87,Listas!$AD$1:$AF$65,3,FALSE),"")</f>
        <v>52220857</v>
      </c>
      <c r="AH87" s="17" t="s">
        <v>118</v>
      </c>
      <c r="AI87" s="65" t="s">
        <v>857</v>
      </c>
      <c r="AJ87" s="25" t="s">
        <v>119</v>
      </c>
      <c r="AK87" s="26" t="s">
        <v>120</v>
      </c>
      <c r="AL87" s="26" t="s">
        <v>120</v>
      </c>
      <c r="AM87" s="90" t="s">
        <v>119</v>
      </c>
      <c r="AN87" s="105">
        <v>36030</v>
      </c>
      <c r="AO87" s="91">
        <f t="shared" ca="1" si="40"/>
        <v>27</v>
      </c>
      <c r="AP87" s="26" t="s">
        <v>121</v>
      </c>
      <c r="AQ87" s="26" t="s">
        <v>515</v>
      </c>
      <c r="AR87" s="89"/>
      <c r="AS87" s="27"/>
      <c r="AT87" s="16"/>
      <c r="AU87" s="27"/>
      <c r="AV87" s="86"/>
      <c r="AW87" s="27"/>
      <c r="AX87" s="27"/>
      <c r="AY87" s="27"/>
      <c r="AZ87" s="27"/>
      <c r="BA87" s="27"/>
      <c r="BB87" s="27"/>
      <c r="BC87" s="97"/>
      <c r="BD87" s="27"/>
      <c r="BE87" s="16"/>
      <c r="BF87" s="28">
        <f t="shared" si="29"/>
        <v>0</v>
      </c>
      <c r="BG87" s="29"/>
      <c r="BH87" s="27"/>
      <c r="BI87" s="30">
        <f t="shared" si="30"/>
        <v>355</v>
      </c>
      <c r="BJ87" s="31">
        <f t="shared" si="31"/>
        <v>45657</v>
      </c>
      <c r="BK87" s="27"/>
      <c r="BL87" s="16"/>
      <c r="BM87" s="27"/>
      <c r="BN87" s="16"/>
      <c r="BO87" s="27"/>
      <c r="BP87" s="16"/>
      <c r="BQ87" s="27"/>
      <c r="BR87" s="24"/>
      <c r="BS87" s="24"/>
      <c r="BT87" s="32"/>
      <c r="BU87" s="27"/>
      <c r="BV87" s="24"/>
      <c r="BW87" s="24"/>
      <c r="BX87" s="16"/>
      <c r="BY87" s="27"/>
      <c r="BZ87" s="24"/>
      <c r="CA87" s="24"/>
      <c r="CB87" s="16"/>
      <c r="CC87" s="49">
        <f t="shared" si="32"/>
        <v>0</v>
      </c>
      <c r="CD87" s="24"/>
      <c r="CE87" s="49">
        <f t="shared" si="33"/>
        <v>64207640</v>
      </c>
      <c r="CF87" s="50"/>
      <c r="CG87" s="49">
        <f t="shared" ca="1" si="34"/>
        <v>64207640</v>
      </c>
      <c r="CH87" s="33">
        <f t="shared" ca="1" si="35"/>
        <v>1</v>
      </c>
      <c r="CI87" s="33">
        <f t="shared" ca="1" si="36"/>
        <v>1</v>
      </c>
      <c r="CJ87" s="36">
        <f t="shared" ca="1" si="37"/>
        <v>100</v>
      </c>
      <c r="CK87" s="34">
        <f t="shared" si="38"/>
        <v>0</v>
      </c>
      <c r="CL87" s="21"/>
      <c r="CM87" s="35" t="str">
        <f t="shared" ca="1" si="39"/>
        <v>TERMINADO</v>
      </c>
      <c r="CN87" s="82"/>
      <c r="CO87" s="145" t="s">
        <v>858</v>
      </c>
      <c r="CP87" s="26" t="s">
        <v>123</v>
      </c>
    </row>
    <row r="88" spans="1:94" ht="24.75" customHeight="1">
      <c r="A88" s="48" t="s">
        <v>859</v>
      </c>
      <c r="B88" s="77" t="s">
        <v>860</v>
      </c>
      <c r="C88" s="17" t="s">
        <v>104</v>
      </c>
      <c r="D88" s="18" t="s">
        <v>861</v>
      </c>
      <c r="E88" s="17" t="s">
        <v>106</v>
      </c>
      <c r="F88" s="17" t="s">
        <v>107</v>
      </c>
      <c r="G88" s="17" t="s">
        <v>108</v>
      </c>
      <c r="H88" s="78">
        <v>1019059108</v>
      </c>
      <c r="I88" s="74" t="s">
        <v>862</v>
      </c>
      <c r="J88" s="16"/>
      <c r="K88" s="16"/>
      <c r="L88" s="96" t="s">
        <v>863</v>
      </c>
      <c r="M88" s="16" t="s">
        <v>111</v>
      </c>
      <c r="N88" s="22">
        <v>45301</v>
      </c>
      <c r="O88" s="22">
        <v>45303</v>
      </c>
      <c r="P88" s="22">
        <v>45656</v>
      </c>
      <c r="Q88" s="23">
        <f t="shared" si="27"/>
        <v>353</v>
      </c>
      <c r="R88" s="17" t="s">
        <v>242</v>
      </c>
      <c r="S88" s="16" t="s">
        <v>864</v>
      </c>
      <c r="T88" s="16" t="s">
        <v>865</v>
      </c>
      <c r="U88" s="67">
        <v>52653333</v>
      </c>
      <c r="V88" s="16" t="s">
        <v>866</v>
      </c>
      <c r="W88" s="224">
        <v>52653333</v>
      </c>
      <c r="X88" s="24">
        <v>4400000</v>
      </c>
      <c r="Y88" s="24"/>
      <c r="Z88" s="24"/>
      <c r="AA88" s="17" t="s">
        <v>116</v>
      </c>
      <c r="AB88" s="23" t="str">
        <f>IFERROR(VLOOKUP(AA88,Listas!$A$1:$C$14,2,FALSE),"")</f>
        <v>FREDY CÉSPEDES VILLA</v>
      </c>
      <c r="AC88" s="23">
        <f>IFERROR(VLOOKUP(AA88,Listas!$A$1:$C$14,3,FALSE),"")</f>
        <v>93363483</v>
      </c>
      <c r="AD88" s="17" t="s">
        <v>816</v>
      </c>
      <c r="AE88" s="17" t="s">
        <v>867</v>
      </c>
      <c r="AF88" s="23" t="str">
        <f>IFERROR(VLOOKUP(AE88,Listas!$AD$1:$AF$66,2,FALSE),"")</f>
        <v>CARLOS EDUARDO CRUZ GONZALEZ</v>
      </c>
      <c r="AG88" s="23">
        <f>IFERROR(VLOOKUP(AE88,Listas!$AD$1:$AF$65,3,FALSE),"")</f>
        <v>79451906</v>
      </c>
      <c r="AH88" s="17" t="s">
        <v>118</v>
      </c>
      <c r="AI88" s="65" t="s">
        <v>868</v>
      </c>
      <c r="AJ88" s="25" t="s">
        <v>119</v>
      </c>
      <c r="AK88" s="26" t="s">
        <v>120</v>
      </c>
      <c r="AL88" s="26" t="s">
        <v>120</v>
      </c>
      <c r="AM88" s="90" t="s">
        <v>119</v>
      </c>
      <c r="AN88" s="105">
        <v>33324</v>
      </c>
      <c r="AO88" s="91">
        <f t="shared" ca="1" si="40"/>
        <v>34</v>
      </c>
      <c r="AP88" s="26" t="s">
        <v>121</v>
      </c>
      <c r="AQ88" s="26" t="s">
        <v>819</v>
      </c>
      <c r="AR88" s="89"/>
      <c r="AS88" s="27"/>
      <c r="AT88" s="16"/>
      <c r="AU88" s="27"/>
      <c r="AV88" s="86"/>
      <c r="AW88" s="27"/>
      <c r="AX88" s="27"/>
      <c r="AY88" s="27"/>
      <c r="AZ88" s="27"/>
      <c r="BA88" s="27"/>
      <c r="BB88" s="27"/>
      <c r="BC88" s="97"/>
      <c r="BD88" s="27"/>
      <c r="BE88" s="16"/>
      <c r="BF88" s="28">
        <f t="shared" si="29"/>
        <v>0</v>
      </c>
      <c r="BG88" s="29"/>
      <c r="BH88" s="27"/>
      <c r="BI88" s="30">
        <f t="shared" si="30"/>
        <v>353</v>
      </c>
      <c r="BJ88" s="31">
        <f t="shared" si="31"/>
        <v>45656</v>
      </c>
      <c r="BK88" s="27"/>
      <c r="BL88" s="16"/>
      <c r="BM88" s="27"/>
      <c r="BN88" s="16"/>
      <c r="BO88" s="27"/>
      <c r="BP88" s="16"/>
      <c r="BQ88" s="27"/>
      <c r="BR88" s="24"/>
      <c r="BS88" s="24"/>
      <c r="BT88" s="32"/>
      <c r="BU88" s="27"/>
      <c r="BV88" s="24"/>
      <c r="BW88" s="24"/>
      <c r="BX88" s="16"/>
      <c r="BY88" s="27"/>
      <c r="BZ88" s="24"/>
      <c r="CA88" s="24"/>
      <c r="CB88" s="16"/>
      <c r="CC88" s="49">
        <f t="shared" si="32"/>
        <v>0</v>
      </c>
      <c r="CD88" s="24"/>
      <c r="CE88" s="49">
        <f t="shared" si="33"/>
        <v>52653333</v>
      </c>
      <c r="CF88" s="50"/>
      <c r="CG88" s="49">
        <f t="shared" ca="1" si="34"/>
        <v>52653333</v>
      </c>
      <c r="CH88" s="33">
        <f t="shared" ca="1" si="35"/>
        <v>1</v>
      </c>
      <c r="CI88" s="33">
        <f t="shared" ca="1" si="36"/>
        <v>1</v>
      </c>
      <c r="CJ88" s="36">
        <f t="shared" ca="1" si="37"/>
        <v>100</v>
      </c>
      <c r="CK88" s="34">
        <f t="shared" si="38"/>
        <v>0</v>
      </c>
      <c r="CL88" s="21"/>
      <c r="CM88" s="35" t="str">
        <f t="shared" ca="1" si="39"/>
        <v>TERMINADO</v>
      </c>
      <c r="CN88" s="82"/>
      <c r="CO88" s="145" t="s">
        <v>869</v>
      </c>
      <c r="CP88" s="26" t="s">
        <v>142</v>
      </c>
    </row>
    <row r="89" spans="1:94" ht="24.75" customHeight="1">
      <c r="A89" s="48" t="s">
        <v>870</v>
      </c>
      <c r="B89" s="77" t="s">
        <v>871</v>
      </c>
      <c r="C89" s="17" t="s">
        <v>104</v>
      </c>
      <c r="D89" s="18" t="s">
        <v>872</v>
      </c>
      <c r="E89" s="17" t="s">
        <v>106</v>
      </c>
      <c r="F89" s="17" t="s">
        <v>107</v>
      </c>
      <c r="G89" s="17" t="s">
        <v>108</v>
      </c>
      <c r="H89" s="78">
        <v>1010205604</v>
      </c>
      <c r="I89" s="74" t="s">
        <v>873</v>
      </c>
      <c r="J89" s="16"/>
      <c r="K89" s="16"/>
      <c r="L89" s="20" t="s">
        <v>874</v>
      </c>
      <c r="M89" s="16" t="s">
        <v>111</v>
      </c>
      <c r="N89" s="22">
        <v>45301</v>
      </c>
      <c r="O89" s="22">
        <v>45303</v>
      </c>
      <c r="P89" s="22">
        <v>45656</v>
      </c>
      <c r="Q89" s="23">
        <f t="shared" si="27"/>
        <v>353</v>
      </c>
      <c r="R89" s="17" t="s">
        <v>242</v>
      </c>
      <c r="S89" s="16" t="s">
        <v>875</v>
      </c>
      <c r="T89" s="16" t="s">
        <v>814</v>
      </c>
      <c r="U89" s="67">
        <v>76586667</v>
      </c>
      <c r="V89" s="16" t="s">
        <v>815</v>
      </c>
      <c r="W89" s="224">
        <v>76586667</v>
      </c>
      <c r="X89" s="24">
        <v>6400000</v>
      </c>
      <c r="Y89" s="24"/>
      <c r="Z89" s="24"/>
      <c r="AA89" s="17" t="s">
        <v>116</v>
      </c>
      <c r="AB89" s="23" t="str">
        <f>IFERROR(VLOOKUP(AA89,Listas!$A$1:$C$14,2,FALSE),"")</f>
        <v>FREDY CÉSPEDES VILLA</v>
      </c>
      <c r="AC89" s="23">
        <f>IFERROR(VLOOKUP(AA89,Listas!$A$1:$C$14,3,FALSE),"")</f>
        <v>93363483</v>
      </c>
      <c r="AD89" s="17" t="s">
        <v>816</v>
      </c>
      <c r="AE89" s="17" t="s">
        <v>817</v>
      </c>
      <c r="AF89" s="23" t="str">
        <f>IFERROR(VLOOKUP(AE89,Listas!$AD$1:$AF$66,2,FALSE),"")</f>
        <v>JOSÉ EDUARDO PARADA JIMÉNEZ</v>
      </c>
      <c r="AG89" s="23">
        <f>IFERROR(VLOOKUP(AE89,Listas!$AD$1:$AF$65,3,FALSE),"")</f>
        <v>79434805</v>
      </c>
      <c r="AH89" s="17" t="s">
        <v>118</v>
      </c>
      <c r="AI89" s="65" t="s">
        <v>876</v>
      </c>
      <c r="AJ89" s="25" t="s">
        <v>119</v>
      </c>
      <c r="AK89" s="26" t="s">
        <v>120</v>
      </c>
      <c r="AL89" s="26" t="s">
        <v>120</v>
      </c>
      <c r="AM89" s="90" t="s">
        <v>119</v>
      </c>
      <c r="AN89" s="105">
        <v>33944</v>
      </c>
      <c r="AO89" s="91">
        <f t="shared" ca="1" si="40"/>
        <v>33</v>
      </c>
      <c r="AP89" s="26" t="s">
        <v>121</v>
      </c>
      <c r="AQ89" s="26" t="s">
        <v>819</v>
      </c>
      <c r="AR89" s="89"/>
      <c r="AS89" s="27"/>
      <c r="AT89" s="16"/>
      <c r="AU89" s="27"/>
      <c r="AV89" s="86"/>
      <c r="AW89" s="27"/>
      <c r="AX89" s="27"/>
      <c r="AY89" s="27"/>
      <c r="AZ89" s="27"/>
      <c r="BA89" s="27"/>
      <c r="BB89" s="27"/>
      <c r="BC89" s="97"/>
      <c r="BD89" s="27"/>
      <c r="BE89" s="16"/>
      <c r="BF89" s="28">
        <f t="shared" si="29"/>
        <v>0</v>
      </c>
      <c r="BG89" s="29"/>
      <c r="BH89" s="27"/>
      <c r="BI89" s="30">
        <f t="shared" si="30"/>
        <v>353</v>
      </c>
      <c r="BJ89" s="31">
        <f t="shared" si="31"/>
        <v>45656</v>
      </c>
      <c r="BK89" s="27"/>
      <c r="BL89" s="16"/>
      <c r="BM89" s="27"/>
      <c r="BN89" s="16"/>
      <c r="BO89" s="27"/>
      <c r="BP89" s="16"/>
      <c r="BQ89" s="27"/>
      <c r="BR89" s="24"/>
      <c r="BS89" s="24"/>
      <c r="BT89" s="32"/>
      <c r="BU89" s="27"/>
      <c r="BV89" s="24"/>
      <c r="BW89" s="24"/>
      <c r="BX89" s="16"/>
      <c r="BY89" s="27"/>
      <c r="BZ89" s="24"/>
      <c r="CA89" s="24"/>
      <c r="CB89" s="16"/>
      <c r="CC89" s="49">
        <f t="shared" si="32"/>
        <v>0</v>
      </c>
      <c r="CD89" s="24"/>
      <c r="CE89" s="49">
        <f t="shared" si="33"/>
        <v>76586667</v>
      </c>
      <c r="CF89" s="50"/>
      <c r="CG89" s="49">
        <f t="shared" ca="1" si="34"/>
        <v>76586667</v>
      </c>
      <c r="CH89" s="33">
        <f t="shared" ca="1" si="35"/>
        <v>1</v>
      </c>
      <c r="CI89" s="33">
        <f t="shared" ca="1" si="36"/>
        <v>1</v>
      </c>
      <c r="CJ89" s="36">
        <f t="shared" ca="1" si="37"/>
        <v>100</v>
      </c>
      <c r="CK89" s="34">
        <f t="shared" si="38"/>
        <v>0</v>
      </c>
      <c r="CL89" s="21"/>
      <c r="CM89" s="35" t="str">
        <f t="shared" ca="1" si="39"/>
        <v>TERMINADO</v>
      </c>
      <c r="CN89" s="82"/>
      <c r="CO89" s="145" t="s">
        <v>877</v>
      </c>
      <c r="CP89" s="26" t="s">
        <v>142</v>
      </c>
    </row>
    <row r="90" spans="1:94" ht="24.75" customHeight="1">
      <c r="A90" s="48" t="s">
        <v>878</v>
      </c>
      <c r="B90" s="77" t="s">
        <v>879</v>
      </c>
      <c r="C90" s="17" t="s">
        <v>104</v>
      </c>
      <c r="D90" s="18" t="s">
        <v>880</v>
      </c>
      <c r="E90" s="17" t="s">
        <v>106</v>
      </c>
      <c r="F90" s="17" t="s">
        <v>107</v>
      </c>
      <c r="G90" s="17" t="s">
        <v>108</v>
      </c>
      <c r="H90" s="78">
        <v>53124808</v>
      </c>
      <c r="I90" s="74" t="s">
        <v>881</v>
      </c>
      <c r="J90" s="16"/>
      <c r="K90" s="16"/>
      <c r="L90" s="20" t="s">
        <v>882</v>
      </c>
      <c r="M90" s="16" t="s">
        <v>111</v>
      </c>
      <c r="N90" s="22">
        <v>45301</v>
      </c>
      <c r="O90" s="22">
        <v>45302</v>
      </c>
      <c r="P90" s="22">
        <v>45656</v>
      </c>
      <c r="Q90" s="23">
        <f t="shared" si="27"/>
        <v>354</v>
      </c>
      <c r="R90" s="17" t="s">
        <v>242</v>
      </c>
      <c r="S90" s="16" t="s">
        <v>883</v>
      </c>
      <c r="T90" s="16" t="s">
        <v>404</v>
      </c>
      <c r="U90" s="67">
        <v>183909432</v>
      </c>
      <c r="V90" s="16" t="s">
        <v>884</v>
      </c>
      <c r="W90" s="224">
        <v>183909432</v>
      </c>
      <c r="X90" s="24">
        <v>15325786</v>
      </c>
      <c r="Y90" s="24"/>
      <c r="Z90" s="24"/>
      <c r="AA90" s="17" t="s">
        <v>116</v>
      </c>
      <c r="AB90" s="23" t="str">
        <f>IFERROR(VLOOKUP(AA90,Listas!$A$1:$C$14,2,FALSE),"")</f>
        <v>FREDY CÉSPEDES VILLA</v>
      </c>
      <c r="AC90" s="23">
        <f>IFERROR(VLOOKUP(AA90,Listas!$A$1:$C$14,3,FALSE),"")</f>
        <v>93363483</v>
      </c>
      <c r="AD90" s="17" t="s">
        <v>406</v>
      </c>
      <c r="AE90" s="17" t="s">
        <v>504</v>
      </c>
      <c r="AF90" s="23" t="str">
        <f>IFERROR(VLOOKUP(AE90,Listas!$AD$1:$AF$66,2,FALSE),"")</f>
        <v>EDUARDO ELÍAS BARCHA BOLÍVAR</v>
      </c>
      <c r="AG90" s="23">
        <f>IFERROR(VLOOKUP(AE90,Listas!$AD$1:$AF$65,3,FALSE),"")</f>
        <v>72133921</v>
      </c>
      <c r="AH90" s="17" t="s">
        <v>118</v>
      </c>
      <c r="AI90" s="65" t="s">
        <v>885</v>
      </c>
      <c r="AJ90" s="25" t="s">
        <v>119</v>
      </c>
      <c r="AK90" s="26" t="s">
        <v>120</v>
      </c>
      <c r="AL90" s="26" t="s">
        <v>120</v>
      </c>
      <c r="AM90" s="90" t="s">
        <v>119</v>
      </c>
      <c r="AN90" s="105">
        <v>31352</v>
      </c>
      <c r="AO90" s="91">
        <f t="shared" ca="1" si="40"/>
        <v>40</v>
      </c>
      <c r="AP90" s="26" t="s">
        <v>121</v>
      </c>
      <c r="AQ90" s="26" t="s">
        <v>886</v>
      </c>
      <c r="AR90" s="89"/>
      <c r="AS90" s="27"/>
      <c r="AT90" s="16"/>
      <c r="AU90" s="27"/>
      <c r="AV90" s="86"/>
      <c r="AW90" s="27"/>
      <c r="AX90" s="27"/>
      <c r="AY90" s="27"/>
      <c r="AZ90" s="27"/>
      <c r="BA90" s="27"/>
      <c r="BB90" s="27"/>
      <c r="BC90" s="97"/>
      <c r="BD90" s="27"/>
      <c r="BE90" s="16"/>
      <c r="BF90" s="28">
        <f t="shared" si="29"/>
        <v>0</v>
      </c>
      <c r="BG90" s="29"/>
      <c r="BH90" s="27"/>
      <c r="BI90" s="30">
        <f t="shared" si="30"/>
        <v>354</v>
      </c>
      <c r="BJ90" s="31">
        <f t="shared" si="31"/>
        <v>45656</v>
      </c>
      <c r="BK90" s="27"/>
      <c r="BL90" s="16"/>
      <c r="BM90" s="27"/>
      <c r="BN90" s="16"/>
      <c r="BO90" s="27"/>
      <c r="BP90" s="16"/>
      <c r="BQ90" s="27"/>
      <c r="BR90" s="24"/>
      <c r="BS90" s="24"/>
      <c r="BT90" s="32"/>
      <c r="BU90" s="27"/>
      <c r="BV90" s="24"/>
      <c r="BW90" s="24"/>
      <c r="BX90" s="16"/>
      <c r="BY90" s="27"/>
      <c r="BZ90" s="24"/>
      <c r="CA90" s="24"/>
      <c r="CB90" s="16"/>
      <c r="CC90" s="49">
        <f t="shared" si="32"/>
        <v>0</v>
      </c>
      <c r="CD90" s="24"/>
      <c r="CE90" s="49">
        <f t="shared" si="33"/>
        <v>183909432</v>
      </c>
      <c r="CF90" s="50"/>
      <c r="CG90" s="49">
        <f t="shared" ca="1" si="34"/>
        <v>183909432</v>
      </c>
      <c r="CH90" s="33">
        <f t="shared" ca="1" si="35"/>
        <v>1</v>
      </c>
      <c r="CI90" s="33">
        <f t="shared" ca="1" si="36"/>
        <v>1</v>
      </c>
      <c r="CJ90" s="36">
        <f t="shared" ca="1" si="37"/>
        <v>100</v>
      </c>
      <c r="CK90" s="34">
        <f t="shared" si="38"/>
        <v>0</v>
      </c>
      <c r="CL90" s="21"/>
      <c r="CM90" s="35" t="str">
        <f t="shared" ca="1" si="39"/>
        <v>TERMINADO</v>
      </c>
      <c r="CN90" s="82"/>
      <c r="CO90" s="145" t="s">
        <v>887</v>
      </c>
      <c r="CP90" s="26" t="s">
        <v>123</v>
      </c>
    </row>
    <row r="91" spans="1:94" ht="24.75" customHeight="1">
      <c r="A91" s="48" t="s">
        <v>888</v>
      </c>
      <c r="B91" s="77" t="s">
        <v>889</v>
      </c>
      <c r="C91" s="17" t="s">
        <v>104</v>
      </c>
      <c r="D91" s="18" t="s">
        <v>890</v>
      </c>
      <c r="E91" s="17" t="s">
        <v>106</v>
      </c>
      <c r="F91" s="17" t="s">
        <v>107</v>
      </c>
      <c r="G91" s="17" t="s">
        <v>108</v>
      </c>
      <c r="H91" s="78">
        <v>1013590021</v>
      </c>
      <c r="I91" s="74" t="s">
        <v>891</v>
      </c>
      <c r="J91" s="16"/>
      <c r="K91" s="16"/>
      <c r="L91" s="20" t="s">
        <v>892</v>
      </c>
      <c r="M91" s="16" t="s">
        <v>111</v>
      </c>
      <c r="N91" s="22">
        <v>45301</v>
      </c>
      <c r="O91" s="22">
        <v>45303</v>
      </c>
      <c r="P91" s="22">
        <v>45656</v>
      </c>
      <c r="Q91" s="23">
        <f t="shared" si="27"/>
        <v>353</v>
      </c>
      <c r="R91" s="17" t="s">
        <v>242</v>
      </c>
      <c r="S91" s="16" t="s">
        <v>893</v>
      </c>
      <c r="T91" s="16" t="s">
        <v>732</v>
      </c>
      <c r="U91" s="67">
        <v>102989282</v>
      </c>
      <c r="V91" s="16" t="s">
        <v>894</v>
      </c>
      <c r="W91" s="224">
        <v>102989282</v>
      </c>
      <c r="X91" s="24">
        <v>8582440</v>
      </c>
      <c r="Y91" s="24"/>
      <c r="Z91" s="24"/>
      <c r="AA91" s="17" t="s">
        <v>116</v>
      </c>
      <c r="AB91" s="23" t="str">
        <f>IFERROR(VLOOKUP(AA91,Listas!$A$1:$C$14,2,FALSE),"")</f>
        <v>FREDY CÉSPEDES VILLA</v>
      </c>
      <c r="AC91" s="23">
        <f>IFERROR(VLOOKUP(AA91,Listas!$A$1:$C$14,3,FALSE),"")</f>
        <v>93363483</v>
      </c>
      <c r="AD91" s="17" t="s">
        <v>588</v>
      </c>
      <c r="AE91" s="17" t="s">
        <v>589</v>
      </c>
      <c r="AF91" s="23" t="str">
        <f>IFERROR(VLOOKUP(AE91,Listas!$AD$1:$AF$66,2,FALSE),"")</f>
        <v>ANA LUCY CASTRO CASTRO</v>
      </c>
      <c r="AG91" s="23">
        <f>IFERROR(VLOOKUP(AE91,Listas!$AD$1:$AF$65,3,FALSE),"")</f>
        <v>51743499</v>
      </c>
      <c r="AH91" s="17" t="s">
        <v>118</v>
      </c>
      <c r="AI91" s="65" t="s">
        <v>734</v>
      </c>
      <c r="AJ91" s="25" t="s">
        <v>119</v>
      </c>
      <c r="AK91" s="26" t="s">
        <v>120</v>
      </c>
      <c r="AL91" s="26" t="s">
        <v>120</v>
      </c>
      <c r="AM91" s="90" t="s">
        <v>119</v>
      </c>
      <c r="AN91" s="105">
        <v>31971</v>
      </c>
      <c r="AO91" s="91">
        <f t="shared" ca="1" si="40"/>
        <v>38</v>
      </c>
      <c r="AP91" s="26" t="s">
        <v>121</v>
      </c>
      <c r="AQ91" s="26" t="s">
        <v>486</v>
      </c>
      <c r="AR91" s="89"/>
      <c r="AS91" s="27"/>
      <c r="AT91" s="16"/>
      <c r="AU91" s="27"/>
      <c r="AV91" s="86"/>
      <c r="AW91" s="27"/>
      <c r="AX91" s="27"/>
      <c r="AY91" s="27"/>
      <c r="AZ91" s="27"/>
      <c r="BA91" s="27"/>
      <c r="BB91" s="27"/>
      <c r="BC91" s="97"/>
      <c r="BD91" s="27"/>
      <c r="BE91" s="16"/>
      <c r="BF91" s="28">
        <f t="shared" si="29"/>
        <v>0</v>
      </c>
      <c r="BG91" s="29"/>
      <c r="BH91" s="27"/>
      <c r="BI91" s="30">
        <f t="shared" si="30"/>
        <v>353</v>
      </c>
      <c r="BJ91" s="31">
        <f t="shared" si="31"/>
        <v>45656</v>
      </c>
      <c r="BK91" s="27"/>
      <c r="BL91" s="16"/>
      <c r="BM91" s="27"/>
      <c r="BN91" s="16"/>
      <c r="BO91" s="27"/>
      <c r="BP91" s="16"/>
      <c r="BQ91" s="27"/>
      <c r="BR91" s="24"/>
      <c r="BS91" s="24"/>
      <c r="BT91" s="32"/>
      <c r="BU91" s="27"/>
      <c r="BV91" s="24"/>
      <c r="BW91" s="24"/>
      <c r="BX91" s="16"/>
      <c r="BY91" s="27"/>
      <c r="BZ91" s="24"/>
      <c r="CA91" s="24"/>
      <c r="CB91" s="16"/>
      <c r="CC91" s="49">
        <f t="shared" si="32"/>
        <v>0</v>
      </c>
      <c r="CD91" s="24"/>
      <c r="CE91" s="49">
        <f t="shared" si="33"/>
        <v>102989282</v>
      </c>
      <c r="CF91" s="50"/>
      <c r="CG91" s="49">
        <f t="shared" ca="1" si="34"/>
        <v>102989282</v>
      </c>
      <c r="CH91" s="33">
        <f t="shared" ca="1" si="35"/>
        <v>1</v>
      </c>
      <c r="CI91" s="33">
        <f t="shared" ca="1" si="36"/>
        <v>1</v>
      </c>
      <c r="CJ91" s="36">
        <f t="shared" ca="1" si="37"/>
        <v>100</v>
      </c>
      <c r="CK91" s="34">
        <f t="shared" si="38"/>
        <v>0</v>
      </c>
      <c r="CL91" s="21"/>
      <c r="CM91" s="35" t="str">
        <f t="shared" ca="1" si="39"/>
        <v>TERMINADO</v>
      </c>
      <c r="CN91" s="82"/>
      <c r="CO91" s="145" t="s">
        <v>895</v>
      </c>
      <c r="CP91" s="26" t="s">
        <v>123</v>
      </c>
    </row>
    <row r="92" spans="1:94" ht="24.75" customHeight="1">
      <c r="A92" s="48" t="s">
        <v>896</v>
      </c>
      <c r="B92" s="77" t="s">
        <v>897</v>
      </c>
      <c r="C92" s="17" t="s">
        <v>104</v>
      </c>
      <c r="D92" s="18" t="s">
        <v>898</v>
      </c>
      <c r="E92" s="17" t="s">
        <v>106</v>
      </c>
      <c r="F92" s="17" t="s">
        <v>107</v>
      </c>
      <c r="G92" s="17" t="s">
        <v>108</v>
      </c>
      <c r="H92" s="78">
        <v>22733580</v>
      </c>
      <c r="I92" s="74" t="s">
        <v>899</v>
      </c>
      <c r="J92" s="16"/>
      <c r="K92" s="16"/>
      <c r="L92" s="20" t="s">
        <v>900</v>
      </c>
      <c r="M92" s="16" t="s">
        <v>901</v>
      </c>
      <c r="N92" s="22">
        <v>45301</v>
      </c>
      <c r="O92" s="22">
        <v>45309</v>
      </c>
      <c r="P92" s="22">
        <v>45656</v>
      </c>
      <c r="Q92" s="23">
        <f t="shared" si="27"/>
        <v>347</v>
      </c>
      <c r="R92" s="17" t="s">
        <v>242</v>
      </c>
      <c r="S92" s="16" t="s">
        <v>902</v>
      </c>
      <c r="T92" s="16" t="s">
        <v>343</v>
      </c>
      <c r="U92" s="67">
        <v>84385825</v>
      </c>
      <c r="V92" s="16" t="s">
        <v>344</v>
      </c>
      <c r="W92" s="224">
        <v>84385825</v>
      </c>
      <c r="X92" s="24">
        <v>7111165</v>
      </c>
      <c r="Y92" s="24"/>
      <c r="Z92" s="24"/>
      <c r="AA92" s="17" t="s">
        <v>116</v>
      </c>
      <c r="AB92" s="23" t="str">
        <f>IFERROR(VLOOKUP(AA92,Listas!$A$1:$C$14,2,FALSE),"")</f>
        <v>FREDY CÉSPEDES VILLA</v>
      </c>
      <c r="AC92" s="23">
        <f>IFERROR(VLOOKUP(AA92,Listas!$A$1:$C$14,3,FALSE),"")</f>
        <v>93363483</v>
      </c>
      <c r="AD92" s="17" t="s">
        <v>903</v>
      </c>
      <c r="AE92" s="17" t="s">
        <v>904</v>
      </c>
      <c r="AF92" s="23" t="str">
        <f>IFERROR(VLOOKUP(AE92,Listas!$AD$1:$AF$66,2,FALSE),"")</f>
        <v>VIVIANA MARGARITA ROMERO</v>
      </c>
      <c r="AG92" s="23">
        <f>IFERROR(VLOOKUP(AE92,Listas!$AD$1:$AF$65,3,FALSE),"")</f>
        <v>32794946</v>
      </c>
      <c r="AH92" s="17" t="s">
        <v>118</v>
      </c>
      <c r="AI92" s="65" t="s">
        <v>905</v>
      </c>
      <c r="AJ92" s="25" t="s">
        <v>119</v>
      </c>
      <c r="AK92" s="26" t="s">
        <v>120</v>
      </c>
      <c r="AL92" s="26" t="s">
        <v>120</v>
      </c>
      <c r="AM92" s="90" t="s">
        <v>119</v>
      </c>
      <c r="AN92" s="105">
        <v>30207</v>
      </c>
      <c r="AO92" s="91">
        <f t="shared" ca="1" si="40"/>
        <v>43</v>
      </c>
      <c r="AP92" s="26" t="s">
        <v>121</v>
      </c>
      <c r="AQ92" s="26" t="s">
        <v>327</v>
      </c>
      <c r="AR92" s="89"/>
      <c r="AS92" s="27"/>
      <c r="AT92" s="16"/>
      <c r="AU92" s="27"/>
      <c r="AV92" s="86"/>
      <c r="AW92" s="27"/>
      <c r="AX92" s="27"/>
      <c r="AY92" s="27"/>
      <c r="AZ92" s="27"/>
      <c r="BA92" s="27"/>
      <c r="BB92" s="27"/>
      <c r="BC92" s="97"/>
      <c r="BD92" s="27"/>
      <c r="BE92" s="16"/>
      <c r="BF92" s="28">
        <f t="shared" si="29"/>
        <v>0</v>
      </c>
      <c r="BG92" s="29"/>
      <c r="BH92" s="27"/>
      <c r="BI92" s="30">
        <f t="shared" si="30"/>
        <v>347</v>
      </c>
      <c r="BJ92" s="31">
        <f t="shared" si="31"/>
        <v>45656</v>
      </c>
      <c r="BK92" s="27"/>
      <c r="BL92" s="16"/>
      <c r="BM92" s="27"/>
      <c r="BN92" s="16"/>
      <c r="BO92" s="27"/>
      <c r="BP92" s="16"/>
      <c r="BQ92" s="27"/>
      <c r="BR92" s="24"/>
      <c r="BS92" s="24"/>
      <c r="BT92" s="32"/>
      <c r="BU92" s="27"/>
      <c r="BV92" s="24"/>
      <c r="BW92" s="24"/>
      <c r="BX92" s="16"/>
      <c r="BY92" s="27"/>
      <c r="BZ92" s="24"/>
      <c r="CA92" s="24"/>
      <c r="CB92" s="16"/>
      <c r="CC92" s="49">
        <f t="shared" si="32"/>
        <v>0</v>
      </c>
      <c r="CD92" s="24"/>
      <c r="CE92" s="49">
        <f t="shared" si="33"/>
        <v>84385825</v>
      </c>
      <c r="CF92" s="50"/>
      <c r="CG92" s="49">
        <f t="shared" ca="1" si="34"/>
        <v>84385825</v>
      </c>
      <c r="CH92" s="33">
        <f t="shared" ca="1" si="35"/>
        <v>1</v>
      </c>
      <c r="CI92" s="33">
        <f t="shared" ca="1" si="36"/>
        <v>1</v>
      </c>
      <c r="CJ92" s="36">
        <f t="shared" ca="1" si="37"/>
        <v>100</v>
      </c>
      <c r="CK92" s="34">
        <f t="shared" si="38"/>
        <v>0</v>
      </c>
      <c r="CL92" s="21"/>
      <c r="CM92" s="35" t="str">
        <f t="shared" ca="1" si="39"/>
        <v>TERMINADO</v>
      </c>
      <c r="CN92" s="82"/>
      <c r="CO92" s="145" t="s">
        <v>906</v>
      </c>
      <c r="CP92" s="26" t="s">
        <v>123</v>
      </c>
    </row>
    <row r="93" spans="1:94" ht="24.75" customHeight="1">
      <c r="A93" s="48" t="s">
        <v>907</v>
      </c>
      <c r="B93" s="77" t="s">
        <v>908</v>
      </c>
      <c r="C93" s="17" t="s">
        <v>104</v>
      </c>
      <c r="D93" s="18" t="s">
        <v>909</v>
      </c>
      <c r="E93" s="17" t="s">
        <v>106</v>
      </c>
      <c r="F93" s="17" t="s">
        <v>107</v>
      </c>
      <c r="G93" s="17" t="s">
        <v>108</v>
      </c>
      <c r="H93" s="78">
        <v>98669167</v>
      </c>
      <c r="I93" s="233" t="s">
        <v>910</v>
      </c>
      <c r="J93" s="16"/>
      <c r="K93" s="16"/>
      <c r="L93" s="96" t="s">
        <v>911</v>
      </c>
      <c r="M93" s="16" t="s">
        <v>468</v>
      </c>
      <c r="N93" s="22">
        <v>45301</v>
      </c>
      <c r="O93" s="22">
        <v>45302</v>
      </c>
      <c r="P93" s="22">
        <v>45656</v>
      </c>
      <c r="Q93" s="23">
        <f t="shared" si="27"/>
        <v>354</v>
      </c>
      <c r="R93" s="17" t="s">
        <v>242</v>
      </c>
      <c r="S93" s="16" t="s">
        <v>912</v>
      </c>
      <c r="T93" s="16" t="s">
        <v>343</v>
      </c>
      <c r="U93" s="67">
        <v>83437669</v>
      </c>
      <c r="V93" s="16" t="s">
        <v>344</v>
      </c>
      <c r="W93" s="224">
        <v>83437669</v>
      </c>
      <c r="X93" s="24">
        <v>7111165</v>
      </c>
      <c r="Y93" s="24"/>
      <c r="Z93" s="24"/>
      <c r="AA93" s="17" t="s">
        <v>116</v>
      </c>
      <c r="AB93" s="23" t="str">
        <f>IFERROR(VLOOKUP(AA93,Listas!$A$1:$C$14,2,FALSE),"")</f>
        <v>FREDY CÉSPEDES VILLA</v>
      </c>
      <c r="AC93" s="23">
        <f>IFERROR(VLOOKUP(AA93,Listas!$A$1:$C$14,3,FALSE),"")</f>
        <v>93363483</v>
      </c>
      <c r="AD93" s="17" t="s">
        <v>472</v>
      </c>
      <c r="AE93" s="17" t="s">
        <v>473</v>
      </c>
      <c r="AF93" s="23" t="str">
        <f>IFERROR(VLOOKUP(AE93,Listas!$AD$1:$AF$66,2,FALSE),"")</f>
        <v>DANIEL ALBERTO CASTAÑO LOPEZ</v>
      </c>
      <c r="AG93" s="23">
        <f>IFERROR(VLOOKUP(AE93,Listas!$AD$1:$AF$65,3,FALSE),"")</f>
        <v>7544385</v>
      </c>
      <c r="AH93" s="17" t="s">
        <v>118</v>
      </c>
      <c r="AI93" s="65" t="s">
        <v>913</v>
      </c>
      <c r="AJ93" s="25" t="s">
        <v>119</v>
      </c>
      <c r="AK93" s="26" t="s">
        <v>120</v>
      </c>
      <c r="AL93" s="26" t="s">
        <v>120</v>
      </c>
      <c r="AM93" s="90" t="s">
        <v>119</v>
      </c>
      <c r="AN93" s="105">
        <v>29037</v>
      </c>
      <c r="AO93" s="91">
        <f t="shared" ca="1" si="40"/>
        <v>46</v>
      </c>
      <c r="AP93" s="26" t="s">
        <v>121</v>
      </c>
      <c r="AQ93" s="26" t="s">
        <v>409</v>
      </c>
      <c r="AR93" s="89"/>
      <c r="AS93" s="27"/>
      <c r="AT93" s="16"/>
      <c r="AU93" s="27"/>
      <c r="AV93" s="86"/>
      <c r="AW93" s="27"/>
      <c r="AX93" s="27"/>
      <c r="AY93" s="27"/>
      <c r="AZ93" s="27"/>
      <c r="BA93" s="27"/>
      <c r="BB93" s="27"/>
      <c r="BC93" s="97"/>
      <c r="BD93" s="27"/>
      <c r="BE93" s="16"/>
      <c r="BF93" s="28">
        <f t="shared" si="29"/>
        <v>0</v>
      </c>
      <c r="BG93" s="29"/>
      <c r="BH93" s="27"/>
      <c r="BI93" s="30">
        <f t="shared" si="30"/>
        <v>354</v>
      </c>
      <c r="BJ93" s="31">
        <f t="shared" si="31"/>
        <v>45656</v>
      </c>
      <c r="BK93" s="27"/>
      <c r="BL93" s="16"/>
      <c r="BM93" s="27"/>
      <c r="BN93" s="16"/>
      <c r="BO93" s="27"/>
      <c r="BP93" s="16"/>
      <c r="BQ93" s="27"/>
      <c r="BR93" s="24"/>
      <c r="BS93" s="24"/>
      <c r="BT93" s="32"/>
      <c r="BU93" s="27"/>
      <c r="BV93" s="24"/>
      <c r="BW93" s="24"/>
      <c r="BX93" s="16"/>
      <c r="BY93" s="27"/>
      <c r="BZ93" s="24"/>
      <c r="CA93" s="24"/>
      <c r="CB93" s="16"/>
      <c r="CC93" s="49">
        <f t="shared" si="32"/>
        <v>0</v>
      </c>
      <c r="CD93" s="24"/>
      <c r="CE93" s="49">
        <f t="shared" si="33"/>
        <v>83437669</v>
      </c>
      <c r="CF93" s="50"/>
      <c r="CG93" s="49">
        <f t="shared" ca="1" si="34"/>
        <v>83437669</v>
      </c>
      <c r="CH93" s="33">
        <f t="shared" ca="1" si="35"/>
        <v>1</v>
      </c>
      <c r="CI93" s="33">
        <f t="shared" ca="1" si="36"/>
        <v>1</v>
      </c>
      <c r="CJ93" s="36">
        <f t="shared" ca="1" si="37"/>
        <v>100</v>
      </c>
      <c r="CK93" s="34">
        <f t="shared" si="38"/>
        <v>0</v>
      </c>
      <c r="CL93" s="21"/>
      <c r="CM93" s="35" t="str">
        <f t="shared" ca="1" si="39"/>
        <v>TERMINADO</v>
      </c>
      <c r="CN93" s="82"/>
      <c r="CO93" s="145" t="s">
        <v>914</v>
      </c>
      <c r="CP93" s="26" t="s">
        <v>142</v>
      </c>
    </row>
    <row r="94" spans="1:94" ht="24.75" customHeight="1">
      <c r="A94" s="48" t="s">
        <v>915</v>
      </c>
      <c r="B94" s="77" t="s">
        <v>916</v>
      </c>
      <c r="C94" s="17" t="s">
        <v>104</v>
      </c>
      <c r="D94" s="18" t="s">
        <v>917</v>
      </c>
      <c r="E94" s="17" t="s">
        <v>106</v>
      </c>
      <c r="F94" s="17" t="s">
        <v>107</v>
      </c>
      <c r="G94" s="17" t="s">
        <v>108</v>
      </c>
      <c r="H94" s="78">
        <v>79971518</v>
      </c>
      <c r="I94" s="74" t="s">
        <v>918</v>
      </c>
      <c r="J94" s="16"/>
      <c r="K94" s="16"/>
      <c r="L94" s="96" t="s">
        <v>919</v>
      </c>
      <c r="M94" s="16" t="s">
        <v>111</v>
      </c>
      <c r="N94" s="22">
        <v>45301</v>
      </c>
      <c r="O94" s="22">
        <v>45303</v>
      </c>
      <c r="P94" s="22">
        <v>45656</v>
      </c>
      <c r="Q94" s="23">
        <f t="shared" si="27"/>
        <v>353</v>
      </c>
      <c r="R94" s="17" t="s">
        <v>242</v>
      </c>
      <c r="S94" s="16" t="s">
        <v>920</v>
      </c>
      <c r="T94" s="16" t="s">
        <v>343</v>
      </c>
      <c r="U94" s="67">
        <v>107162404</v>
      </c>
      <c r="V94" s="16" t="s">
        <v>344</v>
      </c>
      <c r="W94" s="224">
        <v>107162404</v>
      </c>
      <c r="X94" s="24">
        <v>9005244</v>
      </c>
      <c r="Y94" s="24"/>
      <c r="Z94" s="24"/>
      <c r="AA94" s="17" t="s">
        <v>116</v>
      </c>
      <c r="AB94" s="23" t="str">
        <f>IFERROR(VLOOKUP(AA94,Listas!$A$1:$C$14,2,FALSE),"")</f>
        <v>FREDY CÉSPEDES VILLA</v>
      </c>
      <c r="AC94" s="23">
        <f>IFERROR(VLOOKUP(AA94,Listas!$A$1:$C$14,3,FALSE),"")</f>
        <v>93363483</v>
      </c>
      <c r="AD94" s="17" t="s">
        <v>345</v>
      </c>
      <c r="AE94" s="17" t="s">
        <v>921</v>
      </c>
      <c r="AF94" s="23" t="str">
        <f>IFERROR(VLOOKUP(AE94,Listas!$AD$1:$AF$66,2,FALSE),"")</f>
        <v>LUZ MARINA CARREÑO</v>
      </c>
      <c r="AG94" s="23">
        <f>IFERROR(VLOOKUP(AE94,Listas!$AD$1:$AF$65,3,FALSE),"")</f>
        <v>63392036</v>
      </c>
      <c r="AH94" s="17" t="s">
        <v>118</v>
      </c>
      <c r="AI94" s="65" t="s">
        <v>922</v>
      </c>
      <c r="AJ94" s="25" t="s">
        <v>119</v>
      </c>
      <c r="AK94" s="26" t="s">
        <v>120</v>
      </c>
      <c r="AL94" s="26" t="s">
        <v>120</v>
      </c>
      <c r="AM94" s="90" t="s">
        <v>119</v>
      </c>
      <c r="AN94" s="105">
        <v>28962</v>
      </c>
      <c r="AO94" s="91">
        <f t="shared" ca="1" si="40"/>
        <v>46</v>
      </c>
      <c r="AP94" s="26" t="s">
        <v>121</v>
      </c>
      <c r="AQ94" s="26" t="s">
        <v>367</v>
      </c>
      <c r="AR94" s="89"/>
      <c r="AS94" s="27"/>
      <c r="AT94" s="16"/>
      <c r="AU94" s="27"/>
      <c r="AV94" s="86"/>
      <c r="AW94" s="27"/>
      <c r="AX94" s="27"/>
      <c r="AY94" s="27"/>
      <c r="AZ94" s="27"/>
      <c r="BA94" s="27"/>
      <c r="BB94" s="27"/>
      <c r="BC94" s="97"/>
      <c r="BD94" s="27"/>
      <c r="BE94" s="16"/>
      <c r="BF94" s="28">
        <f t="shared" si="29"/>
        <v>0</v>
      </c>
      <c r="BG94" s="29"/>
      <c r="BH94" s="27"/>
      <c r="BI94" s="30">
        <f t="shared" si="30"/>
        <v>353</v>
      </c>
      <c r="BJ94" s="31">
        <f t="shared" si="31"/>
        <v>45656</v>
      </c>
      <c r="BK94" s="27"/>
      <c r="BL94" s="16"/>
      <c r="BM94" s="27"/>
      <c r="BN94" s="16"/>
      <c r="BO94" s="27"/>
      <c r="BP94" s="16"/>
      <c r="BQ94" s="27"/>
      <c r="BR94" s="24"/>
      <c r="BS94" s="24"/>
      <c r="BT94" s="32"/>
      <c r="BU94" s="27"/>
      <c r="BV94" s="24"/>
      <c r="BW94" s="24"/>
      <c r="BX94" s="16"/>
      <c r="BY94" s="27"/>
      <c r="BZ94" s="24"/>
      <c r="CA94" s="24"/>
      <c r="CB94" s="16"/>
      <c r="CC94" s="49">
        <f t="shared" si="32"/>
        <v>0</v>
      </c>
      <c r="CD94" s="24"/>
      <c r="CE94" s="49">
        <f t="shared" si="33"/>
        <v>107162404</v>
      </c>
      <c r="CF94" s="50"/>
      <c r="CG94" s="49">
        <f t="shared" ca="1" si="34"/>
        <v>107162404</v>
      </c>
      <c r="CH94" s="33">
        <f t="shared" ca="1" si="35"/>
        <v>1</v>
      </c>
      <c r="CI94" s="33">
        <f t="shared" ca="1" si="36"/>
        <v>1</v>
      </c>
      <c r="CJ94" s="36">
        <f t="shared" ca="1" si="37"/>
        <v>100</v>
      </c>
      <c r="CK94" s="34">
        <f t="shared" si="38"/>
        <v>0</v>
      </c>
      <c r="CL94" s="21"/>
      <c r="CM94" s="35" t="str">
        <f t="shared" ca="1" si="39"/>
        <v>TERMINADO</v>
      </c>
      <c r="CN94" s="82"/>
      <c r="CO94" s="145" t="s">
        <v>923</v>
      </c>
      <c r="CP94" s="26" t="s">
        <v>142</v>
      </c>
    </row>
    <row r="95" spans="1:94" ht="24.75" customHeight="1">
      <c r="A95" s="48" t="s">
        <v>924</v>
      </c>
      <c r="B95" s="77" t="s">
        <v>925</v>
      </c>
      <c r="C95" s="17" t="s">
        <v>104</v>
      </c>
      <c r="D95" s="18" t="s">
        <v>926</v>
      </c>
      <c r="E95" s="17" t="s">
        <v>106</v>
      </c>
      <c r="F95" s="17" t="s">
        <v>107</v>
      </c>
      <c r="G95" s="17" t="s">
        <v>108</v>
      </c>
      <c r="H95" s="78">
        <v>1026278173</v>
      </c>
      <c r="I95" s="74" t="s">
        <v>927</v>
      </c>
      <c r="J95" s="16"/>
      <c r="K95" s="16"/>
      <c r="L95" s="20" t="s">
        <v>928</v>
      </c>
      <c r="M95" s="16" t="s">
        <v>111</v>
      </c>
      <c r="N95" s="22">
        <v>45301</v>
      </c>
      <c r="O95" s="22">
        <v>45302</v>
      </c>
      <c r="P95" s="22">
        <v>45656</v>
      </c>
      <c r="Q95" s="23">
        <f t="shared" si="27"/>
        <v>354</v>
      </c>
      <c r="R95" s="17" t="s">
        <v>242</v>
      </c>
      <c r="S95" s="16" t="s">
        <v>929</v>
      </c>
      <c r="T95" s="16" t="s">
        <v>343</v>
      </c>
      <c r="U95" s="67">
        <v>106152521</v>
      </c>
      <c r="V95" s="16" t="s">
        <v>344</v>
      </c>
      <c r="W95" s="224">
        <v>106152521</v>
      </c>
      <c r="X95" s="24">
        <v>9072865</v>
      </c>
      <c r="Y95" s="24"/>
      <c r="Z95" s="24"/>
      <c r="AA95" s="17" t="s">
        <v>116</v>
      </c>
      <c r="AB95" s="23" t="str">
        <f>IFERROR(VLOOKUP(AA95,Listas!$A$1:$C$14,2,FALSE),"")</f>
        <v>FREDY CÉSPEDES VILLA</v>
      </c>
      <c r="AC95" s="23">
        <f>IFERROR(VLOOKUP(AA95,Listas!$A$1:$C$14,3,FALSE),"")</f>
        <v>93363483</v>
      </c>
      <c r="AD95" s="17" t="s">
        <v>345</v>
      </c>
      <c r="AE95" s="17" t="s">
        <v>346</v>
      </c>
      <c r="AF95" s="23" t="str">
        <f>IFERROR(VLOOKUP(AE95,Listas!$AD$1:$AF$66,2,FALSE),"")</f>
        <v>RODOLFO GIOVANNI CANCHILA SUÁREZ</v>
      </c>
      <c r="AG95" s="23">
        <f>IFERROR(VLOOKUP(AE95,Listas!$AD$1:$AF$65,3,FALSE),"")</f>
        <v>79672493</v>
      </c>
      <c r="AH95" s="17" t="s">
        <v>118</v>
      </c>
      <c r="AI95" s="65" t="s">
        <v>930</v>
      </c>
      <c r="AJ95" s="25" t="s">
        <v>119</v>
      </c>
      <c r="AK95" s="26" t="s">
        <v>120</v>
      </c>
      <c r="AL95" s="26" t="s">
        <v>120</v>
      </c>
      <c r="AM95" s="90" t="s">
        <v>119</v>
      </c>
      <c r="AN95" s="105">
        <v>33655</v>
      </c>
      <c r="AO95" s="91">
        <f t="shared" ca="1" si="40"/>
        <v>33</v>
      </c>
      <c r="AP95" s="26" t="s">
        <v>121</v>
      </c>
      <c r="AQ95" s="26" t="s">
        <v>347</v>
      </c>
      <c r="AR95" s="89"/>
      <c r="AS95" s="27"/>
      <c r="AT95" s="16"/>
      <c r="AU95" s="27"/>
      <c r="AV95" s="86"/>
      <c r="AW95" s="27"/>
      <c r="AX95" s="27"/>
      <c r="AY95" s="27"/>
      <c r="AZ95" s="27"/>
      <c r="BA95" s="27"/>
      <c r="BB95" s="27"/>
      <c r="BC95" s="97"/>
      <c r="BD95" s="27"/>
      <c r="BE95" s="16"/>
      <c r="BF95" s="28">
        <f t="shared" si="29"/>
        <v>0</v>
      </c>
      <c r="BG95" s="29"/>
      <c r="BH95" s="27"/>
      <c r="BI95" s="30">
        <f t="shared" si="30"/>
        <v>354</v>
      </c>
      <c r="BJ95" s="31">
        <f t="shared" si="31"/>
        <v>45656</v>
      </c>
      <c r="BK95" s="27"/>
      <c r="BL95" s="16"/>
      <c r="BM95" s="27"/>
      <c r="BN95" s="16"/>
      <c r="BO95" s="27"/>
      <c r="BP95" s="16"/>
      <c r="BQ95" s="27"/>
      <c r="BR95" s="24"/>
      <c r="BS95" s="24"/>
      <c r="BT95" s="32"/>
      <c r="BU95" s="27"/>
      <c r="BV95" s="24"/>
      <c r="BW95" s="24"/>
      <c r="BX95" s="16"/>
      <c r="BY95" s="27"/>
      <c r="BZ95" s="24"/>
      <c r="CA95" s="24"/>
      <c r="CB95" s="16"/>
      <c r="CC95" s="49">
        <f t="shared" si="32"/>
        <v>0</v>
      </c>
      <c r="CD95" s="24"/>
      <c r="CE95" s="49">
        <f t="shared" si="33"/>
        <v>106152521</v>
      </c>
      <c r="CF95" s="50"/>
      <c r="CG95" s="49">
        <f t="shared" ca="1" si="34"/>
        <v>106152521</v>
      </c>
      <c r="CH95" s="33">
        <f t="shared" ca="1" si="35"/>
        <v>1</v>
      </c>
      <c r="CI95" s="33">
        <f t="shared" ca="1" si="36"/>
        <v>1</v>
      </c>
      <c r="CJ95" s="36">
        <f t="shared" ca="1" si="37"/>
        <v>100</v>
      </c>
      <c r="CK95" s="34">
        <f t="shared" si="38"/>
        <v>0</v>
      </c>
      <c r="CL95" s="21"/>
      <c r="CM95" s="35" t="str">
        <f t="shared" ca="1" si="39"/>
        <v>TERMINADO</v>
      </c>
      <c r="CN95" s="82"/>
      <c r="CO95" s="145" t="s">
        <v>931</v>
      </c>
      <c r="CP95" s="26" t="s">
        <v>123</v>
      </c>
    </row>
    <row r="96" spans="1:94" ht="24.75" customHeight="1">
      <c r="A96" s="48" t="s">
        <v>932</v>
      </c>
      <c r="B96" s="77" t="s">
        <v>933</v>
      </c>
      <c r="C96" s="17" t="s">
        <v>104</v>
      </c>
      <c r="D96" s="18" t="s">
        <v>934</v>
      </c>
      <c r="E96" s="17" t="s">
        <v>106</v>
      </c>
      <c r="F96" s="17" t="s">
        <v>107</v>
      </c>
      <c r="G96" s="17" t="s">
        <v>108</v>
      </c>
      <c r="H96" s="78">
        <v>79606436</v>
      </c>
      <c r="I96" s="74" t="s">
        <v>935</v>
      </c>
      <c r="J96" s="16"/>
      <c r="K96" s="16"/>
      <c r="L96" s="20" t="s">
        <v>936</v>
      </c>
      <c r="M96" s="16" t="s">
        <v>111</v>
      </c>
      <c r="N96" s="22">
        <v>45301</v>
      </c>
      <c r="O96" s="22">
        <v>45303</v>
      </c>
      <c r="P96" s="22">
        <v>45657</v>
      </c>
      <c r="Q96" s="23">
        <f t="shared" si="27"/>
        <v>354</v>
      </c>
      <c r="R96" s="17" t="s">
        <v>242</v>
      </c>
      <c r="S96" s="16" t="s">
        <v>937</v>
      </c>
      <c r="T96" s="16" t="s">
        <v>938</v>
      </c>
      <c r="U96" s="67">
        <v>108874383</v>
      </c>
      <c r="V96" s="16" t="s">
        <v>939</v>
      </c>
      <c r="W96" s="224">
        <v>108874383</v>
      </c>
      <c r="X96" s="24">
        <v>9072865</v>
      </c>
      <c r="Y96" s="24"/>
      <c r="Z96" s="24"/>
      <c r="AA96" s="17" t="s">
        <v>116</v>
      </c>
      <c r="AB96" s="23" t="str">
        <f>IFERROR(VLOOKUP(AA96,Listas!$A$1:$C$14,2,FALSE),"")</f>
        <v>FREDY CÉSPEDES VILLA</v>
      </c>
      <c r="AC96" s="23">
        <f>IFERROR(VLOOKUP(AA96,Listas!$A$1:$C$14,3,FALSE),"")</f>
        <v>93363483</v>
      </c>
      <c r="AD96" s="17" t="s">
        <v>116</v>
      </c>
      <c r="AE96" s="17" t="s">
        <v>940</v>
      </c>
      <c r="AF96" s="23" t="str">
        <f>IFERROR(VLOOKUP(AE96,Listas!$AD$1:$AF$66,2,FALSE),"")</f>
        <v>GERARDO ALONSO RODRÍGUEZ PINEDA</v>
      </c>
      <c r="AG96" s="23">
        <f>IFERROR(VLOOKUP(AE96,Listas!$AD$1:$AF$65,3,FALSE),"")</f>
        <v>79466595</v>
      </c>
      <c r="AH96" s="17" t="s">
        <v>118</v>
      </c>
      <c r="AI96" s="65" t="s">
        <v>941</v>
      </c>
      <c r="AJ96" s="25" t="s">
        <v>119</v>
      </c>
      <c r="AK96" s="26" t="s">
        <v>120</v>
      </c>
      <c r="AL96" s="26" t="s">
        <v>120</v>
      </c>
      <c r="AM96" s="90" t="s">
        <v>119</v>
      </c>
      <c r="AN96" s="105">
        <v>26581</v>
      </c>
      <c r="AO96" s="91">
        <f t="shared" ca="1" si="40"/>
        <v>53</v>
      </c>
      <c r="AP96" s="26" t="s">
        <v>121</v>
      </c>
      <c r="AQ96" s="26" t="s">
        <v>285</v>
      </c>
      <c r="AR96" s="89"/>
      <c r="AS96" s="27"/>
      <c r="AT96" s="16"/>
      <c r="AU96" s="27"/>
      <c r="AV96" s="86"/>
      <c r="AW96" s="27"/>
      <c r="AX96" s="27"/>
      <c r="AY96" s="27"/>
      <c r="AZ96" s="27"/>
      <c r="BA96" s="27"/>
      <c r="BB96" s="27"/>
      <c r="BC96" s="97"/>
      <c r="BD96" s="27"/>
      <c r="BE96" s="16"/>
      <c r="BF96" s="28">
        <f t="shared" si="29"/>
        <v>0</v>
      </c>
      <c r="BG96" s="29"/>
      <c r="BH96" s="27"/>
      <c r="BI96" s="30">
        <f t="shared" si="30"/>
        <v>354</v>
      </c>
      <c r="BJ96" s="31">
        <f t="shared" si="31"/>
        <v>45657</v>
      </c>
      <c r="BK96" s="27"/>
      <c r="BL96" s="16"/>
      <c r="BM96" s="27"/>
      <c r="BN96" s="16"/>
      <c r="BO96" s="27"/>
      <c r="BP96" s="16"/>
      <c r="BQ96" s="27"/>
      <c r="BR96" s="24"/>
      <c r="BS96" s="24"/>
      <c r="BT96" s="32"/>
      <c r="BU96" s="27"/>
      <c r="BV96" s="24"/>
      <c r="BW96" s="24"/>
      <c r="BX96" s="16"/>
      <c r="BY96" s="27"/>
      <c r="BZ96" s="24"/>
      <c r="CA96" s="24"/>
      <c r="CB96" s="16"/>
      <c r="CC96" s="49">
        <f t="shared" si="32"/>
        <v>0</v>
      </c>
      <c r="CD96" s="24"/>
      <c r="CE96" s="49">
        <f t="shared" si="33"/>
        <v>108874383</v>
      </c>
      <c r="CF96" s="50"/>
      <c r="CG96" s="49">
        <f t="shared" ca="1" si="34"/>
        <v>108874383</v>
      </c>
      <c r="CH96" s="33">
        <f t="shared" ca="1" si="35"/>
        <v>1</v>
      </c>
      <c r="CI96" s="33">
        <f t="shared" ca="1" si="36"/>
        <v>1</v>
      </c>
      <c r="CJ96" s="36">
        <f t="shared" ca="1" si="37"/>
        <v>100</v>
      </c>
      <c r="CK96" s="34">
        <f t="shared" si="38"/>
        <v>0</v>
      </c>
      <c r="CL96" s="21"/>
      <c r="CM96" s="35" t="str">
        <f t="shared" ca="1" si="39"/>
        <v>TERMINADO</v>
      </c>
      <c r="CN96" s="82"/>
      <c r="CO96" s="145" t="s">
        <v>942</v>
      </c>
      <c r="CP96" s="26" t="s">
        <v>142</v>
      </c>
    </row>
    <row r="97" spans="1:94" ht="24.75" customHeight="1">
      <c r="A97" s="48" t="s">
        <v>943</v>
      </c>
      <c r="B97" s="77" t="s">
        <v>944</v>
      </c>
      <c r="C97" s="17" t="s">
        <v>104</v>
      </c>
      <c r="D97" s="18" t="s">
        <v>945</v>
      </c>
      <c r="E97" s="17" t="s">
        <v>106</v>
      </c>
      <c r="F97" s="17" t="s">
        <v>107</v>
      </c>
      <c r="G97" s="17" t="s">
        <v>108</v>
      </c>
      <c r="H97" s="78">
        <v>1014229582</v>
      </c>
      <c r="I97" s="74" t="s">
        <v>946</v>
      </c>
      <c r="J97" s="16"/>
      <c r="K97" s="16"/>
      <c r="L97" s="96" t="s">
        <v>947</v>
      </c>
      <c r="M97" s="16" t="s">
        <v>111</v>
      </c>
      <c r="N97" s="22">
        <v>45301</v>
      </c>
      <c r="O97" s="22">
        <v>45308</v>
      </c>
      <c r="P97" s="22">
        <v>45656</v>
      </c>
      <c r="Q97" s="23">
        <f t="shared" si="27"/>
        <v>348</v>
      </c>
      <c r="R97" s="17" t="s">
        <v>242</v>
      </c>
      <c r="S97" s="16" t="s">
        <v>948</v>
      </c>
      <c r="T97" s="16" t="s">
        <v>949</v>
      </c>
      <c r="U97" s="67">
        <v>120000000</v>
      </c>
      <c r="V97" s="16" t="s">
        <v>950</v>
      </c>
      <c r="W97" s="224">
        <v>120000000</v>
      </c>
      <c r="X97" s="24">
        <v>10000000</v>
      </c>
      <c r="Y97" s="24"/>
      <c r="Z97" s="24"/>
      <c r="AA97" s="17" t="s">
        <v>116</v>
      </c>
      <c r="AB97" s="23" t="str">
        <f>IFERROR(VLOOKUP(AA97,Listas!$A$1:$C$14,2,FALSE),"")</f>
        <v>FREDY CÉSPEDES VILLA</v>
      </c>
      <c r="AC97" s="23">
        <f>IFERROR(VLOOKUP(AA97,Listas!$A$1:$C$14,3,FALSE),"")</f>
        <v>93363483</v>
      </c>
      <c r="AD97" s="17" t="s">
        <v>951</v>
      </c>
      <c r="AE97" s="17" t="s">
        <v>952</v>
      </c>
      <c r="AF97" s="23" t="str">
        <f>IFERROR(VLOOKUP(AE97,Listas!$AD$1:$AF$66,2,FALSE),"")</f>
        <v>ANDRES MAURICIO LUQUE AYALA</v>
      </c>
      <c r="AG97" s="23">
        <f>IFERROR(VLOOKUP(AE97,Listas!$AD$1:$AF$65,3,FALSE),"")</f>
        <v>11443937</v>
      </c>
      <c r="AH97" s="17" t="s">
        <v>118</v>
      </c>
      <c r="AI97" s="65" t="s">
        <v>953</v>
      </c>
      <c r="AJ97" s="25" t="s">
        <v>119</v>
      </c>
      <c r="AK97" s="26" t="s">
        <v>120</v>
      </c>
      <c r="AL97" s="26" t="s">
        <v>120</v>
      </c>
      <c r="AM97" s="90" t="s">
        <v>119</v>
      </c>
      <c r="AN97" s="105">
        <v>33594</v>
      </c>
      <c r="AO97" s="91">
        <f t="shared" ca="1" si="40"/>
        <v>34</v>
      </c>
      <c r="AP97" s="26" t="s">
        <v>121</v>
      </c>
      <c r="AQ97" s="26" t="s">
        <v>886</v>
      </c>
      <c r="AR97" s="89"/>
      <c r="AS97" s="27"/>
      <c r="AT97" s="16"/>
      <c r="AU97" s="27"/>
      <c r="AV97" s="86"/>
      <c r="AW97" s="27"/>
      <c r="AX97" s="27"/>
      <c r="AY97" s="27"/>
      <c r="AZ97" s="27"/>
      <c r="BA97" s="27"/>
      <c r="BB97" s="27"/>
      <c r="BC97" s="97"/>
      <c r="BD97" s="27"/>
      <c r="BE97" s="16"/>
      <c r="BF97" s="28">
        <f t="shared" si="29"/>
        <v>0</v>
      </c>
      <c r="BG97" s="29"/>
      <c r="BH97" s="27"/>
      <c r="BI97" s="30">
        <f t="shared" si="30"/>
        <v>348</v>
      </c>
      <c r="BJ97" s="31">
        <f t="shared" si="31"/>
        <v>45656</v>
      </c>
      <c r="BK97" s="27"/>
      <c r="BL97" s="16"/>
      <c r="BM97" s="27"/>
      <c r="BN97" s="16"/>
      <c r="BO97" s="27"/>
      <c r="BP97" s="16"/>
      <c r="BQ97" s="27"/>
      <c r="BR97" s="24"/>
      <c r="BS97" s="24"/>
      <c r="BT97" s="32"/>
      <c r="BU97" s="27"/>
      <c r="BV97" s="24"/>
      <c r="BW97" s="24"/>
      <c r="BX97" s="16"/>
      <c r="BY97" s="27"/>
      <c r="BZ97" s="24"/>
      <c r="CA97" s="24"/>
      <c r="CB97" s="16"/>
      <c r="CC97" s="49">
        <f t="shared" si="32"/>
        <v>0</v>
      </c>
      <c r="CD97" s="24"/>
      <c r="CE97" s="49">
        <f t="shared" si="33"/>
        <v>120000000</v>
      </c>
      <c r="CF97" s="50"/>
      <c r="CG97" s="49">
        <f t="shared" ca="1" si="34"/>
        <v>120000000</v>
      </c>
      <c r="CH97" s="33">
        <f t="shared" ca="1" si="35"/>
        <v>1</v>
      </c>
      <c r="CI97" s="33">
        <f t="shared" ca="1" si="36"/>
        <v>1</v>
      </c>
      <c r="CJ97" s="36">
        <f t="shared" ca="1" si="37"/>
        <v>100</v>
      </c>
      <c r="CK97" s="34">
        <f t="shared" si="38"/>
        <v>0</v>
      </c>
      <c r="CL97" s="21"/>
      <c r="CM97" s="35" t="str">
        <f t="shared" ca="1" si="39"/>
        <v>TERMINADO</v>
      </c>
      <c r="CN97" s="82"/>
      <c r="CO97" s="145" t="s">
        <v>954</v>
      </c>
      <c r="CP97" s="26" t="s">
        <v>142</v>
      </c>
    </row>
    <row r="98" spans="1:94" ht="24.75" customHeight="1">
      <c r="A98" s="109" t="s">
        <v>955</v>
      </c>
      <c r="B98" s="77" t="s">
        <v>956</v>
      </c>
      <c r="C98" s="17" t="s">
        <v>104</v>
      </c>
      <c r="D98" s="18" t="s">
        <v>957</v>
      </c>
      <c r="E98" s="17" t="s">
        <v>106</v>
      </c>
      <c r="F98" s="17" t="s">
        <v>107</v>
      </c>
      <c r="G98" s="17" t="s">
        <v>108</v>
      </c>
      <c r="H98" s="78">
        <v>1113654654</v>
      </c>
      <c r="I98" s="233" t="s">
        <v>958</v>
      </c>
      <c r="J98" s="16"/>
      <c r="K98" s="16"/>
      <c r="L98" s="20" t="s">
        <v>959</v>
      </c>
      <c r="M98" s="16" t="s">
        <v>111</v>
      </c>
      <c r="N98" s="22">
        <v>45301</v>
      </c>
      <c r="O98" s="22">
        <v>45303</v>
      </c>
      <c r="P98" s="22">
        <v>45656</v>
      </c>
      <c r="Q98" s="23">
        <f t="shared" ref="Q98:Q129" si="41">P98-O98</f>
        <v>353</v>
      </c>
      <c r="R98" s="17" t="s">
        <v>242</v>
      </c>
      <c r="S98" s="16" t="s">
        <v>960</v>
      </c>
      <c r="T98" s="65" t="s">
        <v>961</v>
      </c>
      <c r="U98" s="67">
        <v>52965912</v>
      </c>
      <c r="V98" s="16" t="s">
        <v>698</v>
      </c>
      <c r="W98" s="224">
        <v>52965912</v>
      </c>
      <c r="X98" s="24">
        <v>4413826</v>
      </c>
      <c r="Y98" s="24"/>
      <c r="Z98" s="24"/>
      <c r="AA98" s="17" t="s">
        <v>116</v>
      </c>
      <c r="AB98" s="23" t="str">
        <f>IFERROR(VLOOKUP(AA98,Listas!$A$1:$C$14,2,FALSE),"")</f>
        <v>FREDY CÉSPEDES VILLA</v>
      </c>
      <c r="AC98" s="23">
        <f>IFERROR(VLOOKUP(AA98,Listas!$A$1:$C$14,3,FALSE),"")</f>
        <v>93363483</v>
      </c>
      <c r="AD98" s="17" t="s">
        <v>406</v>
      </c>
      <c r="AE98" s="17" t="s">
        <v>504</v>
      </c>
      <c r="AF98" s="23" t="str">
        <f>IFERROR(VLOOKUP(AE98,Listas!$AD$1:$AF$66,2,FALSE),"")</f>
        <v>EDUARDO ELÍAS BARCHA BOLÍVAR</v>
      </c>
      <c r="AG98" s="23">
        <f>IFERROR(VLOOKUP(AE98,Listas!$AD$1:$AF$65,3,FALSE),"")</f>
        <v>72133921</v>
      </c>
      <c r="AH98" s="17" t="s">
        <v>118</v>
      </c>
      <c r="AI98" s="65" t="s">
        <v>962</v>
      </c>
      <c r="AJ98" s="25" t="s">
        <v>119</v>
      </c>
      <c r="AK98" s="26" t="s">
        <v>120</v>
      </c>
      <c r="AL98" s="26" t="s">
        <v>120</v>
      </c>
      <c r="AM98" s="90" t="s">
        <v>119</v>
      </c>
      <c r="AN98" s="105">
        <v>33588</v>
      </c>
      <c r="AO98" s="91">
        <f t="shared" ca="1" si="40"/>
        <v>34</v>
      </c>
      <c r="AP98" s="26" t="s">
        <v>121</v>
      </c>
      <c r="AQ98" s="26" t="s">
        <v>409</v>
      </c>
      <c r="AR98" s="89"/>
      <c r="AS98" s="27"/>
      <c r="AT98" s="16"/>
      <c r="AU98" s="27"/>
      <c r="AV98" s="86"/>
      <c r="AW98" s="27"/>
      <c r="AX98" s="27"/>
      <c r="AY98" s="27"/>
      <c r="AZ98" s="27"/>
      <c r="BA98" s="27"/>
      <c r="BB98" s="27"/>
      <c r="BC98" s="97"/>
      <c r="BD98" s="27"/>
      <c r="BE98" s="16"/>
      <c r="BF98" s="28">
        <f t="shared" ref="BF98:BF129" si="42">BC98+BE98</f>
        <v>0</v>
      </c>
      <c r="BG98" s="29"/>
      <c r="BH98" s="27"/>
      <c r="BI98" s="30">
        <f t="shared" ref="BI98:BI129" si="43">BF98+Q98</f>
        <v>353</v>
      </c>
      <c r="BJ98" s="31">
        <f t="shared" ref="BJ98:BJ129" si="44">IF(BH98="",P98+BF98,BH98)</f>
        <v>45656</v>
      </c>
      <c r="BK98" s="27"/>
      <c r="BL98" s="16"/>
      <c r="BM98" s="27"/>
      <c r="BN98" s="16"/>
      <c r="BO98" s="27"/>
      <c r="BP98" s="16"/>
      <c r="BQ98" s="27"/>
      <c r="BR98" s="24"/>
      <c r="BS98" s="24"/>
      <c r="BT98" s="32"/>
      <c r="BU98" s="27"/>
      <c r="BV98" s="24"/>
      <c r="BW98" s="24"/>
      <c r="BX98" s="16"/>
      <c r="BY98" s="27"/>
      <c r="BZ98" s="24"/>
      <c r="CA98" s="24"/>
      <c r="CB98" s="16"/>
      <c r="CC98" s="49">
        <f t="shared" ref="CC98:CC129" si="45">BR98+BV98+BZ98</f>
        <v>0</v>
      </c>
      <c r="CD98" s="24"/>
      <c r="CE98" s="49">
        <f t="shared" ref="CE98:CE129" si="46">IF(Y98=0,(W98+CC98)-CD98,IF(Y98&gt;0,(Y98+CC98)-CD98))</f>
        <v>52965912</v>
      </c>
      <c r="CF98" s="50"/>
      <c r="CG98" s="49">
        <f t="shared" ref="CG98:CG129" ca="1" si="47">IFERROR(IF(((CE98/BI98)*(TODAY()-N98))&gt;CE98,CE98,((CE98/BI98)*(TODAY()-N98))),"")</f>
        <v>52965912</v>
      </c>
      <c r="CH98" s="33">
        <f t="shared" ref="CH98:CH129" ca="1" si="48">IF(TODAY()&gt;BJ98,1,+(DAYS360(O98,TODAY())/DAYS360(O98,BJ98)))</f>
        <v>1</v>
      </c>
      <c r="CI98" s="33">
        <f t="shared" ref="CI98:CI129" ca="1" si="49">+IF(CL98&gt;0,DAYS360(O98,CL98)/DAYS360(O98,BJ98),CH98)</f>
        <v>1</v>
      </c>
      <c r="CJ98" s="36">
        <f t="shared" ref="CJ98:CJ129" ca="1" si="50">IFERROR(IF(((CG98/CE98)*100)&gt;100,100,((CG98/CE98)*100)),"")</f>
        <v>100</v>
      </c>
      <c r="CK98" s="34">
        <f t="shared" ref="CK98:CK129" si="51">IFERROR((CF98/CE98)*100,"")</f>
        <v>0</v>
      </c>
      <c r="CL98" s="21"/>
      <c r="CM98" s="35" t="str">
        <f t="shared" ref="CM98:CM129" ca="1" si="52">IF(CL98&gt;1/1/6,"LIQUIDADO",IF(BJ98=0,"",IF(BJ98&gt;=TODAY(),"VIGENTE",IF(BJ98&lt;TODAY(),"TERMINADO",))))</f>
        <v>TERMINADO</v>
      </c>
      <c r="CN98" s="82"/>
      <c r="CO98" s="145" t="s">
        <v>963</v>
      </c>
      <c r="CP98" s="26" t="s">
        <v>142</v>
      </c>
    </row>
    <row r="99" spans="1:94" ht="24.75" customHeight="1">
      <c r="A99" s="48" t="s">
        <v>964</v>
      </c>
      <c r="B99" s="77" t="s">
        <v>965</v>
      </c>
      <c r="C99" s="17" t="s">
        <v>104</v>
      </c>
      <c r="D99" s="18" t="s">
        <v>966</v>
      </c>
      <c r="E99" s="17" t="s">
        <v>106</v>
      </c>
      <c r="F99" s="17" t="s">
        <v>107</v>
      </c>
      <c r="G99" s="17" t="s">
        <v>108</v>
      </c>
      <c r="H99" s="78">
        <v>52056504</v>
      </c>
      <c r="I99" s="74" t="s">
        <v>967</v>
      </c>
      <c r="J99" s="16"/>
      <c r="K99" s="16"/>
      <c r="L99" s="20" t="s">
        <v>968</v>
      </c>
      <c r="M99" s="16" t="s">
        <v>111</v>
      </c>
      <c r="N99" s="22">
        <v>45301</v>
      </c>
      <c r="O99" s="22">
        <v>45306</v>
      </c>
      <c r="P99" s="22">
        <v>45657</v>
      </c>
      <c r="Q99" s="23">
        <f t="shared" si="41"/>
        <v>351</v>
      </c>
      <c r="R99" s="17" t="s">
        <v>242</v>
      </c>
      <c r="S99" s="16" t="s">
        <v>969</v>
      </c>
      <c r="T99" s="16" t="s">
        <v>970</v>
      </c>
      <c r="U99" s="67">
        <v>35862336</v>
      </c>
      <c r="V99" s="16" t="s">
        <v>971</v>
      </c>
      <c r="W99" s="224">
        <v>35862336</v>
      </c>
      <c r="X99" s="24">
        <v>3065157</v>
      </c>
      <c r="Y99" s="24"/>
      <c r="Z99" s="24"/>
      <c r="AA99" s="17" t="s">
        <v>116</v>
      </c>
      <c r="AB99" s="23" t="str">
        <f>IFERROR(VLOOKUP(AA99,Listas!$A$1:$C$14,2,FALSE),"")</f>
        <v>FREDY CÉSPEDES VILLA</v>
      </c>
      <c r="AC99" s="23">
        <f>IFERROR(VLOOKUP(AA99,Listas!$A$1:$C$14,3,FALSE),"")</f>
        <v>93363483</v>
      </c>
      <c r="AD99" s="17" t="s">
        <v>116</v>
      </c>
      <c r="AE99" s="17" t="s">
        <v>972</v>
      </c>
      <c r="AF99" s="23" t="str">
        <f>IFERROR(VLOOKUP(AE99,Listas!$AD$1:$AF$66,2,FALSE),"")</f>
        <v>LUZ MARIELLY MORALES MARTÍNEZ</v>
      </c>
      <c r="AG99" s="23">
        <f>IFERROR(VLOOKUP(AE99,Listas!$AD$1:$AF$65,3,FALSE),"")</f>
        <v>24497384</v>
      </c>
      <c r="AH99" s="17" t="s">
        <v>118</v>
      </c>
      <c r="AI99" s="65" t="s">
        <v>973</v>
      </c>
      <c r="AJ99" s="25" t="s">
        <v>119</v>
      </c>
      <c r="AK99" s="26" t="s">
        <v>120</v>
      </c>
      <c r="AL99" s="26" t="s">
        <v>120</v>
      </c>
      <c r="AM99" s="90" t="s">
        <v>119</v>
      </c>
      <c r="AN99" s="105">
        <v>26522</v>
      </c>
      <c r="AO99" s="91">
        <f t="shared" ca="1" si="40"/>
        <v>53</v>
      </c>
      <c r="AP99" s="26" t="s">
        <v>121</v>
      </c>
      <c r="AQ99" s="26" t="s">
        <v>285</v>
      </c>
      <c r="AR99" s="89"/>
      <c r="AS99" s="27"/>
      <c r="AT99" s="16"/>
      <c r="AU99" s="27"/>
      <c r="AV99" s="86"/>
      <c r="AW99" s="27"/>
      <c r="AX99" s="27"/>
      <c r="AY99" s="27"/>
      <c r="AZ99" s="27"/>
      <c r="BA99" s="27"/>
      <c r="BB99" s="27"/>
      <c r="BC99" s="97"/>
      <c r="BD99" s="27"/>
      <c r="BE99" s="16"/>
      <c r="BF99" s="28">
        <f t="shared" si="42"/>
        <v>0</v>
      </c>
      <c r="BG99" s="29"/>
      <c r="BH99" s="27"/>
      <c r="BI99" s="30">
        <f t="shared" si="43"/>
        <v>351</v>
      </c>
      <c r="BJ99" s="31">
        <f t="shared" si="44"/>
        <v>45657</v>
      </c>
      <c r="BK99" s="27"/>
      <c r="BL99" s="16"/>
      <c r="BM99" s="27"/>
      <c r="BN99" s="16"/>
      <c r="BO99" s="27"/>
      <c r="BP99" s="16"/>
      <c r="BQ99" s="27"/>
      <c r="BR99" s="24"/>
      <c r="BS99" s="24"/>
      <c r="BT99" s="32"/>
      <c r="BU99" s="27"/>
      <c r="BV99" s="24"/>
      <c r="BW99" s="24"/>
      <c r="BX99" s="16"/>
      <c r="BY99" s="27"/>
      <c r="BZ99" s="24"/>
      <c r="CA99" s="24"/>
      <c r="CB99" s="16"/>
      <c r="CC99" s="49">
        <f t="shared" si="45"/>
        <v>0</v>
      </c>
      <c r="CD99" s="24"/>
      <c r="CE99" s="49">
        <f t="shared" si="46"/>
        <v>35862336</v>
      </c>
      <c r="CF99" s="50"/>
      <c r="CG99" s="49">
        <f t="shared" ca="1" si="47"/>
        <v>35862336</v>
      </c>
      <c r="CH99" s="33">
        <f t="shared" ca="1" si="48"/>
        <v>1</v>
      </c>
      <c r="CI99" s="33">
        <f t="shared" ca="1" si="49"/>
        <v>1</v>
      </c>
      <c r="CJ99" s="36">
        <f t="shared" ca="1" si="50"/>
        <v>100</v>
      </c>
      <c r="CK99" s="34">
        <f t="shared" si="51"/>
        <v>0</v>
      </c>
      <c r="CL99" s="21"/>
      <c r="CM99" s="35" t="str">
        <f t="shared" ca="1" si="52"/>
        <v>TERMINADO</v>
      </c>
      <c r="CN99" s="82"/>
      <c r="CO99" s="145" t="s">
        <v>974</v>
      </c>
      <c r="CP99" s="26" t="s">
        <v>123</v>
      </c>
    </row>
    <row r="100" spans="1:94" ht="24.75" customHeight="1">
      <c r="A100" s="48" t="s">
        <v>975</v>
      </c>
      <c r="B100" s="77" t="s">
        <v>976</v>
      </c>
      <c r="C100" s="17" t="s">
        <v>104</v>
      </c>
      <c r="D100" s="18" t="s">
        <v>977</v>
      </c>
      <c r="E100" s="17" t="s">
        <v>106</v>
      </c>
      <c r="F100" s="17" t="s">
        <v>107</v>
      </c>
      <c r="G100" s="17" t="s">
        <v>108</v>
      </c>
      <c r="H100" s="78">
        <v>1075654936</v>
      </c>
      <c r="I100" s="74" t="s">
        <v>978</v>
      </c>
      <c r="J100" s="16"/>
      <c r="K100" s="16"/>
      <c r="L100" s="20" t="s">
        <v>979</v>
      </c>
      <c r="M100" s="16" t="s">
        <v>111</v>
      </c>
      <c r="N100" s="22">
        <v>45301</v>
      </c>
      <c r="O100" s="22">
        <v>45307</v>
      </c>
      <c r="P100" s="22">
        <v>45656</v>
      </c>
      <c r="Q100" s="23">
        <f t="shared" si="41"/>
        <v>349</v>
      </c>
      <c r="R100" s="17" t="s">
        <v>242</v>
      </c>
      <c r="S100" s="16" t="s">
        <v>980</v>
      </c>
      <c r="T100" s="16" t="s">
        <v>981</v>
      </c>
      <c r="U100" s="67">
        <v>153369516</v>
      </c>
      <c r="V100" s="16" t="s">
        <v>950</v>
      </c>
      <c r="W100" s="224">
        <v>153369516</v>
      </c>
      <c r="X100" s="24">
        <v>12780793</v>
      </c>
      <c r="Y100" s="24"/>
      <c r="Z100" s="24"/>
      <c r="AA100" s="17" t="s">
        <v>116</v>
      </c>
      <c r="AB100" s="23" t="str">
        <f>IFERROR(VLOOKUP(AA100,Listas!$A$1:$C$14,2,FALSE),"")</f>
        <v>FREDY CÉSPEDES VILLA</v>
      </c>
      <c r="AC100" s="23">
        <f>IFERROR(VLOOKUP(AA100,Listas!$A$1:$C$14,3,FALSE),"")</f>
        <v>93363483</v>
      </c>
      <c r="AD100" s="17" t="s">
        <v>951</v>
      </c>
      <c r="AE100" s="17" t="s">
        <v>952</v>
      </c>
      <c r="AF100" s="23" t="str">
        <f>IFERROR(VLOOKUP(AE100,Listas!$AD$1:$AF$66,2,FALSE),"")</f>
        <v>ANDRES MAURICIO LUQUE AYALA</v>
      </c>
      <c r="AG100" s="23">
        <f>IFERROR(VLOOKUP(AE100,Listas!$AD$1:$AF$65,3,FALSE),"")</f>
        <v>11443937</v>
      </c>
      <c r="AH100" s="17" t="s">
        <v>118</v>
      </c>
      <c r="AI100" s="65" t="s">
        <v>982</v>
      </c>
      <c r="AJ100" s="25" t="s">
        <v>119</v>
      </c>
      <c r="AK100" s="26" t="s">
        <v>120</v>
      </c>
      <c r="AL100" s="26" t="s">
        <v>120</v>
      </c>
      <c r="AM100" s="90" t="s">
        <v>119</v>
      </c>
      <c r="AN100" s="105">
        <v>32059</v>
      </c>
      <c r="AO100" s="91">
        <f t="shared" ca="1" si="40"/>
        <v>38</v>
      </c>
      <c r="AP100" s="26" t="s">
        <v>121</v>
      </c>
      <c r="AQ100" s="26" t="s">
        <v>886</v>
      </c>
      <c r="AR100" s="89"/>
      <c r="AS100" s="27"/>
      <c r="AT100" s="16"/>
      <c r="AU100" s="27"/>
      <c r="AV100" s="86"/>
      <c r="AW100" s="27"/>
      <c r="AX100" s="27"/>
      <c r="AY100" s="27"/>
      <c r="AZ100" s="27"/>
      <c r="BA100" s="27"/>
      <c r="BB100" s="27"/>
      <c r="BC100" s="97"/>
      <c r="BD100" s="27"/>
      <c r="BE100" s="16"/>
      <c r="BF100" s="28">
        <f t="shared" si="42"/>
        <v>0</v>
      </c>
      <c r="BG100" s="29"/>
      <c r="BH100" s="27"/>
      <c r="BI100" s="30">
        <f t="shared" si="43"/>
        <v>349</v>
      </c>
      <c r="BJ100" s="31">
        <f t="shared" si="44"/>
        <v>45656</v>
      </c>
      <c r="BK100" s="27"/>
      <c r="BL100" s="16"/>
      <c r="BM100" s="27"/>
      <c r="BN100" s="16"/>
      <c r="BO100" s="27"/>
      <c r="BP100" s="16"/>
      <c r="BQ100" s="27"/>
      <c r="BR100" s="24"/>
      <c r="BS100" s="24"/>
      <c r="BT100" s="32"/>
      <c r="BU100" s="27"/>
      <c r="BV100" s="24"/>
      <c r="BW100" s="24"/>
      <c r="BX100" s="16"/>
      <c r="BY100" s="27"/>
      <c r="BZ100" s="24"/>
      <c r="CA100" s="24"/>
      <c r="CB100" s="16"/>
      <c r="CC100" s="49">
        <f t="shared" si="45"/>
        <v>0</v>
      </c>
      <c r="CD100" s="24"/>
      <c r="CE100" s="49">
        <f t="shared" si="46"/>
        <v>153369516</v>
      </c>
      <c r="CF100" s="50"/>
      <c r="CG100" s="49">
        <f t="shared" ca="1" si="47"/>
        <v>153369516</v>
      </c>
      <c r="CH100" s="33">
        <f t="shared" ca="1" si="48"/>
        <v>1</v>
      </c>
      <c r="CI100" s="33">
        <f t="shared" ca="1" si="49"/>
        <v>1</v>
      </c>
      <c r="CJ100" s="36">
        <f t="shared" ca="1" si="50"/>
        <v>100</v>
      </c>
      <c r="CK100" s="34">
        <f t="shared" si="51"/>
        <v>0</v>
      </c>
      <c r="CL100" s="21"/>
      <c r="CM100" s="35" t="str">
        <f t="shared" ca="1" si="52"/>
        <v>TERMINADO</v>
      </c>
      <c r="CN100" s="82"/>
      <c r="CO100" s="145" t="s">
        <v>983</v>
      </c>
      <c r="CP100" s="26" t="s">
        <v>142</v>
      </c>
    </row>
    <row r="101" spans="1:94" ht="24.75" customHeight="1">
      <c r="A101" s="48" t="s">
        <v>984</v>
      </c>
      <c r="B101" s="77" t="s">
        <v>985</v>
      </c>
      <c r="C101" s="17" t="s">
        <v>104</v>
      </c>
      <c r="D101" s="18" t="s">
        <v>986</v>
      </c>
      <c r="E101" s="17" t="s">
        <v>106</v>
      </c>
      <c r="F101" s="17" t="s">
        <v>107</v>
      </c>
      <c r="G101" s="17" t="s">
        <v>108</v>
      </c>
      <c r="H101" s="78">
        <v>1085034158</v>
      </c>
      <c r="I101" s="74" t="s">
        <v>987</v>
      </c>
      <c r="J101" s="16"/>
      <c r="K101" s="16"/>
      <c r="L101" s="20" t="s">
        <v>988</v>
      </c>
      <c r="M101" s="16" t="s">
        <v>111</v>
      </c>
      <c r="N101" s="22">
        <v>45302</v>
      </c>
      <c r="O101" s="22">
        <v>45306</v>
      </c>
      <c r="P101" s="22">
        <v>45657</v>
      </c>
      <c r="Q101" s="23">
        <f t="shared" si="41"/>
        <v>351</v>
      </c>
      <c r="R101" s="17" t="s">
        <v>112</v>
      </c>
      <c r="S101" s="16" t="s">
        <v>989</v>
      </c>
      <c r="T101" s="16" t="s">
        <v>114</v>
      </c>
      <c r="U101" s="67">
        <v>103145761</v>
      </c>
      <c r="V101" s="16" t="s">
        <v>115</v>
      </c>
      <c r="W101" s="224">
        <v>103145761</v>
      </c>
      <c r="X101" s="24">
        <v>8595480</v>
      </c>
      <c r="Y101" s="24"/>
      <c r="Z101" s="24"/>
      <c r="AA101" s="17" t="s">
        <v>116</v>
      </c>
      <c r="AB101" s="23" t="str">
        <f>IFERROR(VLOOKUP(AA101,Listas!$A$1:$C$14,2,FALSE),"")</f>
        <v>FREDY CÉSPEDES VILLA</v>
      </c>
      <c r="AC101" s="23">
        <f>IFERROR(VLOOKUP(AA101,Listas!$A$1:$C$14,3,FALSE),"")</f>
        <v>93363483</v>
      </c>
      <c r="AD101" s="17" t="s">
        <v>116</v>
      </c>
      <c r="AE101" s="17" t="s">
        <v>743</v>
      </c>
      <c r="AF101" s="23" t="str">
        <f>IFERROR(VLOOKUP(AE101,Listas!$AD$1:$AF$66,2,FALSE),"")</f>
        <v>FREDY CÉSPEDES VILLA</v>
      </c>
      <c r="AG101" s="23">
        <f>IFERROR(VLOOKUP(AE101,Listas!$AD$1:$AF$65,3,FALSE),"")</f>
        <v>93363483</v>
      </c>
      <c r="AH101" s="17" t="s">
        <v>118</v>
      </c>
      <c r="AI101" s="65" t="s">
        <v>990</v>
      </c>
      <c r="AJ101" s="25" t="s">
        <v>119</v>
      </c>
      <c r="AK101" s="26" t="s">
        <v>120</v>
      </c>
      <c r="AL101" s="26" t="s">
        <v>120</v>
      </c>
      <c r="AM101" s="90" t="s">
        <v>119</v>
      </c>
      <c r="AN101" s="105">
        <v>31444</v>
      </c>
      <c r="AO101" s="91">
        <f t="shared" ca="1" si="40"/>
        <v>39</v>
      </c>
      <c r="AP101" s="26" t="s">
        <v>121</v>
      </c>
      <c r="AQ101" s="26" t="s">
        <v>122</v>
      </c>
      <c r="AR101" s="89"/>
      <c r="AS101" s="27"/>
      <c r="AT101" s="16"/>
      <c r="AU101" s="27"/>
      <c r="AV101" s="86"/>
      <c r="AW101" s="27"/>
      <c r="AX101" s="27"/>
      <c r="AY101" s="27"/>
      <c r="AZ101" s="27"/>
      <c r="BA101" s="27"/>
      <c r="BB101" s="27"/>
      <c r="BC101" s="97"/>
      <c r="BD101" s="27"/>
      <c r="BE101" s="16"/>
      <c r="BF101" s="28">
        <f t="shared" si="42"/>
        <v>0</v>
      </c>
      <c r="BG101" s="29"/>
      <c r="BH101" s="27"/>
      <c r="BI101" s="30">
        <f t="shared" si="43"/>
        <v>351</v>
      </c>
      <c r="BJ101" s="31">
        <f t="shared" si="44"/>
        <v>45657</v>
      </c>
      <c r="BK101" s="27"/>
      <c r="BL101" s="16"/>
      <c r="BM101" s="27"/>
      <c r="BN101" s="16"/>
      <c r="BO101" s="27"/>
      <c r="BP101" s="16"/>
      <c r="BQ101" s="27"/>
      <c r="BR101" s="24"/>
      <c r="BS101" s="24"/>
      <c r="BT101" s="32"/>
      <c r="BU101" s="27"/>
      <c r="BV101" s="24"/>
      <c r="BW101" s="24"/>
      <c r="BX101" s="16"/>
      <c r="BY101" s="27"/>
      <c r="BZ101" s="24"/>
      <c r="CA101" s="24"/>
      <c r="CB101" s="16"/>
      <c r="CC101" s="49">
        <f t="shared" si="45"/>
        <v>0</v>
      </c>
      <c r="CD101" s="24"/>
      <c r="CE101" s="49">
        <f t="shared" si="46"/>
        <v>103145761</v>
      </c>
      <c r="CF101" s="50"/>
      <c r="CG101" s="49">
        <f t="shared" ca="1" si="47"/>
        <v>103145761</v>
      </c>
      <c r="CH101" s="33">
        <f t="shared" ca="1" si="48"/>
        <v>1</v>
      </c>
      <c r="CI101" s="33">
        <f t="shared" ca="1" si="49"/>
        <v>1</v>
      </c>
      <c r="CJ101" s="36">
        <f t="shared" ca="1" si="50"/>
        <v>100</v>
      </c>
      <c r="CK101" s="34">
        <f t="shared" si="51"/>
        <v>0</v>
      </c>
      <c r="CL101" s="21"/>
      <c r="CM101" s="35" t="str">
        <f t="shared" ca="1" si="52"/>
        <v>TERMINADO</v>
      </c>
      <c r="CN101" s="82"/>
      <c r="CP101" s="26" t="s">
        <v>123</v>
      </c>
    </row>
    <row r="102" spans="1:94" ht="24.75" customHeight="1">
      <c r="A102" s="48" t="s">
        <v>991</v>
      </c>
      <c r="B102" s="77" t="s">
        <v>992</v>
      </c>
      <c r="C102" s="17" t="s">
        <v>104</v>
      </c>
      <c r="D102" s="18" t="s">
        <v>993</v>
      </c>
      <c r="E102" s="17" t="s">
        <v>106</v>
      </c>
      <c r="F102" s="17" t="s">
        <v>107</v>
      </c>
      <c r="G102" s="17" t="s">
        <v>108</v>
      </c>
      <c r="H102" s="78">
        <v>1070958842</v>
      </c>
      <c r="I102" s="74" t="s">
        <v>994</v>
      </c>
      <c r="J102" s="16"/>
      <c r="K102" s="16"/>
      <c r="L102" s="20" t="s">
        <v>995</v>
      </c>
      <c r="M102" s="16" t="s">
        <v>111</v>
      </c>
      <c r="N102" s="22">
        <v>45302</v>
      </c>
      <c r="O102" s="22">
        <v>45303</v>
      </c>
      <c r="P102" s="22">
        <v>45656</v>
      </c>
      <c r="Q102" s="23">
        <f t="shared" si="41"/>
        <v>353</v>
      </c>
      <c r="R102" s="17" t="s">
        <v>242</v>
      </c>
      <c r="S102" s="16" t="s">
        <v>996</v>
      </c>
      <c r="T102" s="16" t="s">
        <v>997</v>
      </c>
      <c r="U102" s="67">
        <v>84963333</v>
      </c>
      <c r="V102" s="16" t="s">
        <v>815</v>
      </c>
      <c r="W102" s="224">
        <v>84963333</v>
      </c>
      <c r="X102" s="24">
        <v>7100000</v>
      </c>
      <c r="Y102" s="24"/>
      <c r="Z102" s="24"/>
      <c r="AA102" s="17" t="s">
        <v>116</v>
      </c>
      <c r="AB102" s="23" t="str">
        <f>IFERROR(VLOOKUP(AA102,Listas!$A$1:$C$14,2,FALSE),"")</f>
        <v>FREDY CÉSPEDES VILLA</v>
      </c>
      <c r="AC102" s="23">
        <f>IFERROR(VLOOKUP(AA102,Listas!$A$1:$C$14,3,FALSE),"")</f>
        <v>93363483</v>
      </c>
      <c r="AD102" s="17" t="s">
        <v>816</v>
      </c>
      <c r="AE102" s="17" t="s">
        <v>817</v>
      </c>
      <c r="AF102" s="23" t="str">
        <f>IFERROR(VLOOKUP(AE102,Listas!$AD$1:$AF$66,2,FALSE),"")</f>
        <v>JOSÉ EDUARDO PARADA JIMÉNEZ</v>
      </c>
      <c r="AG102" s="23">
        <f>IFERROR(VLOOKUP(AE102,Listas!$AD$1:$AF$65,3,FALSE),"")</f>
        <v>79434805</v>
      </c>
      <c r="AH102" s="17" t="s">
        <v>118</v>
      </c>
      <c r="AI102" s="65" t="s">
        <v>998</v>
      </c>
      <c r="AJ102" s="25" t="s">
        <v>119</v>
      </c>
      <c r="AK102" s="26" t="s">
        <v>120</v>
      </c>
      <c r="AL102" s="26" t="s">
        <v>120</v>
      </c>
      <c r="AM102" s="90" t="s">
        <v>119</v>
      </c>
      <c r="AN102" s="105">
        <v>33140</v>
      </c>
      <c r="AO102" s="91">
        <f t="shared" ca="1" si="40"/>
        <v>35</v>
      </c>
      <c r="AP102" s="26" t="s">
        <v>121</v>
      </c>
      <c r="AQ102" s="26" t="s">
        <v>819</v>
      </c>
      <c r="AR102" s="89"/>
      <c r="AS102" s="27"/>
      <c r="AT102" s="16"/>
      <c r="AU102" s="27"/>
      <c r="AV102" s="86"/>
      <c r="AW102" s="27"/>
      <c r="AX102" s="27"/>
      <c r="AY102" s="27"/>
      <c r="AZ102" s="27"/>
      <c r="BA102" s="27"/>
      <c r="BB102" s="27"/>
      <c r="BC102" s="97"/>
      <c r="BD102" s="27"/>
      <c r="BE102" s="16"/>
      <c r="BF102" s="28">
        <f t="shared" si="42"/>
        <v>0</v>
      </c>
      <c r="BG102" s="29"/>
      <c r="BH102" s="27"/>
      <c r="BI102" s="30">
        <f t="shared" si="43"/>
        <v>353</v>
      </c>
      <c r="BJ102" s="31">
        <f t="shared" si="44"/>
        <v>45656</v>
      </c>
      <c r="BK102" s="27"/>
      <c r="BL102" s="16"/>
      <c r="BM102" s="27"/>
      <c r="BN102" s="16"/>
      <c r="BO102" s="27"/>
      <c r="BP102" s="16"/>
      <c r="BQ102" s="27"/>
      <c r="BR102" s="24"/>
      <c r="BS102" s="24"/>
      <c r="BT102" s="32"/>
      <c r="BU102" s="27"/>
      <c r="BV102" s="24"/>
      <c r="BW102" s="24"/>
      <c r="BX102" s="16"/>
      <c r="BY102" s="27"/>
      <c r="BZ102" s="24"/>
      <c r="CA102" s="24"/>
      <c r="CB102" s="16"/>
      <c r="CC102" s="49">
        <f t="shared" si="45"/>
        <v>0</v>
      </c>
      <c r="CD102" s="24"/>
      <c r="CE102" s="49">
        <f t="shared" si="46"/>
        <v>84963333</v>
      </c>
      <c r="CF102" s="50"/>
      <c r="CG102" s="49">
        <f t="shared" ca="1" si="47"/>
        <v>84963333</v>
      </c>
      <c r="CH102" s="33">
        <f t="shared" ca="1" si="48"/>
        <v>1</v>
      </c>
      <c r="CI102" s="33">
        <f t="shared" ca="1" si="49"/>
        <v>1</v>
      </c>
      <c r="CJ102" s="36">
        <f t="shared" ca="1" si="50"/>
        <v>100</v>
      </c>
      <c r="CK102" s="34">
        <f t="shared" si="51"/>
        <v>0</v>
      </c>
      <c r="CL102" s="21"/>
      <c r="CM102" s="35" t="str">
        <f t="shared" ca="1" si="52"/>
        <v>TERMINADO</v>
      </c>
      <c r="CN102" s="82"/>
      <c r="CO102" s="145" t="s">
        <v>999</v>
      </c>
      <c r="CP102" s="26" t="s">
        <v>142</v>
      </c>
    </row>
    <row r="103" spans="1:94" ht="24.75" customHeight="1">
      <c r="A103" s="48" t="s">
        <v>1000</v>
      </c>
      <c r="B103" s="77" t="s">
        <v>1001</v>
      </c>
      <c r="C103" s="17" t="s">
        <v>104</v>
      </c>
      <c r="D103" s="18" t="s">
        <v>1002</v>
      </c>
      <c r="E103" s="17" t="s">
        <v>106</v>
      </c>
      <c r="F103" s="17" t="s">
        <v>107</v>
      </c>
      <c r="G103" s="17" t="s">
        <v>108</v>
      </c>
      <c r="H103" s="78">
        <v>1032361713</v>
      </c>
      <c r="I103" s="74" t="s">
        <v>1003</v>
      </c>
      <c r="J103" s="16"/>
      <c r="K103" s="16"/>
      <c r="L103" s="20" t="s">
        <v>1004</v>
      </c>
      <c r="M103" s="16" t="s">
        <v>111</v>
      </c>
      <c r="N103" s="22">
        <v>45303</v>
      </c>
      <c r="O103" s="22">
        <v>45309</v>
      </c>
      <c r="P103" s="22">
        <v>45490</v>
      </c>
      <c r="Q103" s="23">
        <f t="shared" si="41"/>
        <v>181</v>
      </c>
      <c r="R103" s="17" t="s">
        <v>112</v>
      </c>
      <c r="S103" s="16" t="s">
        <v>1005</v>
      </c>
      <c r="T103" s="16" t="s">
        <v>114</v>
      </c>
      <c r="U103" s="67">
        <v>42561786</v>
      </c>
      <c r="V103" s="16" t="s">
        <v>115</v>
      </c>
      <c r="W103" s="224">
        <v>42561786</v>
      </c>
      <c r="X103" s="24">
        <v>7093631</v>
      </c>
      <c r="Y103" s="24"/>
      <c r="Z103" s="24"/>
      <c r="AA103" s="17" t="s">
        <v>116</v>
      </c>
      <c r="AB103" s="23" t="str">
        <f>IFERROR(VLOOKUP(AA103,Listas!$A$1:$C$14,2,FALSE),"")</f>
        <v>FREDY CÉSPEDES VILLA</v>
      </c>
      <c r="AC103" s="23">
        <f>IFERROR(VLOOKUP(AA103,Listas!$A$1:$C$14,3,FALSE),"")</f>
        <v>93363483</v>
      </c>
      <c r="AD103" s="17" t="s">
        <v>116</v>
      </c>
      <c r="AE103" s="17" t="s">
        <v>325</v>
      </c>
      <c r="AF103" s="23" t="str">
        <f>IFERROR(VLOOKUP(AE103,Listas!$AD$1:$AF$66,2,FALSE),"")</f>
        <v>SANDRA MILENA MÁRQUEZ PARRA</v>
      </c>
      <c r="AG103" s="23">
        <f>IFERROR(VLOOKUP(AE103,Listas!$AD$1:$AF$65,3,FALSE),"")</f>
        <v>52487587</v>
      </c>
      <c r="AH103" s="17" t="s">
        <v>118</v>
      </c>
      <c r="AI103" s="65" t="s">
        <v>1006</v>
      </c>
      <c r="AJ103" s="25" t="s">
        <v>119</v>
      </c>
      <c r="AK103" s="26" t="s">
        <v>120</v>
      </c>
      <c r="AL103" s="26" t="s">
        <v>120</v>
      </c>
      <c r="AM103" s="90" t="s">
        <v>119</v>
      </c>
      <c r="AN103" s="105">
        <v>31528</v>
      </c>
      <c r="AO103" s="91">
        <f t="shared" ca="1" si="40"/>
        <v>39</v>
      </c>
      <c r="AP103" s="26" t="s">
        <v>121</v>
      </c>
      <c r="AQ103" s="26" t="s">
        <v>327</v>
      </c>
      <c r="AR103" s="89"/>
      <c r="AS103" s="27"/>
      <c r="AT103" s="16"/>
      <c r="AU103" s="27"/>
      <c r="AV103" s="86"/>
      <c r="AW103" s="27"/>
      <c r="AX103" s="27"/>
      <c r="AY103" s="27"/>
      <c r="AZ103" s="27"/>
      <c r="BA103" s="27"/>
      <c r="BB103" s="27"/>
      <c r="BC103" s="97"/>
      <c r="BD103" s="27"/>
      <c r="BE103" s="16"/>
      <c r="BF103" s="28">
        <f t="shared" si="42"/>
        <v>0</v>
      </c>
      <c r="BG103" s="29"/>
      <c r="BH103" s="27"/>
      <c r="BI103" s="30">
        <f t="shared" si="43"/>
        <v>181</v>
      </c>
      <c r="BJ103" s="31">
        <f t="shared" si="44"/>
        <v>45490</v>
      </c>
      <c r="BK103" s="27"/>
      <c r="BL103" s="16"/>
      <c r="BM103" s="27"/>
      <c r="BN103" s="16"/>
      <c r="BO103" s="27"/>
      <c r="BP103" s="16"/>
      <c r="BQ103" s="27"/>
      <c r="BR103" s="24"/>
      <c r="BS103" s="24"/>
      <c r="BT103" s="32"/>
      <c r="BU103" s="27"/>
      <c r="BV103" s="24"/>
      <c r="BW103" s="24"/>
      <c r="BX103" s="16"/>
      <c r="BY103" s="27"/>
      <c r="BZ103" s="24"/>
      <c r="CA103" s="24"/>
      <c r="CB103" s="16"/>
      <c r="CC103" s="49">
        <f t="shared" si="45"/>
        <v>0</v>
      </c>
      <c r="CD103" s="24"/>
      <c r="CE103" s="49">
        <f t="shared" si="46"/>
        <v>42561786</v>
      </c>
      <c r="CF103" s="50"/>
      <c r="CG103" s="49">
        <f t="shared" ca="1" si="47"/>
        <v>42561786</v>
      </c>
      <c r="CH103" s="33">
        <f t="shared" ca="1" si="48"/>
        <v>1</v>
      </c>
      <c r="CI103" s="33">
        <f t="shared" ca="1" si="49"/>
        <v>1</v>
      </c>
      <c r="CJ103" s="36">
        <f t="shared" ca="1" si="50"/>
        <v>100</v>
      </c>
      <c r="CK103" s="34">
        <f t="shared" si="51"/>
        <v>0</v>
      </c>
      <c r="CL103" s="21"/>
      <c r="CM103" s="35" t="str">
        <f t="shared" ca="1" si="52"/>
        <v>TERMINADO</v>
      </c>
      <c r="CN103" s="82"/>
      <c r="CO103" s="145" t="s">
        <v>1007</v>
      </c>
      <c r="CP103" s="26" t="s">
        <v>123</v>
      </c>
    </row>
    <row r="104" spans="1:94" ht="24.75" customHeight="1">
      <c r="A104" s="48" t="s">
        <v>1008</v>
      </c>
      <c r="B104" s="77" t="s">
        <v>1009</v>
      </c>
      <c r="C104" s="17" t="s">
        <v>104</v>
      </c>
      <c r="D104" s="18" t="s">
        <v>1010</v>
      </c>
      <c r="E104" s="17" t="s">
        <v>106</v>
      </c>
      <c r="F104" s="17" t="s">
        <v>107</v>
      </c>
      <c r="G104" s="17" t="s">
        <v>108</v>
      </c>
      <c r="H104" s="78">
        <v>1018467956</v>
      </c>
      <c r="I104" s="74" t="s">
        <v>1011</v>
      </c>
      <c r="J104" s="16"/>
      <c r="K104" s="16"/>
      <c r="L104" s="20" t="s">
        <v>1012</v>
      </c>
      <c r="M104" s="16" t="s">
        <v>111</v>
      </c>
      <c r="N104" s="22">
        <v>45302</v>
      </c>
      <c r="O104" s="22">
        <v>45310</v>
      </c>
      <c r="P104" s="22">
        <v>45656</v>
      </c>
      <c r="Q104" s="23">
        <f t="shared" si="41"/>
        <v>346</v>
      </c>
      <c r="R104" s="17" t="s">
        <v>242</v>
      </c>
      <c r="S104" s="16" t="s">
        <v>1013</v>
      </c>
      <c r="T104" s="16" t="s">
        <v>1014</v>
      </c>
      <c r="U104" s="67">
        <v>84000000</v>
      </c>
      <c r="V104" s="16" t="s">
        <v>950</v>
      </c>
      <c r="W104" s="224">
        <v>84000000</v>
      </c>
      <c r="X104" s="24">
        <v>7000000</v>
      </c>
      <c r="Y104" s="24"/>
      <c r="Z104" s="24"/>
      <c r="AA104" s="17" t="s">
        <v>116</v>
      </c>
      <c r="AB104" s="23" t="str">
        <f>IFERROR(VLOOKUP(AA104,Listas!$A$1:$C$14,2,FALSE),"")</f>
        <v>FREDY CÉSPEDES VILLA</v>
      </c>
      <c r="AC104" s="23">
        <f>IFERROR(VLOOKUP(AA104,Listas!$A$1:$C$14,3,FALSE),"")</f>
        <v>93363483</v>
      </c>
      <c r="AD104" s="17" t="s">
        <v>951</v>
      </c>
      <c r="AE104" s="17" t="s">
        <v>952</v>
      </c>
      <c r="AF104" s="23" t="str">
        <f>IFERROR(VLOOKUP(AE104,Listas!$AD$1:$AF$66,2,FALSE),"")</f>
        <v>ANDRES MAURICIO LUQUE AYALA</v>
      </c>
      <c r="AG104" s="23">
        <f>IFERROR(VLOOKUP(AE104,Listas!$AD$1:$AF$65,3,FALSE),"")</f>
        <v>11443937</v>
      </c>
      <c r="AH104" s="17" t="s">
        <v>118</v>
      </c>
      <c r="AI104" s="65" t="s">
        <v>1015</v>
      </c>
      <c r="AJ104" s="25" t="s">
        <v>119</v>
      </c>
      <c r="AK104" s="26" t="s">
        <v>120</v>
      </c>
      <c r="AL104" s="26" t="s">
        <v>120</v>
      </c>
      <c r="AM104" s="90" t="s">
        <v>119</v>
      </c>
      <c r="AN104" s="105">
        <v>34525</v>
      </c>
      <c r="AO104" s="91">
        <f t="shared" ca="1" si="40"/>
        <v>31</v>
      </c>
      <c r="AP104" s="26" t="s">
        <v>121</v>
      </c>
      <c r="AQ104" s="26" t="s">
        <v>886</v>
      </c>
      <c r="AR104" s="89"/>
      <c r="AS104" s="27"/>
      <c r="AT104" s="16"/>
      <c r="AU104" s="27"/>
      <c r="AV104" s="86"/>
      <c r="AW104" s="27"/>
      <c r="AX104" s="27"/>
      <c r="AY104" s="27"/>
      <c r="AZ104" s="27"/>
      <c r="BA104" s="27"/>
      <c r="BB104" s="27"/>
      <c r="BC104" s="97"/>
      <c r="BD104" s="27"/>
      <c r="BE104" s="16"/>
      <c r="BF104" s="28">
        <f t="shared" si="42"/>
        <v>0</v>
      </c>
      <c r="BG104" s="29"/>
      <c r="BH104" s="27"/>
      <c r="BI104" s="30">
        <f t="shared" si="43"/>
        <v>346</v>
      </c>
      <c r="BJ104" s="31">
        <f t="shared" si="44"/>
        <v>45656</v>
      </c>
      <c r="BK104" s="27"/>
      <c r="BL104" s="16"/>
      <c r="BM104" s="27"/>
      <c r="BN104" s="16"/>
      <c r="BO104" s="27"/>
      <c r="BP104" s="16"/>
      <c r="BQ104" s="27"/>
      <c r="BR104" s="24"/>
      <c r="BS104" s="24"/>
      <c r="BT104" s="32"/>
      <c r="BU104" s="27"/>
      <c r="BV104" s="24"/>
      <c r="BW104" s="24"/>
      <c r="BX104" s="16"/>
      <c r="BY104" s="27"/>
      <c r="BZ104" s="24"/>
      <c r="CA104" s="24"/>
      <c r="CB104" s="16"/>
      <c r="CC104" s="49">
        <f t="shared" si="45"/>
        <v>0</v>
      </c>
      <c r="CD104" s="24"/>
      <c r="CE104" s="49">
        <f t="shared" si="46"/>
        <v>84000000</v>
      </c>
      <c r="CF104" s="50"/>
      <c r="CG104" s="49">
        <f t="shared" ca="1" si="47"/>
        <v>84000000</v>
      </c>
      <c r="CH104" s="33">
        <f t="shared" ca="1" si="48"/>
        <v>1</v>
      </c>
      <c r="CI104" s="33">
        <f t="shared" ca="1" si="49"/>
        <v>1</v>
      </c>
      <c r="CJ104" s="36">
        <f t="shared" ca="1" si="50"/>
        <v>100</v>
      </c>
      <c r="CK104" s="34">
        <f t="shared" si="51"/>
        <v>0</v>
      </c>
      <c r="CL104" s="21"/>
      <c r="CM104" s="35" t="str">
        <f t="shared" ca="1" si="52"/>
        <v>TERMINADO</v>
      </c>
      <c r="CN104" s="82"/>
      <c r="CO104" s="145" t="s">
        <v>1016</v>
      </c>
      <c r="CP104" s="26" t="s">
        <v>123</v>
      </c>
    </row>
    <row r="105" spans="1:94" ht="24.75" customHeight="1">
      <c r="A105" s="48" t="s">
        <v>1017</v>
      </c>
      <c r="B105" s="77" t="s">
        <v>1018</v>
      </c>
      <c r="C105" s="17" t="s">
        <v>104</v>
      </c>
      <c r="D105" s="18" t="s">
        <v>1019</v>
      </c>
      <c r="E105" s="17" t="s">
        <v>106</v>
      </c>
      <c r="F105" s="17" t="s">
        <v>107</v>
      </c>
      <c r="G105" s="17" t="s">
        <v>108</v>
      </c>
      <c r="H105" s="78">
        <v>94062649</v>
      </c>
      <c r="I105" s="74" t="s">
        <v>1020</v>
      </c>
      <c r="J105" s="16"/>
      <c r="K105" s="16"/>
      <c r="L105" s="96" t="s">
        <v>1021</v>
      </c>
      <c r="M105" s="16" t="s">
        <v>557</v>
      </c>
      <c r="N105" s="22">
        <v>45303</v>
      </c>
      <c r="O105" s="22">
        <v>45306</v>
      </c>
      <c r="P105" s="22">
        <v>45656</v>
      </c>
      <c r="Q105" s="23">
        <f t="shared" si="41"/>
        <v>350</v>
      </c>
      <c r="R105" s="17" t="s">
        <v>242</v>
      </c>
      <c r="S105" s="16" t="s">
        <v>1022</v>
      </c>
      <c r="T105" s="16" t="s">
        <v>343</v>
      </c>
      <c r="U105" s="67">
        <v>52671661</v>
      </c>
      <c r="V105" s="16" t="s">
        <v>344</v>
      </c>
      <c r="W105" s="224">
        <v>52671661</v>
      </c>
      <c r="X105" s="24">
        <v>4413826</v>
      </c>
      <c r="Y105" s="24"/>
      <c r="Z105" s="24"/>
      <c r="AA105" s="17" t="s">
        <v>116</v>
      </c>
      <c r="AB105" s="23" t="str">
        <f>IFERROR(VLOOKUP(AA105,Listas!$A$1:$C$14,2,FALSE),"")</f>
        <v>FREDY CÉSPEDES VILLA</v>
      </c>
      <c r="AC105" s="23">
        <f>IFERROR(VLOOKUP(AA105,Listas!$A$1:$C$14,3,FALSE),"")</f>
        <v>93363483</v>
      </c>
      <c r="AD105" s="17" t="s">
        <v>559</v>
      </c>
      <c r="AE105" s="17" t="s">
        <v>560</v>
      </c>
      <c r="AF105" s="23" t="str">
        <f>IFERROR(VLOOKUP(AE105,Listas!$AD$1:$AF$66,2,FALSE),"")</f>
        <v>CESAR AUGUSTO LÓPEZ LÓPEZ</v>
      </c>
      <c r="AG105" s="23">
        <f>IFERROR(VLOOKUP(AE105,Listas!$AD$1:$AF$65,3,FALSE),"")</f>
        <v>6103856</v>
      </c>
      <c r="AH105" s="17" t="s">
        <v>118</v>
      </c>
      <c r="AI105" s="65" t="s">
        <v>1023</v>
      </c>
      <c r="AJ105" s="25" t="s">
        <v>119</v>
      </c>
      <c r="AK105" s="26" t="s">
        <v>120</v>
      </c>
      <c r="AL105" s="26" t="s">
        <v>120</v>
      </c>
      <c r="AM105" s="90" t="s">
        <v>119</v>
      </c>
      <c r="AN105" s="105">
        <v>30398</v>
      </c>
      <c r="AO105" s="91">
        <f t="shared" ca="1" si="40"/>
        <v>42</v>
      </c>
      <c r="AP105" s="26" t="s">
        <v>121</v>
      </c>
      <c r="AQ105" s="26" t="s">
        <v>327</v>
      </c>
      <c r="AR105" s="89"/>
      <c r="AS105" s="27"/>
      <c r="AT105" s="16"/>
      <c r="AU105" s="27"/>
      <c r="AV105" s="86"/>
      <c r="AW105" s="27"/>
      <c r="AX105" s="27"/>
      <c r="AY105" s="27"/>
      <c r="AZ105" s="27"/>
      <c r="BA105" s="27"/>
      <c r="BB105" s="27"/>
      <c r="BC105" s="97"/>
      <c r="BD105" s="27"/>
      <c r="BE105" s="16"/>
      <c r="BF105" s="28">
        <f t="shared" si="42"/>
        <v>0</v>
      </c>
      <c r="BG105" s="29"/>
      <c r="BH105" s="27">
        <v>45637</v>
      </c>
      <c r="BI105" s="30">
        <f t="shared" si="43"/>
        <v>350</v>
      </c>
      <c r="BJ105" s="31">
        <f t="shared" si="44"/>
        <v>45637</v>
      </c>
      <c r="BK105" s="27"/>
      <c r="BL105" s="16"/>
      <c r="BM105" s="27"/>
      <c r="BN105" s="16"/>
      <c r="BO105" s="27"/>
      <c r="BP105" s="16"/>
      <c r="BQ105" s="27"/>
      <c r="BR105" s="24"/>
      <c r="BS105" s="24"/>
      <c r="BT105" s="32"/>
      <c r="BU105" s="27"/>
      <c r="BV105" s="24"/>
      <c r="BW105" s="24"/>
      <c r="BX105" s="16"/>
      <c r="BY105" s="27"/>
      <c r="BZ105" s="24"/>
      <c r="CA105" s="24"/>
      <c r="CB105" s="16"/>
      <c r="CC105" s="49">
        <f t="shared" si="45"/>
        <v>0</v>
      </c>
      <c r="CD105" s="24"/>
      <c r="CE105" s="49">
        <f t="shared" si="46"/>
        <v>52671661</v>
      </c>
      <c r="CF105" s="50"/>
      <c r="CG105" s="49">
        <f t="shared" ca="1" si="47"/>
        <v>52671661</v>
      </c>
      <c r="CH105" s="33">
        <f t="shared" ca="1" si="48"/>
        <v>1</v>
      </c>
      <c r="CI105" s="33">
        <f t="shared" ca="1" si="49"/>
        <v>1</v>
      </c>
      <c r="CJ105" s="36">
        <f t="shared" ca="1" si="50"/>
        <v>100</v>
      </c>
      <c r="CK105" s="34">
        <f t="shared" si="51"/>
        <v>0</v>
      </c>
      <c r="CL105" s="21"/>
      <c r="CM105" s="35" t="str">
        <f t="shared" ca="1" si="52"/>
        <v>TERMINADO</v>
      </c>
      <c r="CN105" s="82"/>
      <c r="CO105" s="145" t="s">
        <v>1024</v>
      </c>
      <c r="CP105" s="26" t="s">
        <v>142</v>
      </c>
    </row>
    <row r="106" spans="1:94" ht="24.75" customHeight="1">
      <c r="A106" s="48" t="s">
        <v>1025</v>
      </c>
      <c r="B106" s="77" t="s">
        <v>1026</v>
      </c>
      <c r="C106" s="17" t="s">
        <v>104</v>
      </c>
      <c r="D106" s="18" t="s">
        <v>1027</v>
      </c>
      <c r="E106" s="17" t="s">
        <v>106</v>
      </c>
      <c r="F106" s="17" t="s">
        <v>107</v>
      </c>
      <c r="G106" s="17" t="s">
        <v>108</v>
      </c>
      <c r="H106" s="78">
        <v>51956878</v>
      </c>
      <c r="I106" s="74" t="s">
        <v>1028</v>
      </c>
      <c r="J106" s="16"/>
      <c r="K106" s="16"/>
      <c r="L106" s="20" t="s">
        <v>1029</v>
      </c>
      <c r="M106" s="16" t="s">
        <v>111</v>
      </c>
      <c r="N106" s="22">
        <v>45302</v>
      </c>
      <c r="O106" s="22">
        <v>45303</v>
      </c>
      <c r="P106" s="22">
        <v>45657</v>
      </c>
      <c r="Q106" s="23">
        <f t="shared" si="41"/>
        <v>354</v>
      </c>
      <c r="R106" s="17" t="s">
        <v>112</v>
      </c>
      <c r="S106" s="16" t="s">
        <v>1030</v>
      </c>
      <c r="T106" s="16" t="s">
        <v>114</v>
      </c>
      <c r="U106" s="67">
        <v>85123572</v>
      </c>
      <c r="V106" s="16" t="s">
        <v>115</v>
      </c>
      <c r="W106" s="224">
        <v>85123572</v>
      </c>
      <c r="X106" s="24">
        <v>7093631</v>
      </c>
      <c r="Y106" s="24"/>
      <c r="Z106" s="24"/>
      <c r="AA106" s="17" t="s">
        <v>116</v>
      </c>
      <c r="AB106" s="23" t="str">
        <f>IFERROR(VLOOKUP(AA106,Listas!$A$1:$C$14,2,FALSE),"")</f>
        <v>FREDY CÉSPEDES VILLA</v>
      </c>
      <c r="AC106" s="23">
        <f>IFERROR(VLOOKUP(AA106,Listas!$A$1:$C$14,3,FALSE),"")</f>
        <v>93363483</v>
      </c>
      <c r="AD106" s="17" t="s">
        <v>116</v>
      </c>
      <c r="AE106" s="17" t="s">
        <v>325</v>
      </c>
      <c r="AF106" s="23" t="str">
        <f>IFERROR(VLOOKUP(AE106,Listas!$AD$1:$AF$66,2,FALSE),"")</f>
        <v>SANDRA MILENA MÁRQUEZ PARRA</v>
      </c>
      <c r="AG106" s="23">
        <f>IFERROR(VLOOKUP(AE106,Listas!$AD$1:$AF$65,3,FALSE),"")</f>
        <v>52487587</v>
      </c>
      <c r="AH106" s="17" t="s">
        <v>118</v>
      </c>
      <c r="AI106" s="65" t="s">
        <v>1031</v>
      </c>
      <c r="AJ106" s="25" t="s">
        <v>119</v>
      </c>
      <c r="AK106" s="26" t="s">
        <v>120</v>
      </c>
      <c r="AL106" s="26" t="s">
        <v>120</v>
      </c>
      <c r="AM106" s="90" t="s">
        <v>119</v>
      </c>
      <c r="AN106" s="105">
        <v>25725</v>
      </c>
      <c r="AO106" s="91">
        <f t="shared" ref="AO106:AO137" ca="1" si="53">IF(YEAR(TODAY())-YEAR(AN106)&gt;100," ",YEAR(TODAY())-YEAR(AN106))</f>
        <v>55</v>
      </c>
      <c r="AP106" s="26" t="s">
        <v>121</v>
      </c>
      <c r="AQ106" s="26" t="s">
        <v>327</v>
      </c>
      <c r="AR106" s="89"/>
      <c r="AS106" s="27"/>
      <c r="AT106" s="16"/>
      <c r="AU106" s="27"/>
      <c r="AV106" s="86"/>
      <c r="AW106" s="27"/>
      <c r="AX106" s="27"/>
      <c r="AY106" s="27"/>
      <c r="AZ106" s="27"/>
      <c r="BA106" s="27"/>
      <c r="BB106" s="27"/>
      <c r="BC106" s="97"/>
      <c r="BD106" s="27"/>
      <c r="BE106" s="16"/>
      <c r="BF106" s="28">
        <f t="shared" si="42"/>
        <v>0</v>
      </c>
      <c r="BG106" s="29"/>
      <c r="BH106" s="27"/>
      <c r="BI106" s="30">
        <f t="shared" si="43"/>
        <v>354</v>
      </c>
      <c r="BJ106" s="31">
        <f t="shared" si="44"/>
        <v>45657</v>
      </c>
      <c r="BK106" s="27"/>
      <c r="BL106" s="16"/>
      <c r="BM106" s="27"/>
      <c r="BN106" s="16"/>
      <c r="BO106" s="27"/>
      <c r="BP106" s="16"/>
      <c r="BQ106" s="27"/>
      <c r="BR106" s="24"/>
      <c r="BS106" s="24"/>
      <c r="BT106" s="32"/>
      <c r="BU106" s="27"/>
      <c r="BV106" s="24"/>
      <c r="BW106" s="24"/>
      <c r="BX106" s="16"/>
      <c r="BY106" s="27"/>
      <c r="BZ106" s="24"/>
      <c r="CA106" s="24"/>
      <c r="CB106" s="16"/>
      <c r="CC106" s="49">
        <f t="shared" si="45"/>
        <v>0</v>
      </c>
      <c r="CD106" s="24"/>
      <c r="CE106" s="49">
        <f t="shared" si="46"/>
        <v>85123572</v>
      </c>
      <c r="CF106" s="50"/>
      <c r="CG106" s="49">
        <f t="shared" ca="1" si="47"/>
        <v>85123572</v>
      </c>
      <c r="CH106" s="33">
        <f t="shared" ca="1" si="48"/>
        <v>1</v>
      </c>
      <c r="CI106" s="33">
        <f t="shared" ca="1" si="49"/>
        <v>1</v>
      </c>
      <c r="CJ106" s="36">
        <f t="shared" ca="1" si="50"/>
        <v>100</v>
      </c>
      <c r="CK106" s="34">
        <f t="shared" si="51"/>
        <v>0</v>
      </c>
      <c r="CL106" s="21"/>
      <c r="CM106" s="35" t="str">
        <f t="shared" ca="1" si="52"/>
        <v>TERMINADO</v>
      </c>
      <c r="CN106" s="82"/>
      <c r="CO106" s="145" t="s">
        <v>1032</v>
      </c>
      <c r="CP106" s="26" t="s">
        <v>123</v>
      </c>
    </row>
    <row r="107" spans="1:94" ht="24.75" customHeight="1">
      <c r="A107" s="48" t="s">
        <v>1033</v>
      </c>
      <c r="B107" s="77" t="s">
        <v>1034</v>
      </c>
      <c r="C107" s="17" t="s">
        <v>104</v>
      </c>
      <c r="D107" s="18" t="s">
        <v>1035</v>
      </c>
      <c r="E107" s="17" t="s">
        <v>106</v>
      </c>
      <c r="F107" s="17" t="s">
        <v>107</v>
      </c>
      <c r="G107" s="17" t="s">
        <v>108</v>
      </c>
      <c r="H107" s="78">
        <v>63526098</v>
      </c>
      <c r="I107" s="74" t="s">
        <v>1036</v>
      </c>
      <c r="J107" s="16"/>
      <c r="K107" s="16"/>
      <c r="L107" s="96" t="s">
        <v>1037</v>
      </c>
      <c r="M107" s="16" t="s">
        <v>111</v>
      </c>
      <c r="N107" s="22">
        <v>45302</v>
      </c>
      <c r="O107" s="22">
        <v>45308</v>
      </c>
      <c r="P107" s="22">
        <v>45657</v>
      </c>
      <c r="Q107" s="23">
        <f t="shared" si="41"/>
        <v>349</v>
      </c>
      <c r="R107" s="17" t="s">
        <v>242</v>
      </c>
      <c r="S107" s="16" t="s">
        <v>1038</v>
      </c>
      <c r="T107" s="16" t="s">
        <v>425</v>
      </c>
      <c r="U107" s="67">
        <v>54520830</v>
      </c>
      <c r="V107" s="16" t="s">
        <v>426</v>
      </c>
      <c r="W107" s="224">
        <v>54520830</v>
      </c>
      <c r="X107" s="24">
        <v>4659900</v>
      </c>
      <c r="Y107" s="24"/>
      <c r="Z107" s="24"/>
      <c r="AA107" s="17" t="s">
        <v>116</v>
      </c>
      <c r="AB107" s="23" t="str">
        <f>IFERROR(VLOOKUP(AA107,Listas!$A$1:$C$14,2,FALSE),"")</f>
        <v>FREDY CÉSPEDES VILLA</v>
      </c>
      <c r="AC107" s="23">
        <f>IFERROR(VLOOKUP(AA107,Listas!$A$1:$C$14,3,FALSE),"")</f>
        <v>93363483</v>
      </c>
      <c r="AD107" s="17" t="s">
        <v>427</v>
      </c>
      <c r="AE107" s="17" t="s">
        <v>428</v>
      </c>
      <c r="AF107" s="23" t="str">
        <f>IFERROR(VLOOKUP(AE107,Listas!$AD$1:$AF$66,2,FALSE),"")</f>
        <v>DINORAH PATRICIA ABADIA MURILLO</v>
      </c>
      <c r="AG107" s="23">
        <f>IFERROR(VLOOKUP(AE107,Listas!$AD$1:$AF$65,3,FALSE),"")</f>
        <v>52220857</v>
      </c>
      <c r="AH107" s="17" t="s">
        <v>118</v>
      </c>
      <c r="AI107" s="65" t="s">
        <v>1039</v>
      </c>
      <c r="AJ107" s="25" t="s">
        <v>119</v>
      </c>
      <c r="AK107" s="26" t="s">
        <v>120</v>
      </c>
      <c r="AL107" s="26" t="s">
        <v>120</v>
      </c>
      <c r="AM107" s="90" t="s">
        <v>119</v>
      </c>
      <c r="AN107" s="105">
        <v>29944</v>
      </c>
      <c r="AO107" s="91">
        <f t="shared" ca="1" si="53"/>
        <v>44</v>
      </c>
      <c r="AP107" s="26" t="s">
        <v>121</v>
      </c>
      <c r="AQ107" s="26" t="s">
        <v>515</v>
      </c>
      <c r="AR107" s="89"/>
      <c r="AS107" s="27"/>
      <c r="AT107" s="16"/>
      <c r="AU107" s="27"/>
      <c r="AV107" s="86"/>
      <c r="AW107" s="27"/>
      <c r="AX107" s="27"/>
      <c r="AY107" s="27"/>
      <c r="AZ107" s="27"/>
      <c r="BA107" s="27"/>
      <c r="BB107" s="27"/>
      <c r="BC107" s="97"/>
      <c r="BD107" s="27"/>
      <c r="BE107" s="16"/>
      <c r="BF107" s="28">
        <f t="shared" si="42"/>
        <v>0</v>
      </c>
      <c r="BG107" s="29"/>
      <c r="BH107" s="27"/>
      <c r="BI107" s="30">
        <f t="shared" si="43"/>
        <v>349</v>
      </c>
      <c r="BJ107" s="31">
        <f t="shared" si="44"/>
        <v>45657</v>
      </c>
      <c r="BK107" s="27"/>
      <c r="BL107" s="16"/>
      <c r="BM107" s="27"/>
      <c r="BN107" s="16"/>
      <c r="BO107" s="27"/>
      <c r="BP107" s="16"/>
      <c r="BQ107" s="27"/>
      <c r="BR107" s="24"/>
      <c r="BS107" s="24"/>
      <c r="BT107" s="32"/>
      <c r="BU107" s="27"/>
      <c r="BV107" s="24"/>
      <c r="BW107" s="24"/>
      <c r="BX107" s="16"/>
      <c r="BY107" s="27"/>
      <c r="BZ107" s="24"/>
      <c r="CA107" s="24"/>
      <c r="CB107" s="16"/>
      <c r="CC107" s="49">
        <f t="shared" si="45"/>
        <v>0</v>
      </c>
      <c r="CD107" s="24"/>
      <c r="CE107" s="49">
        <f t="shared" si="46"/>
        <v>54520830</v>
      </c>
      <c r="CF107" s="50"/>
      <c r="CG107" s="49">
        <f t="shared" ca="1" si="47"/>
        <v>54520830</v>
      </c>
      <c r="CH107" s="33">
        <f t="shared" ca="1" si="48"/>
        <v>1</v>
      </c>
      <c r="CI107" s="33">
        <f t="shared" ca="1" si="49"/>
        <v>1</v>
      </c>
      <c r="CJ107" s="36">
        <f t="shared" ca="1" si="50"/>
        <v>100</v>
      </c>
      <c r="CK107" s="34">
        <f t="shared" si="51"/>
        <v>0</v>
      </c>
      <c r="CL107" s="21"/>
      <c r="CM107" s="35" t="str">
        <f t="shared" ca="1" si="52"/>
        <v>TERMINADO</v>
      </c>
      <c r="CN107" s="82"/>
      <c r="CO107" s="145" t="s">
        <v>1040</v>
      </c>
      <c r="CP107" s="26" t="s">
        <v>123</v>
      </c>
    </row>
    <row r="108" spans="1:94" ht="24.75" customHeight="1">
      <c r="A108" s="48" t="s">
        <v>1041</v>
      </c>
      <c r="B108" s="77" t="s">
        <v>1042</v>
      </c>
      <c r="C108" s="17" t="s">
        <v>104</v>
      </c>
      <c r="D108" s="18" t="s">
        <v>1043</v>
      </c>
      <c r="E108" s="17" t="s">
        <v>106</v>
      </c>
      <c r="F108" s="17" t="s">
        <v>107</v>
      </c>
      <c r="G108" s="17" t="s">
        <v>108</v>
      </c>
      <c r="H108" s="78">
        <v>79715131</v>
      </c>
      <c r="I108" s="74" t="s">
        <v>1044</v>
      </c>
      <c r="J108" s="16"/>
      <c r="K108" s="16"/>
      <c r="L108" s="20" t="s">
        <v>1045</v>
      </c>
      <c r="M108" s="16" t="s">
        <v>111</v>
      </c>
      <c r="N108" s="22">
        <v>45302</v>
      </c>
      <c r="O108" s="22">
        <v>45303</v>
      </c>
      <c r="P108" s="22">
        <v>45656</v>
      </c>
      <c r="Q108" s="23">
        <f t="shared" si="41"/>
        <v>353</v>
      </c>
      <c r="R108" s="17" t="s">
        <v>242</v>
      </c>
      <c r="S108" s="110" t="s">
        <v>1046</v>
      </c>
      <c r="T108" s="16" t="s">
        <v>343</v>
      </c>
      <c r="U108" s="67">
        <v>96564712</v>
      </c>
      <c r="V108" s="16" t="s">
        <v>344</v>
      </c>
      <c r="W108" s="224">
        <v>96564712</v>
      </c>
      <c r="X108" s="24">
        <v>8092015</v>
      </c>
      <c r="Y108" s="24"/>
      <c r="Z108" s="24"/>
      <c r="AA108" s="17" t="s">
        <v>116</v>
      </c>
      <c r="AB108" s="23" t="str">
        <f>IFERROR(VLOOKUP(AA108,Listas!$A$1:$C$14,2,FALSE),"")</f>
        <v>FREDY CÉSPEDES VILLA</v>
      </c>
      <c r="AC108" s="23">
        <f>IFERROR(VLOOKUP(AA108,Listas!$A$1:$C$14,3,FALSE),"")</f>
        <v>93363483</v>
      </c>
      <c r="AD108" s="17" t="s">
        <v>345</v>
      </c>
      <c r="AE108" s="17" t="s">
        <v>346</v>
      </c>
      <c r="AF108" s="23" t="str">
        <f>IFERROR(VLOOKUP(AE108,Listas!$AD$1:$AF$66,2,FALSE),"")</f>
        <v>RODOLFO GIOVANNI CANCHILA SUÁREZ</v>
      </c>
      <c r="AG108" s="23">
        <f>IFERROR(VLOOKUP(AE108,Listas!$AD$1:$AF$65,3,FALSE),"")</f>
        <v>79672493</v>
      </c>
      <c r="AH108" s="17" t="s">
        <v>118</v>
      </c>
      <c r="AI108" s="65" t="s">
        <v>1047</v>
      </c>
      <c r="AJ108" s="25" t="s">
        <v>119</v>
      </c>
      <c r="AK108" s="26" t="s">
        <v>120</v>
      </c>
      <c r="AL108" s="26" t="s">
        <v>120</v>
      </c>
      <c r="AM108" s="90" t="s">
        <v>119</v>
      </c>
      <c r="AN108" s="105">
        <v>27556</v>
      </c>
      <c r="AO108" s="91">
        <f t="shared" ca="1" si="53"/>
        <v>50</v>
      </c>
      <c r="AP108" s="26" t="s">
        <v>121</v>
      </c>
      <c r="AQ108" s="26" t="s">
        <v>367</v>
      </c>
      <c r="AR108" s="89"/>
      <c r="AS108" s="27"/>
      <c r="AT108" s="16"/>
      <c r="AU108" s="27"/>
      <c r="AV108" s="86"/>
      <c r="AW108" s="27"/>
      <c r="AX108" s="27"/>
      <c r="AY108" s="27"/>
      <c r="AZ108" s="27"/>
      <c r="BA108" s="27"/>
      <c r="BB108" s="27"/>
      <c r="BC108" s="97"/>
      <c r="BD108" s="27"/>
      <c r="BE108" s="16"/>
      <c r="BF108" s="28">
        <f t="shared" si="42"/>
        <v>0</v>
      </c>
      <c r="BG108" s="29"/>
      <c r="BH108" s="27"/>
      <c r="BI108" s="30">
        <f t="shared" si="43"/>
        <v>353</v>
      </c>
      <c r="BJ108" s="31">
        <f t="shared" si="44"/>
        <v>45656</v>
      </c>
      <c r="BK108" s="27"/>
      <c r="BL108" s="16"/>
      <c r="BM108" s="27"/>
      <c r="BN108" s="16"/>
      <c r="BO108" s="27"/>
      <c r="BP108" s="16"/>
      <c r="BQ108" s="27"/>
      <c r="BR108" s="24"/>
      <c r="BS108" s="24"/>
      <c r="BT108" s="32"/>
      <c r="BU108" s="27"/>
      <c r="BV108" s="24"/>
      <c r="BW108" s="24"/>
      <c r="BX108" s="16"/>
      <c r="BY108" s="27"/>
      <c r="BZ108" s="24"/>
      <c r="CA108" s="24"/>
      <c r="CB108" s="16"/>
      <c r="CC108" s="49">
        <f t="shared" si="45"/>
        <v>0</v>
      </c>
      <c r="CD108" s="24"/>
      <c r="CE108" s="49">
        <f t="shared" si="46"/>
        <v>96564712</v>
      </c>
      <c r="CF108" s="50"/>
      <c r="CG108" s="49">
        <f t="shared" ca="1" si="47"/>
        <v>96564712</v>
      </c>
      <c r="CH108" s="33">
        <f t="shared" ca="1" si="48"/>
        <v>1</v>
      </c>
      <c r="CI108" s="33">
        <f t="shared" ca="1" si="49"/>
        <v>1</v>
      </c>
      <c r="CJ108" s="36">
        <f t="shared" ca="1" si="50"/>
        <v>100</v>
      </c>
      <c r="CK108" s="34">
        <f t="shared" si="51"/>
        <v>0</v>
      </c>
      <c r="CL108" s="21"/>
      <c r="CM108" s="35" t="str">
        <f t="shared" ca="1" si="52"/>
        <v>TERMINADO</v>
      </c>
      <c r="CN108" s="82"/>
      <c r="CO108" s="145" t="s">
        <v>1048</v>
      </c>
      <c r="CP108" s="26" t="s">
        <v>142</v>
      </c>
    </row>
    <row r="109" spans="1:94" ht="24.75" customHeight="1">
      <c r="A109" s="48" t="s">
        <v>1049</v>
      </c>
      <c r="B109" s="77" t="s">
        <v>1050</v>
      </c>
      <c r="C109" s="17" t="s">
        <v>104</v>
      </c>
      <c r="D109" s="18" t="s">
        <v>1051</v>
      </c>
      <c r="E109" s="17" t="s">
        <v>106</v>
      </c>
      <c r="F109" s="17" t="s">
        <v>107</v>
      </c>
      <c r="G109" s="17" t="s">
        <v>108</v>
      </c>
      <c r="H109" s="78">
        <v>52069128</v>
      </c>
      <c r="I109" s="74" t="s">
        <v>1052</v>
      </c>
      <c r="J109" s="16"/>
      <c r="K109" s="16"/>
      <c r="L109" s="20" t="s">
        <v>1045</v>
      </c>
      <c r="M109" s="16" t="s">
        <v>111</v>
      </c>
      <c r="N109" s="22">
        <v>45302</v>
      </c>
      <c r="O109" s="22">
        <v>45303</v>
      </c>
      <c r="P109" s="22">
        <v>45656</v>
      </c>
      <c r="Q109" s="23">
        <f t="shared" si="41"/>
        <v>353</v>
      </c>
      <c r="R109" s="17" t="s">
        <v>242</v>
      </c>
      <c r="S109" s="110" t="s">
        <v>1053</v>
      </c>
      <c r="T109" s="16" t="s">
        <v>343</v>
      </c>
      <c r="U109" s="67">
        <v>96564712</v>
      </c>
      <c r="V109" s="16" t="s">
        <v>344</v>
      </c>
      <c r="W109" s="224">
        <v>96564712</v>
      </c>
      <c r="X109" s="24">
        <v>8092015</v>
      </c>
      <c r="Y109" s="24"/>
      <c r="Z109" s="24"/>
      <c r="AA109" s="17" t="s">
        <v>116</v>
      </c>
      <c r="AB109" s="23" t="str">
        <f>IFERROR(VLOOKUP(AA109,Listas!$A$1:$C$14,2,FALSE),"")</f>
        <v>FREDY CÉSPEDES VILLA</v>
      </c>
      <c r="AC109" s="23">
        <f>IFERROR(VLOOKUP(AA109,Listas!$A$1:$C$14,3,FALSE),"")</f>
        <v>93363483</v>
      </c>
      <c r="AD109" s="17" t="s">
        <v>345</v>
      </c>
      <c r="AE109" s="17" t="s">
        <v>346</v>
      </c>
      <c r="AF109" s="23" t="str">
        <f>IFERROR(VLOOKUP(AE109,Listas!$AD$1:$AF$66,2,FALSE),"")</f>
        <v>RODOLFO GIOVANNI CANCHILA SUÁREZ</v>
      </c>
      <c r="AG109" s="23">
        <f>IFERROR(VLOOKUP(AE109,Listas!$AD$1:$AF$65,3,FALSE),"")</f>
        <v>79672493</v>
      </c>
      <c r="AH109" s="17" t="s">
        <v>118</v>
      </c>
      <c r="AI109" s="65" t="s">
        <v>1054</v>
      </c>
      <c r="AJ109" s="25" t="s">
        <v>119</v>
      </c>
      <c r="AK109" s="26" t="s">
        <v>120</v>
      </c>
      <c r="AL109" s="26" t="s">
        <v>120</v>
      </c>
      <c r="AM109" s="90" t="s">
        <v>119</v>
      </c>
      <c r="AN109" s="105">
        <v>26133</v>
      </c>
      <c r="AO109" s="91">
        <f t="shared" ca="1" si="53"/>
        <v>54</v>
      </c>
      <c r="AP109" s="26" t="s">
        <v>121</v>
      </c>
      <c r="AQ109" s="26" t="s">
        <v>367</v>
      </c>
      <c r="AR109" s="89"/>
      <c r="AS109" s="27"/>
      <c r="AT109" s="16"/>
      <c r="AU109" s="27"/>
      <c r="AV109" s="86"/>
      <c r="AW109" s="27"/>
      <c r="AX109" s="27"/>
      <c r="AY109" s="27"/>
      <c r="AZ109" s="27"/>
      <c r="BA109" s="27"/>
      <c r="BB109" s="27"/>
      <c r="BC109" s="97"/>
      <c r="BD109" s="27"/>
      <c r="BE109" s="16"/>
      <c r="BF109" s="28">
        <f t="shared" si="42"/>
        <v>0</v>
      </c>
      <c r="BG109" s="29"/>
      <c r="BH109" s="27"/>
      <c r="BI109" s="30">
        <f t="shared" si="43"/>
        <v>353</v>
      </c>
      <c r="BJ109" s="31">
        <f t="shared" si="44"/>
        <v>45656</v>
      </c>
      <c r="BK109" s="27"/>
      <c r="BL109" s="16"/>
      <c r="BM109" s="27"/>
      <c r="BN109" s="16"/>
      <c r="BO109" s="27"/>
      <c r="BP109" s="16"/>
      <c r="BQ109" s="27"/>
      <c r="BR109" s="24"/>
      <c r="BS109" s="24"/>
      <c r="BT109" s="32"/>
      <c r="BU109" s="27"/>
      <c r="BV109" s="24"/>
      <c r="BW109" s="24"/>
      <c r="BX109" s="16"/>
      <c r="BY109" s="27"/>
      <c r="BZ109" s="24"/>
      <c r="CA109" s="24"/>
      <c r="CB109" s="16"/>
      <c r="CC109" s="49">
        <f t="shared" si="45"/>
        <v>0</v>
      </c>
      <c r="CD109" s="24"/>
      <c r="CE109" s="49">
        <f t="shared" si="46"/>
        <v>96564712</v>
      </c>
      <c r="CF109" s="50"/>
      <c r="CG109" s="49">
        <f t="shared" ca="1" si="47"/>
        <v>96564712</v>
      </c>
      <c r="CH109" s="33">
        <f t="shared" ca="1" si="48"/>
        <v>1</v>
      </c>
      <c r="CI109" s="33">
        <f t="shared" ca="1" si="49"/>
        <v>1</v>
      </c>
      <c r="CJ109" s="36">
        <f t="shared" ca="1" si="50"/>
        <v>100</v>
      </c>
      <c r="CK109" s="34">
        <f t="shared" si="51"/>
        <v>0</v>
      </c>
      <c r="CL109" s="21"/>
      <c r="CM109" s="35" t="str">
        <f t="shared" ca="1" si="52"/>
        <v>TERMINADO</v>
      </c>
      <c r="CN109" s="82"/>
      <c r="CO109" s="145" t="s">
        <v>1055</v>
      </c>
      <c r="CP109" s="26" t="s">
        <v>123</v>
      </c>
    </row>
    <row r="110" spans="1:94" ht="24.75" customHeight="1">
      <c r="A110" s="48" t="s">
        <v>1056</v>
      </c>
      <c r="B110" s="77" t="s">
        <v>1057</v>
      </c>
      <c r="C110" s="17" t="s">
        <v>104</v>
      </c>
      <c r="D110" s="18" t="s">
        <v>1058</v>
      </c>
      <c r="E110" s="17" t="s">
        <v>106</v>
      </c>
      <c r="F110" s="17" t="s">
        <v>107</v>
      </c>
      <c r="G110" s="17" t="s">
        <v>108</v>
      </c>
      <c r="H110" s="78">
        <v>79624727</v>
      </c>
      <c r="I110" s="74" t="s">
        <v>1059</v>
      </c>
      <c r="J110" s="16"/>
      <c r="K110" s="16"/>
      <c r="L110" s="96" t="s">
        <v>1060</v>
      </c>
      <c r="M110" s="16" t="s">
        <v>111</v>
      </c>
      <c r="N110" s="22">
        <v>45302</v>
      </c>
      <c r="O110" s="22">
        <v>45303</v>
      </c>
      <c r="P110" s="22">
        <v>45656</v>
      </c>
      <c r="Q110" s="23">
        <f t="shared" si="41"/>
        <v>353</v>
      </c>
      <c r="R110" s="17" t="s">
        <v>242</v>
      </c>
      <c r="S110" s="110" t="s">
        <v>1061</v>
      </c>
      <c r="T110" s="16" t="s">
        <v>343</v>
      </c>
      <c r="U110" s="67">
        <v>96834446</v>
      </c>
      <c r="V110" s="16" t="s">
        <v>344</v>
      </c>
      <c r="W110" s="224">
        <v>96834446</v>
      </c>
      <c r="X110" s="24">
        <v>8092015</v>
      </c>
      <c r="Y110" s="24"/>
      <c r="Z110" s="24"/>
      <c r="AA110" s="17" t="s">
        <v>116</v>
      </c>
      <c r="AB110" s="23" t="str">
        <f>IFERROR(VLOOKUP(AA110,Listas!$A$1:$C$14,2,FALSE),"")</f>
        <v>FREDY CÉSPEDES VILLA</v>
      </c>
      <c r="AC110" s="23">
        <f>IFERROR(VLOOKUP(AA110,Listas!$A$1:$C$14,3,FALSE),"")</f>
        <v>93363483</v>
      </c>
      <c r="AD110" s="17" t="s">
        <v>345</v>
      </c>
      <c r="AE110" s="17" t="s">
        <v>1062</v>
      </c>
      <c r="AF110" s="23" t="str">
        <f>IFERROR(VLOOKUP(AE110,Listas!$AD$1:$AF$66,2,FALSE),"")</f>
        <v>LIBIA ESPERANZA FONSECA MARÍN</v>
      </c>
      <c r="AG110" s="23">
        <f>IFERROR(VLOOKUP(AE110,Listas!$AD$1:$AF$65,3,FALSE),"")</f>
        <v>52207089</v>
      </c>
      <c r="AH110" s="17" t="s">
        <v>118</v>
      </c>
      <c r="AI110" s="65" t="s">
        <v>1063</v>
      </c>
      <c r="AJ110" s="25" t="s">
        <v>119</v>
      </c>
      <c r="AK110" s="26" t="s">
        <v>120</v>
      </c>
      <c r="AL110" s="26" t="s">
        <v>120</v>
      </c>
      <c r="AM110" s="90" t="s">
        <v>119</v>
      </c>
      <c r="AN110" s="105">
        <v>27219</v>
      </c>
      <c r="AO110" s="91">
        <f t="shared" ca="1" si="53"/>
        <v>51</v>
      </c>
      <c r="AP110" s="26" t="s">
        <v>121</v>
      </c>
      <c r="AQ110" s="26" t="s">
        <v>367</v>
      </c>
      <c r="AR110" s="89"/>
      <c r="AS110" s="27"/>
      <c r="AT110" s="16"/>
      <c r="AU110" s="27"/>
      <c r="AV110" s="86"/>
      <c r="AW110" s="27"/>
      <c r="AX110" s="27"/>
      <c r="AY110" s="27"/>
      <c r="AZ110" s="27"/>
      <c r="BA110" s="27"/>
      <c r="BB110" s="27"/>
      <c r="BC110" s="97"/>
      <c r="BD110" s="27"/>
      <c r="BE110" s="16"/>
      <c r="BF110" s="28">
        <f t="shared" si="42"/>
        <v>0</v>
      </c>
      <c r="BG110" s="29"/>
      <c r="BH110" s="27"/>
      <c r="BI110" s="30">
        <f t="shared" si="43"/>
        <v>353</v>
      </c>
      <c r="BJ110" s="31">
        <f t="shared" si="44"/>
        <v>45656</v>
      </c>
      <c r="BK110" s="27"/>
      <c r="BL110" s="16"/>
      <c r="BM110" s="27"/>
      <c r="BN110" s="16"/>
      <c r="BO110" s="27"/>
      <c r="BP110" s="16"/>
      <c r="BQ110" s="27"/>
      <c r="BR110" s="24"/>
      <c r="BS110" s="24"/>
      <c r="BT110" s="32"/>
      <c r="BU110" s="27"/>
      <c r="BV110" s="24"/>
      <c r="BW110" s="24"/>
      <c r="BX110" s="16"/>
      <c r="BY110" s="27"/>
      <c r="BZ110" s="24"/>
      <c r="CA110" s="24"/>
      <c r="CB110" s="16"/>
      <c r="CC110" s="49">
        <f t="shared" si="45"/>
        <v>0</v>
      </c>
      <c r="CD110" s="24"/>
      <c r="CE110" s="49">
        <f t="shared" si="46"/>
        <v>96834446</v>
      </c>
      <c r="CF110" s="50"/>
      <c r="CG110" s="49">
        <f t="shared" ca="1" si="47"/>
        <v>96834446</v>
      </c>
      <c r="CH110" s="33">
        <f t="shared" ca="1" si="48"/>
        <v>1</v>
      </c>
      <c r="CI110" s="33">
        <f t="shared" ca="1" si="49"/>
        <v>1</v>
      </c>
      <c r="CJ110" s="36">
        <f t="shared" ca="1" si="50"/>
        <v>100</v>
      </c>
      <c r="CK110" s="34">
        <f t="shared" si="51"/>
        <v>0</v>
      </c>
      <c r="CL110" s="21"/>
      <c r="CM110" s="35" t="str">
        <f t="shared" ca="1" si="52"/>
        <v>TERMINADO</v>
      </c>
      <c r="CN110" s="82"/>
      <c r="CO110" s="145" t="s">
        <v>1064</v>
      </c>
      <c r="CP110" s="26" t="s">
        <v>142</v>
      </c>
    </row>
    <row r="111" spans="1:94" ht="24.75" customHeight="1">
      <c r="A111" s="48" t="s">
        <v>1065</v>
      </c>
      <c r="B111" s="77" t="s">
        <v>1066</v>
      </c>
      <c r="C111" s="17" t="s">
        <v>104</v>
      </c>
      <c r="D111" s="18" t="s">
        <v>1067</v>
      </c>
      <c r="E111" s="17" t="s">
        <v>106</v>
      </c>
      <c r="F111" s="17" t="s">
        <v>107</v>
      </c>
      <c r="G111" s="17" t="s">
        <v>108</v>
      </c>
      <c r="H111" s="78">
        <v>38264025</v>
      </c>
      <c r="I111" s="74" t="s">
        <v>1068</v>
      </c>
      <c r="J111" s="16"/>
      <c r="K111" s="16"/>
      <c r="L111" s="96" t="s">
        <v>1069</v>
      </c>
      <c r="M111" s="16" t="s">
        <v>111</v>
      </c>
      <c r="N111" s="22">
        <v>45303</v>
      </c>
      <c r="O111" s="22">
        <v>45308</v>
      </c>
      <c r="P111" s="22">
        <v>45656</v>
      </c>
      <c r="Q111" s="23">
        <f t="shared" si="41"/>
        <v>348</v>
      </c>
      <c r="R111" s="17" t="s">
        <v>242</v>
      </c>
      <c r="S111" s="110" t="s">
        <v>1070</v>
      </c>
      <c r="T111" s="16" t="s">
        <v>949</v>
      </c>
      <c r="U111" s="67">
        <v>84000000</v>
      </c>
      <c r="V111" s="16" t="s">
        <v>1071</v>
      </c>
      <c r="W111" s="224">
        <v>84000000</v>
      </c>
      <c r="X111" s="24">
        <v>7000000</v>
      </c>
      <c r="Y111" s="24"/>
      <c r="Z111" s="24"/>
      <c r="AA111" s="17" t="s">
        <v>116</v>
      </c>
      <c r="AB111" s="23" t="str">
        <f>IFERROR(VLOOKUP(AA111,Listas!$A$1:$C$14,2,FALSE),"")</f>
        <v>FREDY CÉSPEDES VILLA</v>
      </c>
      <c r="AC111" s="23">
        <f>IFERROR(VLOOKUP(AA111,Listas!$A$1:$C$14,3,FALSE),"")</f>
        <v>93363483</v>
      </c>
      <c r="AD111" s="17" t="s">
        <v>951</v>
      </c>
      <c r="AE111" s="17" t="s">
        <v>952</v>
      </c>
      <c r="AF111" s="23" t="str">
        <f>IFERROR(VLOOKUP(AE111,Listas!$AD$1:$AF$66,2,FALSE),"")</f>
        <v>ANDRES MAURICIO LUQUE AYALA</v>
      </c>
      <c r="AG111" s="23">
        <f>IFERROR(VLOOKUP(AE111,Listas!$AD$1:$AF$65,3,FALSE),"")</f>
        <v>11443937</v>
      </c>
      <c r="AH111" s="17" t="s">
        <v>118</v>
      </c>
      <c r="AI111" s="65" t="s">
        <v>1072</v>
      </c>
      <c r="AJ111" s="25" t="s">
        <v>119</v>
      </c>
      <c r="AK111" s="26" t="s">
        <v>120</v>
      </c>
      <c r="AL111" s="26" t="s">
        <v>120</v>
      </c>
      <c r="AM111" s="90" t="s">
        <v>119</v>
      </c>
      <c r="AN111" s="105">
        <v>23430</v>
      </c>
      <c r="AO111" s="91">
        <f t="shared" ca="1" si="53"/>
        <v>61</v>
      </c>
      <c r="AP111" s="26" t="s">
        <v>121</v>
      </c>
      <c r="AQ111" s="26" t="s">
        <v>886</v>
      </c>
      <c r="AR111" s="89"/>
      <c r="AS111" s="27"/>
      <c r="AT111" s="16"/>
      <c r="AU111" s="27"/>
      <c r="AV111" s="86"/>
      <c r="AW111" s="27"/>
      <c r="AX111" s="27"/>
      <c r="AY111" s="27"/>
      <c r="AZ111" s="27"/>
      <c r="BA111" s="27"/>
      <c r="BB111" s="27"/>
      <c r="BC111" s="97"/>
      <c r="BD111" s="27"/>
      <c r="BE111" s="16"/>
      <c r="BF111" s="28">
        <f t="shared" si="42"/>
        <v>0</v>
      </c>
      <c r="BG111" s="29"/>
      <c r="BH111" s="27"/>
      <c r="BI111" s="30">
        <f t="shared" si="43"/>
        <v>348</v>
      </c>
      <c r="BJ111" s="31">
        <f t="shared" si="44"/>
        <v>45656</v>
      </c>
      <c r="BK111" s="27"/>
      <c r="BL111" s="16"/>
      <c r="BM111" s="27"/>
      <c r="BN111" s="16"/>
      <c r="BO111" s="27"/>
      <c r="BP111" s="16"/>
      <c r="BQ111" s="27"/>
      <c r="BR111" s="24"/>
      <c r="BS111" s="24"/>
      <c r="BT111" s="32"/>
      <c r="BU111" s="27"/>
      <c r="BV111" s="24"/>
      <c r="BW111" s="24"/>
      <c r="BX111" s="16"/>
      <c r="BY111" s="27"/>
      <c r="BZ111" s="24"/>
      <c r="CA111" s="24"/>
      <c r="CB111" s="16"/>
      <c r="CC111" s="49">
        <f t="shared" si="45"/>
        <v>0</v>
      </c>
      <c r="CD111" s="24"/>
      <c r="CE111" s="49">
        <f t="shared" si="46"/>
        <v>84000000</v>
      </c>
      <c r="CF111" s="50"/>
      <c r="CG111" s="49">
        <f t="shared" ca="1" si="47"/>
        <v>84000000</v>
      </c>
      <c r="CH111" s="33">
        <f t="shared" ca="1" si="48"/>
        <v>1</v>
      </c>
      <c r="CI111" s="33">
        <f t="shared" ca="1" si="49"/>
        <v>1</v>
      </c>
      <c r="CJ111" s="36">
        <f t="shared" ca="1" si="50"/>
        <v>100</v>
      </c>
      <c r="CK111" s="34">
        <f t="shared" si="51"/>
        <v>0</v>
      </c>
      <c r="CL111" s="21"/>
      <c r="CM111" s="35" t="str">
        <f t="shared" ca="1" si="52"/>
        <v>TERMINADO</v>
      </c>
      <c r="CN111" s="82"/>
      <c r="CO111" s="145" t="s">
        <v>1073</v>
      </c>
      <c r="CP111" s="26" t="s">
        <v>123</v>
      </c>
    </row>
    <row r="112" spans="1:94" ht="24.75" customHeight="1">
      <c r="A112" s="109" t="s">
        <v>1074</v>
      </c>
      <c r="B112" s="77" t="s">
        <v>1075</v>
      </c>
      <c r="C112" s="17" t="s">
        <v>104</v>
      </c>
      <c r="D112" s="18" t="s">
        <v>1076</v>
      </c>
      <c r="E112" s="17" t="s">
        <v>106</v>
      </c>
      <c r="F112" s="17" t="s">
        <v>107</v>
      </c>
      <c r="G112" s="17" t="s">
        <v>108</v>
      </c>
      <c r="H112" s="78">
        <v>52706333</v>
      </c>
      <c r="I112" s="74" t="s">
        <v>1077</v>
      </c>
      <c r="J112" s="16"/>
      <c r="K112" s="16"/>
      <c r="L112" s="20" t="s">
        <v>1078</v>
      </c>
      <c r="M112" s="16" t="s">
        <v>111</v>
      </c>
      <c r="N112" s="22">
        <v>45302</v>
      </c>
      <c r="O112" s="22">
        <v>45303</v>
      </c>
      <c r="P112" s="22">
        <v>45656</v>
      </c>
      <c r="Q112" s="23">
        <f t="shared" si="41"/>
        <v>353</v>
      </c>
      <c r="R112" s="17" t="s">
        <v>242</v>
      </c>
      <c r="S112" s="110" t="s">
        <v>1079</v>
      </c>
      <c r="T112" s="16" t="s">
        <v>949</v>
      </c>
      <c r="U112" s="67">
        <v>94406842</v>
      </c>
      <c r="V112" s="16" t="s">
        <v>1071</v>
      </c>
      <c r="W112" s="224">
        <v>94406842</v>
      </c>
      <c r="X112" s="24">
        <v>8092015</v>
      </c>
      <c r="Y112" s="24"/>
      <c r="Z112" s="24"/>
      <c r="AA112" s="17" t="s">
        <v>116</v>
      </c>
      <c r="AB112" s="23" t="str">
        <f>IFERROR(VLOOKUP(AA112,Listas!$A$1:$C$14,2,FALSE),"")</f>
        <v>FREDY CÉSPEDES VILLA</v>
      </c>
      <c r="AC112" s="23">
        <f>IFERROR(VLOOKUP(AA112,Listas!$A$1:$C$14,3,FALSE),"")</f>
        <v>93363483</v>
      </c>
      <c r="AD112" s="17" t="s">
        <v>345</v>
      </c>
      <c r="AE112" s="17" t="s">
        <v>346</v>
      </c>
      <c r="AF112" s="23" t="str">
        <f>IFERROR(VLOOKUP(AE112,Listas!$AD$1:$AF$66,2,FALSE),"")</f>
        <v>RODOLFO GIOVANNI CANCHILA SUÁREZ</v>
      </c>
      <c r="AG112" s="23">
        <f>IFERROR(VLOOKUP(AE112,Listas!$AD$1:$AF$65,3,FALSE),"")</f>
        <v>79672493</v>
      </c>
      <c r="AH112" s="17" t="s">
        <v>118</v>
      </c>
      <c r="AI112" s="65" t="s">
        <v>1080</v>
      </c>
      <c r="AJ112" s="25" t="s">
        <v>119</v>
      </c>
      <c r="AK112" s="26" t="s">
        <v>120</v>
      </c>
      <c r="AL112" s="26" t="s">
        <v>120</v>
      </c>
      <c r="AM112" s="90" t="s">
        <v>119</v>
      </c>
      <c r="AN112" s="105">
        <v>29242</v>
      </c>
      <c r="AO112" s="91">
        <f t="shared" ca="1" si="53"/>
        <v>45</v>
      </c>
      <c r="AP112" s="26" t="s">
        <v>121</v>
      </c>
      <c r="AQ112" s="26" t="s">
        <v>347</v>
      </c>
      <c r="AR112" s="89"/>
      <c r="AS112" s="27"/>
      <c r="AT112" s="16"/>
      <c r="AU112" s="27"/>
      <c r="AV112" s="86"/>
      <c r="AW112" s="27"/>
      <c r="AX112" s="27"/>
      <c r="AY112" s="27"/>
      <c r="AZ112" s="27"/>
      <c r="BA112" s="27"/>
      <c r="BB112" s="27"/>
      <c r="BC112" s="97"/>
      <c r="BD112" s="27"/>
      <c r="BE112" s="16"/>
      <c r="BF112" s="28">
        <f t="shared" si="42"/>
        <v>0</v>
      </c>
      <c r="BG112" s="29"/>
      <c r="BH112" s="27"/>
      <c r="BI112" s="30">
        <f t="shared" si="43"/>
        <v>353</v>
      </c>
      <c r="BJ112" s="31">
        <f t="shared" si="44"/>
        <v>45656</v>
      </c>
      <c r="BK112" s="27"/>
      <c r="BL112" s="16"/>
      <c r="BM112" s="27"/>
      <c r="BN112" s="16"/>
      <c r="BO112" s="27"/>
      <c r="BP112" s="16"/>
      <c r="BQ112" s="27"/>
      <c r="BR112" s="24"/>
      <c r="BS112" s="24"/>
      <c r="BT112" s="32"/>
      <c r="BU112" s="27"/>
      <c r="BV112" s="24"/>
      <c r="BW112" s="24"/>
      <c r="BX112" s="16"/>
      <c r="BY112" s="27"/>
      <c r="BZ112" s="24"/>
      <c r="CA112" s="24"/>
      <c r="CB112" s="16"/>
      <c r="CC112" s="49">
        <f t="shared" si="45"/>
        <v>0</v>
      </c>
      <c r="CD112" s="24"/>
      <c r="CE112" s="49">
        <f t="shared" si="46"/>
        <v>94406842</v>
      </c>
      <c r="CF112" s="50"/>
      <c r="CG112" s="49">
        <f t="shared" ca="1" si="47"/>
        <v>94406842</v>
      </c>
      <c r="CH112" s="33">
        <f t="shared" ca="1" si="48"/>
        <v>1</v>
      </c>
      <c r="CI112" s="33">
        <f t="shared" ca="1" si="49"/>
        <v>1</v>
      </c>
      <c r="CJ112" s="36">
        <f t="shared" ca="1" si="50"/>
        <v>100</v>
      </c>
      <c r="CK112" s="34">
        <f t="shared" si="51"/>
        <v>0</v>
      </c>
      <c r="CL112" s="21"/>
      <c r="CM112" s="35" t="str">
        <f t="shared" ca="1" si="52"/>
        <v>TERMINADO</v>
      </c>
      <c r="CN112" s="82"/>
      <c r="CO112" s="145" t="s">
        <v>1081</v>
      </c>
      <c r="CP112" s="26" t="s">
        <v>123</v>
      </c>
    </row>
    <row r="113" spans="1:94" ht="24.75" customHeight="1">
      <c r="A113" s="48" t="s">
        <v>1082</v>
      </c>
      <c r="B113" s="77" t="s">
        <v>1083</v>
      </c>
      <c r="C113" s="17" t="s">
        <v>104</v>
      </c>
      <c r="D113" s="18" t="s">
        <v>1084</v>
      </c>
      <c r="E113" s="17" t="s">
        <v>106</v>
      </c>
      <c r="F113" s="17" t="s">
        <v>107</v>
      </c>
      <c r="G113" s="17" t="s">
        <v>108</v>
      </c>
      <c r="H113" s="78">
        <v>79883062</v>
      </c>
      <c r="I113" s="74" t="s">
        <v>1085</v>
      </c>
      <c r="J113" s="16"/>
      <c r="K113" s="16"/>
      <c r="L113" s="20" t="s">
        <v>1086</v>
      </c>
      <c r="M113" s="16" t="s">
        <v>111</v>
      </c>
      <c r="N113" s="22">
        <v>45302</v>
      </c>
      <c r="O113" s="22">
        <v>45303</v>
      </c>
      <c r="P113" s="22">
        <v>45656</v>
      </c>
      <c r="Q113" s="23">
        <f t="shared" si="41"/>
        <v>353</v>
      </c>
      <c r="R113" s="17" t="s">
        <v>242</v>
      </c>
      <c r="S113" s="110" t="s">
        <v>1087</v>
      </c>
      <c r="T113" s="16" t="s">
        <v>343</v>
      </c>
      <c r="U113" s="67">
        <v>67229120</v>
      </c>
      <c r="V113" s="16" t="s">
        <v>344</v>
      </c>
      <c r="W113" s="224">
        <v>67229120</v>
      </c>
      <c r="X113" s="24">
        <v>5762496</v>
      </c>
      <c r="Y113" s="24"/>
      <c r="Z113" s="24"/>
      <c r="AA113" s="17" t="s">
        <v>116</v>
      </c>
      <c r="AB113" s="23" t="str">
        <f>IFERROR(VLOOKUP(AA113,Listas!$A$1:$C$14,2,FALSE),"")</f>
        <v>FREDY CÉSPEDES VILLA</v>
      </c>
      <c r="AC113" s="23">
        <f>IFERROR(VLOOKUP(AA113,Listas!$A$1:$C$14,3,FALSE),"")</f>
        <v>93363483</v>
      </c>
      <c r="AD113" s="17" t="s">
        <v>345</v>
      </c>
      <c r="AE113" s="17" t="s">
        <v>346</v>
      </c>
      <c r="AF113" s="23" t="str">
        <f>IFERROR(VLOOKUP(AE113,Listas!$AD$1:$AF$66,2,FALSE),"")</f>
        <v>RODOLFO GIOVANNI CANCHILA SUÁREZ</v>
      </c>
      <c r="AG113" s="23">
        <f>IFERROR(VLOOKUP(AE113,Listas!$AD$1:$AF$65,3,FALSE),"")</f>
        <v>79672493</v>
      </c>
      <c r="AH113" s="17" t="s">
        <v>118</v>
      </c>
      <c r="AI113" s="65" t="s">
        <v>1088</v>
      </c>
      <c r="AJ113" s="25" t="s">
        <v>119</v>
      </c>
      <c r="AK113" s="26" t="s">
        <v>120</v>
      </c>
      <c r="AL113" s="26" t="s">
        <v>120</v>
      </c>
      <c r="AM113" s="90" t="s">
        <v>119</v>
      </c>
      <c r="AN113" s="105">
        <v>29384</v>
      </c>
      <c r="AO113" s="91">
        <f t="shared" ca="1" si="53"/>
        <v>45</v>
      </c>
      <c r="AP113" s="26" t="s">
        <v>121</v>
      </c>
      <c r="AQ113" s="26" t="s">
        <v>347</v>
      </c>
      <c r="AR113" s="89"/>
      <c r="AS113" s="27"/>
      <c r="AT113" s="16"/>
      <c r="AU113" s="27"/>
      <c r="AV113" s="86"/>
      <c r="AW113" s="27"/>
      <c r="AX113" s="27"/>
      <c r="AY113" s="27"/>
      <c r="AZ113" s="27"/>
      <c r="BA113" s="27"/>
      <c r="BB113" s="27"/>
      <c r="BC113" s="97"/>
      <c r="BD113" s="27"/>
      <c r="BE113" s="16"/>
      <c r="BF113" s="28">
        <f t="shared" si="42"/>
        <v>0</v>
      </c>
      <c r="BG113" s="29"/>
      <c r="BH113" s="27"/>
      <c r="BI113" s="30">
        <f t="shared" si="43"/>
        <v>353</v>
      </c>
      <c r="BJ113" s="31">
        <f t="shared" si="44"/>
        <v>45656</v>
      </c>
      <c r="BK113" s="27"/>
      <c r="BL113" s="16"/>
      <c r="BM113" s="27"/>
      <c r="BN113" s="16"/>
      <c r="BO113" s="27"/>
      <c r="BP113" s="16"/>
      <c r="BQ113" s="27"/>
      <c r="BR113" s="24"/>
      <c r="BS113" s="24"/>
      <c r="BT113" s="32"/>
      <c r="BU113" s="27"/>
      <c r="BV113" s="24"/>
      <c r="BW113" s="24"/>
      <c r="BX113" s="16"/>
      <c r="BY113" s="27"/>
      <c r="BZ113" s="24"/>
      <c r="CA113" s="24"/>
      <c r="CB113" s="16"/>
      <c r="CC113" s="49">
        <f t="shared" si="45"/>
        <v>0</v>
      </c>
      <c r="CD113" s="24"/>
      <c r="CE113" s="49">
        <f t="shared" si="46"/>
        <v>67229120</v>
      </c>
      <c r="CF113" s="50"/>
      <c r="CG113" s="49">
        <f t="shared" ca="1" si="47"/>
        <v>67229120</v>
      </c>
      <c r="CH113" s="33">
        <f t="shared" ca="1" si="48"/>
        <v>1</v>
      </c>
      <c r="CI113" s="33">
        <f t="shared" ca="1" si="49"/>
        <v>1</v>
      </c>
      <c r="CJ113" s="36">
        <f t="shared" ca="1" si="50"/>
        <v>100</v>
      </c>
      <c r="CK113" s="34">
        <f t="shared" si="51"/>
        <v>0</v>
      </c>
      <c r="CL113" s="21"/>
      <c r="CM113" s="35" t="str">
        <f t="shared" ca="1" si="52"/>
        <v>TERMINADO</v>
      </c>
      <c r="CN113" s="82"/>
      <c r="CO113" s="145" t="s">
        <v>1089</v>
      </c>
      <c r="CP113" s="26" t="s">
        <v>142</v>
      </c>
    </row>
    <row r="114" spans="1:94" ht="24.75" customHeight="1">
      <c r="A114" s="48" t="s">
        <v>1090</v>
      </c>
      <c r="B114" s="77" t="s">
        <v>1091</v>
      </c>
      <c r="C114" s="17" t="s">
        <v>104</v>
      </c>
      <c r="D114" s="18" t="s">
        <v>1092</v>
      </c>
      <c r="E114" s="17" t="s">
        <v>106</v>
      </c>
      <c r="F114" s="17" t="s">
        <v>107</v>
      </c>
      <c r="G114" s="17" t="s">
        <v>108</v>
      </c>
      <c r="H114" s="78">
        <v>52918108</v>
      </c>
      <c r="I114" s="74" t="s">
        <v>1093</v>
      </c>
      <c r="J114" s="16"/>
      <c r="K114" s="16"/>
      <c r="L114" s="96" t="s">
        <v>1094</v>
      </c>
      <c r="M114" s="16" t="s">
        <v>111</v>
      </c>
      <c r="N114" s="22">
        <v>45302</v>
      </c>
      <c r="O114" s="22">
        <v>45303</v>
      </c>
      <c r="P114" s="22">
        <v>45656</v>
      </c>
      <c r="Q114" s="23">
        <f t="shared" si="41"/>
        <v>353</v>
      </c>
      <c r="R114" s="17" t="s">
        <v>112</v>
      </c>
      <c r="S114" s="110" t="s">
        <v>1095</v>
      </c>
      <c r="T114" s="16" t="s">
        <v>364</v>
      </c>
      <c r="U114" s="67">
        <v>136276889</v>
      </c>
      <c r="V114" s="16" t="s">
        <v>365</v>
      </c>
      <c r="W114" s="224">
        <v>136276889</v>
      </c>
      <c r="X114" s="24">
        <v>11647597</v>
      </c>
      <c r="Y114" s="24"/>
      <c r="Z114" s="24"/>
      <c r="AA114" s="17" t="s">
        <v>116</v>
      </c>
      <c r="AB114" s="23" t="str">
        <f>IFERROR(VLOOKUP(AA114,Listas!$A$1:$C$14,2,FALSE),"")</f>
        <v>FREDY CÉSPEDES VILLA</v>
      </c>
      <c r="AC114" s="23">
        <f>IFERROR(VLOOKUP(AA114,Listas!$A$1:$C$14,3,FALSE),"")</f>
        <v>93363483</v>
      </c>
      <c r="AD114" s="17" t="s">
        <v>345</v>
      </c>
      <c r="AE114" s="17" t="s">
        <v>346</v>
      </c>
      <c r="AF114" s="23" t="str">
        <f>IFERROR(VLOOKUP(AE114,Listas!$AD$1:$AF$66,2,FALSE),"")</f>
        <v>RODOLFO GIOVANNI CANCHILA SUÁREZ</v>
      </c>
      <c r="AG114" s="23">
        <f>IFERROR(VLOOKUP(AE114,Listas!$AD$1:$AF$65,3,FALSE),"")</f>
        <v>79672493</v>
      </c>
      <c r="AH114" s="17" t="s">
        <v>118</v>
      </c>
      <c r="AI114" s="65" t="s">
        <v>1096</v>
      </c>
      <c r="AJ114" s="25" t="s">
        <v>119</v>
      </c>
      <c r="AK114" s="26" t="s">
        <v>120</v>
      </c>
      <c r="AL114" s="26" t="s">
        <v>120</v>
      </c>
      <c r="AM114" s="90" t="s">
        <v>119</v>
      </c>
      <c r="AN114" s="105">
        <v>31232</v>
      </c>
      <c r="AO114" s="91">
        <f t="shared" ca="1" si="53"/>
        <v>40</v>
      </c>
      <c r="AP114" s="26" t="s">
        <v>121</v>
      </c>
      <c r="AQ114" s="26" t="s">
        <v>367</v>
      </c>
      <c r="AR114" s="89"/>
      <c r="AS114" s="27"/>
      <c r="AT114" s="16"/>
      <c r="AU114" s="27"/>
      <c r="AV114" s="86"/>
      <c r="AW114" s="27"/>
      <c r="AX114" s="27"/>
      <c r="AY114" s="27"/>
      <c r="AZ114" s="27"/>
      <c r="BA114" s="27"/>
      <c r="BB114" s="27"/>
      <c r="BC114" s="97"/>
      <c r="BD114" s="27"/>
      <c r="BE114" s="16"/>
      <c r="BF114" s="28">
        <f t="shared" si="42"/>
        <v>0</v>
      </c>
      <c r="BG114" s="29"/>
      <c r="BH114" s="27"/>
      <c r="BI114" s="30">
        <f t="shared" si="43"/>
        <v>353</v>
      </c>
      <c r="BJ114" s="31">
        <f t="shared" si="44"/>
        <v>45656</v>
      </c>
      <c r="BK114" s="27"/>
      <c r="BL114" s="16"/>
      <c r="BM114" s="27"/>
      <c r="BN114" s="16"/>
      <c r="BO114" s="27"/>
      <c r="BP114" s="16"/>
      <c r="BQ114" s="27"/>
      <c r="BR114" s="24"/>
      <c r="BS114" s="24"/>
      <c r="BT114" s="32"/>
      <c r="BU114" s="27"/>
      <c r="BV114" s="24"/>
      <c r="BW114" s="24"/>
      <c r="BX114" s="16"/>
      <c r="BY114" s="27"/>
      <c r="BZ114" s="24"/>
      <c r="CA114" s="24"/>
      <c r="CB114" s="16"/>
      <c r="CC114" s="49">
        <f t="shared" si="45"/>
        <v>0</v>
      </c>
      <c r="CD114" s="24"/>
      <c r="CE114" s="49">
        <f t="shared" si="46"/>
        <v>136276889</v>
      </c>
      <c r="CF114" s="50"/>
      <c r="CG114" s="49">
        <f t="shared" ca="1" si="47"/>
        <v>136276889</v>
      </c>
      <c r="CH114" s="33">
        <f t="shared" ca="1" si="48"/>
        <v>1</v>
      </c>
      <c r="CI114" s="33">
        <f t="shared" ca="1" si="49"/>
        <v>1</v>
      </c>
      <c r="CJ114" s="36">
        <f t="shared" ca="1" si="50"/>
        <v>100</v>
      </c>
      <c r="CK114" s="34">
        <f t="shared" si="51"/>
        <v>0</v>
      </c>
      <c r="CL114" s="21"/>
      <c r="CM114" s="35" t="str">
        <f t="shared" ca="1" si="52"/>
        <v>TERMINADO</v>
      </c>
      <c r="CN114" s="82"/>
      <c r="CO114" s="145" t="s">
        <v>1097</v>
      </c>
      <c r="CP114" s="26" t="s">
        <v>123</v>
      </c>
    </row>
    <row r="115" spans="1:94" ht="24.75" customHeight="1">
      <c r="A115" s="48" t="s">
        <v>1098</v>
      </c>
      <c r="B115" s="77" t="s">
        <v>1099</v>
      </c>
      <c r="C115" s="17" t="s">
        <v>104</v>
      </c>
      <c r="D115" s="18" t="s">
        <v>1100</v>
      </c>
      <c r="E115" s="17" t="s">
        <v>106</v>
      </c>
      <c r="F115" s="17" t="s">
        <v>107</v>
      </c>
      <c r="G115" s="17" t="s">
        <v>108</v>
      </c>
      <c r="H115" s="78">
        <v>53029493</v>
      </c>
      <c r="I115" s="74" t="s">
        <v>1101</v>
      </c>
      <c r="J115" s="16"/>
      <c r="K115" s="16"/>
      <c r="L115" s="20" t="s">
        <v>1102</v>
      </c>
      <c r="M115" s="16" t="s">
        <v>111</v>
      </c>
      <c r="N115" s="22">
        <v>45302</v>
      </c>
      <c r="O115" s="22">
        <v>45303</v>
      </c>
      <c r="P115" s="22">
        <v>45656</v>
      </c>
      <c r="Q115" s="23">
        <f t="shared" si="41"/>
        <v>353</v>
      </c>
      <c r="R115" s="17" t="s">
        <v>242</v>
      </c>
      <c r="S115" s="110" t="s">
        <v>1103</v>
      </c>
      <c r="T115" s="16" t="s">
        <v>343</v>
      </c>
      <c r="U115" s="67">
        <v>58981798</v>
      </c>
      <c r="V115" s="16" t="s">
        <v>344</v>
      </c>
      <c r="W115" s="224">
        <v>58981798</v>
      </c>
      <c r="X115" s="24">
        <v>5026858</v>
      </c>
      <c r="Y115" s="24"/>
      <c r="Z115" s="24"/>
      <c r="AA115" s="17" t="s">
        <v>116</v>
      </c>
      <c r="AB115" s="23" t="str">
        <f>IFERROR(VLOOKUP(AA115,Listas!$A$1:$C$14,2,FALSE),"")</f>
        <v>FREDY CÉSPEDES VILLA</v>
      </c>
      <c r="AC115" s="23">
        <f>IFERROR(VLOOKUP(AA115,Listas!$A$1:$C$14,3,FALSE),"")</f>
        <v>93363483</v>
      </c>
      <c r="AD115" s="17" t="s">
        <v>345</v>
      </c>
      <c r="AE115" s="17" t="s">
        <v>346</v>
      </c>
      <c r="AF115" s="23" t="str">
        <f>IFERROR(VLOOKUP(AE115,Listas!$AD$1:$AF$66,2,FALSE),"")</f>
        <v>RODOLFO GIOVANNI CANCHILA SUÁREZ</v>
      </c>
      <c r="AG115" s="23">
        <f>IFERROR(VLOOKUP(AE115,Listas!$AD$1:$AF$65,3,FALSE),"")</f>
        <v>79672493</v>
      </c>
      <c r="AH115" s="17" t="s">
        <v>118</v>
      </c>
      <c r="AI115" s="65"/>
      <c r="AJ115" s="25" t="s">
        <v>119</v>
      </c>
      <c r="AK115" s="26" t="s">
        <v>120</v>
      </c>
      <c r="AL115" s="26" t="s">
        <v>120</v>
      </c>
      <c r="AM115" s="90" t="s">
        <v>119</v>
      </c>
      <c r="AN115" s="105">
        <v>31068</v>
      </c>
      <c r="AO115" s="91">
        <f t="shared" ca="1" si="53"/>
        <v>40</v>
      </c>
      <c r="AP115" s="26" t="s">
        <v>121</v>
      </c>
      <c r="AQ115" s="26" t="s">
        <v>367</v>
      </c>
      <c r="AR115" s="89"/>
      <c r="AS115" s="27"/>
      <c r="AT115" s="16"/>
      <c r="AU115" s="27"/>
      <c r="AV115" s="86"/>
      <c r="AW115" s="27"/>
      <c r="AX115" s="27"/>
      <c r="AY115" s="27"/>
      <c r="AZ115" s="27"/>
      <c r="BA115" s="27"/>
      <c r="BB115" s="27"/>
      <c r="BC115" s="97"/>
      <c r="BD115" s="27"/>
      <c r="BE115" s="16"/>
      <c r="BF115" s="28">
        <f t="shared" si="42"/>
        <v>0</v>
      </c>
      <c r="BG115" s="29"/>
      <c r="BH115" s="27"/>
      <c r="BI115" s="30">
        <f t="shared" si="43"/>
        <v>353</v>
      </c>
      <c r="BJ115" s="31">
        <f t="shared" si="44"/>
        <v>45656</v>
      </c>
      <c r="BK115" s="27"/>
      <c r="BL115" s="16"/>
      <c r="BM115" s="27"/>
      <c r="BN115" s="16"/>
      <c r="BO115" s="27"/>
      <c r="BP115" s="16"/>
      <c r="BQ115" s="27"/>
      <c r="BR115" s="24"/>
      <c r="BS115" s="24"/>
      <c r="BT115" s="32"/>
      <c r="BU115" s="27"/>
      <c r="BV115" s="24"/>
      <c r="BW115" s="24"/>
      <c r="BX115" s="16"/>
      <c r="BY115" s="27"/>
      <c r="BZ115" s="24"/>
      <c r="CA115" s="24"/>
      <c r="CB115" s="16"/>
      <c r="CC115" s="49">
        <f t="shared" si="45"/>
        <v>0</v>
      </c>
      <c r="CD115" s="24"/>
      <c r="CE115" s="49">
        <f t="shared" si="46"/>
        <v>58981798</v>
      </c>
      <c r="CF115" s="50"/>
      <c r="CG115" s="49">
        <f t="shared" ca="1" si="47"/>
        <v>58981798</v>
      </c>
      <c r="CH115" s="33">
        <f t="shared" ca="1" si="48"/>
        <v>1</v>
      </c>
      <c r="CI115" s="33">
        <f t="shared" ca="1" si="49"/>
        <v>1</v>
      </c>
      <c r="CJ115" s="36">
        <f t="shared" ca="1" si="50"/>
        <v>100</v>
      </c>
      <c r="CK115" s="34">
        <f t="shared" si="51"/>
        <v>0</v>
      </c>
      <c r="CL115" s="21"/>
      <c r="CM115" s="35" t="str">
        <f t="shared" ca="1" si="52"/>
        <v>TERMINADO</v>
      </c>
      <c r="CN115" s="82"/>
      <c r="CO115" s="145" t="s">
        <v>1104</v>
      </c>
      <c r="CP115" s="26" t="s">
        <v>123</v>
      </c>
    </row>
    <row r="116" spans="1:94" ht="24.75" customHeight="1">
      <c r="A116" s="48" t="s">
        <v>1105</v>
      </c>
      <c r="B116" s="77" t="s">
        <v>1106</v>
      </c>
      <c r="C116" s="17" t="s">
        <v>104</v>
      </c>
      <c r="D116" s="18" t="s">
        <v>1107</v>
      </c>
      <c r="E116" s="17" t="s">
        <v>106</v>
      </c>
      <c r="F116" s="17" t="s">
        <v>107</v>
      </c>
      <c r="G116" s="17" t="s">
        <v>108</v>
      </c>
      <c r="H116" s="78">
        <v>79721726</v>
      </c>
      <c r="I116" s="74" t="s">
        <v>1108</v>
      </c>
      <c r="J116" s="16"/>
      <c r="K116" s="16"/>
      <c r="L116" s="20" t="s">
        <v>1109</v>
      </c>
      <c r="M116" s="16" t="s">
        <v>111</v>
      </c>
      <c r="N116" s="22">
        <v>45303</v>
      </c>
      <c r="O116" s="22">
        <v>45303</v>
      </c>
      <c r="P116" s="22">
        <v>45657</v>
      </c>
      <c r="Q116" s="23">
        <f t="shared" si="41"/>
        <v>354</v>
      </c>
      <c r="R116" s="17" t="s">
        <v>242</v>
      </c>
      <c r="S116" s="110" t="s">
        <v>1110</v>
      </c>
      <c r="T116" s="16" t="s">
        <v>805</v>
      </c>
      <c r="U116" s="67">
        <v>145226400</v>
      </c>
      <c r="V116" s="16" t="s">
        <v>264</v>
      </c>
      <c r="W116" s="224">
        <v>145226400</v>
      </c>
      <c r="X116" s="24">
        <v>12102200</v>
      </c>
      <c r="Y116" s="24"/>
      <c r="Z116" s="24"/>
      <c r="AA116" s="17" t="s">
        <v>116</v>
      </c>
      <c r="AB116" s="23" t="str">
        <f>IFERROR(VLOOKUP(AA116,Listas!$A$1:$C$14,2,FALSE),"")</f>
        <v>FREDY CÉSPEDES VILLA</v>
      </c>
      <c r="AC116" s="23">
        <f>IFERROR(VLOOKUP(AA116,Listas!$A$1:$C$14,3,FALSE),"")</f>
        <v>93363483</v>
      </c>
      <c r="AD116" s="17" t="s">
        <v>217</v>
      </c>
      <c r="AE116" s="17" t="s">
        <v>265</v>
      </c>
      <c r="AF116" s="23" t="str">
        <f>IFERROR(VLOOKUP(AE116,Listas!$AD$1:$AF$66,2,FALSE),"")</f>
        <v>EDGAR ANTONIO GÓMEZ ÁLVAREZ</v>
      </c>
      <c r="AG116" s="23">
        <f>IFERROR(VLOOKUP(AE116,Listas!$AD$1:$AF$65,3,FALSE),"")</f>
        <v>2231755</v>
      </c>
      <c r="AH116" s="17" t="s">
        <v>118</v>
      </c>
      <c r="AI116" s="65" t="s">
        <v>1111</v>
      </c>
      <c r="AJ116" s="25" t="s">
        <v>119</v>
      </c>
      <c r="AK116" s="26" t="s">
        <v>120</v>
      </c>
      <c r="AL116" s="26" t="s">
        <v>120</v>
      </c>
      <c r="AM116" s="90" t="s">
        <v>119</v>
      </c>
      <c r="AN116" s="105">
        <v>28111</v>
      </c>
      <c r="AO116" s="91">
        <f t="shared" ca="1" si="53"/>
        <v>49</v>
      </c>
      <c r="AP116" s="26" t="s">
        <v>121</v>
      </c>
      <c r="AQ116" s="26" t="s">
        <v>220</v>
      </c>
      <c r="AR116" s="89"/>
      <c r="AS116" s="27"/>
      <c r="AT116" s="16"/>
      <c r="AU116" s="27"/>
      <c r="AV116" s="86"/>
      <c r="AW116" s="27"/>
      <c r="AX116" s="27"/>
      <c r="AY116" s="27"/>
      <c r="AZ116" s="27"/>
      <c r="BA116" s="27"/>
      <c r="BB116" s="27"/>
      <c r="BC116" s="97"/>
      <c r="BD116" s="27"/>
      <c r="BE116" s="16"/>
      <c r="BF116" s="28">
        <f t="shared" si="42"/>
        <v>0</v>
      </c>
      <c r="BG116" s="29"/>
      <c r="BH116" s="27"/>
      <c r="BI116" s="30">
        <f t="shared" si="43"/>
        <v>354</v>
      </c>
      <c r="BJ116" s="31">
        <f t="shared" si="44"/>
        <v>45657</v>
      </c>
      <c r="BK116" s="27"/>
      <c r="BL116" s="16"/>
      <c r="BM116" s="27"/>
      <c r="BN116" s="16"/>
      <c r="BO116" s="27"/>
      <c r="BP116" s="16"/>
      <c r="BQ116" s="27"/>
      <c r="BR116" s="24"/>
      <c r="BS116" s="24"/>
      <c r="BT116" s="32"/>
      <c r="BU116" s="27"/>
      <c r="BV116" s="24"/>
      <c r="BW116" s="24"/>
      <c r="BX116" s="16"/>
      <c r="BY116" s="27"/>
      <c r="BZ116" s="24"/>
      <c r="CA116" s="24"/>
      <c r="CB116" s="16"/>
      <c r="CC116" s="49">
        <f t="shared" si="45"/>
        <v>0</v>
      </c>
      <c r="CD116" s="24"/>
      <c r="CE116" s="49">
        <f t="shared" si="46"/>
        <v>145226400</v>
      </c>
      <c r="CF116" s="50"/>
      <c r="CG116" s="49">
        <f t="shared" ca="1" si="47"/>
        <v>145226400</v>
      </c>
      <c r="CH116" s="33">
        <f t="shared" ca="1" si="48"/>
        <v>1</v>
      </c>
      <c r="CI116" s="33">
        <f t="shared" ca="1" si="49"/>
        <v>1</v>
      </c>
      <c r="CJ116" s="36">
        <f t="shared" ca="1" si="50"/>
        <v>100</v>
      </c>
      <c r="CK116" s="34">
        <f t="shared" si="51"/>
        <v>0</v>
      </c>
      <c r="CL116" s="21"/>
      <c r="CM116" s="35" t="str">
        <f t="shared" ca="1" si="52"/>
        <v>TERMINADO</v>
      </c>
      <c r="CN116" s="82"/>
      <c r="CO116" s="145" t="s">
        <v>1112</v>
      </c>
      <c r="CP116" s="26" t="s">
        <v>142</v>
      </c>
    </row>
    <row r="117" spans="1:94" ht="24.75" customHeight="1">
      <c r="A117" s="48" t="s">
        <v>1113</v>
      </c>
      <c r="B117" s="77" t="s">
        <v>1114</v>
      </c>
      <c r="C117" s="17" t="s">
        <v>104</v>
      </c>
      <c r="D117" s="18" t="s">
        <v>1115</v>
      </c>
      <c r="E117" s="17" t="s">
        <v>106</v>
      </c>
      <c r="F117" s="17" t="s">
        <v>107</v>
      </c>
      <c r="G117" s="17" t="s">
        <v>108</v>
      </c>
      <c r="H117" s="78">
        <v>52933901</v>
      </c>
      <c r="I117" s="74" t="s">
        <v>1116</v>
      </c>
      <c r="J117" s="16"/>
      <c r="K117" s="16"/>
      <c r="L117" s="20" t="s">
        <v>1109</v>
      </c>
      <c r="M117" s="16" t="s">
        <v>111</v>
      </c>
      <c r="N117" s="22">
        <v>45303</v>
      </c>
      <c r="O117" s="22">
        <v>45306</v>
      </c>
      <c r="P117" s="22">
        <v>45657</v>
      </c>
      <c r="Q117" s="23">
        <f t="shared" si="41"/>
        <v>351</v>
      </c>
      <c r="R117" s="17" t="s">
        <v>242</v>
      </c>
      <c r="S117" s="110" t="s">
        <v>1117</v>
      </c>
      <c r="T117" s="16" t="s">
        <v>668</v>
      </c>
      <c r="U117" s="67">
        <v>97104180</v>
      </c>
      <c r="V117" s="16" t="s">
        <v>1118</v>
      </c>
      <c r="W117" s="224">
        <v>97104180</v>
      </c>
      <c r="X117" s="24">
        <v>8092015</v>
      </c>
      <c r="Y117" s="24"/>
      <c r="Z117" s="24"/>
      <c r="AA117" s="17" t="s">
        <v>116</v>
      </c>
      <c r="AB117" s="23" t="str">
        <f>IFERROR(VLOOKUP(AA117,Listas!$A$1:$C$14,2,FALSE),"")</f>
        <v>FREDY CÉSPEDES VILLA</v>
      </c>
      <c r="AC117" s="23">
        <f>IFERROR(VLOOKUP(AA117,Listas!$A$1:$C$14,3,FALSE),"")</f>
        <v>93363483</v>
      </c>
      <c r="AD117" s="17" t="s">
        <v>282</v>
      </c>
      <c r="AE117" s="17" t="s">
        <v>293</v>
      </c>
      <c r="AF117" s="23" t="str">
        <f>IFERROR(VLOOKUP(AE117,Listas!$AD$1:$AF$66,2,FALSE),"")</f>
        <v>MÓNICA PINTO GARCÍA</v>
      </c>
      <c r="AG117" s="23">
        <f>IFERROR(VLOOKUP(AE117,Listas!$AD$1:$AF$65,3,FALSE),"")</f>
        <v>52867207</v>
      </c>
      <c r="AH117" s="17" t="s">
        <v>118</v>
      </c>
      <c r="AI117" s="65" t="s">
        <v>1119</v>
      </c>
      <c r="AJ117" s="25" t="s">
        <v>119</v>
      </c>
      <c r="AK117" s="26" t="s">
        <v>120</v>
      </c>
      <c r="AL117" s="26" t="s">
        <v>120</v>
      </c>
      <c r="AM117" s="90" t="s">
        <v>119</v>
      </c>
      <c r="AN117" s="105">
        <v>30489</v>
      </c>
      <c r="AO117" s="91">
        <f t="shared" ca="1" si="53"/>
        <v>42</v>
      </c>
      <c r="AP117" s="26" t="s">
        <v>121</v>
      </c>
      <c r="AQ117" s="26" t="s">
        <v>285</v>
      </c>
      <c r="AR117" s="89">
        <v>45412</v>
      </c>
      <c r="AS117" s="27" t="s">
        <v>1120</v>
      </c>
      <c r="AT117" s="16">
        <v>90067598</v>
      </c>
      <c r="AU117" s="20" t="s">
        <v>1109</v>
      </c>
      <c r="AV117" s="86">
        <v>68512394</v>
      </c>
      <c r="AW117" s="27"/>
      <c r="AX117" s="27"/>
      <c r="AY117" s="27"/>
      <c r="AZ117" s="27"/>
      <c r="BA117" s="27"/>
      <c r="BB117" s="27"/>
      <c r="BC117" s="97"/>
      <c r="BD117" s="27"/>
      <c r="BE117" s="16"/>
      <c r="BF117" s="28">
        <f t="shared" si="42"/>
        <v>0</v>
      </c>
      <c r="BG117" s="29"/>
      <c r="BH117" s="27"/>
      <c r="BI117" s="30">
        <f t="shared" si="43"/>
        <v>351</v>
      </c>
      <c r="BJ117" s="31">
        <f t="shared" si="44"/>
        <v>45657</v>
      </c>
      <c r="BK117" s="27"/>
      <c r="BL117" s="16"/>
      <c r="BM117" s="27"/>
      <c r="BN117" s="16"/>
      <c r="BO117" s="27"/>
      <c r="BP117" s="16"/>
      <c r="BQ117" s="27"/>
      <c r="BR117" s="24"/>
      <c r="BS117" s="24"/>
      <c r="BT117" s="32"/>
      <c r="BU117" s="27"/>
      <c r="BV117" s="24"/>
      <c r="BW117" s="24"/>
      <c r="BX117" s="16"/>
      <c r="BY117" s="27"/>
      <c r="BZ117" s="24"/>
      <c r="CA117" s="24"/>
      <c r="CB117" s="16"/>
      <c r="CC117" s="49">
        <f t="shared" si="45"/>
        <v>0</v>
      </c>
      <c r="CD117" s="24"/>
      <c r="CE117" s="49">
        <f t="shared" si="46"/>
        <v>97104180</v>
      </c>
      <c r="CF117" s="50"/>
      <c r="CG117" s="49">
        <f t="shared" ca="1" si="47"/>
        <v>97104180</v>
      </c>
      <c r="CH117" s="33">
        <f t="shared" ca="1" si="48"/>
        <v>1</v>
      </c>
      <c r="CI117" s="33">
        <f t="shared" ca="1" si="49"/>
        <v>1</v>
      </c>
      <c r="CJ117" s="36">
        <f t="shared" ca="1" si="50"/>
        <v>100</v>
      </c>
      <c r="CK117" s="34">
        <f t="shared" si="51"/>
        <v>0</v>
      </c>
      <c r="CL117" s="21"/>
      <c r="CM117" s="35" t="str">
        <f t="shared" ca="1" si="52"/>
        <v>TERMINADO</v>
      </c>
      <c r="CN117" s="82"/>
      <c r="CO117" s="145" t="s">
        <v>1121</v>
      </c>
      <c r="CP117" s="26" t="s">
        <v>123</v>
      </c>
    </row>
    <row r="118" spans="1:94" ht="24.75" customHeight="1">
      <c r="A118" s="48" t="s">
        <v>1122</v>
      </c>
      <c r="B118" s="77" t="s">
        <v>1123</v>
      </c>
      <c r="C118" s="17" t="s">
        <v>104</v>
      </c>
      <c r="D118" s="18" t="s">
        <v>1124</v>
      </c>
      <c r="E118" s="17" t="s">
        <v>106</v>
      </c>
      <c r="F118" s="17" t="s">
        <v>107</v>
      </c>
      <c r="G118" s="17" t="s">
        <v>108</v>
      </c>
      <c r="H118" s="78">
        <v>1012417141</v>
      </c>
      <c r="I118" s="74" t="s">
        <v>1125</v>
      </c>
      <c r="J118" s="16"/>
      <c r="K118" s="16"/>
      <c r="L118" s="96" t="s">
        <v>1126</v>
      </c>
      <c r="M118" s="16" t="s">
        <v>111</v>
      </c>
      <c r="N118" s="22">
        <v>45303</v>
      </c>
      <c r="O118" s="22">
        <v>45306</v>
      </c>
      <c r="P118" s="22">
        <v>45656</v>
      </c>
      <c r="Q118" s="23">
        <f t="shared" si="41"/>
        <v>350</v>
      </c>
      <c r="R118" s="17" t="s">
        <v>242</v>
      </c>
      <c r="S118" s="110" t="s">
        <v>1127</v>
      </c>
      <c r="T118" s="16" t="s">
        <v>1128</v>
      </c>
      <c r="U118" s="67">
        <v>95940000</v>
      </c>
      <c r="V118" s="16" t="s">
        <v>815</v>
      </c>
      <c r="W118" s="224">
        <v>95940000</v>
      </c>
      <c r="X118" s="24">
        <v>8200000</v>
      </c>
      <c r="Y118" s="24"/>
      <c r="Z118" s="24"/>
      <c r="AA118" s="17" t="s">
        <v>116</v>
      </c>
      <c r="AB118" s="23" t="str">
        <f>IFERROR(VLOOKUP(AA118,Listas!$A$1:$C$14,2,FALSE),"")</f>
        <v>FREDY CÉSPEDES VILLA</v>
      </c>
      <c r="AC118" s="23">
        <f>IFERROR(VLOOKUP(AA118,Listas!$A$1:$C$14,3,FALSE),"")</f>
        <v>93363483</v>
      </c>
      <c r="AD118" s="17" t="s">
        <v>816</v>
      </c>
      <c r="AE118" s="17" t="s">
        <v>817</v>
      </c>
      <c r="AF118" s="23" t="str">
        <f>IFERROR(VLOOKUP(AE118,Listas!$AD$1:$AF$66,2,FALSE),"")</f>
        <v>JOSÉ EDUARDO PARADA JIMÉNEZ</v>
      </c>
      <c r="AG118" s="23">
        <f>IFERROR(VLOOKUP(AE118,Listas!$AD$1:$AF$65,3,FALSE),"")</f>
        <v>79434805</v>
      </c>
      <c r="AH118" s="17" t="s">
        <v>118</v>
      </c>
      <c r="AI118" s="65" t="s">
        <v>1129</v>
      </c>
      <c r="AJ118" s="25" t="s">
        <v>119</v>
      </c>
      <c r="AK118" s="26" t="s">
        <v>120</v>
      </c>
      <c r="AL118" s="26" t="s">
        <v>120</v>
      </c>
      <c r="AM118" s="90" t="s">
        <v>119</v>
      </c>
      <c r="AN118" s="105">
        <v>34684</v>
      </c>
      <c r="AO118" s="91">
        <f t="shared" ca="1" si="53"/>
        <v>31</v>
      </c>
      <c r="AP118" s="26" t="s">
        <v>121</v>
      </c>
      <c r="AQ118" s="26" t="s">
        <v>819</v>
      </c>
      <c r="AR118" s="89"/>
      <c r="AS118" s="27"/>
      <c r="AT118" s="16"/>
      <c r="AU118" s="27"/>
      <c r="AV118" s="86"/>
      <c r="AW118" s="27"/>
      <c r="AX118" s="27"/>
      <c r="AY118" s="27"/>
      <c r="AZ118" s="27"/>
      <c r="BA118" s="27"/>
      <c r="BB118" s="27"/>
      <c r="BC118" s="97"/>
      <c r="BD118" s="27"/>
      <c r="BE118" s="16"/>
      <c r="BF118" s="28">
        <f t="shared" si="42"/>
        <v>0</v>
      </c>
      <c r="BG118" s="29"/>
      <c r="BH118" s="27"/>
      <c r="BI118" s="30">
        <f t="shared" si="43"/>
        <v>350</v>
      </c>
      <c r="BJ118" s="31">
        <f t="shared" si="44"/>
        <v>45656</v>
      </c>
      <c r="BK118" s="27"/>
      <c r="BL118" s="16"/>
      <c r="BM118" s="27"/>
      <c r="BN118" s="16"/>
      <c r="BO118" s="27"/>
      <c r="BP118" s="16"/>
      <c r="BQ118" s="27"/>
      <c r="BR118" s="24"/>
      <c r="BS118" s="24"/>
      <c r="BT118" s="32"/>
      <c r="BU118" s="27"/>
      <c r="BV118" s="24"/>
      <c r="BW118" s="24"/>
      <c r="BX118" s="16"/>
      <c r="BY118" s="27"/>
      <c r="BZ118" s="24"/>
      <c r="CA118" s="24"/>
      <c r="CB118" s="16"/>
      <c r="CC118" s="49">
        <f t="shared" si="45"/>
        <v>0</v>
      </c>
      <c r="CD118" s="24"/>
      <c r="CE118" s="49">
        <f t="shared" si="46"/>
        <v>95940000</v>
      </c>
      <c r="CF118" s="50"/>
      <c r="CG118" s="49">
        <f t="shared" ca="1" si="47"/>
        <v>95940000</v>
      </c>
      <c r="CH118" s="33">
        <f t="shared" ca="1" si="48"/>
        <v>1</v>
      </c>
      <c r="CI118" s="33">
        <f t="shared" ca="1" si="49"/>
        <v>1</v>
      </c>
      <c r="CJ118" s="36">
        <f t="shared" ca="1" si="50"/>
        <v>100</v>
      </c>
      <c r="CK118" s="34">
        <f t="shared" si="51"/>
        <v>0</v>
      </c>
      <c r="CL118" s="21"/>
      <c r="CM118" s="35" t="str">
        <f t="shared" ca="1" si="52"/>
        <v>TERMINADO</v>
      </c>
      <c r="CN118" s="82"/>
      <c r="CP118" s="26" t="s">
        <v>142</v>
      </c>
    </row>
    <row r="119" spans="1:94" ht="24.75" customHeight="1">
      <c r="A119" s="48" t="s">
        <v>1130</v>
      </c>
      <c r="B119" s="77" t="s">
        <v>1131</v>
      </c>
      <c r="C119" s="17" t="s">
        <v>104</v>
      </c>
      <c r="D119" s="18" t="s">
        <v>1132</v>
      </c>
      <c r="E119" s="17" t="s">
        <v>106</v>
      </c>
      <c r="F119" s="17" t="s">
        <v>107</v>
      </c>
      <c r="G119" s="17" t="s">
        <v>108</v>
      </c>
      <c r="H119" s="78">
        <v>80039945</v>
      </c>
      <c r="I119" s="74" t="s">
        <v>1133</v>
      </c>
      <c r="J119" s="16"/>
      <c r="K119" s="16"/>
      <c r="L119" s="20" t="s">
        <v>1134</v>
      </c>
      <c r="M119" s="16" t="s">
        <v>111</v>
      </c>
      <c r="N119" s="22">
        <v>45303</v>
      </c>
      <c r="O119" s="22">
        <v>45307</v>
      </c>
      <c r="P119" s="22">
        <v>45656</v>
      </c>
      <c r="Q119" s="23">
        <f t="shared" si="41"/>
        <v>349</v>
      </c>
      <c r="R119" s="17" t="s">
        <v>242</v>
      </c>
      <c r="S119" s="110" t="s">
        <v>1135</v>
      </c>
      <c r="T119" s="16" t="s">
        <v>1128</v>
      </c>
      <c r="U119" s="67">
        <v>58500000</v>
      </c>
      <c r="V119" s="16" t="s">
        <v>1136</v>
      </c>
      <c r="W119" s="224">
        <v>58500000</v>
      </c>
      <c r="X119" s="24"/>
      <c r="Y119" s="24"/>
      <c r="Z119" s="24"/>
      <c r="AA119" s="17" t="s">
        <v>116</v>
      </c>
      <c r="AB119" s="23" t="str">
        <f>IFERROR(VLOOKUP(AA119,Listas!$A$1:$C$14,2,FALSE),"")</f>
        <v>FREDY CÉSPEDES VILLA</v>
      </c>
      <c r="AC119" s="23">
        <f>IFERROR(VLOOKUP(AA119,Listas!$A$1:$C$14,3,FALSE),"")</f>
        <v>93363483</v>
      </c>
      <c r="AD119" s="17" t="s">
        <v>816</v>
      </c>
      <c r="AE119" s="17" t="s">
        <v>817</v>
      </c>
      <c r="AF119" s="23" t="str">
        <f>IFERROR(VLOOKUP(AE119,Listas!$AD$1:$AF$66,2,FALSE),"")</f>
        <v>JOSÉ EDUARDO PARADA JIMÉNEZ</v>
      </c>
      <c r="AG119" s="23">
        <f>IFERROR(VLOOKUP(AE119,Listas!$AD$1:$AF$65,3,FALSE),"")</f>
        <v>79434805</v>
      </c>
      <c r="AH119" s="17" t="s">
        <v>118</v>
      </c>
      <c r="AI119" s="65" t="s">
        <v>1137</v>
      </c>
      <c r="AJ119" s="25" t="s">
        <v>119</v>
      </c>
      <c r="AK119" s="26" t="s">
        <v>120</v>
      </c>
      <c r="AL119" s="26" t="s">
        <v>120</v>
      </c>
      <c r="AM119" s="90" t="s">
        <v>119</v>
      </c>
      <c r="AN119" s="105">
        <v>30120</v>
      </c>
      <c r="AO119" s="91">
        <f t="shared" ca="1" si="53"/>
        <v>43</v>
      </c>
      <c r="AP119" s="26" t="s">
        <v>121</v>
      </c>
      <c r="AQ119" s="26" t="s">
        <v>819</v>
      </c>
      <c r="AR119" s="89"/>
      <c r="AS119" s="27"/>
      <c r="AT119" s="16"/>
      <c r="AU119" s="27"/>
      <c r="AV119" s="86"/>
      <c r="AW119" s="27"/>
      <c r="AX119" s="27"/>
      <c r="AY119" s="27"/>
      <c r="AZ119" s="27"/>
      <c r="BA119" s="27"/>
      <c r="BB119" s="27"/>
      <c r="BC119" s="97"/>
      <c r="BD119" s="27"/>
      <c r="BE119" s="16"/>
      <c r="BF119" s="28">
        <f t="shared" si="42"/>
        <v>0</v>
      </c>
      <c r="BG119" s="29"/>
      <c r="BH119" s="27"/>
      <c r="BI119" s="30">
        <f t="shared" si="43"/>
        <v>349</v>
      </c>
      <c r="BJ119" s="31">
        <f t="shared" si="44"/>
        <v>45656</v>
      </c>
      <c r="BK119" s="27"/>
      <c r="BL119" s="16"/>
      <c r="BM119" s="27"/>
      <c r="BN119" s="16"/>
      <c r="BO119" s="27"/>
      <c r="BP119" s="16"/>
      <c r="BQ119" s="27"/>
      <c r="BR119" s="24"/>
      <c r="BS119" s="24"/>
      <c r="BT119" s="32"/>
      <c r="BU119" s="27"/>
      <c r="BV119" s="24"/>
      <c r="BW119" s="24"/>
      <c r="BX119" s="16"/>
      <c r="BY119" s="27"/>
      <c r="BZ119" s="24"/>
      <c r="CA119" s="24"/>
      <c r="CB119" s="16"/>
      <c r="CC119" s="49">
        <f t="shared" si="45"/>
        <v>0</v>
      </c>
      <c r="CD119" s="24"/>
      <c r="CE119" s="49">
        <f t="shared" si="46"/>
        <v>58500000</v>
      </c>
      <c r="CF119" s="50"/>
      <c r="CG119" s="49">
        <f t="shared" ca="1" si="47"/>
        <v>58500000</v>
      </c>
      <c r="CH119" s="33">
        <f t="shared" ca="1" si="48"/>
        <v>1</v>
      </c>
      <c r="CI119" s="33">
        <f t="shared" ca="1" si="49"/>
        <v>1</v>
      </c>
      <c r="CJ119" s="36">
        <f t="shared" ca="1" si="50"/>
        <v>100</v>
      </c>
      <c r="CK119" s="34">
        <f t="shared" si="51"/>
        <v>0</v>
      </c>
      <c r="CL119" s="21"/>
      <c r="CM119" s="35" t="str">
        <f t="shared" ca="1" si="52"/>
        <v>TERMINADO</v>
      </c>
      <c r="CN119" s="82"/>
      <c r="CO119" s="145" t="s">
        <v>1138</v>
      </c>
      <c r="CP119" s="26" t="s">
        <v>142</v>
      </c>
    </row>
    <row r="120" spans="1:94" ht="24.75" customHeight="1">
      <c r="A120" s="48" t="s">
        <v>1139</v>
      </c>
      <c r="B120" s="77" t="s">
        <v>1140</v>
      </c>
      <c r="C120" s="17" t="s">
        <v>104</v>
      </c>
      <c r="D120" s="18" t="s">
        <v>1141</v>
      </c>
      <c r="E120" s="17" t="s">
        <v>106</v>
      </c>
      <c r="F120" s="17" t="s">
        <v>107</v>
      </c>
      <c r="G120" s="17" t="s">
        <v>108</v>
      </c>
      <c r="H120" s="78">
        <v>1013603517</v>
      </c>
      <c r="I120" s="74" t="s">
        <v>1142</v>
      </c>
      <c r="J120" s="16"/>
      <c r="K120" s="16"/>
      <c r="L120" s="96" t="s">
        <v>1143</v>
      </c>
      <c r="M120" s="16" t="s">
        <v>111</v>
      </c>
      <c r="N120" s="22">
        <v>45303</v>
      </c>
      <c r="O120" s="22">
        <v>45307</v>
      </c>
      <c r="P120" s="22">
        <v>45657</v>
      </c>
      <c r="Q120" s="23">
        <f t="shared" si="41"/>
        <v>350</v>
      </c>
      <c r="R120" s="17" t="s">
        <v>242</v>
      </c>
      <c r="S120" s="110" t="s">
        <v>1144</v>
      </c>
      <c r="T120" s="16" t="s">
        <v>1145</v>
      </c>
      <c r="U120" s="67">
        <v>71942943</v>
      </c>
      <c r="V120" s="16" t="s">
        <v>426</v>
      </c>
      <c r="W120" s="224">
        <v>71942943</v>
      </c>
      <c r="X120" s="24">
        <v>6131500</v>
      </c>
      <c r="Y120" s="24"/>
      <c r="Z120" s="24"/>
      <c r="AA120" s="17" t="s">
        <v>116</v>
      </c>
      <c r="AB120" s="23" t="str">
        <f>IFERROR(VLOOKUP(AA120,Listas!$A$1:$C$14,2,FALSE),"")</f>
        <v>FREDY CÉSPEDES VILLA</v>
      </c>
      <c r="AC120" s="23">
        <f>IFERROR(VLOOKUP(AA120,Listas!$A$1:$C$14,3,FALSE),"")</f>
        <v>93363483</v>
      </c>
      <c r="AD120" s="17" t="s">
        <v>427</v>
      </c>
      <c r="AE120" s="17" t="s">
        <v>428</v>
      </c>
      <c r="AF120" s="23" t="str">
        <f>IFERROR(VLOOKUP(AE120,Listas!$AD$1:$AF$66,2,FALSE),"")</f>
        <v>DINORAH PATRICIA ABADIA MURILLO</v>
      </c>
      <c r="AG120" s="23">
        <f>IFERROR(VLOOKUP(AE120,Listas!$AD$1:$AF$65,3,FALSE),"")</f>
        <v>52220857</v>
      </c>
      <c r="AH120" s="17" t="s">
        <v>118</v>
      </c>
      <c r="AI120" s="65" t="s">
        <v>1146</v>
      </c>
      <c r="AJ120" s="25" t="s">
        <v>119</v>
      </c>
      <c r="AK120" s="26" t="s">
        <v>120</v>
      </c>
      <c r="AL120" s="26" t="s">
        <v>120</v>
      </c>
      <c r="AM120" s="90" t="s">
        <v>119</v>
      </c>
      <c r="AN120" s="105">
        <v>32596</v>
      </c>
      <c r="AO120" s="91">
        <f t="shared" ca="1" si="53"/>
        <v>36</v>
      </c>
      <c r="AP120" s="26" t="s">
        <v>121</v>
      </c>
      <c r="AQ120" s="26" t="s">
        <v>515</v>
      </c>
      <c r="AR120" s="89"/>
      <c r="AS120" s="27"/>
      <c r="AT120" s="16"/>
      <c r="AU120" s="27"/>
      <c r="AV120" s="86"/>
      <c r="AW120" s="27"/>
      <c r="AX120" s="27"/>
      <c r="AY120" s="27"/>
      <c r="AZ120" s="27"/>
      <c r="BA120" s="27"/>
      <c r="BB120" s="27"/>
      <c r="BC120" s="97"/>
      <c r="BD120" s="27"/>
      <c r="BE120" s="16"/>
      <c r="BF120" s="28">
        <f t="shared" si="42"/>
        <v>0</v>
      </c>
      <c r="BG120" s="29"/>
      <c r="BH120" s="27"/>
      <c r="BI120" s="30">
        <f t="shared" si="43"/>
        <v>350</v>
      </c>
      <c r="BJ120" s="31">
        <f t="shared" si="44"/>
        <v>45657</v>
      </c>
      <c r="BK120" s="27"/>
      <c r="BL120" s="16"/>
      <c r="BM120" s="27"/>
      <c r="BN120" s="16"/>
      <c r="BO120" s="27"/>
      <c r="BP120" s="16"/>
      <c r="BQ120" s="27"/>
      <c r="BR120" s="24"/>
      <c r="BS120" s="24"/>
      <c r="BT120" s="32"/>
      <c r="BU120" s="27"/>
      <c r="BV120" s="24"/>
      <c r="BW120" s="24"/>
      <c r="BX120" s="16"/>
      <c r="BY120" s="27"/>
      <c r="BZ120" s="24"/>
      <c r="CA120" s="24"/>
      <c r="CB120" s="16"/>
      <c r="CC120" s="49">
        <f t="shared" si="45"/>
        <v>0</v>
      </c>
      <c r="CD120" s="24"/>
      <c r="CE120" s="49">
        <f t="shared" si="46"/>
        <v>71942943</v>
      </c>
      <c r="CF120" s="50"/>
      <c r="CG120" s="49">
        <f t="shared" ca="1" si="47"/>
        <v>71942943</v>
      </c>
      <c r="CH120" s="33">
        <f t="shared" ca="1" si="48"/>
        <v>1</v>
      </c>
      <c r="CI120" s="33">
        <f t="shared" ca="1" si="49"/>
        <v>1</v>
      </c>
      <c r="CJ120" s="36">
        <f t="shared" ca="1" si="50"/>
        <v>100</v>
      </c>
      <c r="CK120" s="34">
        <f t="shared" si="51"/>
        <v>0</v>
      </c>
      <c r="CL120" s="21"/>
      <c r="CM120" s="35" t="str">
        <f t="shared" ca="1" si="52"/>
        <v>TERMINADO</v>
      </c>
      <c r="CN120" s="82"/>
      <c r="CO120" s="145" t="s">
        <v>1147</v>
      </c>
      <c r="CP120" s="26" t="s">
        <v>142</v>
      </c>
    </row>
    <row r="121" spans="1:94" ht="24.75" customHeight="1">
      <c r="A121" s="48" t="s">
        <v>1148</v>
      </c>
      <c r="B121" s="77" t="s">
        <v>1149</v>
      </c>
      <c r="C121" s="17" t="s">
        <v>104</v>
      </c>
      <c r="D121" s="18" t="s">
        <v>1150</v>
      </c>
      <c r="E121" s="17" t="s">
        <v>106</v>
      </c>
      <c r="F121" s="17" t="s">
        <v>107</v>
      </c>
      <c r="G121" s="17" t="s">
        <v>108</v>
      </c>
      <c r="H121" s="78">
        <v>79979765</v>
      </c>
      <c r="I121" s="74" t="s">
        <v>1151</v>
      </c>
      <c r="J121" s="16"/>
      <c r="K121" s="16"/>
      <c r="L121" s="96" t="s">
        <v>1152</v>
      </c>
      <c r="M121" s="16" t="s">
        <v>111</v>
      </c>
      <c r="N121" s="22">
        <v>45303</v>
      </c>
      <c r="O121" s="22">
        <v>45307</v>
      </c>
      <c r="P121" s="22">
        <v>45656</v>
      </c>
      <c r="Q121" s="23">
        <f t="shared" si="41"/>
        <v>349</v>
      </c>
      <c r="R121" s="17" t="s">
        <v>242</v>
      </c>
      <c r="S121" s="110" t="s">
        <v>1153</v>
      </c>
      <c r="T121" s="16" t="s">
        <v>1154</v>
      </c>
      <c r="U121" s="67">
        <v>127041600</v>
      </c>
      <c r="V121" s="16" t="s">
        <v>606</v>
      </c>
      <c r="W121" s="224">
        <v>127041600</v>
      </c>
      <c r="X121" s="24">
        <v>10586800</v>
      </c>
      <c r="Y121" s="24"/>
      <c r="Z121" s="24"/>
      <c r="AA121" s="17" t="s">
        <v>116</v>
      </c>
      <c r="AB121" s="23" t="str">
        <f>IFERROR(VLOOKUP(AA121,Listas!$A$1:$C$14,2,FALSE),"")</f>
        <v>FREDY CÉSPEDES VILLA</v>
      </c>
      <c r="AC121" s="23">
        <f>IFERROR(VLOOKUP(AA121,Listas!$A$1:$C$14,3,FALSE),"")</f>
        <v>93363483</v>
      </c>
      <c r="AD121" s="17" t="s">
        <v>607</v>
      </c>
      <c r="AE121" s="17" t="s">
        <v>1155</v>
      </c>
      <c r="AF121" s="23" t="str">
        <f>IFERROR(VLOOKUP(AE121,Listas!$AD$1:$AF$66,2,FALSE),"")</f>
        <v>MARÍA FRANCISCA CEPEDA QUINTERO</v>
      </c>
      <c r="AG121" s="23">
        <f>IFERROR(VLOOKUP(AE121,Listas!$AD$1:$AF$65,3,FALSE),"")</f>
        <v>53062608</v>
      </c>
      <c r="AH121" s="17" t="s">
        <v>118</v>
      </c>
      <c r="AI121" s="65" t="s">
        <v>1156</v>
      </c>
      <c r="AJ121" s="25" t="s">
        <v>119</v>
      </c>
      <c r="AK121" s="26" t="s">
        <v>120</v>
      </c>
      <c r="AL121" s="26" t="s">
        <v>120</v>
      </c>
      <c r="AM121" s="90" t="s">
        <v>119</v>
      </c>
      <c r="AN121" s="105">
        <v>28812</v>
      </c>
      <c r="AO121" s="91">
        <f t="shared" ca="1" si="53"/>
        <v>47</v>
      </c>
      <c r="AP121" s="26" t="s">
        <v>121</v>
      </c>
      <c r="AQ121" s="26" t="s">
        <v>486</v>
      </c>
      <c r="AR121" s="89"/>
      <c r="AS121" s="27"/>
      <c r="AT121" s="16"/>
      <c r="AU121" s="27"/>
      <c r="AV121" s="86"/>
      <c r="AW121" s="27"/>
      <c r="AX121" s="27"/>
      <c r="AY121" s="27"/>
      <c r="AZ121" s="27"/>
      <c r="BA121" s="27"/>
      <c r="BB121" s="27"/>
      <c r="BC121" s="97"/>
      <c r="BD121" s="27"/>
      <c r="BE121" s="16"/>
      <c r="BF121" s="28">
        <f t="shared" si="42"/>
        <v>0</v>
      </c>
      <c r="BG121" s="29"/>
      <c r="BH121" s="27"/>
      <c r="BI121" s="30">
        <f t="shared" si="43"/>
        <v>349</v>
      </c>
      <c r="BJ121" s="31">
        <f t="shared" si="44"/>
        <v>45656</v>
      </c>
      <c r="BK121" s="27"/>
      <c r="BL121" s="16"/>
      <c r="BM121" s="27"/>
      <c r="BN121" s="16"/>
      <c r="BO121" s="27"/>
      <c r="BP121" s="16"/>
      <c r="BQ121" s="27"/>
      <c r="BR121" s="24"/>
      <c r="BS121" s="24"/>
      <c r="BT121" s="32"/>
      <c r="BU121" s="27"/>
      <c r="BV121" s="24"/>
      <c r="BW121" s="24"/>
      <c r="BX121" s="16"/>
      <c r="BY121" s="27"/>
      <c r="BZ121" s="24"/>
      <c r="CA121" s="24"/>
      <c r="CB121" s="16"/>
      <c r="CC121" s="49">
        <f t="shared" si="45"/>
        <v>0</v>
      </c>
      <c r="CD121" s="24"/>
      <c r="CE121" s="49">
        <f t="shared" si="46"/>
        <v>127041600</v>
      </c>
      <c r="CF121" s="50"/>
      <c r="CG121" s="49">
        <f t="shared" ca="1" si="47"/>
        <v>127041600</v>
      </c>
      <c r="CH121" s="33">
        <f t="shared" ca="1" si="48"/>
        <v>1</v>
      </c>
      <c r="CI121" s="33">
        <f t="shared" ca="1" si="49"/>
        <v>1</v>
      </c>
      <c r="CJ121" s="36">
        <f t="shared" ca="1" si="50"/>
        <v>100</v>
      </c>
      <c r="CK121" s="34">
        <f t="shared" si="51"/>
        <v>0</v>
      </c>
      <c r="CL121" s="21"/>
      <c r="CM121" s="35" t="str">
        <f t="shared" ca="1" si="52"/>
        <v>TERMINADO</v>
      </c>
      <c r="CN121" s="82"/>
      <c r="CO121" s="145" t="s">
        <v>1157</v>
      </c>
      <c r="CP121" s="26" t="s">
        <v>142</v>
      </c>
    </row>
    <row r="122" spans="1:94" ht="24.75" customHeight="1">
      <c r="A122" s="48" t="s">
        <v>1158</v>
      </c>
      <c r="B122" s="77" t="s">
        <v>1159</v>
      </c>
      <c r="C122" s="17" t="s">
        <v>104</v>
      </c>
      <c r="D122" s="18" t="s">
        <v>1160</v>
      </c>
      <c r="E122" s="17" t="s">
        <v>106</v>
      </c>
      <c r="F122" s="17" t="s">
        <v>107</v>
      </c>
      <c r="G122" s="17" t="s">
        <v>108</v>
      </c>
      <c r="H122" s="78">
        <v>13873093</v>
      </c>
      <c r="I122" s="74" t="s">
        <v>1161</v>
      </c>
      <c r="J122" s="16"/>
      <c r="K122" s="16"/>
      <c r="L122" s="96" t="s">
        <v>1162</v>
      </c>
      <c r="M122" s="16" t="s">
        <v>111</v>
      </c>
      <c r="N122" s="22">
        <v>45303</v>
      </c>
      <c r="O122" s="22">
        <v>45308</v>
      </c>
      <c r="P122" s="22">
        <v>45656</v>
      </c>
      <c r="Q122" s="23">
        <f t="shared" si="41"/>
        <v>348</v>
      </c>
      <c r="R122" s="17" t="s">
        <v>242</v>
      </c>
      <c r="S122" s="110" t="s">
        <v>1163</v>
      </c>
      <c r="T122" s="16" t="s">
        <v>1164</v>
      </c>
      <c r="U122" s="67">
        <v>94161624</v>
      </c>
      <c r="V122" s="16" t="s">
        <v>1165</v>
      </c>
      <c r="W122" s="224">
        <v>94161624</v>
      </c>
      <c r="X122" s="24">
        <v>7846802</v>
      </c>
      <c r="Y122" s="24"/>
      <c r="Z122" s="24"/>
      <c r="AA122" s="17" t="s">
        <v>116</v>
      </c>
      <c r="AB122" s="23" t="str">
        <f>IFERROR(VLOOKUP(AA122,Listas!$A$1:$C$14,2,FALSE),"")</f>
        <v>FREDY CÉSPEDES VILLA</v>
      </c>
      <c r="AC122" s="23">
        <f>IFERROR(VLOOKUP(AA122,Listas!$A$1:$C$14,3,FALSE),"")</f>
        <v>93363483</v>
      </c>
      <c r="AD122" s="17" t="s">
        <v>1166</v>
      </c>
      <c r="AE122" s="17" t="s">
        <v>1167</v>
      </c>
      <c r="AF122" s="23">
        <f>IFERROR(VLOOKUP(AE122,Listas!$AD$1:$AF$66,2,FALSE),"")</f>
        <v>0</v>
      </c>
      <c r="AG122" s="23">
        <f>IFERROR(VLOOKUP(AE122,Listas!$AD$1:$AF$65,3,FALSE),"")</f>
        <v>0</v>
      </c>
      <c r="AH122" s="17" t="s">
        <v>118</v>
      </c>
      <c r="AI122" s="65" t="s">
        <v>1168</v>
      </c>
      <c r="AJ122" s="25" t="s">
        <v>119</v>
      </c>
      <c r="AK122" s="26" t="s">
        <v>120</v>
      </c>
      <c r="AL122" s="26" t="s">
        <v>120</v>
      </c>
      <c r="AM122" s="90" t="s">
        <v>119</v>
      </c>
      <c r="AN122" s="105">
        <v>29900</v>
      </c>
      <c r="AO122" s="91">
        <f t="shared" ca="1" si="53"/>
        <v>44</v>
      </c>
      <c r="AP122" s="26" t="s">
        <v>121</v>
      </c>
      <c r="AQ122" s="26" t="s">
        <v>220</v>
      </c>
      <c r="AR122" s="89"/>
      <c r="AS122" s="27"/>
      <c r="AT122" s="16"/>
      <c r="AU122" s="27"/>
      <c r="AV122" s="86"/>
      <c r="AW122" s="27"/>
      <c r="AX122" s="27"/>
      <c r="AY122" s="27"/>
      <c r="AZ122" s="27"/>
      <c r="BA122" s="27"/>
      <c r="BB122" s="27"/>
      <c r="BC122" s="97"/>
      <c r="BD122" s="27"/>
      <c r="BE122" s="16"/>
      <c r="BF122" s="28">
        <f t="shared" si="42"/>
        <v>0</v>
      </c>
      <c r="BG122" s="29"/>
      <c r="BH122" s="27"/>
      <c r="BI122" s="30">
        <f t="shared" si="43"/>
        <v>348</v>
      </c>
      <c r="BJ122" s="31">
        <f t="shared" si="44"/>
        <v>45656</v>
      </c>
      <c r="BK122" s="27"/>
      <c r="BL122" s="16"/>
      <c r="BM122" s="27"/>
      <c r="BN122" s="16"/>
      <c r="BO122" s="27"/>
      <c r="BP122" s="16"/>
      <c r="BQ122" s="27"/>
      <c r="BR122" s="24"/>
      <c r="BS122" s="24"/>
      <c r="BT122" s="32"/>
      <c r="BU122" s="27"/>
      <c r="BV122" s="24"/>
      <c r="BW122" s="24"/>
      <c r="BX122" s="16"/>
      <c r="BY122" s="27"/>
      <c r="BZ122" s="24"/>
      <c r="CA122" s="24"/>
      <c r="CB122" s="16"/>
      <c r="CC122" s="49">
        <f t="shared" si="45"/>
        <v>0</v>
      </c>
      <c r="CD122" s="24"/>
      <c r="CE122" s="49">
        <f t="shared" si="46"/>
        <v>94161624</v>
      </c>
      <c r="CF122" s="50"/>
      <c r="CG122" s="49">
        <f t="shared" ca="1" si="47"/>
        <v>94161624</v>
      </c>
      <c r="CH122" s="33">
        <f t="shared" ca="1" si="48"/>
        <v>1</v>
      </c>
      <c r="CI122" s="33">
        <f t="shared" ca="1" si="49"/>
        <v>1</v>
      </c>
      <c r="CJ122" s="36">
        <f t="shared" ca="1" si="50"/>
        <v>100</v>
      </c>
      <c r="CK122" s="34">
        <f t="shared" si="51"/>
        <v>0</v>
      </c>
      <c r="CL122" s="21"/>
      <c r="CM122" s="35" t="str">
        <f t="shared" ca="1" si="52"/>
        <v>TERMINADO</v>
      </c>
      <c r="CN122" s="82"/>
      <c r="CO122" s="145" t="s">
        <v>1169</v>
      </c>
      <c r="CP122" s="26" t="s">
        <v>142</v>
      </c>
    </row>
    <row r="123" spans="1:94" ht="24.75" customHeight="1">
      <c r="A123" s="48" t="s">
        <v>1170</v>
      </c>
      <c r="B123" s="77" t="s">
        <v>1171</v>
      </c>
      <c r="C123" s="17" t="s">
        <v>104</v>
      </c>
      <c r="D123" s="18" t="s">
        <v>1172</v>
      </c>
      <c r="E123" s="17" t="s">
        <v>106</v>
      </c>
      <c r="F123" s="17" t="s">
        <v>107</v>
      </c>
      <c r="G123" s="17" t="s">
        <v>108</v>
      </c>
      <c r="H123" s="78">
        <v>79735850</v>
      </c>
      <c r="I123" s="74" t="s">
        <v>1173</v>
      </c>
      <c r="J123" s="16"/>
      <c r="K123" s="16"/>
      <c r="L123" s="96" t="s">
        <v>1174</v>
      </c>
      <c r="M123" s="16" t="s">
        <v>111</v>
      </c>
      <c r="N123" s="22">
        <v>45303</v>
      </c>
      <c r="O123" s="22">
        <v>45307</v>
      </c>
      <c r="P123" s="22">
        <v>45657</v>
      </c>
      <c r="Q123" s="23">
        <f t="shared" si="41"/>
        <v>350</v>
      </c>
      <c r="R123" s="17" t="s">
        <v>242</v>
      </c>
      <c r="S123" s="110" t="s">
        <v>1175</v>
      </c>
      <c r="T123" s="16" t="s">
        <v>938</v>
      </c>
      <c r="U123" s="67">
        <v>48552090</v>
      </c>
      <c r="V123" s="16" t="s">
        <v>939</v>
      </c>
      <c r="W123" s="224">
        <v>48552090</v>
      </c>
      <c r="X123" s="24">
        <v>4046007</v>
      </c>
      <c r="Y123" s="24"/>
      <c r="Z123" s="24"/>
      <c r="AA123" s="17" t="s">
        <v>116</v>
      </c>
      <c r="AB123" s="23" t="str">
        <f>IFERROR(VLOOKUP(AA123,Listas!$A$1:$C$14,2,FALSE),"")</f>
        <v>FREDY CÉSPEDES VILLA</v>
      </c>
      <c r="AC123" s="23">
        <f>IFERROR(VLOOKUP(AA123,Listas!$A$1:$C$14,3,FALSE),"")</f>
        <v>93363483</v>
      </c>
      <c r="AD123" s="17" t="s">
        <v>116</v>
      </c>
      <c r="AE123" s="17" t="s">
        <v>940</v>
      </c>
      <c r="AF123" s="23" t="str">
        <f>IFERROR(VLOOKUP(AE123,Listas!$AD$1:$AF$66,2,FALSE),"")</f>
        <v>GERARDO ALONSO RODRÍGUEZ PINEDA</v>
      </c>
      <c r="AG123" s="23">
        <f>IFERROR(VLOOKUP(AE123,Listas!$AD$1:$AF$65,3,FALSE),"")</f>
        <v>79466595</v>
      </c>
      <c r="AH123" s="17" t="s">
        <v>118</v>
      </c>
      <c r="AI123" s="65" t="s">
        <v>1176</v>
      </c>
      <c r="AJ123" s="25" t="s">
        <v>119</v>
      </c>
      <c r="AK123" s="26" t="s">
        <v>120</v>
      </c>
      <c r="AL123" s="26" t="s">
        <v>120</v>
      </c>
      <c r="AM123" s="90" t="s">
        <v>119</v>
      </c>
      <c r="AN123" s="105">
        <v>27430</v>
      </c>
      <c r="AO123" s="91">
        <f t="shared" ca="1" si="53"/>
        <v>50</v>
      </c>
      <c r="AP123" s="26" t="s">
        <v>121</v>
      </c>
      <c r="AQ123" s="26" t="s">
        <v>285</v>
      </c>
      <c r="AR123" s="89"/>
      <c r="AS123" s="27"/>
      <c r="AT123" s="16"/>
      <c r="AU123" s="27"/>
      <c r="AV123" s="86"/>
      <c r="AW123" s="27"/>
      <c r="AX123" s="27"/>
      <c r="AY123" s="27"/>
      <c r="AZ123" s="27"/>
      <c r="BA123" s="27"/>
      <c r="BB123" s="27"/>
      <c r="BC123" s="97"/>
      <c r="BD123" s="27"/>
      <c r="BE123" s="16"/>
      <c r="BF123" s="28">
        <f t="shared" si="42"/>
        <v>0</v>
      </c>
      <c r="BG123" s="29"/>
      <c r="BH123" s="27"/>
      <c r="BI123" s="30">
        <f t="shared" si="43"/>
        <v>350</v>
      </c>
      <c r="BJ123" s="31">
        <f t="shared" si="44"/>
        <v>45657</v>
      </c>
      <c r="BK123" s="27"/>
      <c r="BL123" s="16"/>
      <c r="BM123" s="27"/>
      <c r="BN123" s="16"/>
      <c r="BO123" s="27"/>
      <c r="BP123" s="16"/>
      <c r="BQ123" s="27"/>
      <c r="BR123" s="24"/>
      <c r="BS123" s="24"/>
      <c r="BT123" s="32"/>
      <c r="BU123" s="27"/>
      <c r="BV123" s="24"/>
      <c r="BW123" s="24"/>
      <c r="BX123" s="16"/>
      <c r="BY123" s="27"/>
      <c r="BZ123" s="24"/>
      <c r="CA123" s="24"/>
      <c r="CB123" s="16"/>
      <c r="CC123" s="49">
        <f t="shared" si="45"/>
        <v>0</v>
      </c>
      <c r="CD123" s="24"/>
      <c r="CE123" s="49">
        <f t="shared" si="46"/>
        <v>48552090</v>
      </c>
      <c r="CF123" s="50"/>
      <c r="CG123" s="49">
        <f t="shared" ca="1" si="47"/>
        <v>48552090</v>
      </c>
      <c r="CH123" s="33">
        <f t="shared" ca="1" si="48"/>
        <v>1</v>
      </c>
      <c r="CI123" s="33">
        <f t="shared" ca="1" si="49"/>
        <v>1</v>
      </c>
      <c r="CJ123" s="36">
        <f t="shared" ca="1" si="50"/>
        <v>100</v>
      </c>
      <c r="CK123" s="34">
        <f t="shared" si="51"/>
        <v>0</v>
      </c>
      <c r="CL123" s="21"/>
      <c r="CM123" s="35" t="str">
        <f t="shared" ca="1" si="52"/>
        <v>TERMINADO</v>
      </c>
      <c r="CN123" s="82"/>
      <c r="CO123" s="145" t="s">
        <v>1177</v>
      </c>
      <c r="CP123" s="26" t="s">
        <v>142</v>
      </c>
    </row>
    <row r="124" spans="1:94" ht="24.75" customHeight="1">
      <c r="A124" s="48" t="s">
        <v>1178</v>
      </c>
      <c r="B124" s="77" t="s">
        <v>1179</v>
      </c>
      <c r="C124" s="17" t="s">
        <v>104</v>
      </c>
      <c r="D124" s="18" t="s">
        <v>1180</v>
      </c>
      <c r="E124" s="17" t="s">
        <v>106</v>
      </c>
      <c r="F124" s="17" t="s">
        <v>107</v>
      </c>
      <c r="G124" s="17" t="s">
        <v>108</v>
      </c>
      <c r="H124" s="78">
        <v>1075277108</v>
      </c>
      <c r="I124" s="74" t="s">
        <v>1181</v>
      </c>
      <c r="J124" s="16"/>
      <c r="K124" s="16"/>
      <c r="L124" s="20" t="s">
        <v>1182</v>
      </c>
      <c r="M124" s="16" t="s">
        <v>111</v>
      </c>
      <c r="N124" s="22">
        <v>45303</v>
      </c>
      <c r="O124" s="22">
        <v>45303</v>
      </c>
      <c r="P124" s="22">
        <v>45656</v>
      </c>
      <c r="Q124" s="23">
        <f t="shared" si="41"/>
        <v>353</v>
      </c>
      <c r="R124" s="17" t="s">
        <v>242</v>
      </c>
      <c r="S124" s="110" t="s">
        <v>1183</v>
      </c>
      <c r="T124" s="16" t="s">
        <v>343</v>
      </c>
      <c r="U124" s="67">
        <v>58375883</v>
      </c>
      <c r="V124" s="16" t="s">
        <v>344</v>
      </c>
      <c r="W124" s="224">
        <v>58375883</v>
      </c>
      <c r="X124" s="24">
        <v>4983820</v>
      </c>
      <c r="Y124" s="24"/>
      <c r="Z124" s="24"/>
      <c r="AA124" s="17" t="s">
        <v>116</v>
      </c>
      <c r="AB124" s="23" t="str">
        <f>IFERROR(VLOOKUP(AA124,Listas!$A$1:$C$14,2,FALSE),"")</f>
        <v>FREDY CÉSPEDES VILLA</v>
      </c>
      <c r="AC124" s="23">
        <f>IFERROR(VLOOKUP(AA124,Listas!$A$1:$C$14,3,FALSE),"")</f>
        <v>93363483</v>
      </c>
      <c r="AD124" s="17" t="s">
        <v>345</v>
      </c>
      <c r="AE124" s="17" t="s">
        <v>921</v>
      </c>
      <c r="AF124" s="23" t="str">
        <f>IFERROR(VLOOKUP(AE124,Listas!$AD$1:$AF$66,2,FALSE),"")</f>
        <v>LUZ MARINA CARREÑO</v>
      </c>
      <c r="AG124" s="23">
        <f>IFERROR(VLOOKUP(AE124,Listas!$AD$1:$AF$65,3,FALSE),"")</f>
        <v>63392036</v>
      </c>
      <c r="AH124" s="17" t="s">
        <v>118</v>
      </c>
      <c r="AI124" s="65" t="s">
        <v>1184</v>
      </c>
      <c r="AJ124" s="25" t="s">
        <v>119</v>
      </c>
      <c r="AK124" s="26" t="s">
        <v>120</v>
      </c>
      <c r="AL124" s="26" t="s">
        <v>120</v>
      </c>
      <c r="AM124" s="90" t="s">
        <v>119</v>
      </c>
      <c r="AN124" s="105">
        <v>34365</v>
      </c>
      <c r="AO124" s="91">
        <f t="shared" ca="1" si="53"/>
        <v>31</v>
      </c>
      <c r="AP124" s="26" t="s">
        <v>121</v>
      </c>
      <c r="AQ124" s="26" t="s">
        <v>367</v>
      </c>
      <c r="AR124" s="89">
        <v>45553</v>
      </c>
      <c r="AS124" s="27" t="s">
        <v>1185</v>
      </c>
      <c r="AT124" s="16">
        <v>79496781</v>
      </c>
      <c r="AU124" s="20" t="s">
        <v>1182</v>
      </c>
      <c r="AV124" s="86">
        <v>18294435</v>
      </c>
      <c r="AW124" s="27"/>
      <c r="AX124" s="27"/>
      <c r="AY124" s="27"/>
      <c r="AZ124" s="27"/>
      <c r="BA124" s="27"/>
      <c r="BB124" s="27"/>
      <c r="BC124" s="97"/>
      <c r="BD124" s="27"/>
      <c r="BE124" s="16"/>
      <c r="BF124" s="28">
        <f t="shared" si="42"/>
        <v>0</v>
      </c>
      <c r="BG124" s="29"/>
      <c r="BH124" s="27">
        <v>45614</v>
      </c>
      <c r="BI124" s="30">
        <f t="shared" si="43"/>
        <v>353</v>
      </c>
      <c r="BJ124" s="31">
        <f t="shared" si="44"/>
        <v>45614</v>
      </c>
      <c r="BK124" s="27"/>
      <c r="BL124" s="16"/>
      <c r="BM124" s="27"/>
      <c r="BN124" s="16"/>
      <c r="BO124" s="27"/>
      <c r="BP124" s="16"/>
      <c r="BQ124" s="27"/>
      <c r="BR124" s="24"/>
      <c r="BS124" s="24"/>
      <c r="BT124" s="32"/>
      <c r="BU124" s="27"/>
      <c r="BV124" s="24"/>
      <c r="BW124" s="24"/>
      <c r="BX124" s="16"/>
      <c r="BY124" s="27"/>
      <c r="BZ124" s="24"/>
      <c r="CA124" s="24"/>
      <c r="CB124" s="16"/>
      <c r="CC124" s="49">
        <f t="shared" si="45"/>
        <v>0</v>
      </c>
      <c r="CD124" s="24"/>
      <c r="CE124" s="49">
        <f t="shared" si="46"/>
        <v>58375883</v>
      </c>
      <c r="CF124" s="50"/>
      <c r="CG124" s="49">
        <f t="shared" ca="1" si="47"/>
        <v>58375883</v>
      </c>
      <c r="CH124" s="33">
        <f t="shared" ca="1" si="48"/>
        <v>1</v>
      </c>
      <c r="CI124" s="33">
        <f t="shared" ca="1" si="49"/>
        <v>1</v>
      </c>
      <c r="CJ124" s="36">
        <f t="shared" ca="1" si="50"/>
        <v>100</v>
      </c>
      <c r="CK124" s="34">
        <f t="shared" si="51"/>
        <v>0</v>
      </c>
      <c r="CL124" s="21"/>
      <c r="CM124" s="35" t="str">
        <f t="shared" ca="1" si="52"/>
        <v>TERMINADO</v>
      </c>
      <c r="CN124" s="82"/>
      <c r="CO124" s="145" t="s">
        <v>1186</v>
      </c>
      <c r="CP124" s="26" t="s">
        <v>123</v>
      </c>
    </row>
    <row r="125" spans="1:94" ht="24.75" customHeight="1">
      <c r="A125" s="48" t="s">
        <v>1187</v>
      </c>
      <c r="B125" s="77" t="s">
        <v>1188</v>
      </c>
      <c r="C125" s="17" t="s">
        <v>104</v>
      </c>
      <c r="D125" s="18" t="s">
        <v>1189</v>
      </c>
      <c r="E125" s="17" t="s">
        <v>106</v>
      </c>
      <c r="F125" s="17" t="s">
        <v>107</v>
      </c>
      <c r="G125" s="17" t="s">
        <v>108</v>
      </c>
      <c r="H125" s="78">
        <v>53176752</v>
      </c>
      <c r="I125" s="74" t="s">
        <v>1190</v>
      </c>
      <c r="J125" s="16"/>
      <c r="K125" s="16"/>
      <c r="L125" s="20" t="s">
        <v>1191</v>
      </c>
      <c r="M125" s="16" t="s">
        <v>111</v>
      </c>
      <c r="N125" s="22">
        <v>45303</v>
      </c>
      <c r="O125" s="22">
        <v>45303</v>
      </c>
      <c r="P125" s="22">
        <v>45656</v>
      </c>
      <c r="Q125" s="23">
        <f t="shared" si="41"/>
        <v>353</v>
      </c>
      <c r="R125" s="17" t="s">
        <v>242</v>
      </c>
      <c r="S125" s="110" t="s">
        <v>1192</v>
      </c>
      <c r="T125" s="16" t="s">
        <v>343</v>
      </c>
      <c r="U125" s="67">
        <v>58646674</v>
      </c>
      <c r="V125" s="16" t="s">
        <v>344</v>
      </c>
      <c r="W125" s="224">
        <v>58646674</v>
      </c>
      <c r="X125" s="24">
        <v>5026858</v>
      </c>
      <c r="Y125" s="24"/>
      <c r="Z125" s="24"/>
      <c r="AA125" s="17" t="s">
        <v>116</v>
      </c>
      <c r="AB125" s="23" t="str">
        <f>IFERROR(VLOOKUP(AA125,Listas!$A$1:$C$14,2,FALSE),"")</f>
        <v>FREDY CÉSPEDES VILLA</v>
      </c>
      <c r="AC125" s="23">
        <f>IFERROR(VLOOKUP(AA125,Listas!$A$1:$C$14,3,FALSE),"")</f>
        <v>93363483</v>
      </c>
      <c r="AD125" s="17" t="s">
        <v>345</v>
      </c>
      <c r="AE125" s="17" t="s">
        <v>346</v>
      </c>
      <c r="AF125" s="23" t="str">
        <f>IFERROR(VLOOKUP(AE125,Listas!$AD$1:$AF$66,2,FALSE),"")</f>
        <v>RODOLFO GIOVANNI CANCHILA SUÁREZ</v>
      </c>
      <c r="AG125" s="23">
        <f>IFERROR(VLOOKUP(AE125,Listas!$AD$1:$AF$65,3,FALSE),"")</f>
        <v>79672493</v>
      </c>
      <c r="AH125" s="17" t="s">
        <v>118</v>
      </c>
      <c r="AI125" s="65" t="s">
        <v>1193</v>
      </c>
      <c r="AJ125" s="25" t="s">
        <v>119</v>
      </c>
      <c r="AK125" s="26" t="s">
        <v>120</v>
      </c>
      <c r="AL125" s="26" t="s">
        <v>120</v>
      </c>
      <c r="AM125" s="90" t="s">
        <v>119</v>
      </c>
      <c r="AN125" s="105">
        <v>31102</v>
      </c>
      <c r="AO125" s="91">
        <f t="shared" ca="1" si="53"/>
        <v>40</v>
      </c>
      <c r="AP125" s="26" t="s">
        <v>121</v>
      </c>
      <c r="AQ125" s="26" t="s">
        <v>367</v>
      </c>
      <c r="AR125" s="89"/>
      <c r="AS125" s="27"/>
      <c r="AT125" s="16"/>
      <c r="AU125" s="27"/>
      <c r="AV125" s="86"/>
      <c r="AW125" s="27"/>
      <c r="AX125" s="27"/>
      <c r="AY125" s="27"/>
      <c r="AZ125" s="27"/>
      <c r="BA125" s="27"/>
      <c r="BB125" s="27"/>
      <c r="BC125" s="97"/>
      <c r="BD125" s="27"/>
      <c r="BE125" s="16"/>
      <c r="BF125" s="28">
        <f t="shared" si="42"/>
        <v>0</v>
      </c>
      <c r="BG125" s="29"/>
      <c r="BH125" s="27"/>
      <c r="BI125" s="30">
        <f t="shared" si="43"/>
        <v>353</v>
      </c>
      <c r="BJ125" s="31">
        <f t="shared" si="44"/>
        <v>45656</v>
      </c>
      <c r="BK125" s="27"/>
      <c r="BL125" s="16"/>
      <c r="BM125" s="27"/>
      <c r="BN125" s="16"/>
      <c r="BO125" s="27"/>
      <c r="BP125" s="16"/>
      <c r="BQ125" s="27"/>
      <c r="BR125" s="24"/>
      <c r="BS125" s="24"/>
      <c r="BT125" s="32"/>
      <c r="BU125" s="27"/>
      <c r="BV125" s="24"/>
      <c r="BW125" s="24"/>
      <c r="BX125" s="16"/>
      <c r="BY125" s="27"/>
      <c r="BZ125" s="24"/>
      <c r="CA125" s="24"/>
      <c r="CB125" s="16"/>
      <c r="CC125" s="49">
        <f t="shared" si="45"/>
        <v>0</v>
      </c>
      <c r="CD125" s="24"/>
      <c r="CE125" s="49">
        <f t="shared" si="46"/>
        <v>58646674</v>
      </c>
      <c r="CF125" s="50"/>
      <c r="CG125" s="49">
        <f t="shared" ca="1" si="47"/>
        <v>58646674</v>
      </c>
      <c r="CH125" s="33">
        <f t="shared" ca="1" si="48"/>
        <v>1</v>
      </c>
      <c r="CI125" s="33">
        <f t="shared" ca="1" si="49"/>
        <v>1</v>
      </c>
      <c r="CJ125" s="36">
        <f t="shared" ca="1" si="50"/>
        <v>100</v>
      </c>
      <c r="CK125" s="34">
        <f t="shared" si="51"/>
        <v>0</v>
      </c>
      <c r="CL125" s="21"/>
      <c r="CM125" s="35" t="str">
        <f t="shared" ca="1" si="52"/>
        <v>TERMINADO</v>
      </c>
      <c r="CN125" s="82"/>
      <c r="CO125" s="145" t="s">
        <v>1194</v>
      </c>
      <c r="CP125" s="26" t="s">
        <v>123</v>
      </c>
    </row>
    <row r="126" spans="1:94" ht="24.75" customHeight="1">
      <c r="A126" s="48" t="s">
        <v>1195</v>
      </c>
      <c r="B126" s="77" t="s">
        <v>1196</v>
      </c>
      <c r="C126" s="17" t="s">
        <v>104</v>
      </c>
      <c r="D126" s="18" t="s">
        <v>1197</v>
      </c>
      <c r="E126" s="17" t="s">
        <v>106</v>
      </c>
      <c r="F126" s="17" t="s">
        <v>107</v>
      </c>
      <c r="G126" s="17" t="s">
        <v>108</v>
      </c>
      <c r="H126" s="78">
        <v>1104134098</v>
      </c>
      <c r="I126" s="74" t="s">
        <v>1198</v>
      </c>
      <c r="J126" s="16"/>
      <c r="K126" s="16"/>
      <c r="L126" s="20" t="s">
        <v>1199</v>
      </c>
      <c r="M126" s="16" t="s">
        <v>111</v>
      </c>
      <c r="N126" s="22">
        <v>45303</v>
      </c>
      <c r="O126" s="22">
        <v>45307</v>
      </c>
      <c r="P126" s="22">
        <v>45657</v>
      </c>
      <c r="Q126" s="23">
        <f t="shared" si="41"/>
        <v>350</v>
      </c>
      <c r="R126" s="17" t="s">
        <v>242</v>
      </c>
      <c r="S126" s="110" t="s">
        <v>1200</v>
      </c>
      <c r="T126" s="16" t="s">
        <v>1201</v>
      </c>
      <c r="U126" s="67">
        <v>40287574</v>
      </c>
      <c r="V126" s="16" t="s">
        <v>1202</v>
      </c>
      <c r="W126" s="224">
        <v>40287574</v>
      </c>
      <c r="X126" s="24">
        <v>3433600</v>
      </c>
      <c r="Y126" s="24"/>
      <c r="Z126" s="24"/>
      <c r="AA126" s="17" t="s">
        <v>116</v>
      </c>
      <c r="AB126" s="23" t="str">
        <f>IFERROR(VLOOKUP(AA126,Listas!$A$1:$C$14,2,FALSE),"")</f>
        <v>FREDY CÉSPEDES VILLA</v>
      </c>
      <c r="AC126" s="23">
        <f>IFERROR(VLOOKUP(AA126,Listas!$A$1:$C$14,3,FALSE),"")</f>
        <v>93363483</v>
      </c>
      <c r="AD126" s="17" t="s">
        <v>427</v>
      </c>
      <c r="AE126" s="17" t="s">
        <v>428</v>
      </c>
      <c r="AF126" s="23" t="str">
        <f>IFERROR(VLOOKUP(AE126,Listas!$AD$1:$AF$66,2,FALSE),"")</f>
        <v>DINORAH PATRICIA ABADIA MURILLO</v>
      </c>
      <c r="AG126" s="23">
        <f>IFERROR(VLOOKUP(AE126,Listas!$AD$1:$AF$65,3,FALSE),"")</f>
        <v>52220857</v>
      </c>
      <c r="AH126" s="17" t="s">
        <v>118</v>
      </c>
      <c r="AI126" s="65" t="s">
        <v>1203</v>
      </c>
      <c r="AJ126" s="25" t="s">
        <v>119</v>
      </c>
      <c r="AK126" s="26" t="s">
        <v>120</v>
      </c>
      <c r="AL126" s="26" t="s">
        <v>120</v>
      </c>
      <c r="AM126" s="90" t="s">
        <v>119</v>
      </c>
      <c r="AN126" s="105">
        <v>34949</v>
      </c>
      <c r="AO126" s="91">
        <f t="shared" ca="1" si="53"/>
        <v>30</v>
      </c>
      <c r="AP126" s="26" t="s">
        <v>121</v>
      </c>
      <c r="AQ126" s="26" t="s">
        <v>515</v>
      </c>
      <c r="AR126" s="89"/>
      <c r="AS126" s="27"/>
      <c r="AT126" s="16"/>
      <c r="AU126" s="27"/>
      <c r="AV126" s="86"/>
      <c r="AW126" s="27"/>
      <c r="AX126" s="27"/>
      <c r="AY126" s="27"/>
      <c r="AZ126" s="27"/>
      <c r="BA126" s="27"/>
      <c r="BB126" s="27"/>
      <c r="BC126" s="97"/>
      <c r="BD126" s="27"/>
      <c r="BE126" s="16"/>
      <c r="BF126" s="28">
        <f t="shared" si="42"/>
        <v>0</v>
      </c>
      <c r="BG126" s="29"/>
      <c r="BH126" s="27"/>
      <c r="BI126" s="30">
        <f t="shared" si="43"/>
        <v>350</v>
      </c>
      <c r="BJ126" s="31">
        <f t="shared" si="44"/>
        <v>45657</v>
      </c>
      <c r="BK126" s="27"/>
      <c r="BL126" s="16"/>
      <c r="BM126" s="27"/>
      <c r="BN126" s="16"/>
      <c r="BO126" s="27"/>
      <c r="BP126" s="16"/>
      <c r="BQ126" s="27"/>
      <c r="BR126" s="24"/>
      <c r="BS126" s="24"/>
      <c r="BT126" s="32"/>
      <c r="BU126" s="27"/>
      <c r="BV126" s="24"/>
      <c r="BW126" s="24"/>
      <c r="BX126" s="16"/>
      <c r="BY126" s="27"/>
      <c r="BZ126" s="24"/>
      <c r="CA126" s="24"/>
      <c r="CB126" s="16"/>
      <c r="CC126" s="49">
        <f t="shared" si="45"/>
        <v>0</v>
      </c>
      <c r="CD126" s="24"/>
      <c r="CE126" s="49">
        <f t="shared" si="46"/>
        <v>40287574</v>
      </c>
      <c r="CF126" s="50"/>
      <c r="CG126" s="49">
        <f t="shared" ca="1" si="47"/>
        <v>40287574</v>
      </c>
      <c r="CH126" s="33">
        <f t="shared" ca="1" si="48"/>
        <v>1</v>
      </c>
      <c r="CI126" s="33">
        <f t="shared" ca="1" si="49"/>
        <v>1</v>
      </c>
      <c r="CJ126" s="36">
        <f t="shared" ca="1" si="50"/>
        <v>100</v>
      </c>
      <c r="CK126" s="34">
        <f t="shared" si="51"/>
        <v>0</v>
      </c>
      <c r="CL126" s="21"/>
      <c r="CM126" s="35" t="str">
        <f t="shared" ca="1" si="52"/>
        <v>TERMINADO</v>
      </c>
      <c r="CN126" s="82"/>
      <c r="CO126" s="145" t="s">
        <v>1204</v>
      </c>
      <c r="CP126" s="26" t="s">
        <v>123</v>
      </c>
    </row>
    <row r="127" spans="1:94" ht="24.75" customHeight="1">
      <c r="A127" s="48" t="s">
        <v>1205</v>
      </c>
      <c r="B127" s="77" t="s">
        <v>1206</v>
      </c>
      <c r="C127" s="17" t="s">
        <v>104</v>
      </c>
      <c r="D127" s="18" t="s">
        <v>1207</v>
      </c>
      <c r="E127" s="17" t="s">
        <v>106</v>
      </c>
      <c r="F127" s="17" t="s">
        <v>107</v>
      </c>
      <c r="G127" s="17" t="s">
        <v>108</v>
      </c>
      <c r="H127" s="78">
        <v>79722631</v>
      </c>
      <c r="I127" s="74" t="s">
        <v>1208</v>
      </c>
      <c r="J127" s="16"/>
      <c r="K127" s="16"/>
      <c r="L127" s="20" t="s">
        <v>1209</v>
      </c>
      <c r="M127" s="16" t="s">
        <v>111</v>
      </c>
      <c r="N127" s="22">
        <v>45303</v>
      </c>
      <c r="O127" s="22">
        <v>45309</v>
      </c>
      <c r="P127" s="22">
        <v>45656</v>
      </c>
      <c r="Q127" s="23">
        <f t="shared" si="41"/>
        <v>347</v>
      </c>
      <c r="R127" s="17" t="s">
        <v>242</v>
      </c>
      <c r="S127" s="110" t="s">
        <v>1210</v>
      </c>
      <c r="T127" s="16" t="s">
        <v>1211</v>
      </c>
      <c r="U127" s="67">
        <v>93586848</v>
      </c>
      <c r="V127" s="16" t="s">
        <v>1212</v>
      </c>
      <c r="W127" s="224">
        <v>93586848</v>
      </c>
      <c r="X127" s="24">
        <v>7798904</v>
      </c>
      <c r="Y127" s="24"/>
      <c r="Z127" s="24"/>
      <c r="AA127" s="17" t="s">
        <v>116</v>
      </c>
      <c r="AB127" s="23" t="str">
        <f>IFERROR(VLOOKUP(AA127,Listas!$A$1:$C$14,2,FALSE),"")</f>
        <v>FREDY CÉSPEDES VILLA</v>
      </c>
      <c r="AC127" s="23">
        <f>IFERROR(VLOOKUP(AA127,Listas!$A$1:$C$14,3,FALSE),"")</f>
        <v>93363483</v>
      </c>
      <c r="AD127" s="17" t="s">
        <v>577</v>
      </c>
      <c r="AE127" s="17" t="s">
        <v>578</v>
      </c>
      <c r="AF127" s="23" t="str">
        <f>IFERROR(VLOOKUP(AE127,Listas!$AD$1:$AF$66,2,FALSE),"")</f>
        <v>EDGAR FABIO DÍAZ RAMIREZ</v>
      </c>
      <c r="AG127" s="23">
        <f>IFERROR(VLOOKUP(AE127,Listas!$AD$1:$AF$65,3,FALSE),"")</f>
        <v>79537198</v>
      </c>
      <c r="AH127" s="17" t="s">
        <v>118</v>
      </c>
      <c r="AI127" s="65" t="s">
        <v>1213</v>
      </c>
      <c r="AJ127" s="25" t="s">
        <v>119</v>
      </c>
      <c r="AK127" s="26" t="s">
        <v>120</v>
      </c>
      <c r="AL127" s="26" t="s">
        <v>120</v>
      </c>
      <c r="AM127" s="90" t="s">
        <v>119</v>
      </c>
      <c r="AN127" s="105">
        <v>28171</v>
      </c>
      <c r="AO127" s="91">
        <f t="shared" ca="1" si="53"/>
        <v>48</v>
      </c>
      <c r="AP127" s="26" t="s">
        <v>121</v>
      </c>
      <c r="AQ127" s="26" t="s">
        <v>886</v>
      </c>
      <c r="AR127" s="89"/>
      <c r="AS127" s="27"/>
      <c r="AT127" s="16"/>
      <c r="AU127" s="27"/>
      <c r="AV127" s="86"/>
      <c r="AW127" s="27"/>
      <c r="AX127" s="27"/>
      <c r="AY127" s="27"/>
      <c r="AZ127" s="27"/>
      <c r="BA127" s="27"/>
      <c r="BB127" s="27"/>
      <c r="BC127" s="97"/>
      <c r="BD127" s="27"/>
      <c r="BE127" s="16"/>
      <c r="BF127" s="28">
        <f t="shared" si="42"/>
        <v>0</v>
      </c>
      <c r="BG127" s="29"/>
      <c r="BH127" s="27"/>
      <c r="BI127" s="30">
        <f t="shared" si="43"/>
        <v>347</v>
      </c>
      <c r="BJ127" s="31">
        <f t="shared" si="44"/>
        <v>45656</v>
      </c>
      <c r="BK127" s="27"/>
      <c r="BL127" s="16"/>
      <c r="BM127" s="27"/>
      <c r="BN127" s="16"/>
      <c r="BO127" s="27"/>
      <c r="BP127" s="16"/>
      <c r="BQ127" s="27"/>
      <c r="BR127" s="24"/>
      <c r="BS127" s="24"/>
      <c r="BT127" s="32"/>
      <c r="BU127" s="27"/>
      <c r="BV127" s="24"/>
      <c r="BW127" s="24"/>
      <c r="BX127" s="16"/>
      <c r="BY127" s="27"/>
      <c r="BZ127" s="24"/>
      <c r="CA127" s="24"/>
      <c r="CB127" s="16"/>
      <c r="CC127" s="49">
        <f t="shared" si="45"/>
        <v>0</v>
      </c>
      <c r="CD127" s="24"/>
      <c r="CE127" s="49">
        <f t="shared" si="46"/>
        <v>93586848</v>
      </c>
      <c r="CF127" s="50"/>
      <c r="CG127" s="49">
        <f t="shared" ca="1" si="47"/>
        <v>93586848</v>
      </c>
      <c r="CH127" s="33">
        <f t="shared" ca="1" si="48"/>
        <v>1</v>
      </c>
      <c r="CI127" s="33">
        <f t="shared" ca="1" si="49"/>
        <v>1</v>
      </c>
      <c r="CJ127" s="36">
        <f t="shared" ca="1" si="50"/>
        <v>100</v>
      </c>
      <c r="CK127" s="34">
        <f t="shared" si="51"/>
        <v>0</v>
      </c>
      <c r="CL127" s="21"/>
      <c r="CM127" s="35" t="str">
        <f t="shared" ca="1" si="52"/>
        <v>TERMINADO</v>
      </c>
      <c r="CN127" s="82"/>
      <c r="CO127" s="145" t="s">
        <v>1214</v>
      </c>
      <c r="CP127" s="26" t="s">
        <v>142</v>
      </c>
    </row>
    <row r="128" spans="1:94" ht="24.75" customHeight="1">
      <c r="A128" s="48" t="s">
        <v>1215</v>
      </c>
      <c r="B128" s="77" t="s">
        <v>1216</v>
      </c>
      <c r="C128" s="17" t="s">
        <v>104</v>
      </c>
      <c r="D128" s="18" t="s">
        <v>1217</v>
      </c>
      <c r="E128" s="17" t="s">
        <v>106</v>
      </c>
      <c r="F128" s="17" t="s">
        <v>107</v>
      </c>
      <c r="G128" s="17" t="s">
        <v>108</v>
      </c>
      <c r="H128" s="78">
        <v>1057215802</v>
      </c>
      <c r="I128" s="233" t="s">
        <v>1218</v>
      </c>
      <c r="J128" s="16"/>
      <c r="K128" s="16"/>
      <c r="L128" s="96" t="s">
        <v>1219</v>
      </c>
      <c r="M128" s="16" t="s">
        <v>111</v>
      </c>
      <c r="N128" s="22">
        <v>45303</v>
      </c>
      <c r="O128" s="22">
        <v>45307</v>
      </c>
      <c r="P128" s="22">
        <v>45656</v>
      </c>
      <c r="Q128" s="23">
        <f t="shared" si="41"/>
        <v>349</v>
      </c>
      <c r="R128" s="17" t="s">
        <v>242</v>
      </c>
      <c r="S128" s="110" t="s">
        <v>1220</v>
      </c>
      <c r="T128" s="16" t="s">
        <v>1221</v>
      </c>
      <c r="U128" s="67">
        <v>52965916</v>
      </c>
      <c r="V128" s="16" t="s">
        <v>1222</v>
      </c>
      <c r="W128" s="224">
        <v>52965916</v>
      </c>
      <c r="X128" s="24">
        <v>4413826</v>
      </c>
      <c r="Y128" s="24"/>
      <c r="Z128" s="24"/>
      <c r="AA128" s="17" t="s">
        <v>116</v>
      </c>
      <c r="AB128" s="23" t="str">
        <f>IFERROR(VLOOKUP(AA128,Listas!$A$1:$C$14,2,FALSE),"")</f>
        <v>FREDY CÉSPEDES VILLA</v>
      </c>
      <c r="AC128" s="23">
        <f>IFERROR(VLOOKUP(AA128,Listas!$A$1:$C$14,3,FALSE),"")</f>
        <v>93363483</v>
      </c>
      <c r="AD128" s="17" t="s">
        <v>406</v>
      </c>
      <c r="AE128" s="17" t="s">
        <v>504</v>
      </c>
      <c r="AF128" s="23" t="str">
        <f>IFERROR(VLOOKUP(AE128,Listas!$AD$1:$AF$66,2,FALSE),"")</f>
        <v>EDUARDO ELÍAS BARCHA BOLÍVAR</v>
      </c>
      <c r="AG128" s="23">
        <f>IFERROR(VLOOKUP(AE128,Listas!$AD$1:$AF$65,3,FALSE),"")</f>
        <v>72133921</v>
      </c>
      <c r="AH128" s="17" t="s">
        <v>118</v>
      </c>
      <c r="AI128" s="65" t="s">
        <v>1223</v>
      </c>
      <c r="AJ128" s="25" t="s">
        <v>119</v>
      </c>
      <c r="AK128" s="26" t="s">
        <v>120</v>
      </c>
      <c r="AL128" s="26" t="s">
        <v>120</v>
      </c>
      <c r="AM128" s="90" t="s">
        <v>119</v>
      </c>
      <c r="AN128" s="105">
        <v>35912</v>
      </c>
      <c r="AO128" s="91">
        <f t="shared" ca="1" si="53"/>
        <v>27</v>
      </c>
      <c r="AP128" s="26" t="s">
        <v>121</v>
      </c>
      <c r="AQ128" s="26" t="s">
        <v>409</v>
      </c>
      <c r="AR128" s="89"/>
      <c r="AS128" s="27"/>
      <c r="AT128" s="16"/>
      <c r="AU128" s="27"/>
      <c r="AV128" s="86"/>
      <c r="AW128" s="27"/>
      <c r="AX128" s="27"/>
      <c r="AY128" s="27"/>
      <c r="AZ128" s="27"/>
      <c r="BA128" s="27"/>
      <c r="BB128" s="27"/>
      <c r="BC128" s="97"/>
      <c r="BD128" s="27"/>
      <c r="BE128" s="16"/>
      <c r="BF128" s="28">
        <f t="shared" si="42"/>
        <v>0</v>
      </c>
      <c r="BG128" s="29"/>
      <c r="BH128" s="27"/>
      <c r="BI128" s="30">
        <f t="shared" si="43"/>
        <v>349</v>
      </c>
      <c r="BJ128" s="31">
        <f t="shared" si="44"/>
        <v>45656</v>
      </c>
      <c r="BK128" s="27"/>
      <c r="BL128" s="16"/>
      <c r="BM128" s="27"/>
      <c r="BN128" s="16"/>
      <c r="BO128" s="27"/>
      <c r="BP128" s="16"/>
      <c r="BQ128" s="27"/>
      <c r="BR128" s="24"/>
      <c r="BS128" s="24"/>
      <c r="BT128" s="32"/>
      <c r="BU128" s="27"/>
      <c r="BV128" s="24"/>
      <c r="BW128" s="24"/>
      <c r="BX128" s="16"/>
      <c r="BY128" s="27"/>
      <c r="BZ128" s="24"/>
      <c r="CA128" s="24"/>
      <c r="CB128" s="16"/>
      <c r="CC128" s="49">
        <f t="shared" si="45"/>
        <v>0</v>
      </c>
      <c r="CD128" s="24"/>
      <c r="CE128" s="49">
        <f t="shared" si="46"/>
        <v>52965916</v>
      </c>
      <c r="CF128" s="50"/>
      <c r="CG128" s="49">
        <f t="shared" ca="1" si="47"/>
        <v>52965916</v>
      </c>
      <c r="CH128" s="33">
        <f t="shared" ca="1" si="48"/>
        <v>1</v>
      </c>
      <c r="CI128" s="33">
        <f t="shared" ca="1" si="49"/>
        <v>1</v>
      </c>
      <c r="CJ128" s="36">
        <f t="shared" ca="1" si="50"/>
        <v>100</v>
      </c>
      <c r="CK128" s="34">
        <f t="shared" si="51"/>
        <v>0</v>
      </c>
      <c r="CL128" s="21"/>
      <c r="CM128" s="35" t="str">
        <f t="shared" ca="1" si="52"/>
        <v>TERMINADO</v>
      </c>
      <c r="CN128" s="82"/>
      <c r="CO128" s="145" t="s">
        <v>1224</v>
      </c>
      <c r="CP128" s="26" t="s">
        <v>123</v>
      </c>
    </row>
    <row r="129" spans="1:94" ht="24.75" customHeight="1">
      <c r="A129" s="48" t="s">
        <v>1225</v>
      </c>
      <c r="B129" s="77" t="s">
        <v>1226</v>
      </c>
      <c r="C129" s="17" t="s">
        <v>104</v>
      </c>
      <c r="D129" s="18" t="s">
        <v>1227</v>
      </c>
      <c r="E129" s="17" t="s">
        <v>106</v>
      </c>
      <c r="F129" s="17" t="s">
        <v>107</v>
      </c>
      <c r="G129" s="17" t="s">
        <v>108</v>
      </c>
      <c r="H129" s="78">
        <v>80811993</v>
      </c>
      <c r="I129" s="74" t="s">
        <v>1228</v>
      </c>
      <c r="J129" s="16"/>
      <c r="K129" s="16"/>
      <c r="L129" s="96" t="s">
        <v>1229</v>
      </c>
      <c r="M129" s="16" t="s">
        <v>111</v>
      </c>
      <c r="N129" s="22">
        <v>45303</v>
      </c>
      <c r="O129" s="22">
        <v>45306</v>
      </c>
      <c r="P129" s="22">
        <v>45656</v>
      </c>
      <c r="Q129" s="23">
        <f t="shared" si="41"/>
        <v>350</v>
      </c>
      <c r="R129" s="17" t="s">
        <v>242</v>
      </c>
      <c r="S129" s="110" t="s">
        <v>1230</v>
      </c>
      <c r="T129" s="16" t="s">
        <v>343</v>
      </c>
      <c r="U129" s="67">
        <v>71520330</v>
      </c>
      <c r="V129" s="16" t="s">
        <v>344</v>
      </c>
      <c r="W129" s="224">
        <v>71520330</v>
      </c>
      <c r="X129" s="24">
        <v>6130314</v>
      </c>
      <c r="Y129" s="24"/>
      <c r="Z129" s="24"/>
      <c r="AA129" s="17" t="s">
        <v>116</v>
      </c>
      <c r="AB129" s="23" t="str">
        <f>IFERROR(VLOOKUP(AA129,Listas!$A$1:$C$14,2,FALSE),"")</f>
        <v>FREDY CÉSPEDES VILLA</v>
      </c>
      <c r="AC129" s="23">
        <f>IFERROR(VLOOKUP(AA129,Listas!$A$1:$C$14,3,FALSE),"")</f>
        <v>93363483</v>
      </c>
      <c r="AD129" s="17" t="s">
        <v>406</v>
      </c>
      <c r="AE129" s="17" t="s">
        <v>504</v>
      </c>
      <c r="AF129" s="23" t="str">
        <f>IFERROR(VLOOKUP(AE129,Listas!$AD$1:$AF$66,2,FALSE),"")</f>
        <v>EDUARDO ELÍAS BARCHA BOLÍVAR</v>
      </c>
      <c r="AG129" s="23">
        <f>IFERROR(VLOOKUP(AE129,Listas!$AD$1:$AF$65,3,FALSE),"")</f>
        <v>72133921</v>
      </c>
      <c r="AH129" s="17" t="s">
        <v>118</v>
      </c>
      <c r="AI129" s="65" t="s">
        <v>1231</v>
      </c>
      <c r="AJ129" s="25" t="s">
        <v>119</v>
      </c>
      <c r="AK129" s="26" t="s">
        <v>120</v>
      </c>
      <c r="AL129" s="26" t="s">
        <v>120</v>
      </c>
      <c r="AM129" s="90" t="s">
        <v>119</v>
      </c>
      <c r="AN129" s="105">
        <v>31118</v>
      </c>
      <c r="AO129" s="91">
        <f t="shared" ca="1" si="53"/>
        <v>40</v>
      </c>
      <c r="AP129" s="26" t="s">
        <v>121</v>
      </c>
      <c r="AQ129" s="26" t="s">
        <v>367</v>
      </c>
      <c r="AR129" s="89"/>
      <c r="AS129" s="27"/>
      <c r="AT129" s="16"/>
      <c r="AU129" s="27"/>
      <c r="AV129" s="86"/>
      <c r="AW129" s="27"/>
      <c r="AX129" s="27"/>
      <c r="AY129" s="27"/>
      <c r="AZ129" s="27"/>
      <c r="BA129" s="27"/>
      <c r="BB129" s="27"/>
      <c r="BC129" s="97"/>
      <c r="BD129" s="27"/>
      <c r="BE129" s="16"/>
      <c r="BF129" s="28">
        <f t="shared" si="42"/>
        <v>0</v>
      </c>
      <c r="BG129" s="29"/>
      <c r="BH129" s="27"/>
      <c r="BI129" s="30">
        <f t="shared" si="43"/>
        <v>350</v>
      </c>
      <c r="BJ129" s="31">
        <f t="shared" si="44"/>
        <v>45656</v>
      </c>
      <c r="BK129" s="27"/>
      <c r="BL129" s="16"/>
      <c r="BM129" s="27"/>
      <c r="BN129" s="16"/>
      <c r="BO129" s="27"/>
      <c r="BP129" s="16"/>
      <c r="BQ129" s="27"/>
      <c r="BR129" s="24"/>
      <c r="BS129" s="24"/>
      <c r="BT129" s="32"/>
      <c r="BU129" s="27"/>
      <c r="BV129" s="24"/>
      <c r="BW129" s="24"/>
      <c r="BX129" s="16"/>
      <c r="BY129" s="27"/>
      <c r="BZ129" s="24"/>
      <c r="CA129" s="24"/>
      <c r="CB129" s="16"/>
      <c r="CC129" s="49">
        <f t="shared" si="45"/>
        <v>0</v>
      </c>
      <c r="CD129" s="24"/>
      <c r="CE129" s="49">
        <f t="shared" si="46"/>
        <v>71520330</v>
      </c>
      <c r="CF129" s="50"/>
      <c r="CG129" s="49">
        <f t="shared" ca="1" si="47"/>
        <v>71520330</v>
      </c>
      <c r="CH129" s="33">
        <f t="shared" ca="1" si="48"/>
        <v>1</v>
      </c>
      <c r="CI129" s="33">
        <f t="shared" ca="1" si="49"/>
        <v>1</v>
      </c>
      <c r="CJ129" s="36">
        <f t="shared" ca="1" si="50"/>
        <v>100</v>
      </c>
      <c r="CK129" s="34">
        <f t="shared" si="51"/>
        <v>0</v>
      </c>
      <c r="CL129" s="21"/>
      <c r="CM129" s="35" t="str">
        <f t="shared" ca="1" si="52"/>
        <v>TERMINADO</v>
      </c>
      <c r="CN129" s="82"/>
      <c r="CO129" s="145" t="s">
        <v>1232</v>
      </c>
      <c r="CP129" s="26" t="s">
        <v>123</v>
      </c>
    </row>
    <row r="130" spans="1:94" ht="24.75" customHeight="1">
      <c r="A130" s="48" t="s">
        <v>1233</v>
      </c>
      <c r="B130" s="77" t="s">
        <v>1234</v>
      </c>
      <c r="C130" s="17" t="s">
        <v>104</v>
      </c>
      <c r="D130" s="18" t="s">
        <v>1235</v>
      </c>
      <c r="E130" s="17" t="s">
        <v>106</v>
      </c>
      <c r="F130" s="17" t="s">
        <v>107</v>
      </c>
      <c r="G130" s="17" t="s">
        <v>108</v>
      </c>
      <c r="H130" s="78">
        <v>1033740817</v>
      </c>
      <c r="I130" s="74" t="s">
        <v>1236</v>
      </c>
      <c r="J130" s="16"/>
      <c r="K130" s="16"/>
      <c r="L130" s="20" t="s">
        <v>1237</v>
      </c>
      <c r="M130" s="16" t="s">
        <v>111</v>
      </c>
      <c r="N130" s="22">
        <v>45303</v>
      </c>
      <c r="O130" s="22">
        <v>45307</v>
      </c>
      <c r="P130" s="22">
        <v>45656</v>
      </c>
      <c r="Q130" s="23">
        <f t="shared" ref="Q130:Q161" si="54">P130-O130</f>
        <v>349</v>
      </c>
      <c r="R130" s="17" t="s">
        <v>242</v>
      </c>
      <c r="S130" s="110" t="s">
        <v>1238</v>
      </c>
      <c r="T130" s="16" t="s">
        <v>1128</v>
      </c>
      <c r="U130" s="67">
        <v>95666667</v>
      </c>
      <c r="V130" s="16" t="s">
        <v>1239</v>
      </c>
      <c r="W130" s="224">
        <v>95666667</v>
      </c>
      <c r="X130" s="24">
        <v>8200000</v>
      </c>
      <c r="Y130" s="24"/>
      <c r="Z130" s="24"/>
      <c r="AA130" s="17" t="s">
        <v>116</v>
      </c>
      <c r="AB130" s="23" t="str">
        <f>IFERROR(VLOOKUP(AA130,Listas!$A$1:$C$14,2,FALSE),"")</f>
        <v>FREDY CÉSPEDES VILLA</v>
      </c>
      <c r="AC130" s="23">
        <f>IFERROR(VLOOKUP(AA130,Listas!$A$1:$C$14,3,FALSE),"")</f>
        <v>93363483</v>
      </c>
      <c r="AD130" s="17" t="s">
        <v>816</v>
      </c>
      <c r="AE130" s="17" t="s">
        <v>817</v>
      </c>
      <c r="AF130" s="23" t="str">
        <f>IFERROR(VLOOKUP(AE130,Listas!$AD$1:$AF$66,2,FALSE),"")</f>
        <v>JOSÉ EDUARDO PARADA JIMÉNEZ</v>
      </c>
      <c r="AG130" s="23">
        <f>IFERROR(VLOOKUP(AE130,Listas!$AD$1:$AF$65,3,FALSE),"")</f>
        <v>79434805</v>
      </c>
      <c r="AH130" s="17" t="s">
        <v>118</v>
      </c>
      <c r="AI130" s="65" t="s">
        <v>1240</v>
      </c>
      <c r="AJ130" s="25" t="s">
        <v>119</v>
      </c>
      <c r="AK130" s="26" t="s">
        <v>120</v>
      </c>
      <c r="AL130" s="26" t="s">
        <v>120</v>
      </c>
      <c r="AM130" s="90" t="s">
        <v>119</v>
      </c>
      <c r="AN130" s="105">
        <v>33611</v>
      </c>
      <c r="AO130" s="91">
        <f t="shared" ca="1" si="53"/>
        <v>33</v>
      </c>
      <c r="AP130" s="26" t="s">
        <v>121</v>
      </c>
      <c r="AQ130" s="26" t="s">
        <v>819</v>
      </c>
      <c r="AR130" s="89">
        <v>45429</v>
      </c>
      <c r="AS130" s="185" t="s">
        <v>1241</v>
      </c>
      <c r="AT130" s="185">
        <v>1076646509</v>
      </c>
      <c r="AU130" s="20" t="s">
        <v>1237</v>
      </c>
      <c r="AV130" s="86">
        <v>62593334</v>
      </c>
      <c r="AW130" s="27"/>
      <c r="AX130" s="27"/>
      <c r="AY130" s="27"/>
      <c r="AZ130" s="27"/>
      <c r="BA130" s="27"/>
      <c r="BB130" s="27"/>
      <c r="BC130" s="97"/>
      <c r="BD130" s="27"/>
      <c r="BE130" s="16"/>
      <c r="BF130" s="28">
        <f t="shared" ref="BF130:BF161" si="55">BC130+BE130</f>
        <v>0</v>
      </c>
      <c r="BG130" s="29"/>
      <c r="BH130" s="27"/>
      <c r="BI130" s="30">
        <f t="shared" ref="BI130:BI161" si="56">BF130+Q130</f>
        <v>349</v>
      </c>
      <c r="BJ130" s="31">
        <f t="shared" ref="BJ130:BJ161" si="57">IF(BH130="",P130+BF130,BH130)</f>
        <v>45656</v>
      </c>
      <c r="BK130" s="27"/>
      <c r="BL130" s="16"/>
      <c r="BM130" s="27"/>
      <c r="BN130" s="16"/>
      <c r="BO130" s="27"/>
      <c r="BP130" s="16"/>
      <c r="BQ130" s="27"/>
      <c r="BR130" s="24"/>
      <c r="BS130" s="24"/>
      <c r="BT130" s="32"/>
      <c r="BU130" s="27"/>
      <c r="BV130" s="24"/>
      <c r="BW130" s="24"/>
      <c r="BX130" s="16"/>
      <c r="BY130" s="27"/>
      <c r="BZ130" s="24"/>
      <c r="CA130" s="24"/>
      <c r="CB130" s="16"/>
      <c r="CC130" s="49">
        <f t="shared" ref="CC130:CC161" si="58">BR130+BV130+BZ130</f>
        <v>0</v>
      </c>
      <c r="CD130" s="24"/>
      <c r="CE130" s="49">
        <f t="shared" ref="CE130:CE149" si="59">IF(Y130=0,(W130+CC130)-CD130,IF(Y130&gt;0,(Y130+CC130)-CD130))</f>
        <v>95666667</v>
      </c>
      <c r="CF130" s="50"/>
      <c r="CG130" s="49">
        <f t="shared" ref="CG130:CG161" ca="1" si="60">IFERROR(IF(((CE130/BI130)*(TODAY()-N130))&gt;CE130,CE130,((CE130/BI130)*(TODAY()-N130))),"")</f>
        <v>95666667</v>
      </c>
      <c r="CH130" s="33">
        <f t="shared" ref="CH130:CH161" ca="1" si="61">IF(TODAY()&gt;BJ130,1,+(DAYS360(O130,TODAY())/DAYS360(O130,BJ130)))</f>
        <v>1</v>
      </c>
      <c r="CI130" s="33">
        <f t="shared" ref="CI130:CI161" ca="1" si="62">+IF(CL130&gt;0,DAYS360(O130,CL130)/DAYS360(O130,BJ130),CH130)</f>
        <v>1</v>
      </c>
      <c r="CJ130" s="36">
        <f t="shared" ref="CJ130:CJ161" ca="1" si="63">IFERROR(IF(((CG130/CE130)*100)&gt;100,100,((CG130/CE130)*100)),"")</f>
        <v>100</v>
      </c>
      <c r="CK130" s="34">
        <f t="shared" ref="CK130:CK161" si="64">IFERROR((CF130/CE130)*100,"")</f>
        <v>0</v>
      </c>
      <c r="CL130" s="21"/>
      <c r="CM130" s="35" t="str">
        <f t="shared" ref="CM130:CM161" ca="1" si="65">IF(CL130&gt;1/1/6,"LIQUIDADO",IF(BJ130=0,"",IF(BJ130&gt;=TODAY(),"VIGENTE",IF(BJ130&lt;TODAY(),"TERMINADO",))))</f>
        <v>TERMINADO</v>
      </c>
      <c r="CN130" s="82"/>
      <c r="CO130" s="145" t="s">
        <v>1242</v>
      </c>
      <c r="CP130" s="26" t="s">
        <v>123</v>
      </c>
    </row>
    <row r="131" spans="1:94" ht="24.75" customHeight="1">
      <c r="A131" s="48" t="s">
        <v>1243</v>
      </c>
      <c r="B131" s="77" t="s">
        <v>1244</v>
      </c>
      <c r="C131" s="17" t="s">
        <v>104</v>
      </c>
      <c r="D131" s="18" t="s">
        <v>1245</v>
      </c>
      <c r="E131" s="17" t="s">
        <v>106</v>
      </c>
      <c r="F131" s="17" t="s">
        <v>107</v>
      </c>
      <c r="G131" s="17" t="s">
        <v>108</v>
      </c>
      <c r="H131" s="78">
        <v>1022407670</v>
      </c>
      <c r="I131" s="74" t="s">
        <v>1246</v>
      </c>
      <c r="J131" s="16"/>
      <c r="K131" s="16"/>
      <c r="L131" s="96" t="s">
        <v>1247</v>
      </c>
      <c r="M131" s="16" t="s">
        <v>111</v>
      </c>
      <c r="N131" s="22">
        <v>45303</v>
      </c>
      <c r="O131" s="22">
        <v>45309</v>
      </c>
      <c r="P131" s="22">
        <v>45656</v>
      </c>
      <c r="Q131" s="23">
        <f t="shared" si="54"/>
        <v>347</v>
      </c>
      <c r="R131" s="17" t="s">
        <v>242</v>
      </c>
      <c r="S131" s="110" t="s">
        <v>1248</v>
      </c>
      <c r="T131" s="16" t="s">
        <v>1249</v>
      </c>
      <c r="U131" s="67">
        <v>73563768</v>
      </c>
      <c r="V131" s="16" t="s">
        <v>1212</v>
      </c>
      <c r="W131" s="224">
        <v>73563768</v>
      </c>
      <c r="X131" s="24">
        <v>6130314</v>
      </c>
      <c r="Y131" s="24"/>
      <c r="Z131" s="24"/>
      <c r="AA131" s="17" t="s">
        <v>116</v>
      </c>
      <c r="AB131" s="23" t="str">
        <f>IFERROR(VLOOKUP(AA131,Listas!$A$1:$C$14,2,FALSE),"")</f>
        <v>FREDY CÉSPEDES VILLA</v>
      </c>
      <c r="AC131" s="23">
        <f>IFERROR(VLOOKUP(AA131,Listas!$A$1:$C$14,3,FALSE),"")</f>
        <v>93363483</v>
      </c>
      <c r="AD131" s="17" t="s">
        <v>577</v>
      </c>
      <c r="AE131" s="17" t="s">
        <v>578</v>
      </c>
      <c r="AF131" s="23" t="str">
        <f>IFERROR(VLOOKUP(AE131,Listas!$AD$1:$AF$66,2,FALSE),"")</f>
        <v>EDGAR FABIO DÍAZ RAMIREZ</v>
      </c>
      <c r="AG131" s="23">
        <f>IFERROR(VLOOKUP(AE131,Listas!$AD$1:$AF$65,3,FALSE),"")</f>
        <v>79537198</v>
      </c>
      <c r="AH131" s="17" t="s">
        <v>118</v>
      </c>
      <c r="AI131" s="65" t="s">
        <v>1250</v>
      </c>
      <c r="AJ131" s="25" t="s">
        <v>119</v>
      </c>
      <c r="AK131" s="26" t="s">
        <v>120</v>
      </c>
      <c r="AL131" s="26" t="s">
        <v>120</v>
      </c>
      <c r="AM131" s="90" t="s">
        <v>119</v>
      </c>
      <c r="AN131" s="105">
        <v>34934</v>
      </c>
      <c r="AO131" s="91">
        <f t="shared" ca="1" si="53"/>
        <v>30</v>
      </c>
      <c r="AP131" s="26" t="s">
        <v>121</v>
      </c>
      <c r="AQ131" s="26" t="s">
        <v>886</v>
      </c>
      <c r="AR131" s="89"/>
      <c r="AS131" s="27"/>
      <c r="AT131" s="16"/>
      <c r="AU131" s="27"/>
      <c r="AV131" s="86"/>
      <c r="AW131" s="27"/>
      <c r="AX131" s="27"/>
      <c r="AY131" s="27"/>
      <c r="AZ131" s="27"/>
      <c r="BA131" s="27"/>
      <c r="BB131" s="27"/>
      <c r="BC131" s="97"/>
      <c r="BD131" s="27"/>
      <c r="BE131" s="16"/>
      <c r="BF131" s="28">
        <f t="shared" si="55"/>
        <v>0</v>
      </c>
      <c r="BG131" s="29"/>
      <c r="BH131" s="27"/>
      <c r="BI131" s="30">
        <f t="shared" si="56"/>
        <v>347</v>
      </c>
      <c r="BJ131" s="31">
        <f t="shared" si="57"/>
        <v>45656</v>
      </c>
      <c r="BK131" s="27"/>
      <c r="BL131" s="16"/>
      <c r="BM131" s="27"/>
      <c r="BN131" s="16"/>
      <c r="BO131" s="27"/>
      <c r="BP131" s="16"/>
      <c r="BQ131" s="27"/>
      <c r="BR131" s="24"/>
      <c r="BS131" s="24"/>
      <c r="BT131" s="32"/>
      <c r="BU131" s="27"/>
      <c r="BV131" s="24"/>
      <c r="BW131" s="24"/>
      <c r="BX131" s="16"/>
      <c r="BY131" s="27"/>
      <c r="BZ131" s="24"/>
      <c r="CA131" s="24"/>
      <c r="CB131" s="16"/>
      <c r="CC131" s="49">
        <f t="shared" si="58"/>
        <v>0</v>
      </c>
      <c r="CD131" s="24"/>
      <c r="CE131" s="49">
        <f t="shared" si="59"/>
        <v>73563768</v>
      </c>
      <c r="CF131" s="50"/>
      <c r="CG131" s="49">
        <f t="shared" ca="1" si="60"/>
        <v>73563768</v>
      </c>
      <c r="CH131" s="33">
        <f t="shared" ca="1" si="61"/>
        <v>1</v>
      </c>
      <c r="CI131" s="33">
        <f t="shared" ca="1" si="62"/>
        <v>1</v>
      </c>
      <c r="CJ131" s="36">
        <f t="shared" ca="1" si="63"/>
        <v>100</v>
      </c>
      <c r="CK131" s="34">
        <f t="shared" si="64"/>
        <v>0</v>
      </c>
      <c r="CL131" s="21"/>
      <c r="CM131" s="35" t="str">
        <f t="shared" ca="1" si="65"/>
        <v>TERMINADO</v>
      </c>
      <c r="CN131" s="82"/>
      <c r="CO131" s="145" t="s">
        <v>1251</v>
      </c>
      <c r="CP131" s="26" t="s">
        <v>142</v>
      </c>
    </row>
    <row r="132" spans="1:94" ht="24.75" customHeight="1">
      <c r="A132" s="48" t="s">
        <v>1252</v>
      </c>
      <c r="B132" s="77" t="s">
        <v>1253</v>
      </c>
      <c r="C132" s="17" t="s">
        <v>104</v>
      </c>
      <c r="D132" s="18" t="s">
        <v>1254</v>
      </c>
      <c r="E132" s="17" t="s">
        <v>106</v>
      </c>
      <c r="F132" s="17" t="s">
        <v>107</v>
      </c>
      <c r="G132" s="17" t="s">
        <v>108</v>
      </c>
      <c r="H132" s="78">
        <v>52221584</v>
      </c>
      <c r="I132" s="74" t="s">
        <v>1255</v>
      </c>
      <c r="J132" s="16"/>
      <c r="K132" s="16"/>
      <c r="L132" s="96" t="s">
        <v>1256</v>
      </c>
      <c r="M132" s="16" t="s">
        <v>111</v>
      </c>
      <c r="N132" s="22">
        <v>45306</v>
      </c>
      <c r="O132" s="22">
        <v>45308</v>
      </c>
      <c r="P132" s="22">
        <v>45656</v>
      </c>
      <c r="Q132" s="23">
        <f t="shared" si="54"/>
        <v>348</v>
      </c>
      <c r="R132" s="17" t="s">
        <v>242</v>
      </c>
      <c r="S132" s="110" t="s">
        <v>1257</v>
      </c>
      <c r="T132" s="16" t="s">
        <v>732</v>
      </c>
      <c r="U132" s="67">
        <v>125058413</v>
      </c>
      <c r="V132" s="16" t="s">
        <v>894</v>
      </c>
      <c r="W132" s="224">
        <v>125058413</v>
      </c>
      <c r="X132" s="24">
        <v>10421534</v>
      </c>
      <c r="Y132" s="24"/>
      <c r="Z132" s="24"/>
      <c r="AA132" s="17" t="s">
        <v>116</v>
      </c>
      <c r="AB132" s="23" t="str">
        <f>IFERROR(VLOOKUP(AA132,Listas!$A$1:$C$14,2,FALSE),"")</f>
        <v>FREDY CÉSPEDES VILLA</v>
      </c>
      <c r="AC132" s="23">
        <f>IFERROR(VLOOKUP(AA132,Listas!$A$1:$C$14,3,FALSE),"")</f>
        <v>93363483</v>
      </c>
      <c r="AD132" s="17" t="s">
        <v>588</v>
      </c>
      <c r="AE132" s="17" t="s">
        <v>589</v>
      </c>
      <c r="AF132" s="23" t="str">
        <f>IFERROR(VLOOKUP(AE132,Listas!$AD$1:$AF$66,2,FALSE),"")</f>
        <v>ANA LUCY CASTRO CASTRO</v>
      </c>
      <c r="AG132" s="23">
        <f>IFERROR(VLOOKUP(AE132,Listas!$AD$1:$AF$65,3,FALSE),"")</f>
        <v>51743499</v>
      </c>
      <c r="AH132" s="17" t="s">
        <v>118</v>
      </c>
      <c r="AI132" s="65"/>
      <c r="AJ132" s="25" t="s">
        <v>119</v>
      </c>
      <c r="AK132" s="26" t="s">
        <v>120</v>
      </c>
      <c r="AL132" s="26" t="s">
        <v>120</v>
      </c>
      <c r="AM132" s="90" t="s">
        <v>119</v>
      </c>
      <c r="AN132" s="105">
        <v>27067</v>
      </c>
      <c r="AO132" s="91">
        <f t="shared" ca="1" si="53"/>
        <v>51</v>
      </c>
      <c r="AP132" s="26" t="s">
        <v>121</v>
      </c>
      <c r="AQ132" s="26" t="s">
        <v>486</v>
      </c>
      <c r="AR132" s="89"/>
      <c r="AS132" s="27"/>
      <c r="AT132" s="16"/>
      <c r="AU132" s="27"/>
      <c r="AV132" s="86"/>
      <c r="AW132" s="27"/>
      <c r="AX132" s="27"/>
      <c r="AY132" s="27"/>
      <c r="AZ132" s="27"/>
      <c r="BA132" s="27"/>
      <c r="BB132" s="27"/>
      <c r="BC132" s="97"/>
      <c r="BD132" s="27"/>
      <c r="BE132" s="16"/>
      <c r="BF132" s="28">
        <f t="shared" si="55"/>
        <v>0</v>
      </c>
      <c r="BG132" s="29"/>
      <c r="BH132" s="27"/>
      <c r="BI132" s="30">
        <f t="shared" si="56"/>
        <v>348</v>
      </c>
      <c r="BJ132" s="31">
        <f t="shared" si="57"/>
        <v>45656</v>
      </c>
      <c r="BK132" s="27"/>
      <c r="BL132" s="16"/>
      <c r="BM132" s="27"/>
      <c r="BN132" s="16"/>
      <c r="BO132" s="27"/>
      <c r="BP132" s="16"/>
      <c r="BQ132" s="27"/>
      <c r="BR132" s="24"/>
      <c r="BS132" s="24"/>
      <c r="BT132" s="32"/>
      <c r="BU132" s="27"/>
      <c r="BV132" s="24"/>
      <c r="BW132" s="24"/>
      <c r="BX132" s="16"/>
      <c r="BY132" s="27"/>
      <c r="BZ132" s="24"/>
      <c r="CA132" s="24"/>
      <c r="CB132" s="16"/>
      <c r="CC132" s="49">
        <f t="shared" si="58"/>
        <v>0</v>
      </c>
      <c r="CD132" s="24"/>
      <c r="CE132" s="49">
        <f t="shared" si="59"/>
        <v>125058413</v>
      </c>
      <c r="CF132" s="50"/>
      <c r="CG132" s="49">
        <f t="shared" ca="1" si="60"/>
        <v>125058413</v>
      </c>
      <c r="CH132" s="33">
        <f t="shared" ca="1" si="61"/>
        <v>1</v>
      </c>
      <c r="CI132" s="33">
        <f t="shared" ca="1" si="62"/>
        <v>1</v>
      </c>
      <c r="CJ132" s="36">
        <f t="shared" ca="1" si="63"/>
        <v>100</v>
      </c>
      <c r="CK132" s="34">
        <f t="shared" si="64"/>
        <v>0</v>
      </c>
      <c r="CL132" s="21"/>
      <c r="CM132" s="35" t="str">
        <f t="shared" ca="1" si="65"/>
        <v>TERMINADO</v>
      </c>
      <c r="CN132" s="82"/>
      <c r="CO132" s="145" t="s">
        <v>1258</v>
      </c>
      <c r="CP132" s="26" t="s">
        <v>123</v>
      </c>
    </row>
    <row r="133" spans="1:94" ht="24.75" customHeight="1">
      <c r="A133" s="48" t="s">
        <v>1259</v>
      </c>
      <c r="B133" s="77" t="s">
        <v>1260</v>
      </c>
      <c r="C133" s="17" t="s">
        <v>104</v>
      </c>
      <c r="D133" s="18" t="s">
        <v>1261</v>
      </c>
      <c r="E133" s="17" t="s">
        <v>106</v>
      </c>
      <c r="F133" s="17" t="s">
        <v>107</v>
      </c>
      <c r="G133" s="17" t="s">
        <v>108</v>
      </c>
      <c r="H133" s="78">
        <v>1018404175</v>
      </c>
      <c r="I133" s="74" t="s">
        <v>1262</v>
      </c>
      <c r="J133" s="16"/>
      <c r="K133" s="16"/>
      <c r="L133" s="20" t="s">
        <v>1263</v>
      </c>
      <c r="M133" s="16" t="s">
        <v>111</v>
      </c>
      <c r="N133" s="22">
        <v>45306</v>
      </c>
      <c r="O133" s="22">
        <v>45309</v>
      </c>
      <c r="P133" s="22">
        <v>45656</v>
      </c>
      <c r="Q133" s="23">
        <f t="shared" si="54"/>
        <v>347</v>
      </c>
      <c r="R133" s="17" t="s">
        <v>242</v>
      </c>
      <c r="S133" s="110" t="s">
        <v>1264</v>
      </c>
      <c r="T133" s="110" t="s">
        <v>1249</v>
      </c>
      <c r="U133" s="113">
        <v>125058408</v>
      </c>
      <c r="V133" s="110" t="s">
        <v>1212</v>
      </c>
      <c r="W133" s="226">
        <v>125058408</v>
      </c>
      <c r="X133" s="113">
        <v>10421534</v>
      </c>
      <c r="Y133" s="24"/>
      <c r="Z133" s="24"/>
      <c r="AA133" s="17" t="s">
        <v>116</v>
      </c>
      <c r="AB133" s="23" t="str">
        <f>IFERROR(VLOOKUP(AA133,Listas!$A$1:$C$14,2,FALSE),"")</f>
        <v>FREDY CÉSPEDES VILLA</v>
      </c>
      <c r="AC133" s="23">
        <f>IFERROR(VLOOKUP(AA133,Listas!$A$1:$C$14,3,FALSE),"")</f>
        <v>93363483</v>
      </c>
      <c r="AD133" s="17" t="s">
        <v>577</v>
      </c>
      <c r="AE133" s="17" t="s">
        <v>578</v>
      </c>
      <c r="AF133" s="23" t="str">
        <f>IFERROR(VLOOKUP(AE133,Listas!$AD$1:$AF$66,2,FALSE),"")</f>
        <v>EDGAR FABIO DÍAZ RAMIREZ</v>
      </c>
      <c r="AG133" s="23">
        <f>IFERROR(VLOOKUP(AE133,Listas!$AD$1:$AF$65,3,FALSE),"")</f>
        <v>79537198</v>
      </c>
      <c r="AH133" s="17" t="s">
        <v>118</v>
      </c>
      <c r="AI133" s="65" t="s">
        <v>1250</v>
      </c>
      <c r="AJ133" s="25" t="s">
        <v>119</v>
      </c>
      <c r="AK133" s="26" t="s">
        <v>120</v>
      </c>
      <c r="AL133" s="26" t="s">
        <v>120</v>
      </c>
      <c r="AM133" s="90" t="s">
        <v>119</v>
      </c>
      <c r="AN133" s="105"/>
      <c r="AO133" s="91" t="str">
        <f t="shared" ca="1" si="53"/>
        <v xml:space="preserve"> </v>
      </c>
      <c r="AP133" s="26" t="s">
        <v>121</v>
      </c>
      <c r="AQ133" s="26" t="s">
        <v>886</v>
      </c>
      <c r="AR133" s="186">
        <v>45469</v>
      </c>
      <c r="AS133" s="183" t="s">
        <v>1265</v>
      </c>
      <c r="AT133" s="183">
        <v>1018435915</v>
      </c>
      <c r="AU133" s="187" t="s">
        <v>1263</v>
      </c>
      <c r="AV133" s="86">
        <v>64613510</v>
      </c>
      <c r="AW133" s="27"/>
      <c r="AX133" s="27"/>
      <c r="AY133" s="27"/>
      <c r="AZ133" s="27"/>
      <c r="BA133" s="27"/>
      <c r="BB133" s="27"/>
      <c r="BC133" s="97"/>
      <c r="BD133" s="27"/>
      <c r="BE133" s="16"/>
      <c r="BF133" s="28">
        <f t="shared" si="55"/>
        <v>0</v>
      </c>
      <c r="BG133" s="29"/>
      <c r="BH133" s="27"/>
      <c r="BI133" s="30">
        <f t="shared" si="56"/>
        <v>347</v>
      </c>
      <c r="BJ133" s="31">
        <f t="shared" si="57"/>
        <v>45656</v>
      </c>
      <c r="BK133" s="27"/>
      <c r="BL133" s="16"/>
      <c r="BM133" s="27"/>
      <c r="BN133" s="16"/>
      <c r="BO133" s="27"/>
      <c r="BP133" s="16"/>
      <c r="BQ133" s="27"/>
      <c r="BR133" s="24"/>
      <c r="BS133" s="24"/>
      <c r="BT133" s="32"/>
      <c r="BU133" s="27"/>
      <c r="BV133" s="24"/>
      <c r="BW133" s="24"/>
      <c r="BX133" s="16"/>
      <c r="BY133" s="27"/>
      <c r="BZ133" s="24"/>
      <c r="CA133" s="24"/>
      <c r="CB133" s="16"/>
      <c r="CC133" s="49">
        <f t="shared" si="58"/>
        <v>0</v>
      </c>
      <c r="CD133" s="24"/>
      <c r="CE133" s="49">
        <f t="shared" si="59"/>
        <v>125058408</v>
      </c>
      <c r="CF133" s="50"/>
      <c r="CG133" s="49">
        <f t="shared" ca="1" si="60"/>
        <v>125058408</v>
      </c>
      <c r="CH133" s="33">
        <f t="shared" ca="1" si="61"/>
        <v>1</v>
      </c>
      <c r="CI133" s="33">
        <f t="shared" ca="1" si="62"/>
        <v>1</v>
      </c>
      <c r="CJ133" s="36">
        <f t="shared" ca="1" si="63"/>
        <v>100</v>
      </c>
      <c r="CK133" s="34">
        <f t="shared" si="64"/>
        <v>0</v>
      </c>
      <c r="CL133" s="21"/>
      <c r="CM133" s="35" t="str">
        <f t="shared" ca="1" si="65"/>
        <v>TERMINADO</v>
      </c>
      <c r="CN133" s="82"/>
      <c r="CO133" s="145" t="s">
        <v>1251</v>
      </c>
      <c r="CP133" s="26" t="s">
        <v>123</v>
      </c>
    </row>
    <row r="134" spans="1:94" ht="24.75" customHeight="1">
      <c r="A134" s="48" t="s">
        <v>1266</v>
      </c>
      <c r="B134" s="77" t="s">
        <v>1267</v>
      </c>
      <c r="C134" s="17" t="s">
        <v>104</v>
      </c>
      <c r="D134" s="18" t="s">
        <v>1268</v>
      </c>
      <c r="E134" s="17" t="s">
        <v>106</v>
      </c>
      <c r="F134" s="17" t="s">
        <v>107</v>
      </c>
      <c r="G134" s="17" t="s">
        <v>108</v>
      </c>
      <c r="H134" s="78">
        <v>32749242</v>
      </c>
      <c r="I134" s="74" t="s">
        <v>1269</v>
      </c>
      <c r="J134" s="16"/>
      <c r="K134" s="16"/>
      <c r="L134" s="96" t="s">
        <v>1270</v>
      </c>
      <c r="M134" s="16" t="s">
        <v>111</v>
      </c>
      <c r="N134" s="22">
        <v>45308</v>
      </c>
      <c r="O134" s="22">
        <v>45310</v>
      </c>
      <c r="P134" s="22">
        <v>45492</v>
      </c>
      <c r="Q134" s="23">
        <f t="shared" si="54"/>
        <v>182</v>
      </c>
      <c r="R134" s="17" t="s">
        <v>242</v>
      </c>
      <c r="S134" s="110" t="s">
        <v>1079</v>
      </c>
      <c r="T134" s="16" t="s">
        <v>1145</v>
      </c>
      <c r="U134" s="67">
        <v>153653600</v>
      </c>
      <c r="V134" s="16" t="s">
        <v>426</v>
      </c>
      <c r="W134" s="224">
        <v>153653600</v>
      </c>
      <c r="X134" s="24">
        <v>12876000</v>
      </c>
      <c r="Y134" s="24"/>
      <c r="Z134" s="24"/>
      <c r="AA134" s="17" t="s">
        <v>116</v>
      </c>
      <c r="AB134" s="23" t="str">
        <f>IFERROR(VLOOKUP(AA134,Listas!$A$1:$C$14,2,FALSE),"")</f>
        <v>FREDY CÉSPEDES VILLA</v>
      </c>
      <c r="AC134" s="23">
        <f>IFERROR(VLOOKUP(AA134,Listas!$A$1:$C$14,3,FALSE),"")</f>
        <v>93363483</v>
      </c>
      <c r="AD134" s="17" t="s">
        <v>427</v>
      </c>
      <c r="AE134" s="17" t="s">
        <v>428</v>
      </c>
      <c r="AF134" s="23" t="str">
        <f>IFERROR(VLOOKUP(AE134,Listas!$AD$1:$AF$66,2,FALSE),"")</f>
        <v>DINORAH PATRICIA ABADIA MURILLO</v>
      </c>
      <c r="AG134" s="23">
        <f>IFERROR(VLOOKUP(AE134,Listas!$AD$1:$AF$65,3,FALSE),"")</f>
        <v>52220857</v>
      </c>
      <c r="AH134" s="17" t="s">
        <v>118</v>
      </c>
      <c r="AI134" s="65" t="s">
        <v>1271</v>
      </c>
      <c r="AJ134" s="25" t="s">
        <v>119</v>
      </c>
      <c r="AK134" s="26" t="s">
        <v>120</v>
      </c>
      <c r="AL134" s="26" t="s">
        <v>120</v>
      </c>
      <c r="AM134" s="90" t="s">
        <v>119</v>
      </c>
      <c r="AN134" s="105"/>
      <c r="AO134" s="91" t="str">
        <f t="shared" ca="1" si="53"/>
        <v xml:space="preserve"> </v>
      </c>
      <c r="AP134" s="26" t="s">
        <v>121</v>
      </c>
      <c r="AQ134" s="26" t="s">
        <v>1272</v>
      </c>
      <c r="AR134" s="89"/>
      <c r="AS134" s="27"/>
      <c r="AT134" s="16"/>
      <c r="AU134" s="27"/>
      <c r="AV134" s="86"/>
      <c r="AW134" s="27"/>
      <c r="AX134" s="27"/>
      <c r="AY134" s="27"/>
      <c r="AZ134" s="27"/>
      <c r="BA134" s="27"/>
      <c r="BB134" s="27"/>
      <c r="BC134" s="97"/>
      <c r="BD134" s="27"/>
      <c r="BE134" s="16"/>
      <c r="BF134" s="28">
        <f t="shared" si="55"/>
        <v>0</v>
      </c>
      <c r="BG134" s="29"/>
      <c r="BH134" s="27"/>
      <c r="BI134" s="30">
        <f t="shared" si="56"/>
        <v>182</v>
      </c>
      <c r="BJ134" s="31">
        <f t="shared" si="57"/>
        <v>45492</v>
      </c>
      <c r="BK134" s="27"/>
      <c r="BL134" s="16"/>
      <c r="BM134" s="27"/>
      <c r="BN134" s="16"/>
      <c r="BO134" s="27"/>
      <c r="BP134" s="16"/>
      <c r="BQ134" s="27"/>
      <c r="BR134" s="24"/>
      <c r="BS134" s="24"/>
      <c r="BT134" s="32"/>
      <c r="BU134" s="27"/>
      <c r="BV134" s="24"/>
      <c r="BW134" s="24"/>
      <c r="BX134" s="16"/>
      <c r="BY134" s="27"/>
      <c r="BZ134" s="24"/>
      <c r="CA134" s="24"/>
      <c r="CB134" s="16"/>
      <c r="CC134" s="49">
        <f t="shared" si="58"/>
        <v>0</v>
      </c>
      <c r="CD134" s="24"/>
      <c r="CE134" s="49">
        <f t="shared" si="59"/>
        <v>153653600</v>
      </c>
      <c r="CF134" s="50"/>
      <c r="CG134" s="49">
        <f t="shared" ca="1" si="60"/>
        <v>153653600</v>
      </c>
      <c r="CH134" s="33">
        <f t="shared" ca="1" si="61"/>
        <v>1</v>
      </c>
      <c r="CI134" s="33">
        <f t="shared" ca="1" si="62"/>
        <v>1</v>
      </c>
      <c r="CJ134" s="36">
        <f t="shared" ca="1" si="63"/>
        <v>100</v>
      </c>
      <c r="CK134" s="34">
        <f t="shared" si="64"/>
        <v>0</v>
      </c>
      <c r="CL134" s="21"/>
      <c r="CM134" s="35" t="str">
        <f t="shared" ca="1" si="65"/>
        <v>TERMINADO</v>
      </c>
      <c r="CN134" s="82"/>
      <c r="CP134" s="26" t="s">
        <v>123</v>
      </c>
    </row>
    <row r="135" spans="1:94" ht="24.75" customHeight="1">
      <c r="A135" s="48" t="s">
        <v>1273</v>
      </c>
      <c r="B135" s="77" t="s">
        <v>1274</v>
      </c>
      <c r="C135" s="17" t="s">
        <v>104</v>
      </c>
      <c r="D135" s="18" t="s">
        <v>1275</v>
      </c>
      <c r="E135" s="17" t="s">
        <v>106</v>
      </c>
      <c r="F135" s="17" t="s">
        <v>107</v>
      </c>
      <c r="G135" s="17" t="s">
        <v>108</v>
      </c>
      <c r="H135" s="78">
        <v>52053679</v>
      </c>
      <c r="I135" s="74" t="s">
        <v>1276</v>
      </c>
      <c r="J135" s="16"/>
      <c r="K135" s="16"/>
      <c r="L135" s="96" t="s">
        <v>1277</v>
      </c>
      <c r="M135" s="16" t="s">
        <v>111</v>
      </c>
      <c r="N135" s="22">
        <v>45303</v>
      </c>
      <c r="O135" s="22">
        <v>45306</v>
      </c>
      <c r="P135" s="22">
        <v>45656</v>
      </c>
      <c r="Q135" s="23">
        <f t="shared" si="54"/>
        <v>350</v>
      </c>
      <c r="R135" s="17" t="s">
        <v>242</v>
      </c>
      <c r="S135" s="110" t="s">
        <v>1278</v>
      </c>
      <c r="T135" s="16" t="s">
        <v>343</v>
      </c>
      <c r="U135" s="67">
        <v>54258620</v>
      </c>
      <c r="V135" s="16" t="s">
        <v>344</v>
      </c>
      <c r="W135" s="224">
        <v>54258620</v>
      </c>
      <c r="X135" s="24">
        <v>4624314</v>
      </c>
      <c r="Y135" s="24"/>
      <c r="Z135" s="24"/>
      <c r="AA135" s="17" t="s">
        <v>116</v>
      </c>
      <c r="AB135" s="23" t="str">
        <f>IFERROR(VLOOKUP(AA135,Listas!$A$1:$C$14,2,FALSE),"")</f>
        <v>FREDY CÉSPEDES VILLA</v>
      </c>
      <c r="AC135" s="23">
        <f>IFERROR(VLOOKUP(AA135,Listas!$A$1:$C$14,3,FALSE),"")</f>
        <v>93363483</v>
      </c>
      <c r="AD135" s="17" t="s">
        <v>345</v>
      </c>
      <c r="AE135" s="17" t="s">
        <v>921</v>
      </c>
      <c r="AF135" s="23" t="str">
        <f>IFERROR(VLOOKUP(AE135,Listas!$AD$1:$AF$66,2,FALSE),"")</f>
        <v>LUZ MARINA CARREÑO</v>
      </c>
      <c r="AG135" s="23">
        <f>IFERROR(VLOOKUP(AE135,Listas!$AD$1:$AF$65,3,FALSE),"")</f>
        <v>63392036</v>
      </c>
      <c r="AH135" s="17" t="s">
        <v>118</v>
      </c>
      <c r="AI135" s="65" t="s">
        <v>1279</v>
      </c>
      <c r="AJ135" s="25" t="s">
        <v>119</v>
      </c>
      <c r="AK135" s="26" t="s">
        <v>120</v>
      </c>
      <c r="AL135" s="26" t="s">
        <v>120</v>
      </c>
      <c r="AM135" s="90" t="s">
        <v>119</v>
      </c>
      <c r="AN135" s="105">
        <v>26254</v>
      </c>
      <c r="AO135" s="91">
        <f t="shared" ca="1" si="53"/>
        <v>54</v>
      </c>
      <c r="AP135" s="26" t="s">
        <v>121</v>
      </c>
      <c r="AQ135" s="26" t="s">
        <v>367</v>
      </c>
      <c r="AR135" s="89"/>
      <c r="AS135" s="27"/>
      <c r="AT135" s="16"/>
      <c r="AU135" s="27"/>
      <c r="AV135" s="86"/>
      <c r="AW135" s="27"/>
      <c r="AX135" s="27"/>
      <c r="AY135" s="27"/>
      <c r="AZ135" s="27"/>
      <c r="BA135" s="27"/>
      <c r="BB135" s="27"/>
      <c r="BC135" s="97"/>
      <c r="BD135" s="27"/>
      <c r="BE135" s="16"/>
      <c r="BF135" s="28">
        <f t="shared" si="55"/>
        <v>0</v>
      </c>
      <c r="BG135" s="29"/>
      <c r="BH135" s="27"/>
      <c r="BI135" s="30">
        <f t="shared" si="56"/>
        <v>350</v>
      </c>
      <c r="BJ135" s="31">
        <f t="shared" si="57"/>
        <v>45656</v>
      </c>
      <c r="BK135" s="27"/>
      <c r="BL135" s="16"/>
      <c r="BM135" s="27"/>
      <c r="BN135" s="16"/>
      <c r="BO135" s="27"/>
      <c r="BP135" s="16"/>
      <c r="BQ135" s="27"/>
      <c r="BR135" s="24"/>
      <c r="BS135" s="24"/>
      <c r="BT135" s="32"/>
      <c r="BU135" s="27"/>
      <c r="BV135" s="24"/>
      <c r="BW135" s="24"/>
      <c r="BX135" s="16"/>
      <c r="BY135" s="27"/>
      <c r="BZ135" s="24"/>
      <c r="CA135" s="24"/>
      <c r="CB135" s="16"/>
      <c r="CC135" s="49">
        <f t="shared" si="58"/>
        <v>0</v>
      </c>
      <c r="CD135" s="24"/>
      <c r="CE135" s="49">
        <f t="shared" si="59"/>
        <v>54258620</v>
      </c>
      <c r="CF135" s="50"/>
      <c r="CG135" s="49">
        <f t="shared" ca="1" si="60"/>
        <v>54258620</v>
      </c>
      <c r="CH135" s="33">
        <f t="shared" ca="1" si="61"/>
        <v>1</v>
      </c>
      <c r="CI135" s="33">
        <f t="shared" ca="1" si="62"/>
        <v>1</v>
      </c>
      <c r="CJ135" s="36">
        <f t="shared" ca="1" si="63"/>
        <v>100</v>
      </c>
      <c r="CK135" s="34">
        <f t="shared" si="64"/>
        <v>0</v>
      </c>
      <c r="CL135" s="21"/>
      <c r="CM135" s="35" t="str">
        <f t="shared" ca="1" si="65"/>
        <v>TERMINADO</v>
      </c>
      <c r="CN135" s="82"/>
      <c r="CO135" s="145" t="s">
        <v>1280</v>
      </c>
      <c r="CP135" s="26" t="s">
        <v>123</v>
      </c>
    </row>
    <row r="136" spans="1:94" ht="24.75" customHeight="1">
      <c r="A136" s="48" t="s">
        <v>1281</v>
      </c>
      <c r="B136" s="77" t="s">
        <v>1282</v>
      </c>
      <c r="C136" s="17" t="s">
        <v>104</v>
      </c>
      <c r="D136" s="18" t="s">
        <v>1283</v>
      </c>
      <c r="E136" s="17" t="s">
        <v>106</v>
      </c>
      <c r="F136" s="17" t="s">
        <v>107</v>
      </c>
      <c r="G136" s="17" t="s">
        <v>108</v>
      </c>
      <c r="H136" s="78">
        <v>1032414509</v>
      </c>
      <c r="I136" s="74" t="s">
        <v>1284</v>
      </c>
      <c r="J136" s="16"/>
      <c r="K136" s="16"/>
      <c r="L136" s="96" t="s">
        <v>1285</v>
      </c>
      <c r="M136" s="16" t="s">
        <v>111</v>
      </c>
      <c r="N136" s="22">
        <v>45303</v>
      </c>
      <c r="O136" s="22">
        <v>45307</v>
      </c>
      <c r="P136" s="22">
        <v>45656</v>
      </c>
      <c r="Q136" s="23">
        <f t="shared" si="54"/>
        <v>349</v>
      </c>
      <c r="R136" s="17" t="s">
        <v>242</v>
      </c>
      <c r="S136" s="110" t="s">
        <v>1286</v>
      </c>
      <c r="T136" s="16" t="s">
        <v>343</v>
      </c>
      <c r="U136" s="67">
        <v>51494641</v>
      </c>
      <c r="V136" s="16" t="s">
        <v>344</v>
      </c>
      <c r="W136" s="224">
        <v>51494641</v>
      </c>
      <c r="X136" s="24">
        <v>4624314</v>
      </c>
      <c r="Y136" s="24"/>
      <c r="Z136" s="24"/>
      <c r="AA136" s="17" t="s">
        <v>116</v>
      </c>
      <c r="AB136" s="23" t="str">
        <f>IFERROR(VLOOKUP(AA136,Listas!$A$1:$C$14,2,FALSE),"")</f>
        <v>FREDY CÉSPEDES VILLA</v>
      </c>
      <c r="AC136" s="23">
        <f>IFERROR(VLOOKUP(AA136,Listas!$A$1:$C$14,3,FALSE),"")</f>
        <v>93363483</v>
      </c>
      <c r="AD136" s="17" t="s">
        <v>345</v>
      </c>
      <c r="AE136" s="17" t="s">
        <v>346</v>
      </c>
      <c r="AF136" s="23" t="str">
        <f>IFERROR(VLOOKUP(AE136,Listas!$AD$1:$AF$66,2,FALSE),"")</f>
        <v>RODOLFO GIOVANNI CANCHILA SUÁREZ</v>
      </c>
      <c r="AG136" s="23">
        <f>IFERROR(VLOOKUP(AE136,Listas!$AD$1:$AF$65,3,FALSE),"")</f>
        <v>79672493</v>
      </c>
      <c r="AH136" s="17" t="s">
        <v>118</v>
      </c>
      <c r="AI136" s="65" t="s">
        <v>1287</v>
      </c>
      <c r="AJ136" s="25" t="s">
        <v>119</v>
      </c>
      <c r="AK136" s="26" t="s">
        <v>120</v>
      </c>
      <c r="AL136" s="26" t="s">
        <v>120</v>
      </c>
      <c r="AM136" s="90" t="s">
        <v>119</v>
      </c>
      <c r="AN136" s="105">
        <v>32315</v>
      </c>
      <c r="AO136" s="91">
        <f t="shared" ca="1" si="53"/>
        <v>37</v>
      </c>
      <c r="AP136" s="26" t="s">
        <v>121</v>
      </c>
      <c r="AQ136" s="26" t="s">
        <v>367</v>
      </c>
      <c r="AR136" s="89"/>
      <c r="AS136" s="27"/>
      <c r="AT136" s="16"/>
      <c r="AU136" s="27"/>
      <c r="AV136" s="86"/>
      <c r="AW136" s="27"/>
      <c r="AX136" s="27"/>
      <c r="AY136" s="27"/>
      <c r="AZ136" s="27"/>
      <c r="BA136" s="27"/>
      <c r="BB136" s="27"/>
      <c r="BC136" s="97"/>
      <c r="BD136" s="27"/>
      <c r="BE136" s="16"/>
      <c r="BF136" s="28">
        <f t="shared" si="55"/>
        <v>0</v>
      </c>
      <c r="BG136" s="29"/>
      <c r="BH136" s="27"/>
      <c r="BI136" s="30">
        <f t="shared" si="56"/>
        <v>349</v>
      </c>
      <c r="BJ136" s="31">
        <f t="shared" si="57"/>
        <v>45656</v>
      </c>
      <c r="BK136" s="27"/>
      <c r="BL136" s="16"/>
      <c r="BM136" s="27"/>
      <c r="BN136" s="16"/>
      <c r="BO136" s="27"/>
      <c r="BP136" s="16"/>
      <c r="BQ136" s="27"/>
      <c r="BR136" s="24"/>
      <c r="BS136" s="24"/>
      <c r="BT136" s="32"/>
      <c r="BU136" s="27"/>
      <c r="BV136" s="24"/>
      <c r="BW136" s="24"/>
      <c r="BX136" s="16"/>
      <c r="BY136" s="27"/>
      <c r="BZ136" s="24"/>
      <c r="CA136" s="24"/>
      <c r="CB136" s="16"/>
      <c r="CC136" s="49">
        <f t="shared" si="58"/>
        <v>0</v>
      </c>
      <c r="CD136" s="24"/>
      <c r="CE136" s="49">
        <f t="shared" si="59"/>
        <v>51494641</v>
      </c>
      <c r="CF136" s="50"/>
      <c r="CG136" s="49">
        <f t="shared" ca="1" si="60"/>
        <v>51494641</v>
      </c>
      <c r="CH136" s="33">
        <f t="shared" ca="1" si="61"/>
        <v>1</v>
      </c>
      <c r="CI136" s="33">
        <f t="shared" ca="1" si="62"/>
        <v>1</v>
      </c>
      <c r="CJ136" s="36">
        <f t="shared" ca="1" si="63"/>
        <v>100</v>
      </c>
      <c r="CK136" s="34">
        <f t="shared" si="64"/>
        <v>0</v>
      </c>
      <c r="CL136" s="21"/>
      <c r="CM136" s="35" t="str">
        <f t="shared" ca="1" si="65"/>
        <v>TERMINADO</v>
      </c>
      <c r="CN136" s="82"/>
      <c r="CO136" s="145" t="s">
        <v>1288</v>
      </c>
      <c r="CP136" s="26" t="s">
        <v>123</v>
      </c>
    </row>
    <row r="137" spans="1:94" ht="24.75" customHeight="1">
      <c r="A137" s="48" t="s">
        <v>1289</v>
      </c>
      <c r="B137" s="77" t="s">
        <v>1290</v>
      </c>
      <c r="C137" s="17" t="s">
        <v>104</v>
      </c>
      <c r="D137" s="18" t="s">
        <v>1291</v>
      </c>
      <c r="E137" s="17" t="s">
        <v>106</v>
      </c>
      <c r="F137" s="17" t="s">
        <v>107</v>
      </c>
      <c r="G137" s="17" t="s">
        <v>108</v>
      </c>
      <c r="H137" s="78">
        <v>79736972</v>
      </c>
      <c r="I137" s="74" t="s">
        <v>1292</v>
      </c>
      <c r="J137" s="16"/>
      <c r="K137" s="16"/>
      <c r="L137" s="96" t="s">
        <v>1293</v>
      </c>
      <c r="M137" s="16" t="s">
        <v>111</v>
      </c>
      <c r="N137" s="22">
        <v>45303</v>
      </c>
      <c r="O137" s="22">
        <v>45307</v>
      </c>
      <c r="P137" s="22">
        <v>45656</v>
      </c>
      <c r="Q137" s="23">
        <f t="shared" si="54"/>
        <v>349</v>
      </c>
      <c r="R137" s="17" t="s">
        <v>242</v>
      </c>
      <c r="S137" s="110" t="s">
        <v>1294</v>
      </c>
      <c r="T137" s="16" t="s">
        <v>1128</v>
      </c>
      <c r="U137" s="67">
        <v>95666667</v>
      </c>
      <c r="V137" s="16" t="s">
        <v>815</v>
      </c>
      <c r="W137" s="224">
        <v>95666667</v>
      </c>
      <c r="X137" s="24">
        <v>8200000</v>
      </c>
      <c r="Y137" s="24"/>
      <c r="Z137" s="24"/>
      <c r="AA137" s="17" t="s">
        <v>116</v>
      </c>
      <c r="AB137" s="23" t="str">
        <f>IFERROR(VLOOKUP(AA137,Listas!$A$1:$C$14,2,FALSE),"")</f>
        <v>FREDY CÉSPEDES VILLA</v>
      </c>
      <c r="AC137" s="23">
        <f>IFERROR(VLOOKUP(AA137,Listas!$A$1:$C$14,3,FALSE),"")</f>
        <v>93363483</v>
      </c>
      <c r="AD137" s="17" t="s">
        <v>816</v>
      </c>
      <c r="AE137" s="17" t="s">
        <v>817</v>
      </c>
      <c r="AF137" s="23" t="str">
        <f>IFERROR(VLOOKUP(AE137,Listas!$AD$1:$AF$66,2,FALSE),"")</f>
        <v>JOSÉ EDUARDO PARADA JIMÉNEZ</v>
      </c>
      <c r="AG137" s="23">
        <f>IFERROR(VLOOKUP(AE137,Listas!$AD$1:$AF$65,3,FALSE),"")</f>
        <v>79434805</v>
      </c>
      <c r="AH137" s="17" t="s">
        <v>118</v>
      </c>
      <c r="AI137" s="65" t="s">
        <v>1295</v>
      </c>
      <c r="AJ137" s="25" t="s">
        <v>119</v>
      </c>
      <c r="AK137" s="26" t="s">
        <v>120</v>
      </c>
      <c r="AL137" s="26" t="s">
        <v>120</v>
      </c>
      <c r="AM137" s="90" t="s">
        <v>119</v>
      </c>
      <c r="AN137" s="105">
        <v>27540</v>
      </c>
      <c r="AO137" s="91">
        <f t="shared" ca="1" si="53"/>
        <v>50</v>
      </c>
      <c r="AP137" s="26" t="s">
        <v>121</v>
      </c>
      <c r="AQ137" s="26" t="s">
        <v>819</v>
      </c>
      <c r="AR137" s="89"/>
      <c r="AS137" s="27"/>
      <c r="AT137" s="16"/>
      <c r="AU137" s="27"/>
      <c r="AV137" s="86"/>
      <c r="AW137" s="27"/>
      <c r="AX137" s="27"/>
      <c r="AY137" s="27"/>
      <c r="AZ137" s="27"/>
      <c r="BA137" s="27"/>
      <c r="BB137" s="27"/>
      <c r="BC137" s="97"/>
      <c r="BD137" s="27"/>
      <c r="BE137" s="16"/>
      <c r="BF137" s="28">
        <f t="shared" si="55"/>
        <v>0</v>
      </c>
      <c r="BG137" s="29"/>
      <c r="BH137" s="27"/>
      <c r="BI137" s="30">
        <f t="shared" si="56"/>
        <v>349</v>
      </c>
      <c r="BJ137" s="31">
        <f t="shared" si="57"/>
        <v>45656</v>
      </c>
      <c r="BK137" s="27"/>
      <c r="BL137" s="16"/>
      <c r="BM137" s="27"/>
      <c r="BN137" s="16"/>
      <c r="BO137" s="27"/>
      <c r="BP137" s="16"/>
      <c r="BQ137" s="27"/>
      <c r="BR137" s="24"/>
      <c r="BS137" s="24"/>
      <c r="BT137" s="32"/>
      <c r="BU137" s="27"/>
      <c r="BV137" s="24"/>
      <c r="BW137" s="24"/>
      <c r="BX137" s="16"/>
      <c r="BY137" s="27"/>
      <c r="BZ137" s="24"/>
      <c r="CA137" s="24"/>
      <c r="CB137" s="16"/>
      <c r="CC137" s="49">
        <f t="shared" si="58"/>
        <v>0</v>
      </c>
      <c r="CD137" s="24"/>
      <c r="CE137" s="49">
        <f t="shared" si="59"/>
        <v>95666667</v>
      </c>
      <c r="CF137" s="50"/>
      <c r="CG137" s="49">
        <f t="shared" ca="1" si="60"/>
        <v>95666667</v>
      </c>
      <c r="CH137" s="33">
        <f t="shared" ca="1" si="61"/>
        <v>1</v>
      </c>
      <c r="CI137" s="33">
        <f t="shared" ca="1" si="62"/>
        <v>1</v>
      </c>
      <c r="CJ137" s="36">
        <f t="shared" ca="1" si="63"/>
        <v>100</v>
      </c>
      <c r="CK137" s="34">
        <f t="shared" si="64"/>
        <v>0</v>
      </c>
      <c r="CL137" s="21"/>
      <c r="CM137" s="35" t="str">
        <f t="shared" ca="1" si="65"/>
        <v>TERMINADO</v>
      </c>
      <c r="CN137" s="82"/>
      <c r="CO137" s="145" t="s">
        <v>1296</v>
      </c>
      <c r="CP137" s="26" t="s">
        <v>142</v>
      </c>
    </row>
    <row r="138" spans="1:94" ht="24.75" customHeight="1">
      <c r="A138" s="48" t="s">
        <v>1297</v>
      </c>
      <c r="B138" s="77" t="s">
        <v>1298</v>
      </c>
      <c r="C138" s="17" t="s">
        <v>104</v>
      </c>
      <c r="D138" s="18" t="s">
        <v>1299</v>
      </c>
      <c r="E138" s="17" t="s">
        <v>106</v>
      </c>
      <c r="F138" s="17" t="s">
        <v>107</v>
      </c>
      <c r="G138" s="17" t="s">
        <v>108</v>
      </c>
      <c r="H138" s="78">
        <v>43704973</v>
      </c>
      <c r="I138" s="74" t="s">
        <v>1300</v>
      </c>
      <c r="J138" s="16"/>
      <c r="K138" s="16"/>
      <c r="L138" s="20" t="s">
        <v>892</v>
      </c>
      <c r="M138" s="16" t="s">
        <v>111</v>
      </c>
      <c r="N138" s="22">
        <v>45307</v>
      </c>
      <c r="O138" s="22">
        <v>45308</v>
      </c>
      <c r="P138" s="22">
        <v>45656</v>
      </c>
      <c r="Q138" s="23">
        <f t="shared" si="54"/>
        <v>348</v>
      </c>
      <c r="R138" s="17" t="s">
        <v>242</v>
      </c>
      <c r="S138" s="110" t="s">
        <v>1301</v>
      </c>
      <c r="T138" s="16" t="s">
        <v>732</v>
      </c>
      <c r="U138" s="67">
        <v>102989282</v>
      </c>
      <c r="V138" s="16" t="s">
        <v>894</v>
      </c>
      <c r="W138" s="224">
        <v>102989282</v>
      </c>
      <c r="X138" s="24">
        <v>8582440</v>
      </c>
      <c r="Y138" s="24"/>
      <c r="Z138" s="24"/>
      <c r="AA138" s="17" t="s">
        <v>116</v>
      </c>
      <c r="AB138" s="23" t="str">
        <f>IFERROR(VLOOKUP(AA138,Listas!$A$1:$C$14,2,FALSE),"")</f>
        <v>FREDY CÉSPEDES VILLA</v>
      </c>
      <c r="AC138" s="23">
        <f>IFERROR(VLOOKUP(AA138,Listas!$A$1:$C$14,3,FALSE),"")</f>
        <v>93363483</v>
      </c>
      <c r="AD138" s="17" t="s">
        <v>588</v>
      </c>
      <c r="AE138" s="17" t="s">
        <v>589</v>
      </c>
      <c r="AF138" s="23" t="str">
        <f>IFERROR(VLOOKUP(AE138,Listas!$AD$1:$AF$66,2,FALSE),"")</f>
        <v>ANA LUCY CASTRO CASTRO</v>
      </c>
      <c r="AG138" s="23">
        <f>IFERROR(VLOOKUP(AE138,Listas!$AD$1:$AF$65,3,FALSE),"")</f>
        <v>51743499</v>
      </c>
      <c r="AH138" s="17" t="s">
        <v>118</v>
      </c>
      <c r="AI138" s="65" t="s">
        <v>734</v>
      </c>
      <c r="AJ138" s="25" t="s">
        <v>119</v>
      </c>
      <c r="AK138" s="26" t="s">
        <v>120</v>
      </c>
      <c r="AL138" s="26" t="s">
        <v>120</v>
      </c>
      <c r="AM138" s="90" t="s">
        <v>119</v>
      </c>
      <c r="AN138" s="105">
        <v>31254</v>
      </c>
      <c r="AO138" s="91">
        <f t="shared" ref="AO138:AO169" ca="1" si="66">IF(YEAR(TODAY())-YEAR(AN138)&gt;100," ",YEAR(TODAY())-YEAR(AN138))</f>
        <v>40</v>
      </c>
      <c r="AP138" s="26" t="s">
        <v>121</v>
      </c>
      <c r="AQ138" s="26" t="s">
        <v>486</v>
      </c>
      <c r="AR138" s="89"/>
      <c r="AS138" s="27"/>
      <c r="AT138" s="16"/>
      <c r="AU138" s="27"/>
      <c r="AV138" s="86"/>
      <c r="AW138" s="27"/>
      <c r="AX138" s="27"/>
      <c r="AY138" s="27"/>
      <c r="AZ138" s="27"/>
      <c r="BA138" s="27"/>
      <c r="BB138" s="27"/>
      <c r="BC138" s="97"/>
      <c r="BD138" s="27"/>
      <c r="BE138" s="16"/>
      <c r="BF138" s="28">
        <f t="shared" si="55"/>
        <v>0</v>
      </c>
      <c r="BG138" s="29"/>
      <c r="BH138" s="27"/>
      <c r="BI138" s="30">
        <f t="shared" si="56"/>
        <v>348</v>
      </c>
      <c r="BJ138" s="31">
        <f t="shared" si="57"/>
        <v>45656</v>
      </c>
      <c r="BK138" s="27"/>
      <c r="BL138" s="16"/>
      <c r="BM138" s="27"/>
      <c r="BN138" s="16"/>
      <c r="BO138" s="27"/>
      <c r="BP138" s="16"/>
      <c r="BQ138" s="27"/>
      <c r="BR138" s="24"/>
      <c r="BS138" s="24"/>
      <c r="BT138" s="32"/>
      <c r="BU138" s="27"/>
      <c r="BV138" s="24"/>
      <c r="BW138" s="24"/>
      <c r="BX138" s="16"/>
      <c r="BY138" s="27"/>
      <c r="BZ138" s="24"/>
      <c r="CA138" s="24"/>
      <c r="CB138" s="16"/>
      <c r="CC138" s="49">
        <f t="shared" si="58"/>
        <v>0</v>
      </c>
      <c r="CD138" s="24"/>
      <c r="CE138" s="49">
        <f t="shared" si="59"/>
        <v>102989282</v>
      </c>
      <c r="CF138" s="50"/>
      <c r="CG138" s="49">
        <f t="shared" ca="1" si="60"/>
        <v>102989282</v>
      </c>
      <c r="CH138" s="33">
        <f t="shared" ca="1" si="61"/>
        <v>1</v>
      </c>
      <c r="CI138" s="33">
        <f t="shared" ca="1" si="62"/>
        <v>1</v>
      </c>
      <c r="CJ138" s="36">
        <f t="shared" ca="1" si="63"/>
        <v>100</v>
      </c>
      <c r="CK138" s="34">
        <f t="shared" si="64"/>
        <v>0</v>
      </c>
      <c r="CL138" s="21"/>
      <c r="CM138" s="35" t="str">
        <f t="shared" ca="1" si="65"/>
        <v>TERMINADO</v>
      </c>
      <c r="CN138" s="82"/>
      <c r="CO138" s="145" t="s">
        <v>1302</v>
      </c>
      <c r="CP138" s="26" t="s">
        <v>123</v>
      </c>
    </row>
    <row r="139" spans="1:94" ht="24.75" customHeight="1">
      <c r="A139" s="48" t="s">
        <v>1303</v>
      </c>
      <c r="B139" s="77" t="s">
        <v>1304</v>
      </c>
      <c r="C139" s="17" t="s">
        <v>104</v>
      </c>
      <c r="D139" s="18" t="s">
        <v>1305</v>
      </c>
      <c r="E139" s="17" t="s">
        <v>106</v>
      </c>
      <c r="F139" s="17" t="s">
        <v>107</v>
      </c>
      <c r="G139" s="17" t="s">
        <v>108</v>
      </c>
      <c r="H139" s="78">
        <v>53116930</v>
      </c>
      <c r="I139" s="74" t="s">
        <v>1306</v>
      </c>
      <c r="J139" s="16"/>
      <c r="K139" s="16"/>
      <c r="L139" s="20" t="s">
        <v>1307</v>
      </c>
      <c r="M139" s="16" t="s">
        <v>111</v>
      </c>
      <c r="N139" s="22">
        <v>45303</v>
      </c>
      <c r="O139" s="22">
        <v>45306</v>
      </c>
      <c r="P139" s="22">
        <v>45656</v>
      </c>
      <c r="Q139" s="23">
        <f t="shared" si="54"/>
        <v>350</v>
      </c>
      <c r="R139" s="17" t="s">
        <v>242</v>
      </c>
      <c r="S139" s="110" t="s">
        <v>1308</v>
      </c>
      <c r="T139" s="16" t="s">
        <v>343</v>
      </c>
      <c r="U139" s="67">
        <v>94137108</v>
      </c>
      <c r="V139" s="16" t="s">
        <v>437</v>
      </c>
      <c r="W139" s="224">
        <v>94137108</v>
      </c>
      <c r="X139" s="24">
        <v>8092015</v>
      </c>
      <c r="Y139" s="24"/>
      <c r="Z139" s="24"/>
      <c r="AA139" s="17" t="s">
        <v>116</v>
      </c>
      <c r="AB139" s="23" t="str">
        <f>IFERROR(VLOOKUP(AA139,Listas!$A$1:$C$14,2,FALSE),"")</f>
        <v>FREDY CÉSPEDES VILLA</v>
      </c>
      <c r="AC139" s="23">
        <f>IFERROR(VLOOKUP(AA139,Listas!$A$1:$C$14,3,FALSE),"")</f>
        <v>93363483</v>
      </c>
      <c r="AD139" s="17" t="s">
        <v>345</v>
      </c>
      <c r="AE139" s="17" t="s">
        <v>346</v>
      </c>
      <c r="AF139" s="23" t="str">
        <f>IFERROR(VLOOKUP(AE139,Listas!$AD$1:$AF$66,2,FALSE),"")</f>
        <v>RODOLFO GIOVANNI CANCHILA SUÁREZ</v>
      </c>
      <c r="AG139" s="23">
        <f>IFERROR(VLOOKUP(AE139,Listas!$AD$1:$AF$65,3,FALSE),"")</f>
        <v>79672493</v>
      </c>
      <c r="AH139" s="17" t="s">
        <v>118</v>
      </c>
      <c r="AI139" s="65" t="s">
        <v>1309</v>
      </c>
      <c r="AJ139" s="25" t="s">
        <v>119</v>
      </c>
      <c r="AK139" s="26" t="s">
        <v>120</v>
      </c>
      <c r="AL139" s="26" t="s">
        <v>120</v>
      </c>
      <c r="AM139" s="90" t="s">
        <v>119</v>
      </c>
      <c r="AN139" s="105">
        <v>31144</v>
      </c>
      <c r="AO139" s="91">
        <f t="shared" ca="1" si="66"/>
        <v>40</v>
      </c>
      <c r="AP139" s="26" t="s">
        <v>121</v>
      </c>
      <c r="AQ139" s="26" t="s">
        <v>347</v>
      </c>
      <c r="AR139" s="89"/>
      <c r="AS139" s="27"/>
      <c r="AT139" s="16"/>
      <c r="AU139" s="27"/>
      <c r="AV139" s="86"/>
      <c r="AW139" s="27"/>
      <c r="AX139" s="27"/>
      <c r="AY139" s="27"/>
      <c r="AZ139" s="27"/>
      <c r="BA139" s="27"/>
      <c r="BB139" s="27"/>
      <c r="BC139" s="97"/>
      <c r="BD139" s="27"/>
      <c r="BE139" s="16"/>
      <c r="BF139" s="28">
        <f t="shared" si="55"/>
        <v>0</v>
      </c>
      <c r="BG139" s="29"/>
      <c r="BH139" s="27"/>
      <c r="BI139" s="30">
        <f t="shared" si="56"/>
        <v>350</v>
      </c>
      <c r="BJ139" s="31">
        <f t="shared" si="57"/>
        <v>45656</v>
      </c>
      <c r="BK139" s="27"/>
      <c r="BL139" s="16"/>
      <c r="BM139" s="27"/>
      <c r="BN139" s="16"/>
      <c r="BO139" s="27"/>
      <c r="BP139" s="16"/>
      <c r="BQ139" s="27"/>
      <c r="BR139" s="24"/>
      <c r="BS139" s="24"/>
      <c r="BT139" s="32"/>
      <c r="BU139" s="27"/>
      <c r="BV139" s="24"/>
      <c r="BW139" s="24"/>
      <c r="BX139" s="16"/>
      <c r="BY139" s="27"/>
      <c r="BZ139" s="24"/>
      <c r="CA139" s="24"/>
      <c r="CB139" s="16"/>
      <c r="CC139" s="49">
        <f t="shared" si="58"/>
        <v>0</v>
      </c>
      <c r="CD139" s="24"/>
      <c r="CE139" s="49">
        <f t="shared" si="59"/>
        <v>94137108</v>
      </c>
      <c r="CF139" s="50"/>
      <c r="CG139" s="49">
        <f t="shared" ca="1" si="60"/>
        <v>94137108</v>
      </c>
      <c r="CH139" s="33">
        <f t="shared" ca="1" si="61"/>
        <v>1</v>
      </c>
      <c r="CI139" s="33">
        <f t="shared" ca="1" si="62"/>
        <v>1</v>
      </c>
      <c r="CJ139" s="36">
        <f t="shared" ca="1" si="63"/>
        <v>100</v>
      </c>
      <c r="CK139" s="34">
        <f t="shared" si="64"/>
        <v>0</v>
      </c>
      <c r="CL139" s="21"/>
      <c r="CM139" s="35" t="str">
        <f t="shared" ca="1" si="65"/>
        <v>TERMINADO</v>
      </c>
      <c r="CN139" s="82"/>
      <c r="CO139" s="145" t="s">
        <v>1310</v>
      </c>
      <c r="CP139" s="26" t="s">
        <v>123</v>
      </c>
    </row>
    <row r="140" spans="1:94" ht="24.75" customHeight="1">
      <c r="A140" s="48" t="s">
        <v>1311</v>
      </c>
      <c r="B140" s="77" t="s">
        <v>1312</v>
      </c>
      <c r="C140" s="17" t="s">
        <v>104</v>
      </c>
      <c r="D140" s="18" t="s">
        <v>1313</v>
      </c>
      <c r="E140" s="17" t="s">
        <v>106</v>
      </c>
      <c r="F140" s="17" t="s">
        <v>107</v>
      </c>
      <c r="G140" s="17" t="s">
        <v>108</v>
      </c>
      <c r="H140" s="78">
        <v>1014246760</v>
      </c>
      <c r="I140" s="74" t="s">
        <v>1314</v>
      </c>
      <c r="J140" s="16"/>
      <c r="K140" s="16"/>
      <c r="L140" s="96" t="s">
        <v>1315</v>
      </c>
      <c r="M140" s="16" t="s">
        <v>111</v>
      </c>
      <c r="N140" s="22">
        <v>45306</v>
      </c>
      <c r="O140" s="22">
        <v>45309</v>
      </c>
      <c r="P140" s="22">
        <v>45656</v>
      </c>
      <c r="Q140" s="23">
        <f t="shared" si="54"/>
        <v>347</v>
      </c>
      <c r="R140" s="17" t="s">
        <v>112</v>
      </c>
      <c r="S140" s="110" t="s">
        <v>1316</v>
      </c>
      <c r="T140" s="16" t="s">
        <v>1317</v>
      </c>
      <c r="U140" s="67">
        <v>66783696</v>
      </c>
      <c r="V140" s="16" t="s">
        <v>1318</v>
      </c>
      <c r="W140" s="224">
        <v>66783696</v>
      </c>
      <c r="X140" s="24">
        <v>5565308</v>
      </c>
      <c r="Y140" s="24"/>
      <c r="Z140" s="24"/>
      <c r="AA140" s="17" t="s">
        <v>116</v>
      </c>
      <c r="AB140" s="23" t="str">
        <f>IFERROR(VLOOKUP(AA140,Listas!$A$1:$C$14,2,FALSE),"")</f>
        <v>FREDY CÉSPEDES VILLA</v>
      </c>
      <c r="AC140" s="23">
        <f>IFERROR(VLOOKUP(AA140,Listas!$A$1:$C$14,3,FALSE),"")</f>
        <v>93363483</v>
      </c>
      <c r="AD140" s="17" t="s">
        <v>116</v>
      </c>
      <c r="AE140" s="17" t="s">
        <v>659</v>
      </c>
      <c r="AF140" s="23" t="str">
        <f>IFERROR(VLOOKUP(AE140,Listas!$AD$1:$AF$66,2,FALSE),"")</f>
        <v>TATIANA FORERO TORRES</v>
      </c>
      <c r="AG140" s="23">
        <f>IFERROR(VLOOKUP(AE140,Listas!$AD$1:$AF$65,3,FALSE),"")</f>
        <v>1072446921</v>
      </c>
      <c r="AH140" s="17" t="s">
        <v>118</v>
      </c>
      <c r="AI140" s="65" t="s">
        <v>1319</v>
      </c>
      <c r="AJ140" s="25" t="s">
        <v>119</v>
      </c>
      <c r="AK140" s="26" t="s">
        <v>120</v>
      </c>
      <c r="AL140" s="26" t="s">
        <v>120</v>
      </c>
      <c r="AM140" s="90" t="s">
        <v>119</v>
      </c>
      <c r="AN140" s="105">
        <v>34222</v>
      </c>
      <c r="AO140" s="91">
        <f t="shared" ca="1" si="66"/>
        <v>32</v>
      </c>
      <c r="AP140" s="26" t="s">
        <v>121</v>
      </c>
      <c r="AQ140" s="26" t="s">
        <v>285</v>
      </c>
      <c r="AR140" s="89"/>
      <c r="AS140" s="27"/>
      <c r="AT140" s="16"/>
      <c r="AU140" s="27"/>
      <c r="AV140" s="86"/>
      <c r="AW140" s="27"/>
      <c r="AX140" s="27"/>
      <c r="AY140" s="27"/>
      <c r="AZ140" s="27"/>
      <c r="BA140" s="27"/>
      <c r="BB140" s="27"/>
      <c r="BC140" s="97"/>
      <c r="BD140" s="27"/>
      <c r="BE140" s="16"/>
      <c r="BF140" s="28">
        <f t="shared" si="55"/>
        <v>0</v>
      </c>
      <c r="BG140" s="29"/>
      <c r="BH140" s="27"/>
      <c r="BI140" s="30">
        <f t="shared" si="56"/>
        <v>347</v>
      </c>
      <c r="BJ140" s="31">
        <f t="shared" si="57"/>
        <v>45656</v>
      </c>
      <c r="BK140" s="27"/>
      <c r="BL140" s="16"/>
      <c r="BM140" s="27"/>
      <c r="BN140" s="16"/>
      <c r="BO140" s="27"/>
      <c r="BP140" s="16"/>
      <c r="BQ140" s="27"/>
      <c r="BR140" s="24"/>
      <c r="BS140" s="24"/>
      <c r="BT140" s="32"/>
      <c r="BU140" s="27"/>
      <c r="BV140" s="24"/>
      <c r="BW140" s="24"/>
      <c r="BX140" s="16"/>
      <c r="BY140" s="27"/>
      <c r="BZ140" s="24"/>
      <c r="CA140" s="24"/>
      <c r="CB140" s="16"/>
      <c r="CC140" s="49">
        <f t="shared" si="58"/>
        <v>0</v>
      </c>
      <c r="CD140" s="24"/>
      <c r="CE140" s="49">
        <f t="shared" si="59"/>
        <v>66783696</v>
      </c>
      <c r="CF140" s="50"/>
      <c r="CG140" s="49">
        <f t="shared" ca="1" si="60"/>
        <v>66783696</v>
      </c>
      <c r="CH140" s="33">
        <f t="shared" ca="1" si="61"/>
        <v>1</v>
      </c>
      <c r="CI140" s="33">
        <f t="shared" ca="1" si="62"/>
        <v>1</v>
      </c>
      <c r="CJ140" s="36">
        <f t="shared" ca="1" si="63"/>
        <v>100</v>
      </c>
      <c r="CK140" s="34">
        <f t="shared" si="64"/>
        <v>0</v>
      </c>
      <c r="CL140" s="21"/>
      <c r="CM140" s="35" t="str">
        <f t="shared" ca="1" si="65"/>
        <v>TERMINADO</v>
      </c>
      <c r="CN140" s="82"/>
      <c r="CO140" s="145" t="s">
        <v>1320</v>
      </c>
      <c r="CP140" s="26" t="s">
        <v>123</v>
      </c>
    </row>
    <row r="141" spans="1:94" ht="24.75" customHeight="1">
      <c r="A141" s="48" t="s">
        <v>1321</v>
      </c>
      <c r="B141" s="77" t="s">
        <v>1322</v>
      </c>
      <c r="C141" s="17" t="s">
        <v>104</v>
      </c>
      <c r="D141" s="18" t="s">
        <v>1323</v>
      </c>
      <c r="E141" s="17" t="s">
        <v>106</v>
      </c>
      <c r="F141" s="17" t="s">
        <v>107</v>
      </c>
      <c r="G141" s="17" t="s">
        <v>108</v>
      </c>
      <c r="H141" s="78">
        <v>1098728380</v>
      </c>
      <c r="I141" s="74" t="s">
        <v>1324</v>
      </c>
      <c r="J141" s="16" t="s">
        <v>1325</v>
      </c>
      <c r="K141" s="16"/>
      <c r="L141" s="20" t="s">
        <v>1326</v>
      </c>
      <c r="M141" s="16" t="s">
        <v>111</v>
      </c>
      <c r="N141" s="22">
        <v>45322</v>
      </c>
      <c r="O141" s="22">
        <v>45323</v>
      </c>
      <c r="P141" s="22">
        <v>45657</v>
      </c>
      <c r="Q141" s="23">
        <f t="shared" si="54"/>
        <v>334</v>
      </c>
      <c r="R141" s="17" t="s">
        <v>242</v>
      </c>
      <c r="S141" s="110" t="s">
        <v>1327</v>
      </c>
      <c r="T141" s="16" t="s">
        <v>1164</v>
      </c>
      <c r="U141" s="67">
        <v>132414792</v>
      </c>
      <c r="V141" s="16" t="s">
        <v>1165</v>
      </c>
      <c r="W141" s="224">
        <v>120355200</v>
      </c>
      <c r="X141" s="24">
        <v>11034566</v>
      </c>
      <c r="Y141" s="24"/>
      <c r="Z141" s="24"/>
      <c r="AA141" s="17" t="s">
        <v>116</v>
      </c>
      <c r="AB141" s="23" t="str">
        <f>IFERROR(VLOOKUP(AA141,Listas!$A$1:$C$14,2,FALSE),"")</f>
        <v>FREDY CÉSPEDES VILLA</v>
      </c>
      <c r="AC141" s="23">
        <f>IFERROR(VLOOKUP(AA141,Listas!$A$1:$C$14,3,FALSE),"")</f>
        <v>93363483</v>
      </c>
      <c r="AD141" s="17" t="s">
        <v>1166</v>
      </c>
      <c r="AE141" s="17" t="s">
        <v>1167</v>
      </c>
      <c r="AF141" s="23">
        <f>IFERROR(VLOOKUP(AE141,Listas!$AD$1:$AF$66,2,FALSE),"")</f>
        <v>0</v>
      </c>
      <c r="AG141" s="23">
        <f>IFERROR(VLOOKUP(AE141,Listas!$AD$1:$AF$65,3,FALSE),"")</f>
        <v>0</v>
      </c>
      <c r="AH141" s="17" t="s">
        <v>118</v>
      </c>
      <c r="AI141" s="65" t="s">
        <v>1328</v>
      </c>
      <c r="AJ141" s="25" t="s">
        <v>119</v>
      </c>
      <c r="AK141" s="26" t="s">
        <v>120</v>
      </c>
      <c r="AL141" s="26" t="s">
        <v>120</v>
      </c>
      <c r="AM141" s="90" t="s">
        <v>119</v>
      </c>
      <c r="AN141" s="105">
        <v>33868</v>
      </c>
      <c r="AO141" s="91">
        <f t="shared" ca="1" si="66"/>
        <v>33</v>
      </c>
      <c r="AP141" s="26" t="s">
        <v>121</v>
      </c>
      <c r="AQ141" s="26" t="s">
        <v>220</v>
      </c>
      <c r="AR141" s="89"/>
      <c r="AS141" s="27"/>
      <c r="AT141" s="16"/>
      <c r="AU141" s="27"/>
      <c r="AV141" s="86"/>
      <c r="AW141" s="27"/>
      <c r="AX141" s="27"/>
      <c r="AY141" s="27"/>
      <c r="AZ141" s="27"/>
      <c r="BA141" s="27"/>
      <c r="BB141" s="27"/>
      <c r="BC141" s="97"/>
      <c r="BD141" s="27"/>
      <c r="BE141" s="16"/>
      <c r="BF141" s="28">
        <f t="shared" si="55"/>
        <v>0</v>
      </c>
      <c r="BG141" s="29"/>
      <c r="BH141" s="27"/>
      <c r="BI141" s="30">
        <f t="shared" si="56"/>
        <v>334</v>
      </c>
      <c r="BJ141" s="31">
        <f t="shared" si="57"/>
        <v>45657</v>
      </c>
      <c r="BK141" s="27"/>
      <c r="BL141" s="16"/>
      <c r="BM141" s="27"/>
      <c r="BN141" s="16"/>
      <c r="BO141" s="27"/>
      <c r="BP141" s="16"/>
      <c r="BQ141" s="27"/>
      <c r="BR141" s="24"/>
      <c r="BS141" s="24"/>
      <c r="BT141" s="32"/>
      <c r="BU141" s="27"/>
      <c r="BV141" s="24"/>
      <c r="BW141" s="24"/>
      <c r="BX141" s="16"/>
      <c r="BY141" s="27"/>
      <c r="BZ141" s="24"/>
      <c r="CA141" s="24"/>
      <c r="CB141" s="16"/>
      <c r="CC141" s="49">
        <f t="shared" si="58"/>
        <v>0</v>
      </c>
      <c r="CD141" s="24"/>
      <c r="CE141" s="49">
        <f t="shared" si="59"/>
        <v>120355200</v>
      </c>
      <c r="CF141" s="50"/>
      <c r="CG141" s="49">
        <f t="shared" ca="1" si="60"/>
        <v>120355200</v>
      </c>
      <c r="CH141" s="33">
        <f t="shared" ca="1" si="61"/>
        <v>1</v>
      </c>
      <c r="CI141" s="33">
        <f t="shared" ca="1" si="62"/>
        <v>1</v>
      </c>
      <c r="CJ141" s="36">
        <f t="shared" ca="1" si="63"/>
        <v>100</v>
      </c>
      <c r="CK141" s="34">
        <f t="shared" si="64"/>
        <v>0</v>
      </c>
      <c r="CL141" s="21"/>
      <c r="CM141" s="35" t="str">
        <f t="shared" ca="1" si="65"/>
        <v>TERMINADO</v>
      </c>
      <c r="CN141" s="82"/>
      <c r="CO141" s="145" t="s">
        <v>1329</v>
      </c>
      <c r="CP141" s="26" t="s">
        <v>123</v>
      </c>
    </row>
    <row r="142" spans="1:94" ht="24.75" customHeight="1">
      <c r="A142" s="48" t="s">
        <v>1330</v>
      </c>
      <c r="B142" s="77" t="s">
        <v>1331</v>
      </c>
      <c r="C142" s="17" t="s">
        <v>104</v>
      </c>
      <c r="D142" s="18" t="s">
        <v>1332</v>
      </c>
      <c r="E142" s="17" t="s">
        <v>106</v>
      </c>
      <c r="F142" s="17" t="s">
        <v>107</v>
      </c>
      <c r="G142" s="17" t="s">
        <v>108</v>
      </c>
      <c r="H142" s="78">
        <v>1026265859</v>
      </c>
      <c r="I142" s="74" t="s">
        <v>1333</v>
      </c>
      <c r="J142" s="16"/>
      <c r="K142" s="16"/>
      <c r="L142" s="20" t="s">
        <v>1334</v>
      </c>
      <c r="M142" s="16" t="s">
        <v>111</v>
      </c>
      <c r="N142" s="22">
        <v>45308</v>
      </c>
      <c r="O142" s="22">
        <v>45309</v>
      </c>
      <c r="P142" s="22">
        <v>45657</v>
      </c>
      <c r="Q142" s="23">
        <f t="shared" si="54"/>
        <v>348</v>
      </c>
      <c r="R142" s="17" t="s">
        <v>242</v>
      </c>
      <c r="S142" s="110" t="s">
        <v>1335</v>
      </c>
      <c r="T142" s="16" t="s">
        <v>254</v>
      </c>
      <c r="U142" s="67">
        <v>84876360</v>
      </c>
      <c r="V142" s="16" t="s">
        <v>1336</v>
      </c>
      <c r="W142" s="224">
        <v>84876360</v>
      </c>
      <c r="X142" s="24">
        <v>7073030</v>
      </c>
      <c r="Y142" s="24"/>
      <c r="Z142" s="24"/>
      <c r="AA142" s="17" t="s">
        <v>116</v>
      </c>
      <c r="AB142" s="23" t="str">
        <f>IFERROR(VLOOKUP(AA142,Listas!$A$1:$C$14,2,FALSE),"")</f>
        <v>FREDY CÉSPEDES VILLA</v>
      </c>
      <c r="AC142" s="23">
        <f>IFERROR(VLOOKUP(AA142,Listas!$A$1:$C$14,3,FALSE),"")</f>
        <v>93363483</v>
      </c>
      <c r="AD142" s="17" t="s">
        <v>217</v>
      </c>
      <c r="AE142" s="17" t="s">
        <v>539</v>
      </c>
      <c r="AF142" s="23" t="str">
        <f>IFERROR(VLOOKUP(AE142,Listas!$AD$1:$AF$66,2,FALSE),"")</f>
        <v>DORIS POVEDA BELTRÁN</v>
      </c>
      <c r="AG142" s="23">
        <f>IFERROR(VLOOKUP(AE142,Listas!$AD$1:$AF$65,3,FALSE),"")</f>
        <v>52049845</v>
      </c>
      <c r="AH142" s="17" t="s">
        <v>118</v>
      </c>
      <c r="AI142" s="65" t="s">
        <v>1337</v>
      </c>
      <c r="AJ142" s="25" t="s">
        <v>119</v>
      </c>
      <c r="AK142" s="26" t="s">
        <v>120</v>
      </c>
      <c r="AL142" s="26" t="s">
        <v>120</v>
      </c>
      <c r="AM142" s="90" t="s">
        <v>119</v>
      </c>
      <c r="AN142" s="105">
        <v>32687</v>
      </c>
      <c r="AO142" s="91">
        <f t="shared" ca="1" si="66"/>
        <v>36</v>
      </c>
      <c r="AP142" s="26" t="s">
        <v>121</v>
      </c>
      <c r="AQ142" s="26" t="s">
        <v>220</v>
      </c>
      <c r="AR142" s="89"/>
      <c r="AS142" s="27"/>
      <c r="AT142" s="16"/>
      <c r="AU142" s="27"/>
      <c r="AV142" s="86"/>
      <c r="AW142" s="27"/>
      <c r="AX142" s="27"/>
      <c r="AY142" s="27"/>
      <c r="AZ142" s="27"/>
      <c r="BA142" s="27"/>
      <c r="BB142" s="27"/>
      <c r="BC142" s="97"/>
      <c r="BD142" s="27"/>
      <c r="BE142" s="16"/>
      <c r="BF142" s="28">
        <f t="shared" si="55"/>
        <v>0</v>
      </c>
      <c r="BG142" s="29"/>
      <c r="BH142" s="27"/>
      <c r="BI142" s="30">
        <f t="shared" si="56"/>
        <v>348</v>
      </c>
      <c r="BJ142" s="31">
        <f t="shared" si="57"/>
        <v>45657</v>
      </c>
      <c r="BK142" s="27"/>
      <c r="BL142" s="16"/>
      <c r="BM142" s="27"/>
      <c r="BN142" s="16"/>
      <c r="BO142" s="27"/>
      <c r="BP142" s="16"/>
      <c r="BQ142" s="27"/>
      <c r="BR142" s="24"/>
      <c r="BS142" s="24"/>
      <c r="BT142" s="32"/>
      <c r="BU142" s="27"/>
      <c r="BV142" s="24"/>
      <c r="BW142" s="24"/>
      <c r="BX142" s="16"/>
      <c r="BY142" s="27"/>
      <c r="BZ142" s="24"/>
      <c r="CA142" s="24"/>
      <c r="CB142" s="16"/>
      <c r="CC142" s="49">
        <f t="shared" si="58"/>
        <v>0</v>
      </c>
      <c r="CD142" s="24"/>
      <c r="CE142" s="49">
        <f t="shared" si="59"/>
        <v>84876360</v>
      </c>
      <c r="CF142" s="50"/>
      <c r="CG142" s="49">
        <f t="shared" ca="1" si="60"/>
        <v>84876360</v>
      </c>
      <c r="CH142" s="33">
        <f t="shared" ca="1" si="61"/>
        <v>1</v>
      </c>
      <c r="CI142" s="33">
        <f t="shared" ca="1" si="62"/>
        <v>1</v>
      </c>
      <c r="CJ142" s="36">
        <f t="shared" ca="1" si="63"/>
        <v>100</v>
      </c>
      <c r="CK142" s="34">
        <f t="shared" si="64"/>
        <v>0</v>
      </c>
      <c r="CL142" s="21"/>
      <c r="CM142" s="35" t="str">
        <f t="shared" ca="1" si="65"/>
        <v>TERMINADO</v>
      </c>
      <c r="CN142" s="82"/>
      <c r="CO142" s="145" t="s">
        <v>1338</v>
      </c>
      <c r="CP142" s="26" t="s">
        <v>142</v>
      </c>
    </row>
    <row r="143" spans="1:94" ht="24.75" customHeight="1">
      <c r="A143" s="48" t="s">
        <v>1339</v>
      </c>
      <c r="B143" s="77" t="s">
        <v>1340</v>
      </c>
      <c r="C143" s="17" t="s">
        <v>104</v>
      </c>
      <c r="D143" s="18" t="s">
        <v>1341</v>
      </c>
      <c r="E143" s="17" t="s">
        <v>106</v>
      </c>
      <c r="F143" s="17" t="s">
        <v>107</v>
      </c>
      <c r="G143" s="17" t="s">
        <v>108</v>
      </c>
      <c r="H143" s="78">
        <v>1053835638</v>
      </c>
      <c r="I143" s="233" t="s">
        <v>1342</v>
      </c>
      <c r="J143" s="16"/>
      <c r="K143" s="16"/>
      <c r="L143" s="96" t="s">
        <v>492</v>
      </c>
      <c r="M143" s="16" t="s">
        <v>1343</v>
      </c>
      <c r="N143" s="22">
        <v>45306</v>
      </c>
      <c r="O143" s="22">
        <v>45307</v>
      </c>
      <c r="P143" s="22">
        <v>45656</v>
      </c>
      <c r="Q143" s="23">
        <f t="shared" si="54"/>
        <v>349</v>
      </c>
      <c r="R143" s="17" t="s">
        <v>242</v>
      </c>
      <c r="S143" s="110" t="s">
        <v>1344</v>
      </c>
      <c r="T143" s="16" t="s">
        <v>1345</v>
      </c>
      <c r="U143" s="67">
        <v>67037037</v>
      </c>
      <c r="V143" s="16" t="s">
        <v>344</v>
      </c>
      <c r="W143" s="224">
        <v>67037037</v>
      </c>
      <c r="X143" s="24">
        <v>5762496</v>
      </c>
      <c r="Y143" s="24"/>
      <c r="Z143" s="24"/>
      <c r="AA143" s="17" t="s">
        <v>116</v>
      </c>
      <c r="AB143" s="23" t="str">
        <f>IFERROR(VLOOKUP(AA143,Listas!$A$1:$C$14,2,FALSE),"")</f>
        <v>FREDY CÉSPEDES VILLA</v>
      </c>
      <c r="AC143" s="23">
        <f>IFERROR(VLOOKUP(AA143,Listas!$A$1:$C$14,3,FALSE),"")</f>
        <v>93363483</v>
      </c>
      <c r="AD143" s="17" t="s">
        <v>472</v>
      </c>
      <c r="AE143" s="17" t="s">
        <v>473</v>
      </c>
      <c r="AF143" s="23" t="str">
        <f>IFERROR(VLOOKUP(AE143,Listas!$AD$1:$AF$66,2,FALSE),"")</f>
        <v>DANIEL ALBERTO CASTAÑO LOPEZ</v>
      </c>
      <c r="AG143" s="23">
        <f>IFERROR(VLOOKUP(AE143,Listas!$AD$1:$AF$65,3,FALSE),"")</f>
        <v>7544385</v>
      </c>
      <c r="AH143" s="17" t="s">
        <v>118</v>
      </c>
      <c r="AI143" s="65" t="s">
        <v>1346</v>
      </c>
      <c r="AJ143" s="25" t="s">
        <v>119</v>
      </c>
      <c r="AK143" s="26" t="s">
        <v>120</v>
      </c>
      <c r="AL143" s="26" t="s">
        <v>120</v>
      </c>
      <c r="AM143" s="90" t="s">
        <v>119</v>
      </c>
      <c r="AN143" s="105">
        <v>34522</v>
      </c>
      <c r="AO143" s="91">
        <f t="shared" ca="1" si="66"/>
        <v>31</v>
      </c>
      <c r="AP143" s="26" t="s">
        <v>121</v>
      </c>
      <c r="AQ143" s="26" t="s">
        <v>409</v>
      </c>
      <c r="AR143" s="89"/>
      <c r="AS143" s="27"/>
      <c r="AT143" s="16"/>
      <c r="AU143" s="27"/>
      <c r="AV143" s="86"/>
      <c r="AW143" s="27"/>
      <c r="AX143" s="27"/>
      <c r="AY143" s="27"/>
      <c r="AZ143" s="27"/>
      <c r="BA143" s="27"/>
      <c r="BB143" s="27"/>
      <c r="BC143" s="97"/>
      <c r="BD143" s="27"/>
      <c r="BE143" s="16"/>
      <c r="BF143" s="28">
        <f t="shared" si="55"/>
        <v>0</v>
      </c>
      <c r="BG143" s="29"/>
      <c r="BH143" s="27"/>
      <c r="BI143" s="30">
        <f t="shared" si="56"/>
        <v>349</v>
      </c>
      <c r="BJ143" s="31">
        <f t="shared" si="57"/>
        <v>45656</v>
      </c>
      <c r="BK143" s="27"/>
      <c r="BL143" s="16"/>
      <c r="BM143" s="27"/>
      <c r="BN143" s="16"/>
      <c r="BO143" s="27"/>
      <c r="BP143" s="16"/>
      <c r="BQ143" s="27"/>
      <c r="BR143" s="24"/>
      <c r="BS143" s="24"/>
      <c r="BT143" s="32"/>
      <c r="BU143" s="27"/>
      <c r="BV143" s="24"/>
      <c r="BW143" s="24"/>
      <c r="BX143" s="16"/>
      <c r="BY143" s="27"/>
      <c r="BZ143" s="24"/>
      <c r="CA143" s="24"/>
      <c r="CB143" s="16"/>
      <c r="CC143" s="49">
        <f t="shared" si="58"/>
        <v>0</v>
      </c>
      <c r="CD143" s="24"/>
      <c r="CE143" s="49">
        <f t="shared" si="59"/>
        <v>67037037</v>
      </c>
      <c r="CF143" s="50"/>
      <c r="CG143" s="49">
        <f t="shared" ca="1" si="60"/>
        <v>67037037</v>
      </c>
      <c r="CH143" s="33">
        <f t="shared" ca="1" si="61"/>
        <v>1</v>
      </c>
      <c r="CI143" s="33">
        <f t="shared" ca="1" si="62"/>
        <v>1</v>
      </c>
      <c r="CJ143" s="36">
        <f t="shared" ca="1" si="63"/>
        <v>100</v>
      </c>
      <c r="CK143" s="34">
        <f t="shared" si="64"/>
        <v>0</v>
      </c>
      <c r="CL143" s="21"/>
      <c r="CM143" s="35" t="str">
        <f t="shared" ca="1" si="65"/>
        <v>TERMINADO</v>
      </c>
      <c r="CN143" s="82"/>
      <c r="CO143" s="145" t="s">
        <v>1347</v>
      </c>
      <c r="CP143" s="26" t="s">
        <v>142</v>
      </c>
    </row>
    <row r="144" spans="1:94" ht="24.75" customHeight="1">
      <c r="A144" s="48" t="s">
        <v>1348</v>
      </c>
      <c r="B144" s="77" t="s">
        <v>1349</v>
      </c>
      <c r="C144" s="17" t="s">
        <v>104</v>
      </c>
      <c r="D144" s="18" t="s">
        <v>1350</v>
      </c>
      <c r="E144" s="17" t="s">
        <v>106</v>
      </c>
      <c r="F144" s="17" t="s">
        <v>107</v>
      </c>
      <c r="G144" s="17" t="s">
        <v>108</v>
      </c>
      <c r="H144" s="78">
        <v>94368634</v>
      </c>
      <c r="I144" s="233" t="s">
        <v>1351</v>
      </c>
      <c r="J144" s="16"/>
      <c r="K144" s="16"/>
      <c r="L144" s="20" t="s">
        <v>492</v>
      </c>
      <c r="M144" s="16" t="s">
        <v>1352</v>
      </c>
      <c r="N144" s="22">
        <v>45306</v>
      </c>
      <c r="O144" s="22">
        <v>45308</v>
      </c>
      <c r="P144" s="22">
        <v>45656</v>
      </c>
      <c r="Q144" s="23">
        <f t="shared" si="54"/>
        <v>348</v>
      </c>
      <c r="R144" s="17" t="s">
        <v>242</v>
      </c>
      <c r="S144" s="110" t="s">
        <v>1353</v>
      </c>
      <c r="T144" s="16" t="s">
        <v>1345</v>
      </c>
      <c r="U144" s="67">
        <v>66460787</v>
      </c>
      <c r="V144" s="16" t="s">
        <v>344</v>
      </c>
      <c r="W144" s="224">
        <v>67037037</v>
      </c>
      <c r="X144" s="24">
        <v>5762496</v>
      </c>
      <c r="Y144" s="24"/>
      <c r="Z144" s="24"/>
      <c r="AA144" s="17" t="s">
        <v>116</v>
      </c>
      <c r="AB144" s="23" t="str">
        <f>IFERROR(VLOOKUP(AA144,Listas!$A$1:$C$14,2,FALSE),"")</f>
        <v>FREDY CÉSPEDES VILLA</v>
      </c>
      <c r="AC144" s="23">
        <f>IFERROR(VLOOKUP(AA144,Listas!$A$1:$C$14,3,FALSE),"")</f>
        <v>93363483</v>
      </c>
      <c r="AD144" s="17" t="s">
        <v>472</v>
      </c>
      <c r="AE144" s="17" t="s">
        <v>473</v>
      </c>
      <c r="AF144" s="23" t="str">
        <f>IFERROR(VLOOKUP(AE144,Listas!$AD$1:$AF$66,2,FALSE),"")</f>
        <v>DANIEL ALBERTO CASTAÑO LOPEZ</v>
      </c>
      <c r="AG144" s="23">
        <f>IFERROR(VLOOKUP(AE144,Listas!$AD$1:$AF$65,3,FALSE),"")</f>
        <v>7544385</v>
      </c>
      <c r="AH144" s="17" t="s">
        <v>118</v>
      </c>
      <c r="AI144" s="65" t="s">
        <v>1354</v>
      </c>
      <c r="AJ144" s="25" t="s">
        <v>119</v>
      </c>
      <c r="AK144" s="26" t="s">
        <v>120</v>
      </c>
      <c r="AL144" s="26" t="s">
        <v>120</v>
      </c>
      <c r="AM144" s="90" t="s">
        <v>119</v>
      </c>
      <c r="AN144" s="105">
        <v>26896</v>
      </c>
      <c r="AO144" s="91">
        <f t="shared" ca="1" si="66"/>
        <v>52</v>
      </c>
      <c r="AP144" s="26" t="s">
        <v>121</v>
      </c>
      <c r="AQ144" s="26" t="s">
        <v>409</v>
      </c>
      <c r="AR144" s="89"/>
      <c r="AS144" s="27"/>
      <c r="AT144" s="16"/>
      <c r="AU144" s="27"/>
      <c r="AV144" s="86"/>
      <c r="AW144" s="27"/>
      <c r="AX144" s="27"/>
      <c r="AY144" s="27"/>
      <c r="AZ144" s="27"/>
      <c r="BA144" s="27"/>
      <c r="BB144" s="27"/>
      <c r="BC144" s="97"/>
      <c r="BD144" s="27"/>
      <c r="BE144" s="16"/>
      <c r="BF144" s="28">
        <f t="shared" si="55"/>
        <v>0</v>
      </c>
      <c r="BG144" s="29"/>
      <c r="BH144" s="27"/>
      <c r="BI144" s="30">
        <f t="shared" si="56"/>
        <v>348</v>
      </c>
      <c r="BJ144" s="31">
        <f t="shared" si="57"/>
        <v>45656</v>
      </c>
      <c r="BK144" s="27"/>
      <c r="BL144" s="16"/>
      <c r="BM144" s="27"/>
      <c r="BN144" s="16"/>
      <c r="BO144" s="27"/>
      <c r="BP144" s="16"/>
      <c r="BQ144" s="27"/>
      <c r="BR144" s="24"/>
      <c r="BS144" s="24"/>
      <c r="BT144" s="32"/>
      <c r="BU144" s="27"/>
      <c r="BV144" s="24"/>
      <c r="BW144" s="24"/>
      <c r="BX144" s="16"/>
      <c r="BY144" s="27"/>
      <c r="BZ144" s="24"/>
      <c r="CA144" s="24"/>
      <c r="CB144" s="16"/>
      <c r="CC144" s="49">
        <f t="shared" si="58"/>
        <v>0</v>
      </c>
      <c r="CD144" s="24"/>
      <c r="CE144" s="49">
        <f t="shared" si="59"/>
        <v>67037037</v>
      </c>
      <c r="CF144" s="50"/>
      <c r="CG144" s="49">
        <f t="shared" ca="1" si="60"/>
        <v>67037037</v>
      </c>
      <c r="CH144" s="33">
        <f t="shared" ca="1" si="61"/>
        <v>1</v>
      </c>
      <c r="CI144" s="33">
        <f t="shared" ca="1" si="62"/>
        <v>1</v>
      </c>
      <c r="CJ144" s="36">
        <f t="shared" ca="1" si="63"/>
        <v>100</v>
      </c>
      <c r="CK144" s="34">
        <f t="shared" si="64"/>
        <v>0</v>
      </c>
      <c r="CL144" s="21"/>
      <c r="CM144" s="35" t="str">
        <f t="shared" ca="1" si="65"/>
        <v>TERMINADO</v>
      </c>
      <c r="CN144" s="82"/>
      <c r="CO144" s="145" t="s">
        <v>1355</v>
      </c>
      <c r="CP144" s="26" t="s">
        <v>142</v>
      </c>
    </row>
    <row r="145" spans="1:96" ht="24.75" customHeight="1">
      <c r="A145" s="48" t="s">
        <v>1356</v>
      </c>
      <c r="B145" s="77" t="s">
        <v>1357</v>
      </c>
      <c r="C145" s="17" t="s">
        <v>104</v>
      </c>
      <c r="D145" s="18" t="s">
        <v>1358</v>
      </c>
      <c r="E145" s="17" t="s">
        <v>106</v>
      </c>
      <c r="F145" s="17" t="s">
        <v>107</v>
      </c>
      <c r="G145" s="17" t="s">
        <v>108</v>
      </c>
      <c r="H145" s="78">
        <v>7541937</v>
      </c>
      <c r="I145" s="233" t="s">
        <v>1359</v>
      </c>
      <c r="J145" s="16"/>
      <c r="K145" s="16"/>
      <c r="L145" s="20" t="s">
        <v>492</v>
      </c>
      <c r="M145" s="16" t="s">
        <v>468</v>
      </c>
      <c r="N145" s="22">
        <v>45306</v>
      </c>
      <c r="O145" s="22">
        <v>45309</v>
      </c>
      <c r="P145" s="22">
        <v>45656</v>
      </c>
      <c r="Q145" s="23">
        <f t="shared" si="54"/>
        <v>347</v>
      </c>
      <c r="R145" s="17" t="s">
        <v>242</v>
      </c>
      <c r="S145" s="110" t="s">
        <v>1360</v>
      </c>
      <c r="T145" s="16" t="s">
        <v>1345</v>
      </c>
      <c r="U145" s="67">
        <v>67229120</v>
      </c>
      <c r="V145" s="16" t="s">
        <v>344</v>
      </c>
      <c r="W145" s="224">
        <v>67229120</v>
      </c>
      <c r="X145" s="24">
        <v>5762496</v>
      </c>
      <c r="Y145" s="24"/>
      <c r="Z145" s="24"/>
      <c r="AA145" s="17" t="s">
        <v>116</v>
      </c>
      <c r="AB145" s="23" t="str">
        <f>IFERROR(VLOOKUP(AA145,Listas!$A$1:$C$14,2,FALSE),"")</f>
        <v>FREDY CÉSPEDES VILLA</v>
      </c>
      <c r="AC145" s="23">
        <f>IFERROR(VLOOKUP(AA145,Listas!$A$1:$C$14,3,FALSE),"")</f>
        <v>93363483</v>
      </c>
      <c r="AD145" s="17" t="s">
        <v>472</v>
      </c>
      <c r="AE145" s="17" t="s">
        <v>473</v>
      </c>
      <c r="AF145" s="23" t="str">
        <f>IFERROR(VLOOKUP(AE145,Listas!$AD$1:$AF$66,2,FALSE),"")</f>
        <v>DANIEL ALBERTO CASTAÑO LOPEZ</v>
      </c>
      <c r="AG145" s="23">
        <f>IFERROR(VLOOKUP(AE145,Listas!$AD$1:$AF$65,3,FALSE),"")</f>
        <v>7544385</v>
      </c>
      <c r="AH145" s="17" t="s">
        <v>118</v>
      </c>
      <c r="AI145" s="65" t="s">
        <v>1354</v>
      </c>
      <c r="AJ145" s="25" t="s">
        <v>119</v>
      </c>
      <c r="AK145" s="26" t="s">
        <v>120</v>
      </c>
      <c r="AL145" s="26" t="s">
        <v>120</v>
      </c>
      <c r="AM145" s="90" t="s">
        <v>119</v>
      </c>
      <c r="AN145" s="105">
        <v>23152</v>
      </c>
      <c r="AO145" s="91">
        <f t="shared" ca="1" si="66"/>
        <v>62</v>
      </c>
      <c r="AP145" s="26" t="s">
        <v>121</v>
      </c>
      <c r="AQ145" s="26" t="s">
        <v>409</v>
      </c>
      <c r="AR145" s="89"/>
      <c r="AS145" s="27"/>
      <c r="AT145" s="16"/>
      <c r="AU145" s="27"/>
      <c r="AV145" s="86"/>
      <c r="AW145" s="27"/>
      <c r="AX145" s="27"/>
      <c r="AY145" s="27"/>
      <c r="AZ145" s="27"/>
      <c r="BA145" s="27"/>
      <c r="BB145" s="27"/>
      <c r="BC145" s="97"/>
      <c r="BD145" s="27"/>
      <c r="BE145" s="16"/>
      <c r="BF145" s="28">
        <f t="shared" si="55"/>
        <v>0</v>
      </c>
      <c r="BG145" s="29"/>
      <c r="BH145" s="27"/>
      <c r="BI145" s="30">
        <f t="shared" si="56"/>
        <v>347</v>
      </c>
      <c r="BJ145" s="31">
        <f t="shared" si="57"/>
        <v>45656</v>
      </c>
      <c r="BK145" s="27"/>
      <c r="BL145" s="16"/>
      <c r="BM145" s="27"/>
      <c r="BN145" s="16"/>
      <c r="BO145" s="27"/>
      <c r="BP145" s="16"/>
      <c r="BQ145" s="27"/>
      <c r="BR145" s="24"/>
      <c r="BS145" s="24"/>
      <c r="BT145" s="32"/>
      <c r="BU145" s="27"/>
      <c r="BV145" s="24"/>
      <c r="BW145" s="24"/>
      <c r="BX145" s="16"/>
      <c r="BY145" s="27"/>
      <c r="BZ145" s="24"/>
      <c r="CA145" s="24"/>
      <c r="CB145" s="16"/>
      <c r="CC145" s="49">
        <f t="shared" si="58"/>
        <v>0</v>
      </c>
      <c r="CD145" s="24"/>
      <c r="CE145" s="49">
        <f t="shared" si="59"/>
        <v>67229120</v>
      </c>
      <c r="CF145" s="50"/>
      <c r="CG145" s="49">
        <f t="shared" ca="1" si="60"/>
        <v>67229120</v>
      </c>
      <c r="CH145" s="33">
        <f t="shared" ca="1" si="61"/>
        <v>1</v>
      </c>
      <c r="CI145" s="33">
        <f t="shared" ca="1" si="62"/>
        <v>1</v>
      </c>
      <c r="CJ145" s="36">
        <f t="shared" ca="1" si="63"/>
        <v>100</v>
      </c>
      <c r="CK145" s="34">
        <f t="shared" si="64"/>
        <v>0</v>
      </c>
      <c r="CL145" s="21"/>
      <c r="CM145" s="35" t="str">
        <f t="shared" ca="1" si="65"/>
        <v>TERMINADO</v>
      </c>
      <c r="CN145" s="82"/>
      <c r="CO145" s="145" t="s">
        <v>1361</v>
      </c>
      <c r="CP145" s="26" t="s">
        <v>142</v>
      </c>
    </row>
    <row r="146" spans="1:96" ht="24.75" customHeight="1">
      <c r="A146" s="48" t="s">
        <v>1362</v>
      </c>
      <c r="B146" s="77" t="s">
        <v>1363</v>
      </c>
      <c r="C146" s="17" t="s">
        <v>104</v>
      </c>
      <c r="D146" s="18" t="s">
        <v>1364</v>
      </c>
      <c r="E146" s="17" t="s">
        <v>106</v>
      </c>
      <c r="F146" s="17" t="s">
        <v>107</v>
      </c>
      <c r="G146" s="17" t="s">
        <v>108</v>
      </c>
      <c r="H146" s="78">
        <v>1041326335</v>
      </c>
      <c r="I146" s="233" t="s">
        <v>1365</v>
      </c>
      <c r="J146" s="16"/>
      <c r="K146" s="16"/>
      <c r="L146" s="20" t="s">
        <v>492</v>
      </c>
      <c r="M146" s="16" t="s">
        <v>468</v>
      </c>
      <c r="N146" s="22">
        <v>45306</v>
      </c>
      <c r="O146" s="22">
        <v>45308</v>
      </c>
      <c r="P146" s="22">
        <v>45656</v>
      </c>
      <c r="Q146" s="23">
        <f t="shared" si="54"/>
        <v>348</v>
      </c>
      <c r="R146" s="17" t="s">
        <v>242</v>
      </c>
      <c r="S146" s="110" t="s">
        <v>1366</v>
      </c>
      <c r="T146" s="16" t="s">
        <v>1345</v>
      </c>
      <c r="U146" s="67">
        <v>67037037</v>
      </c>
      <c r="V146" s="16" t="s">
        <v>344</v>
      </c>
      <c r="W146" s="224">
        <v>67037037</v>
      </c>
      <c r="X146" s="24">
        <v>5762496</v>
      </c>
      <c r="Y146" s="24"/>
      <c r="Z146" s="24"/>
      <c r="AA146" s="17" t="s">
        <v>116</v>
      </c>
      <c r="AB146" s="23" t="str">
        <f>IFERROR(VLOOKUP(AA146,Listas!$A$1:$C$14,2,FALSE),"")</f>
        <v>FREDY CÉSPEDES VILLA</v>
      </c>
      <c r="AC146" s="23">
        <f>IFERROR(VLOOKUP(AA146,Listas!$A$1:$C$14,3,FALSE),"")</f>
        <v>93363483</v>
      </c>
      <c r="AD146" s="17" t="s">
        <v>472</v>
      </c>
      <c r="AE146" s="17" t="s">
        <v>473</v>
      </c>
      <c r="AF146" s="23" t="str">
        <f>IFERROR(VLOOKUP(AE146,Listas!$AD$1:$AF$66,2,FALSE),"")</f>
        <v>DANIEL ALBERTO CASTAÑO LOPEZ</v>
      </c>
      <c r="AG146" s="23">
        <f>IFERROR(VLOOKUP(AE146,Listas!$AD$1:$AF$65,3,FALSE),"")</f>
        <v>7544385</v>
      </c>
      <c r="AH146" s="17" t="s">
        <v>118</v>
      </c>
      <c r="AI146" s="65" t="s">
        <v>1367</v>
      </c>
      <c r="AJ146" s="25" t="s">
        <v>119</v>
      </c>
      <c r="AK146" s="26" t="s">
        <v>120</v>
      </c>
      <c r="AL146" s="26" t="s">
        <v>120</v>
      </c>
      <c r="AM146" s="90" t="s">
        <v>119</v>
      </c>
      <c r="AN146" s="105">
        <v>33119</v>
      </c>
      <c r="AO146" s="91">
        <f t="shared" ca="1" si="66"/>
        <v>35</v>
      </c>
      <c r="AP146" s="26" t="s">
        <v>121</v>
      </c>
      <c r="AQ146" s="26" t="s">
        <v>409</v>
      </c>
      <c r="AR146" s="89"/>
      <c r="AS146" s="27"/>
      <c r="AT146" s="16"/>
      <c r="AU146" s="27"/>
      <c r="AV146" s="86"/>
      <c r="AW146" s="27"/>
      <c r="AX146" s="27"/>
      <c r="AY146" s="27"/>
      <c r="AZ146" s="27"/>
      <c r="BA146" s="27"/>
      <c r="BB146" s="27"/>
      <c r="BC146" s="97"/>
      <c r="BD146" s="27"/>
      <c r="BE146" s="16"/>
      <c r="BF146" s="28">
        <f t="shared" si="55"/>
        <v>0</v>
      </c>
      <c r="BG146" s="29"/>
      <c r="BH146" s="27"/>
      <c r="BI146" s="30">
        <f t="shared" si="56"/>
        <v>348</v>
      </c>
      <c r="BJ146" s="31">
        <f t="shared" si="57"/>
        <v>45656</v>
      </c>
      <c r="BK146" s="27"/>
      <c r="BL146" s="16"/>
      <c r="BM146" s="27"/>
      <c r="BN146" s="16"/>
      <c r="BO146" s="27"/>
      <c r="BP146" s="16"/>
      <c r="BQ146" s="27"/>
      <c r="BR146" s="24"/>
      <c r="BS146" s="24"/>
      <c r="BT146" s="32"/>
      <c r="BU146" s="27"/>
      <c r="BV146" s="24"/>
      <c r="BW146" s="24"/>
      <c r="BX146" s="16"/>
      <c r="BY146" s="27"/>
      <c r="BZ146" s="24"/>
      <c r="CA146" s="24"/>
      <c r="CB146" s="16"/>
      <c r="CC146" s="49">
        <f t="shared" si="58"/>
        <v>0</v>
      </c>
      <c r="CD146" s="24"/>
      <c r="CE146" s="49">
        <f t="shared" si="59"/>
        <v>67037037</v>
      </c>
      <c r="CF146" s="50"/>
      <c r="CG146" s="49">
        <f t="shared" ca="1" si="60"/>
        <v>67037037</v>
      </c>
      <c r="CH146" s="33">
        <f t="shared" ca="1" si="61"/>
        <v>1</v>
      </c>
      <c r="CI146" s="33">
        <f t="shared" ca="1" si="62"/>
        <v>1</v>
      </c>
      <c r="CJ146" s="36">
        <f t="shared" ca="1" si="63"/>
        <v>100</v>
      </c>
      <c r="CK146" s="34">
        <f t="shared" si="64"/>
        <v>0</v>
      </c>
      <c r="CL146" s="21"/>
      <c r="CM146" s="35" t="str">
        <f t="shared" ca="1" si="65"/>
        <v>TERMINADO</v>
      </c>
      <c r="CN146" s="82"/>
      <c r="CO146" s="145" t="s">
        <v>1368</v>
      </c>
      <c r="CP146" s="26" t="s">
        <v>123</v>
      </c>
    </row>
    <row r="147" spans="1:96" ht="24.75" customHeight="1">
      <c r="A147" s="48" t="s">
        <v>1369</v>
      </c>
      <c r="B147" s="77" t="s">
        <v>1370</v>
      </c>
      <c r="C147" s="17" t="s">
        <v>104</v>
      </c>
      <c r="D147" s="18" t="s">
        <v>1371</v>
      </c>
      <c r="E147" s="17" t="s">
        <v>106</v>
      </c>
      <c r="F147" s="17" t="s">
        <v>107</v>
      </c>
      <c r="G147" s="17" t="s">
        <v>108</v>
      </c>
      <c r="H147" s="78">
        <v>1026152179</v>
      </c>
      <c r="I147" s="233" t="s">
        <v>1372</v>
      </c>
      <c r="J147" s="16"/>
      <c r="K147" s="16"/>
      <c r="L147" s="20" t="s">
        <v>492</v>
      </c>
      <c r="M147" s="16" t="s">
        <v>468</v>
      </c>
      <c r="N147" s="22">
        <v>45306</v>
      </c>
      <c r="O147" s="22">
        <v>45308</v>
      </c>
      <c r="P147" s="22">
        <v>45656</v>
      </c>
      <c r="Q147" s="23">
        <f t="shared" si="54"/>
        <v>348</v>
      </c>
      <c r="R147" s="17" t="s">
        <v>242</v>
      </c>
      <c r="S147" s="110" t="s">
        <v>1373</v>
      </c>
      <c r="T147" s="16" t="s">
        <v>1345</v>
      </c>
      <c r="U147" s="67">
        <v>67421203</v>
      </c>
      <c r="V147" s="16" t="s">
        <v>344</v>
      </c>
      <c r="W147" s="224">
        <v>67421203</v>
      </c>
      <c r="X147" s="24">
        <v>5762496</v>
      </c>
      <c r="Y147" s="24"/>
      <c r="Z147" s="24"/>
      <c r="AA147" s="17" t="s">
        <v>116</v>
      </c>
      <c r="AB147" s="23" t="str">
        <f>IFERROR(VLOOKUP(AA147,Listas!$A$1:$C$14,2,FALSE),"")</f>
        <v>FREDY CÉSPEDES VILLA</v>
      </c>
      <c r="AC147" s="23">
        <f>IFERROR(VLOOKUP(AA147,Listas!$A$1:$C$14,3,FALSE),"")</f>
        <v>93363483</v>
      </c>
      <c r="AD147" s="17" t="s">
        <v>472</v>
      </c>
      <c r="AE147" s="17" t="s">
        <v>473</v>
      </c>
      <c r="AF147" s="23" t="str">
        <f>IFERROR(VLOOKUP(AE147,Listas!$AD$1:$AF$66,2,FALSE),"")</f>
        <v>DANIEL ALBERTO CASTAÑO LOPEZ</v>
      </c>
      <c r="AG147" s="23">
        <f>IFERROR(VLOOKUP(AE147,Listas!$AD$1:$AF$65,3,FALSE),"")</f>
        <v>7544385</v>
      </c>
      <c r="AH147" s="17" t="s">
        <v>118</v>
      </c>
      <c r="AI147" s="65" t="s">
        <v>1374</v>
      </c>
      <c r="AJ147" s="25" t="s">
        <v>119</v>
      </c>
      <c r="AK147" s="26" t="s">
        <v>120</v>
      </c>
      <c r="AL147" s="26" t="s">
        <v>120</v>
      </c>
      <c r="AM147" s="90" t="s">
        <v>119</v>
      </c>
      <c r="AN147" s="105">
        <v>34661</v>
      </c>
      <c r="AO147" s="91">
        <f t="shared" ca="1" si="66"/>
        <v>31</v>
      </c>
      <c r="AP147" s="26" t="s">
        <v>121</v>
      </c>
      <c r="AQ147" s="26" t="s">
        <v>409</v>
      </c>
      <c r="AR147" s="89"/>
      <c r="AS147" s="27"/>
      <c r="AT147" s="16"/>
      <c r="AU147" s="27"/>
      <c r="AV147" s="86"/>
      <c r="AW147" s="27"/>
      <c r="AX147" s="27"/>
      <c r="AY147" s="27"/>
      <c r="AZ147" s="27"/>
      <c r="BA147" s="27"/>
      <c r="BB147" s="27"/>
      <c r="BC147" s="97"/>
      <c r="BD147" s="27"/>
      <c r="BE147" s="16"/>
      <c r="BF147" s="28">
        <f t="shared" si="55"/>
        <v>0</v>
      </c>
      <c r="BG147" s="29"/>
      <c r="BH147" s="27"/>
      <c r="BI147" s="30">
        <f t="shared" si="56"/>
        <v>348</v>
      </c>
      <c r="BJ147" s="31">
        <f t="shared" si="57"/>
        <v>45656</v>
      </c>
      <c r="BK147" s="27"/>
      <c r="BL147" s="16"/>
      <c r="BM147" s="27"/>
      <c r="BN147" s="16"/>
      <c r="BO147" s="27"/>
      <c r="BP147" s="16"/>
      <c r="BQ147" s="27"/>
      <c r="BR147" s="24"/>
      <c r="BS147" s="24"/>
      <c r="BT147" s="32"/>
      <c r="BU147" s="27"/>
      <c r="BV147" s="24"/>
      <c r="BW147" s="24"/>
      <c r="BX147" s="16"/>
      <c r="BY147" s="27"/>
      <c r="BZ147" s="24"/>
      <c r="CA147" s="24"/>
      <c r="CB147" s="16"/>
      <c r="CC147" s="49">
        <f t="shared" si="58"/>
        <v>0</v>
      </c>
      <c r="CD147" s="24"/>
      <c r="CE147" s="49">
        <f t="shared" si="59"/>
        <v>67421203</v>
      </c>
      <c r="CF147" s="50"/>
      <c r="CG147" s="49">
        <f t="shared" ca="1" si="60"/>
        <v>67421203</v>
      </c>
      <c r="CH147" s="33">
        <f t="shared" ca="1" si="61"/>
        <v>1</v>
      </c>
      <c r="CI147" s="33">
        <f t="shared" ca="1" si="62"/>
        <v>1</v>
      </c>
      <c r="CJ147" s="36">
        <f t="shared" ca="1" si="63"/>
        <v>100</v>
      </c>
      <c r="CK147" s="34">
        <f t="shared" si="64"/>
        <v>0</v>
      </c>
      <c r="CL147" s="21"/>
      <c r="CM147" s="35" t="str">
        <f t="shared" ca="1" si="65"/>
        <v>TERMINADO</v>
      </c>
      <c r="CN147" s="82"/>
      <c r="CO147" s="145" t="s">
        <v>1375</v>
      </c>
      <c r="CP147" s="26" t="s">
        <v>123</v>
      </c>
    </row>
    <row r="148" spans="1:96" ht="24.75" customHeight="1">
      <c r="A148" s="48" t="s">
        <v>1376</v>
      </c>
      <c r="B148" s="77" t="s">
        <v>1377</v>
      </c>
      <c r="C148" s="17" t="s">
        <v>104</v>
      </c>
      <c r="D148" s="18" t="s">
        <v>1378</v>
      </c>
      <c r="E148" s="17" t="s">
        <v>106</v>
      </c>
      <c r="F148" s="17" t="s">
        <v>107</v>
      </c>
      <c r="G148" s="17" t="s">
        <v>108</v>
      </c>
      <c r="H148" s="78">
        <v>43650080</v>
      </c>
      <c r="I148" s="233" t="s">
        <v>1379</v>
      </c>
      <c r="J148" s="16"/>
      <c r="K148" s="16"/>
      <c r="L148" s="20" t="s">
        <v>492</v>
      </c>
      <c r="M148" s="16" t="s">
        <v>468</v>
      </c>
      <c r="N148" s="22">
        <v>45306</v>
      </c>
      <c r="O148" s="22">
        <v>45308</v>
      </c>
      <c r="P148" s="22">
        <v>45656</v>
      </c>
      <c r="Q148" s="23">
        <f t="shared" si="54"/>
        <v>348</v>
      </c>
      <c r="R148" s="17" t="s">
        <v>242</v>
      </c>
      <c r="S148" s="110" t="s">
        <v>1380</v>
      </c>
      <c r="T148" s="16" t="s">
        <v>1345</v>
      </c>
      <c r="U148" s="67">
        <v>66460787</v>
      </c>
      <c r="V148" s="16" t="s">
        <v>344</v>
      </c>
      <c r="W148" s="224">
        <v>66460787</v>
      </c>
      <c r="X148" s="24">
        <v>4413826</v>
      </c>
      <c r="Y148" s="24"/>
      <c r="Z148" s="24"/>
      <c r="AA148" s="17" t="s">
        <v>116</v>
      </c>
      <c r="AB148" s="23" t="str">
        <f>IFERROR(VLOOKUP(AA148,Listas!$A$1:$C$14,2,FALSE),"")</f>
        <v>FREDY CÉSPEDES VILLA</v>
      </c>
      <c r="AC148" s="23">
        <f>IFERROR(VLOOKUP(AA148,Listas!$A$1:$C$14,3,FALSE),"")</f>
        <v>93363483</v>
      </c>
      <c r="AD148" s="17" t="s">
        <v>472</v>
      </c>
      <c r="AE148" s="17" t="s">
        <v>473</v>
      </c>
      <c r="AF148" s="23" t="str">
        <f>IFERROR(VLOOKUP(AE148,Listas!$AD$1:$AF$66,2,FALSE),"")</f>
        <v>DANIEL ALBERTO CASTAÑO LOPEZ</v>
      </c>
      <c r="AG148" s="23">
        <f>IFERROR(VLOOKUP(AE148,Listas!$AD$1:$AF$65,3,FALSE),"")</f>
        <v>7544385</v>
      </c>
      <c r="AH148" s="17" t="s">
        <v>118</v>
      </c>
      <c r="AI148" s="65" t="s">
        <v>1381</v>
      </c>
      <c r="AJ148" s="25" t="s">
        <v>119</v>
      </c>
      <c r="AK148" s="26" t="s">
        <v>120</v>
      </c>
      <c r="AL148" s="26" t="s">
        <v>120</v>
      </c>
      <c r="AM148" s="90" t="s">
        <v>119</v>
      </c>
      <c r="AN148" s="105">
        <v>25408</v>
      </c>
      <c r="AO148" s="91">
        <f t="shared" ca="1" si="66"/>
        <v>56</v>
      </c>
      <c r="AP148" s="26" t="s">
        <v>121</v>
      </c>
      <c r="AQ148" s="26" t="s">
        <v>409</v>
      </c>
      <c r="AR148" s="89"/>
      <c r="AS148" s="27"/>
      <c r="AT148" s="16"/>
      <c r="AU148" s="27"/>
      <c r="AV148" s="86"/>
      <c r="AW148" s="27"/>
      <c r="AX148" s="27"/>
      <c r="AY148" s="27"/>
      <c r="AZ148" s="27"/>
      <c r="BA148" s="27"/>
      <c r="BB148" s="27"/>
      <c r="BC148" s="97"/>
      <c r="BD148" s="27"/>
      <c r="BE148" s="16"/>
      <c r="BF148" s="28">
        <f t="shared" si="55"/>
        <v>0</v>
      </c>
      <c r="BG148" s="29"/>
      <c r="BH148" s="27">
        <v>45415</v>
      </c>
      <c r="BI148" s="30">
        <f t="shared" si="56"/>
        <v>348</v>
      </c>
      <c r="BJ148" s="31">
        <f t="shared" si="57"/>
        <v>45415</v>
      </c>
      <c r="BK148" s="27"/>
      <c r="BL148" s="16"/>
      <c r="BM148" s="27"/>
      <c r="BN148" s="16"/>
      <c r="BO148" s="27"/>
      <c r="BP148" s="16"/>
      <c r="BQ148" s="27"/>
      <c r="BR148" s="24"/>
      <c r="BS148" s="24"/>
      <c r="BT148" s="32"/>
      <c r="BU148" s="27"/>
      <c r="BV148" s="24"/>
      <c r="BW148" s="24"/>
      <c r="BX148" s="16"/>
      <c r="BY148" s="27"/>
      <c r="BZ148" s="24"/>
      <c r="CA148" s="24"/>
      <c r="CB148" s="16"/>
      <c r="CC148" s="49">
        <f t="shared" si="58"/>
        <v>0</v>
      </c>
      <c r="CD148" s="24"/>
      <c r="CE148" s="49">
        <f t="shared" si="59"/>
        <v>66460787</v>
      </c>
      <c r="CF148" s="50"/>
      <c r="CG148" s="49">
        <f t="shared" ca="1" si="60"/>
        <v>66460787</v>
      </c>
      <c r="CH148" s="33">
        <f t="shared" ca="1" si="61"/>
        <v>1</v>
      </c>
      <c r="CI148" s="33">
        <f t="shared" ca="1" si="62"/>
        <v>1</v>
      </c>
      <c r="CJ148" s="36">
        <f t="shared" ca="1" si="63"/>
        <v>100</v>
      </c>
      <c r="CK148" s="34">
        <f t="shared" si="64"/>
        <v>0</v>
      </c>
      <c r="CL148" s="21"/>
      <c r="CM148" s="35" t="str">
        <f t="shared" ca="1" si="65"/>
        <v>TERMINADO</v>
      </c>
      <c r="CN148" s="82"/>
      <c r="CO148" s="145" t="s">
        <v>1382</v>
      </c>
      <c r="CP148" s="26" t="s">
        <v>123</v>
      </c>
    </row>
    <row r="149" spans="1:96" ht="24.75" customHeight="1">
      <c r="A149" s="48" t="s">
        <v>1383</v>
      </c>
      <c r="B149" s="77" t="s">
        <v>1384</v>
      </c>
      <c r="C149" s="17" t="s">
        <v>104</v>
      </c>
      <c r="D149" s="18" t="s">
        <v>1385</v>
      </c>
      <c r="E149" s="17" t="s">
        <v>106</v>
      </c>
      <c r="F149" s="17" t="s">
        <v>107</v>
      </c>
      <c r="G149" s="17" t="s">
        <v>108</v>
      </c>
      <c r="H149" s="78">
        <v>52974164</v>
      </c>
      <c r="I149" s="74" t="s">
        <v>1386</v>
      </c>
      <c r="J149" s="16"/>
      <c r="K149" s="16"/>
      <c r="L149" s="20" t="s">
        <v>1387</v>
      </c>
      <c r="M149" s="16" t="s">
        <v>111</v>
      </c>
      <c r="N149" s="22">
        <v>45308</v>
      </c>
      <c r="O149" s="22">
        <v>45310</v>
      </c>
      <c r="P149" s="22">
        <v>45491</v>
      </c>
      <c r="Q149" s="23">
        <f t="shared" si="54"/>
        <v>181</v>
      </c>
      <c r="R149" s="17" t="s">
        <v>242</v>
      </c>
      <c r="S149" s="110" t="s">
        <v>1388</v>
      </c>
      <c r="T149" s="16" t="s">
        <v>1145</v>
      </c>
      <c r="U149" s="67">
        <v>105863334</v>
      </c>
      <c r="V149" s="16" t="s">
        <v>1389</v>
      </c>
      <c r="W149" s="224">
        <v>105863334</v>
      </c>
      <c r="X149" s="24">
        <v>9074000</v>
      </c>
      <c r="Y149" s="24"/>
      <c r="Z149" s="24"/>
      <c r="AA149" s="17" t="s">
        <v>116</v>
      </c>
      <c r="AB149" s="23" t="str">
        <f>IFERROR(VLOOKUP(AA149,Listas!$A$1:$C$14,2,FALSE),"")</f>
        <v>FREDY CÉSPEDES VILLA</v>
      </c>
      <c r="AC149" s="23">
        <f>IFERROR(VLOOKUP(AA149,Listas!$A$1:$C$14,3,FALSE),"")</f>
        <v>93363483</v>
      </c>
      <c r="AD149" s="17" t="s">
        <v>427</v>
      </c>
      <c r="AE149" s="17" t="s">
        <v>1390</v>
      </c>
      <c r="AF149" s="23" t="str">
        <f>IFERROR(VLOOKUP(AE149,Listas!$AD$1:$AF$66,2,FALSE),"")</f>
        <v>BLANCA FLOR AMÉZQUITA RODRÍGUEZ</v>
      </c>
      <c r="AG149" s="23">
        <f>IFERROR(VLOOKUP(AE149,Listas!$AD$1:$AF$65,3,FALSE),"")</f>
        <v>51613966</v>
      </c>
      <c r="AH149" s="17" t="s">
        <v>118</v>
      </c>
      <c r="AI149" s="65" t="s">
        <v>1391</v>
      </c>
      <c r="AJ149" s="25" t="s">
        <v>119</v>
      </c>
      <c r="AK149" s="26" t="s">
        <v>120</v>
      </c>
      <c r="AL149" s="26" t="s">
        <v>120</v>
      </c>
      <c r="AM149" s="90" t="s">
        <v>119</v>
      </c>
      <c r="AN149" s="105">
        <v>30466</v>
      </c>
      <c r="AO149" s="91">
        <f t="shared" ca="1" si="66"/>
        <v>42</v>
      </c>
      <c r="AP149" s="26" t="s">
        <v>121</v>
      </c>
      <c r="AQ149" s="26" t="s">
        <v>1272</v>
      </c>
      <c r="AR149" s="89"/>
      <c r="AS149" s="27"/>
      <c r="AT149" s="16"/>
      <c r="AU149" s="27"/>
      <c r="AV149" s="86"/>
      <c r="AW149" s="27"/>
      <c r="AX149" s="27"/>
      <c r="AY149" s="27"/>
      <c r="AZ149" s="27"/>
      <c r="BA149" s="27"/>
      <c r="BB149" s="27"/>
      <c r="BC149" s="97"/>
      <c r="BD149" s="27"/>
      <c r="BE149" s="16"/>
      <c r="BF149" s="28">
        <f t="shared" si="55"/>
        <v>0</v>
      </c>
      <c r="BG149" s="29"/>
      <c r="BH149" s="27"/>
      <c r="BI149" s="30">
        <f t="shared" si="56"/>
        <v>181</v>
      </c>
      <c r="BJ149" s="31">
        <f t="shared" si="57"/>
        <v>45491</v>
      </c>
      <c r="BK149" s="27"/>
      <c r="BL149" s="16"/>
      <c r="BM149" s="27"/>
      <c r="BN149" s="16"/>
      <c r="BO149" s="27"/>
      <c r="BP149" s="16"/>
      <c r="BQ149" s="27"/>
      <c r="BR149" s="24"/>
      <c r="BS149" s="24"/>
      <c r="BT149" s="32"/>
      <c r="BU149" s="27"/>
      <c r="BV149" s="24"/>
      <c r="BW149" s="24"/>
      <c r="BX149" s="16"/>
      <c r="BY149" s="27"/>
      <c r="BZ149" s="24"/>
      <c r="CA149" s="24"/>
      <c r="CB149" s="16"/>
      <c r="CC149" s="49">
        <f t="shared" si="58"/>
        <v>0</v>
      </c>
      <c r="CD149" s="24"/>
      <c r="CE149" s="49">
        <f t="shared" si="59"/>
        <v>105863334</v>
      </c>
      <c r="CF149" s="50"/>
      <c r="CG149" s="49">
        <f t="shared" ca="1" si="60"/>
        <v>105863334</v>
      </c>
      <c r="CH149" s="33">
        <f t="shared" ca="1" si="61"/>
        <v>1</v>
      </c>
      <c r="CI149" s="33">
        <f t="shared" ca="1" si="62"/>
        <v>1</v>
      </c>
      <c r="CJ149" s="36">
        <f t="shared" ca="1" si="63"/>
        <v>100</v>
      </c>
      <c r="CK149" s="34">
        <f t="shared" si="64"/>
        <v>0</v>
      </c>
      <c r="CL149" s="21"/>
      <c r="CM149" s="35" t="str">
        <f t="shared" ca="1" si="65"/>
        <v>TERMINADO</v>
      </c>
      <c r="CN149" s="82"/>
      <c r="CO149" s="145" t="s">
        <v>1392</v>
      </c>
      <c r="CP149" s="26" t="s">
        <v>123</v>
      </c>
    </row>
    <row r="150" spans="1:96" ht="24.75" customHeight="1">
      <c r="A150" s="48" t="s">
        <v>1393</v>
      </c>
      <c r="B150" s="77" t="s">
        <v>1394</v>
      </c>
      <c r="C150" s="17" t="s">
        <v>104</v>
      </c>
      <c r="D150" s="18" t="s">
        <v>1395</v>
      </c>
      <c r="E150" s="17" t="s">
        <v>106</v>
      </c>
      <c r="F150" s="17" t="s">
        <v>107</v>
      </c>
      <c r="G150" s="17" t="s">
        <v>108</v>
      </c>
      <c r="H150" s="78">
        <v>52433108</v>
      </c>
      <c r="I150" s="74" t="s">
        <v>1396</v>
      </c>
      <c r="J150" s="16"/>
      <c r="K150" s="16"/>
      <c r="L150" s="20" t="s">
        <v>1397</v>
      </c>
      <c r="M150" s="16" t="s">
        <v>111</v>
      </c>
      <c r="N150" s="22">
        <v>45306</v>
      </c>
      <c r="O150" s="22">
        <v>45310</v>
      </c>
      <c r="P150" s="22">
        <v>45492</v>
      </c>
      <c r="Q150" s="23">
        <f t="shared" si="54"/>
        <v>182</v>
      </c>
      <c r="R150" s="17" t="s">
        <v>242</v>
      </c>
      <c r="S150" s="110" t="s">
        <v>1398</v>
      </c>
      <c r="T150" s="16" t="s">
        <v>1399</v>
      </c>
      <c r="U150" s="67">
        <v>64057620</v>
      </c>
      <c r="V150" s="16" t="s">
        <v>216</v>
      </c>
      <c r="W150" s="224">
        <v>64057620</v>
      </c>
      <c r="X150" s="67">
        <v>8092015</v>
      </c>
      <c r="Y150" s="24"/>
      <c r="Z150" s="24"/>
      <c r="AA150" s="17" t="s">
        <v>116</v>
      </c>
      <c r="AB150" s="23" t="str">
        <f>IFERROR(VLOOKUP(AA150,Listas!$A$1:$C$14,2,FALSE),"")</f>
        <v>FREDY CÉSPEDES VILLA</v>
      </c>
      <c r="AC150" s="23">
        <f>IFERROR(VLOOKUP(AA150,Listas!$A$1:$C$14,3,FALSE),"")</f>
        <v>93363483</v>
      </c>
      <c r="AD150" s="17" t="s">
        <v>217</v>
      </c>
      <c r="AE150" s="17" t="s">
        <v>381</v>
      </c>
      <c r="AF150" s="23" t="str">
        <f>IFERROR(VLOOKUP(AE150,Listas!$AD$1:$AF$66,2,FALSE),"")</f>
        <v>MARINA AZUCENA MEDINA SANDOVAL</v>
      </c>
      <c r="AG150" s="23">
        <f>IFERROR(VLOOKUP(AE150,Listas!$AD$1:$AF$65,3,FALSE),"")</f>
        <v>51842510</v>
      </c>
      <c r="AH150" s="17" t="s">
        <v>118</v>
      </c>
      <c r="AI150" s="65" t="s">
        <v>1400</v>
      </c>
      <c r="AJ150" s="25" t="s">
        <v>119</v>
      </c>
      <c r="AK150" s="26" t="s">
        <v>120</v>
      </c>
      <c r="AL150" s="26" t="s">
        <v>120</v>
      </c>
      <c r="AM150" s="90" t="s">
        <v>119</v>
      </c>
      <c r="AN150" s="105">
        <v>28151</v>
      </c>
      <c r="AO150" s="91">
        <f t="shared" ca="1" si="66"/>
        <v>48</v>
      </c>
      <c r="AP150" s="26" t="s">
        <v>121</v>
      </c>
      <c r="AQ150" s="26" t="s">
        <v>220</v>
      </c>
      <c r="AR150" s="89"/>
      <c r="AS150" s="27"/>
      <c r="AT150" s="16"/>
      <c r="AU150" s="27"/>
      <c r="AV150" s="86"/>
      <c r="AW150" s="27"/>
      <c r="AX150" s="27"/>
      <c r="AY150" s="27"/>
      <c r="AZ150" s="27"/>
      <c r="BA150" s="27"/>
      <c r="BB150" s="27"/>
      <c r="BC150" s="97"/>
      <c r="BD150" s="27"/>
      <c r="BE150" s="16"/>
      <c r="BF150" s="28">
        <f t="shared" si="55"/>
        <v>0</v>
      </c>
      <c r="BG150" s="29"/>
      <c r="BH150" s="27">
        <v>45420</v>
      </c>
      <c r="BI150" s="30">
        <f t="shared" si="56"/>
        <v>182</v>
      </c>
      <c r="BJ150" s="31">
        <f t="shared" si="57"/>
        <v>45420</v>
      </c>
      <c r="BK150" s="27"/>
      <c r="BL150" s="16"/>
      <c r="BM150" s="27"/>
      <c r="BN150" s="16"/>
      <c r="BO150" s="27"/>
      <c r="BP150" s="16"/>
      <c r="BQ150" s="27"/>
      <c r="BR150" s="24"/>
      <c r="BS150" s="24"/>
      <c r="BT150" s="32"/>
      <c r="BU150" s="27"/>
      <c r="BV150" s="24"/>
      <c r="BW150" s="24"/>
      <c r="BX150" s="16"/>
      <c r="BY150" s="27"/>
      <c r="BZ150" s="24"/>
      <c r="CA150" s="24"/>
      <c r="CB150" s="16"/>
      <c r="CC150" s="49">
        <f t="shared" si="58"/>
        <v>0</v>
      </c>
      <c r="CD150" s="24"/>
      <c r="CE150" s="49">
        <f>IF(Y150=0,(X150+CC150)-CD150,IF(Y150&gt;0,(Y150+CC150)-CD150))</f>
        <v>8092015</v>
      </c>
      <c r="CF150" s="50"/>
      <c r="CG150" s="49">
        <f t="shared" ca="1" si="60"/>
        <v>8092015</v>
      </c>
      <c r="CH150" s="33">
        <f t="shared" ca="1" si="61"/>
        <v>1</v>
      </c>
      <c r="CI150" s="33">
        <f t="shared" ca="1" si="62"/>
        <v>1</v>
      </c>
      <c r="CJ150" s="36">
        <f t="shared" ca="1" si="63"/>
        <v>100</v>
      </c>
      <c r="CK150" s="34">
        <f t="shared" si="64"/>
        <v>0</v>
      </c>
      <c r="CL150" s="21"/>
      <c r="CM150" s="35" t="str">
        <f t="shared" ca="1" si="65"/>
        <v>TERMINADO</v>
      </c>
      <c r="CN150" s="82"/>
      <c r="CO150" s="145" t="s">
        <v>1401</v>
      </c>
      <c r="CP150" s="26" t="s">
        <v>123</v>
      </c>
    </row>
    <row r="151" spans="1:96" ht="24.75" customHeight="1">
      <c r="A151" s="48" t="s">
        <v>1402</v>
      </c>
      <c r="B151" s="77" t="s">
        <v>1403</v>
      </c>
      <c r="C151" s="17" t="s">
        <v>104</v>
      </c>
      <c r="D151" s="18" t="s">
        <v>1404</v>
      </c>
      <c r="E151" s="17" t="s">
        <v>106</v>
      </c>
      <c r="F151" s="17" t="s">
        <v>107</v>
      </c>
      <c r="G151" s="17" t="s">
        <v>108</v>
      </c>
      <c r="H151" s="78">
        <v>79892008</v>
      </c>
      <c r="I151" s="233" t="s">
        <v>1405</v>
      </c>
      <c r="J151" s="16"/>
      <c r="K151" s="16"/>
      <c r="L151" s="20" t="s">
        <v>1406</v>
      </c>
      <c r="M151" s="16" t="s">
        <v>111</v>
      </c>
      <c r="N151" s="22">
        <v>45306</v>
      </c>
      <c r="O151" s="22">
        <v>45313</v>
      </c>
      <c r="P151" s="22">
        <v>45656</v>
      </c>
      <c r="Q151" s="23">
        <f t="shared" si="54"/>
        <v>343</v>
      </c>
      <c r="R151" s="17" t="s">
        <v>242</v>
      </c>
      <c r="S151" s="110" t="s">
        <v>1407</v>
      </c>
      <c r="T151" s="16" t="s">
        <v>1408</v>
      </c>
      <c r="U151" s="67">
        <v>139771164</v>
      </c>
      <c r="V151" s="16" t="s">
        <v>753</v>
      </c>
      <c r="W151" s="224">
        <v>139771164</v>
      </c>
      <c r="X151" s="24">
        <v>11647597</v>
      </c>
      <c r="Y151" s="24"/>
      <c r="Z151" s="24"/>
      <c r="AA151" s="17" t="s">
        <v>116</v>
      </c>
      <c r="AB151" s="23" t="str">
        <f>IFERROR(VLOOKUP(AA151,Listas!$A$1:$C$14,2,FALSE),"")</f>
        <v>FREDY CÉSPEDES VILLA</v>
      </c>
      <c r="AC151" s="23">
        <f>IFERROR(VLOOKUP(AA151,Listas!$A$1:$C$14,3,FALSE),"")</f>
        <v>93363483</v>
      </c>
      <c r="AD151" s="17" t="s">
        <v>406</v>
      </c>
      <c r="AE151" s="17" t="s">
        <v>407</v>
      </c>
      <c r="AF151" s="23" t="str">
        <f>IFERROR(VLOOKUP(AE151,Listas!$AD$1:$AF$66,2,FALSE),"")</f>
        <v>MARÍA VICTORIA CAMARGO CORTÉS</v>
      </c>
      <c r="AG151" s="23">
        <f>IFERROR(VLOOKUP(AE151,Listas!$AD$1:$AF$65,3,FALSE),"")</f>
        <v>52496497</v>
      </c>
      <c r="AH151" s="17" t="s">
        <v>118</v>
      </c>
      <c r="AI151" s="65" t="s">
        <v>1409</v>
      </c>
      <c r="AJ151" s="25" t="s">
        <v>119</v>
      </c>
      <c r="AK151" s="26" t="s">
        <v>120</v>
      </c>
      <c r="AL151" s="26" t="s">
        <v>120</v>
      </c>
      <c r="AM151" s="90" t="s">
        <v>119</v>
      </c>
      <c r="AN151" s="105">
        <v>28291</v>
      </c>
      <c r="AO151" s="91">
        <f t="shared" ca="1" si="66"/>
        <v>48</v>
      </c>
      <c r="AP151" s="26" t="s">
        <v>121</v>
      </c>
      <c r="AQ151" s="26" t="s">
        <v>409</v>
      </c>
      <c r="AR151" s="89"/>
      <c r="AS151" s="27"/>
      <c r="AT151" s="16"/>
      <c r="AU151" s="27"/>
      <c r="AV151" s="86"/>
      <c r="AW151" s="27"/>
      <c r="AX151" s="27"/>
      <c r="AY151" s="27"/>
      <c r="AZ151" s="27"/>
      <c r="BA151" s="27"/>
      <c r="BB151" s="27"/>
      <c r="BC151" s="97"/>
      <c r="BD151" s="27"/>
      <c r="BE151" s="16"/>
      <c r="BF151" s="28">
        <f t="shared" si="55"/>
        <v>0</v>
      </c>
      <c r="BG151" s="29"/>
      <c r="BH151" s="27"/>
      <c r="BI151" s="30">
        <f t="shared" si="56"/>
        <v>343</v>
      </c>
      <c r="BJ151" s="31">
        <f t="shared" si="57"/>
        <v>45656</v>
      </c>
      <c r="BK151" s="27"/>
      <c r="BL151" s="16"/>
      <c r="BM151" s="27"/>
      <c r="BN151" s="16"/>
      <c r="BO151" s="27"/>
      <c r="BP151" s="16"/>
      <c r="BQ151" s="27"/>
      <c r="BR151" s="24"/>
      <c r="BS151" s="24"/>
      <c r="BT151" s="32"/>
      <c r="BU151" s="27"/>
      <c r="BV151" s="24"/>
      <c r="BW151" s="24"/>
      <c r="BX151" s="16"/>
      <c r="BY151" s="27"/>
      <c r="BZ151" s="24"/>
      <c r="CA151" s="24"/>
      <c r="CB151" s="16"/>
      <c r="CC151" s="49">
        <f t="shared" si="58"/>
        <v>0</v>
      </c>
      <c r="CD151" s="24"/>
      <c r="CE151" s="49">
        <f t="shared" ref="CE151:CE170" si="67">IF(Y151=0,(W151+CC151)-CD151,IF(Y151&gt;0,(Y151+CC151)-CD151))</f>
        <v>139771164</v>
      </c>
      <c r="CF151" s="50"/>
      <c r="CG151" s="49">
        <f t="shared" ca="1" si="60"/>
        <v>139771164</v>
      </c>
      <c r="CH151" s="33">
        <f t="shared" ca="1" si="61"/>
        <v>1</v>
      </c>
      <c r="CI151" s="33">
        <f t="shared" ca="1" si="62"/>
        <v>1</v>
      </c>
      <c r="CJ151" s="36">
        <f t="shared" ca="1" si="63"/>
        <v>100</v>
      </c>
      <c r="CK151" s="34">
        <f t="shared" si="64"/>
        <v>0</v>
      </c>
      <c r="CL151" s="21"/>
      <c r="CM151" s="35" t="str">
        <f t="shared" ca="1" si="65"/>
        <v>TERMINADO</v>
      </c>
      <c r="CN151" s="82"/>
      <c r="CO151" s="145" t="s">
        <v>1410</v>
      </c>
      <c r="CP151" s="26" t="s">
        <v>123</v>
      </c>
    </row>
    <row r="152" spans="1:96" ht="24.75" customHeight="1">
      <c r="A152" s="48" t="s">
        <v>1411</v>
      </c>
      <c r="B152" s="77" t="s">
        <v>1412</v>
      </c>
      <c r="C152" s="17" t="s">
        <v>104</v>
      </c>
      <c r="D152" s="18" t="s">
        <v>1413</v>
      </c>
      <c r="E152" s="17" t="s">
        <v>106</v>
      </c>
      <c r="F152" s="17" t="s">
        <v>107</v>
      </c>
      <c r="G152" s="17" t="s">
        <v>108</v>
      </c>
      <c r="H152" s="78">
        <v>79609237</v>
      </c>
      <c r="I152" s="74" t="s">
        <v>1414</v>
      </c>
      <c r="J152" s="16"/>
      <c r="K152" s="16"/>
      <c r="L152" s="20" t="s">
        <v>1415</v>
      </c>
      <c r="M152" s="16" t="s">
        <v>111</v>
      </c>
      <c r="N152" s="22">
        <v>45306</v>
      </c>
      <c r="O152" s="22">
        <v>45313</v>
      </c>
      <c r="P152" s="22">
        <v>45656</v>
      </c>
      <c r="Q152" s="23">
        <f t="shared" si="54"/>
        <v>343</v>
      </c>
      <c r="R152" s="17" t="s">
        <v>242</v>
      </c>
      <c r="S152" s="110" t="s">
        <v>1416</v>
      </c>
      <c r="T152" s="16" t="s">
        <v>1417</v>
      </c>
      <c r="U152" s="67">
        <v>55200000</v>
      </c>
      <c r="V152" s="16" t="s">
        <v>1418</v>
      </c>
      <c r="W152" s="224">
        <v>52976400</v>
      </c>
      <c r="X152" s="24">
        <v>4414700</v>
      </c>
      <c r="Y152" s="24"/>
      <c r="Z152" s="24"/>
      <c r="AA152" s="17" t="s">
        <v>116</v>
      </c>
      <c r="AB152" s="23" t="str">
        <f>IFERROR(VLOOKUP(AA152,Listas!$A$1:$C$14,2,FALSE),"")</f>
        <v>FREDY CÉSPEDES VILLA</v>
      </c>
      <c r="AC152" s="23">
        <f>IFERROR(VLOOKUP(AA152,Listas!$A$1:$C$14,3,FALSE),"")</f>
        <v>93363483</v>
      </c>
      <c r="AD152" s="17" t="s">
        <v>116</v>
      </c>
      <c r="AE152" s="17" t="s">
        <v>484</v>
      </c>
      <c r="AF152" s="23" t="str">
        <f>IFERROR(VLOOKUP(AE152,Listas!$AD$1:$AF$66,2,FALSE),"")</f>
        <v>JAIME ANDRES GIL ACOSTA</v>
      </c>
      <c r="AG152" s="23">
        <f>IFERROR(VLOOKUP(AE152,Listas!$AD$1:$AF$65,3,FALSE),"")</f>
        <v>98622827</v>
      </c>
      <c r="AH152" s="17" t="s">
        <v>118</v>
      </c>
      <c r="AI152" s="65" t="s">
        <v>1419</v>
      </c>
      <c r="AJ152" s="25" t="s">
        <v>119</v>
      </c>
      <c r="AK152" s="26" t="s">
        <v>120</v>
      </c>
      <c r="AL152" s="26" t="s">
        <v>120</v>
      </c>
      <c r="AM152" s="90" t="s">
        <v>119</v>
      </c>
      <c r="AN152" s="105">
        <v>26744</v>
      </c>
      <c r="AO152" s="91">
        <f t="shared" ca="1" si="66"/>
        <v>52</v>
      </c>
      <c r="AP152" s="26" t="s">
        <v>121</v>
      </c>
      <c r="AQ152" s="26" t="s">
        <v>486</v>
      </c>
      <c r="AR152" s="89"/>
      <c r="AS152" s="27"/>
      <c r="AT152" s="16"/>
      <c r="AU152" s="27"/>
      <c r="AV152" s="86"/>
      <c r="AW152" s="27"/>
      <c r="AX152" s="27"/>
      <c r="AY152" s="27"/>
      <c r="AZ152" s="27"/>
      <c r="BA152" s="27"/>
      <c r="BB152" s="27"/>
      <c r="BC152" s="97"/>
      <c r="BD152" s="27"/>
      <c r="BE152" s="16"/>
      <c r="BF152" s="28">
        <f t="shared" si="55"/>
        <v>0</v>
      </c>
      <c r="BG152" s="29"/>
      <c r="BH152" s="27"/>
      <c r="BI152" s="30">
        <f t="shared" si="56"/>
        <v>343</v>
      </c>
      <c r="BJ152" s="31">
        <f t="shared" si="57"/>
        <v>45656</v>
      </c>
      <c r="BK152" s="27"/>
      <c r="BL152" s="16"/>
      <c r="BM152" s="27"/>
      <c r="BN152" s="16"/>
      <c r="BO152" s="27"/>
      <c r="BP152" s="16"/>
      <c r="BQ152" s="27"/>
      <c r="BR152" s="24"/>
      <c r="BS152" s="24"/>
      <c r="BT152" s="32"/>
      <c r="BU152" s="27"/>
      <c r="BV152" s="24"/>
      <c r="BW152" s="24"/>
      <c r="BX152" s="16"/>
      <c r="BY152" s="27"/>
      <c r="BZ152" s="24"/>
      <c r="CA152" s="24"/>
      <c r="CB152" s="16"/>
      <c r="CC152" s="49">
        <f t="shared" si="58"/>
        <v>0</v>
      </c>
      <c r="CD152" s="24"/>
      <c r="CE152" s="49">
        <f t="shared" si="67"/>
        <v>52976400</v>
      </c>
      <c r="CF152" s="50"/>
      <c r="CG152" s="49">
        <f t="shared" ca="1" si="60"/>
        <v>52976400</v>
      </c>
      <c r="CH152" s="33">
        <f t="shared" ca="1" si="61"/>
        <v>1</v>
      </c>
      <c r="CI152" s="33">
        <f t="shared" ca="1" si="62"/>
        <v>1</v>
      </c>
      <c r="CJ152" s="36">
        <f t="shared" ca="1" si="63"/>
        <v>100</v>
      </c>
      <c r="CK152" s="34">
        <f t="shared" si="64"/>
        <v>0</v>
      </c>
      <c r="CL152" s="21"/>
      <c r="CM152" s="35" t="str">
        <f t="shared" ca="1" si="65"/>
        <v>TERMINADO</v>
      </c>
      <c r="CN152" s="82"/>
      <c r="CO152" s="145" t="s">
        <v>1420</v>
      </c>
      <c r="CP152" s="26" t="s">
        <v>142</v>
      </c>
    </row>
    <row r="153" spans="1:96" ht="24.75" customHeight="1">
      <c r="A153" s="48" t="s">
        <v>1421</v>
      </c>
      <c r="B153" s="77" t="s">
        <v>1422</v>
      </c>
      <c r="C153" s="17" t="s">
        <v>1423</v>
      </c>
      <c r="D153" s="18" t="s">
        <v>1424</v>
      </c>
      <c r="E153" s="17" t="s">
        <v>1425</v>
      </c>
      <c r="F153" s="17" t="s">
        <v>1426</v>
      </c>
      <c r="G153" s="17" t="s">
        <v>1427</v>
      </c>
      <c r="H153" s="78" t="s">
        <v>1428</v>
      </c>
      <c r="I153" s="74" t="s">
        <v>1429</v>
      </c>
      <c r="J153" s="16"/>
      <c r="K153" s="16"/>
      <c r="L153" s="20" t="s">
        <v>1430</v>
      </c>
      <c r="M153" s="16" t="s">
        <v>111</v>
      </c>
      <c r="N153" s="22">
        <v>45306</v>
      </c>
      <c r="O153" s="22">
        <v>45306</v>
      </c>
      <c r="P153" s="22">
        <v>45656</v>
      </c>
      <c r="Q153" s="23">
        <f t="shared" si="54"/>
        <v>350</v>
      </c>
      <c r="R153" s="17" t="s">
        <v>242</v>
      </c>
      <c r="S153" s="110" t="s">
        <v>1431</v>
      </c>
      <c r="T153" s="16" t="s">
        <v>1432</v>
      </c>
      <c r="U153" s="67">
        <v>48341596</v>
      </c>
      <c r="V153" s="16" t="s">
        <v>1433</v>
      </c>
      <c r="W153" s="228">
        <v>48341596</v>
      </c>
      <c r="X153" s="24"/>
      <c r="Y153" s="24"/>
      <c r="Z153" s="24"/>
      <c r="AA153" s="17" t="s">
        <v>116</v>
      </c>
      <c r="AB153" s="23" t="str">
        <f>IFERROR(VLOOKUP(AA153,Listas!$A$1:$C$14,2,FALSE),"")</f>
        <v>FREDY CÉSPEDES VILLA</v>
      </c>
      <c r="AC153" s="23">
        <f>IFERROR(VLOOKUP(AA153,Listas!$A$1:$C$14,3,FALSE),"")</f>
        <v>93363483</v>
      </c>
      <c r="AD153" s="17" t="s">
        <v>116</v>
      </c>
      <c r="AE153" s="17" t="s">
        <v>659</v>
      </c>
      <c r="AF153" s="23" t="str">
        <f>IFERROR(VLOOKUP(AE153,Listas!$AD$1:$AF$66,2,FALSE),"")</f>
        <v>TATIANA FORERO TORRES</v>
      </c>
      <c r="AG153" s="23">
        <f>IFERROR(VLOOKUP(AE153,Listas!$AD$1:$AF$65,3,FALSE),"")</f>
        <v>1072446921</v>
      </c>
      <c r="AH153" s="17" t="s">
        <v>1434</v>
      </c>
      <c r="AI153" s="65"/>
      <c r="AJ153" s="25" t="s">
        <v>1435</v>
      </c>
      <c r="AK153" s="25" t="s">
        <v>1435</v>
      </c>
      <c r="AL153" s="25" t="s">
        <v>1435</v>
      </c>
      <c r="AM153" s="25" t="s">
        <v>1435</v>
      </c>
      <c r="AN153" s="105">
        <v>0</v>
      </c>
      <c r="AO153" s="91" t="str">
        <f t="shared" ca="1" si="66"/>
        <v xml:space="preserve"> </v>
      </c>
      <c r="AP153" s="26" t="s">
        <v>121</v>
      </c>
      <c r="AQ153" s="26" t="s">
        <v>220</v>
      </c>
      <c r="AR153" s="89"/>
      <c r="AS153" s="27"/>
      <c r="AT153" s="16"/>
      <c r="AU153" s="27"/>
      <c r="AV153" s="86"/>
      <c r="AW153" s="27"/>
      <c r="AX153" s="27"/>
      <c r="AY153" s="27"/>
      <c r="AZ153" s="27"/>
      <c r="BA153" s="27"/>
      <c r="BB153" s="27"/>
      <c r="BC153" s="97"/>
      <c r="BD153" s="27"/>
      <c r="BE153" s="16"/>
      <c r="BF153" s="28">
        <f t="shared" si="55"/>
        <v>0</v>
      </c>
      <c r="BG153" s="29"/>
      <c r="BH153" s="27"/>
      <c r="BI153" s="30">
        <f t="shared" si="56"/>
        <v>350</v>
      </c>
      <c r="BJ153" s="31">
        <f t="shared" si="57"/>
        <v>45656</v>
      </c>
      <c r="BK153" s="27"/>
      <c r="BL153" s="16"/>
      <c r="BM153" s="27"/>
      <c r="BN153" s="16"/>
      <c r="BO153" s="27"/>
      <c r="BP153" s="16"/>
      <c r="BQ153" s="27"/>
      <c r="BR153" s="24"/>
      <c r="BS153" s="24"/>
      <c r="BT153" s="32"/>
      <c r="BU153" s="27"/>
      <c r="BV153" s="24"/>
      <c r="BW153" s="24"/>
      <c r="BX153" s="16"/>
      <c r="BY153" s="27"/>
      <c r="BZ153" s="24"/>
      <c r="CA153" s="24"/>
      <c r="CB153" s="16"/>
      <c r="CC153" s="49">
        <f t="shared" si="58"/>
        <v>0</v>
      </c>
      <c r="CD153" s="24"/>
      <c r="CE153" s="49">
        <f t="shared" si="67"/>
        <v>48341596</v>
      </c>
      <c r="CF153" s="50"/>
      <c r="CG153" s="49">
        <f t="shared" ca="1" si="60"/>
        <v>48341596</v>
      </c>
      <c r="CH153" s="33">
        <f t="shared" ca="1" si="61"/>
        <v>1</v>
      </c>
      <c r="CI153" s="33">
        <f t="shared" ca="1" si="62"/>
        <v>1</v>
      </c>
      <c r="CJ153" s="36">
        <f t="shared" ca="1" si="63"/>
        <v>100</v>
      </c>
      <c r="CK153" s="34">
        <f t="shared" si="64"/>
        <v>0</v>
      </c>
      <c r="CL153" s="21"/>
      <c r="CM153" s="35" t="str">
        <f t="shared" ca="1" si="65"/>
        <v>TERMINADO</v>
      </c>
      <c r="CN153" s="82"/>
      <c r="CO153" s="145" t="s">
        <v>1424</v>
      </c>
      <c r="CP153" s="83" t="s">
        <v>1424</v>
      </c>
    </row>
    <row r="154" spans="1:96" ht="24.75" customHeight="1">
      <c r="A154" s="48" t="s">
        <v>1436</v>
      </c>
      <c r="B154" s="77" t="s">
        <v>1437</v>
      </c>
      <c r="C154" s="17" t="s">
        <v>104</v>
      </c>
      <c r="D154" s="18" t="s">
        <v>1438</v>
      </c>
      <c r="E154" s="17" t="s">
        <v>106</v>
      </c>
      <c r="F154" s="17" t="s">
        <v>107</v>
      </c>
      <c r="G154" s="17" t="s">
        <v>108</v>
      </c>
      <c r="H154" s="78">
        <v>1020715690</v>
      </c>
      <c r="I154" s="74" t="s">
        <v>1439</v>
      </c>
      <c r="J154" s="16"/>
      <c r="K154" s="16"/>
      <c r="L154" s="96" t="s">
        <v>1440</v>
      </c>
      <c r="M154" s="16" t="s">
        <v>111</v>
      </c>
      <c r="N154" s="22">
        <v>45306</v>
      </c>
      <c r="O154" s="22">
        <v>45310</v>
      </c>
      <c r="P154" s="22">
        <v>45656</v>
      </c>
      <c r="Q154" s="23">
        <f t="shared" si="54"/>
        <v>346</v>
      </c>
      <c r="R154" s="17" t="s">
        <v>242</v>
      </c>
      <c r="S154" s="110" t="s">
        <v>1441</v>
      </c>
      <c r="T154" s="16" t="s">
        <v>1128</v>
      </c>
      <c r="U154" s="67">
        <v>74666667</v>
      </c>
      <c r="V154" s="16" t="s">
        <v>815</v>
      </c>
      <c r="W154" s="224">
        <v>74666667</v>
      </c>
      <c r="X154" s="24">
        <v>6400000</v>
      </c>
      <c r="Y154" s="24"/>
      <c r="Z154" s="24"/>
      <c r="AA154" s="17" t="s">
        <v>116</v>
      </c>
      <c r="AB154" s="23" t="str">
        <f>IFERROR(VLOOKUP(AA154,Listas!$A$1:$C$14,2,FALSE),"")</f>
        <v>FREDY CÉSPEDES VILLA</v>
      </c>
      <c r="AC154" s="23">
        <f>IFERROR(VLOOKUP(AA154,Listas!$A$1:$C$14,3,FALSE),"")</f>
        <v>93363483</v>
      </c>
      <c r="AD154" s="17" t="s">
        <v>816</v>
      </c>
      <c r="AE154" s="17" t="s">
        <v>817</v>
      </c>
      <c r="AF154" s="23" t="str">
        <f>IFERROR(VLOOKUP(AE154,Listas!$AD$1:$AF$66,2,FALSE),"")</f>
        <v>JOSÉ EDUARDO PARADA JIMÉNEZ</v>
      </c>
      <c r="AG154" s="23">
        <f>IFERROR(VLOOKUP(AE154,Listas!$AD$1:$AF$65,3,FALSE),"")</f>
        <v>79434805</v>
      </c>
      <c r="AH154" s="17" t="s">
        <v>118</v>
      </c>
      <c r="AI154" s="65" t="s">
        <v>1442</v>
      </c>
      <c r="AJ154" s="25" t="s">
        <v>119</v>
      </c>
      <c r="AK154" s="26" t="s">
        <v>120</v>
      </c>
      <c r="AL154" s="26" t="s">
        <v>120</v>
      </c>
      <c r="AM154" s="90" t="s">
        <v>119</v>
      </c>
      <c r="AN154" s="105">
        <v>31582</v>
      </c>
      <c r="AO154" s="91">
        <f t="shared" ca="1" si="66"/>
        <v>39</v>
      </c>
      <c r="AP154" s="26" t="s">
        <v>121</v>
      </c>
      <c r="AQ154" s="26" t="s">
        <v>819</v>
      </c>
      <c r="AR154" s="89"/>
      <c r="AS154" s="27"/>
      <c r="AT154" s="16"/>
      <c r="AU154" s="27"/>
      <c r="AV154" s="86"/>
      <c r="AW154" s="27"/>
      <c r="AX154" s="27"/>
      <c r="AY154" s="27"/>
      <c r="AZ154" s="27"/>
      <c r="BA154" s="27"/>
      <c r="BB154" s="27"/>
      <c r="BC154" s="97"/>
      <c r="BD154" s="27"/>
      <c r="BE154" s="16"/>
      <c r="BF154" s="28">
        <f t="shared" si="55"/>
        <v>0</v>
      </c>
      <c r="BG154" s="29"/>
      <c r="BH154" s="27"/>
      <c r="BI154" s="30">
        <f t="shared" si="56"/>
        <v>346</v>
      </c>
      <c r="BJ154" s="31">
        <f t="shared" si="57"/>
        <v>45656</v>
      </c>
      <c r="BK154" s="27"/>
      <c r="BL154" s="16"/>
      <c r="BM154" s="27"/>
      <c r="BN154" s="16"/>
      <c r="BO154" s="27"/>
      <c r="BP154" s="16"/>
      <c r="BQ154" s="27"/>
      <c r="BR154" s="24"/>
      <c r="BS154" s="24"/>
      <c r="BT154" s="32"/>
      <c r="BU154" s="27"/>
      <c r="BV154" s="24"/>
      <c r="BW154" s="24"/>
      <c r="BX154" s="16"/>
      <c r="BY154" s="27"/>
      <c r="BZ154" s="24"/>
      <c r="CA154" s="24"/>
      <c r="CB154" s="16"/>
      <c r="CC154" s="49">
        <f t="shared" si="58"/>
        <v>0</v>
      </c>
      <c r="CD154" s="24"/>
      <c r="CE154" s="49">
        <f t="shared" si="67"/>
        <v>74666667</v>
      </c>
      <c r="CF154" s="50"/>
      <c r="CG154" s="49">
        <f t="shared" ca="1" si="60"/>
        <v>74666667</v>
      </c>
      <c r="CH154" s="33">
        <f t="shared" ca="1" si="61"/>
        <v>1</v>
      </c>
      <c r="CI154" s="33">
        <f t="shared" ca="1" si="62"/>
        <v>1</v>
      </c>
      <c r="CJ154" s="36">
        <f t="shared" ca="1" si="63"/>
        <v>100</v>
      </c>
      <c r="CK154" s="34">
        <f t="shared" si="64"/>
        <v>0</v>
      </c>
      <c r="CL154" s="21"/>
      <c r="CM154" s="35" t="str">
        <f t="shared" ca="1" si="65"/>
        <v>TERMINADO</v>
      </c>
      <c r="CN154" s="82"/>
      <c r="CO154" s="145" t="s">
        <v>1443</v>
      </c>
      <c r="CP154" s="26" t="s">
        <v>123</v>
      </c>
    </row>
    <row r="155" spans="1:96" ht="24.75" customHeight="1">
      <c r="A155" s="48" t="s">
        <v>1444</v>
      </c>
      <c r="B155" s="77" t="s">
        <v>1445</v>
      </c>
      <c r="C155" s="17" t="s">
        <v>104</v>
      </c>
      <c r="D155" s="18" t="s">
        <v>1446</v>
      </c>
      <c r="E155" s="17" t="s">
        <v>106</v>
      </c>
      <c r="F155" s="17" t="s">
        <v>107</v>
      </c>
      <c r="G155" s="17" t="s">
        <v>108</v>
      </c>
      <c r="H155" s="78">
        <v>69007370</v>
      </c>
      <c r="I155" s="74" t="s">
        <v>1447</v>
      </c>
      <c r="J155" s="16"/>
      <c r="K155" s="16"/>
      <c r="L155" s="96" t="s">
        <v>1448</v>
      </c>
      <c r="M155" s="16" t="s">
        <v>111</v>
      </c>
      <c r="N155" s="22">
        <v>45306</v>
      </c>
      <c r="O155" s="22">
        <v>45308</v>
      </c>
      <c r="P155" s="22">
        <v>45656</v>
      </c>
      <c r="Q155" s="23">
        <f t="shared" si="54"/>
        <v>348</v>
      </c>
      <c r="R155" s="17" t="s">
        <v>242</v>
      </c>
      <c r="S155" s="110" t="s">
        <v>1449</v>
      </c>
      <c r="T155" s="16" t="s">
        <v>1128</v>
      </c>
      <c r="U155" s="67">
        <v>175000000</v>
      </c>
      <c r="V155" s="16" t="s">
        <v>815</v>
      </c>
      <c r="W155" s="224">
        <v>175000000</v>
      </c>
      <c r="X155" s="24">
        <v>15000000</v>
      </c>
      <c r="Y155" s="24"/>
      <c r="Z155" s="24"/>
      <c r="AA155" s="17" t="s">
        <v>116</v>
      </c>
      <c r="AB155" s="23" t="str">
        <f>IFERROR(VLOOKUP(AA155,Listas!$A$1:$C$14,2,FALSE),"")</f>
        <v>FREDY CÉSPEDES VILLA</v>
      </c>
      <c r="AC155" s="23">
        <f>IFERROR(VLOOKUP(AA155,Listas!$A$1:$C$14,3,FALSE),"")</f>
        <v>93363483</v>
      </c>
      <c r="AD155" s="17" t="s">
        <v>816</v>
      </c>
      <c r="AE155" s="17" t="s">
        <v>1450</v>
      </c>
      <c r="AF155" s="23" t="str">
        <f>IFERROR(VLOOKUP(AE155,Listas!$AD$1:$AF$66,2,FALSE),"")</f>
        <v>LINA MARIA CRUZ SILVA</v>
      </c>
      <c r="AG155" s="23">
        <f>IFERROR(VLOOKUP(AE155,Listas!$AD$1:$AF$65,3,FALSE),"")</f>
        <v>52423537</v>
      </c>
      <c r="AH155" s="17" t="s">
        <v>118</v>
      </c>
      <c r="AI155" s="65" t="s">
        <v>1451</v>
      </c>
      <c r="AJ155" s="25" t="s">
        <v>119</v>
      </c>
      <c r="AK155" s="26" t="s">
        <v>120</v>
      </c>
      <c r="AL155" s="26" t="s">
        <v>120</v>
      </c>
      <c r="AM155" s="90" t="s">
        <v>119</v>
      </c>
      <c r="AN155" s="105">
        <v>28583</v>
      </c>
      <c r="AO155" s="91">
        <f t="shared" ca="1" si="66"/>
        <v>47</v>
      </c>
      <c r="AP155" s="26" t="s">
        <v>121</v>
      </c>
      <c r="AQ155" s="26" t="s">
        <v>515</v>
      </c>
      <c r="AR155" s="89"/>
      <c r="AS155" s="27"/>
      <c r="AT155" s="16"/>
      <c r="AU155" s="27"/>
      <c r="AV155" s="86"/>
      <c r="AW155" s="27"/>
      <c r="AX155" s="27"/>
      <c r="AY155" s="27"/>
      <c r="AZ155" s="27"/>
      <c r="BA155" s="27"/>
      <c r="BB155" s="27"/>
      <c r="BC155" s="97"/>
      <c r="BD155" s="27"/>
      <c r="BE155" s="16"/>
      <c r="BF155" s="28">
        <f t="shared" si="55"/>
        <v>0</v>
      </c>
      <c r="BG155" s="29"/>
      <c r="BH155" s="27"/>
      <c r="BI155" s="30">
        <f t="shared" si="56"/>
        <v>348</v>
      </c>
      <c r="BJ155" s="31">
        <f t="shared" si="57"/>
        <v>45656</v>
      </c>
      <c r="BK155" s="27"/>
      <c r="BL155" s="16"/>
      <c r="BM155" s="27"/>
      <c r="BN155" s="16"/>
      <c r="BO155" s="27"/>
      <c r="BP155" s="16"/>
      <c r="BQ155" s="27"/>
      <c r="BR155" s="24"/>
      <c r="BS155" s="24"/>
      <c r="BT155" s="32"/>
      <c r="BU155" s="27"/>
      <c r="BV155" s="24"/>
      <c r="BW155" s="24"/>
      <c r="BX155" s="16"/>
      <c r="BY155" s="27"/>
      <c r="BZ155" s="24"/>
      <c r="CA155" s="24"/>
      <c r="CB155" s="16"/>
      <c r="CC155" s="49">
        <f t="shared" si="58"/>
        <v>0</v>
      </c>
      <c r="CD155" s="24"/>
      <c r="CE155" s="49">
        <f t="shared" si="67"/>
        <v>175000000</v>
      </c>
      <c r="CF155" s="50"/>
      <c r="CG155" s="49">
        <f t="shared" ca="1" si="60"/>
        <v>175000000</v>
      </c>
      <c r="CH155" s="33">
        <f t="shared" ca="1" si="61"/>
        <v>1</v>
      </c>
      <c r="CI155" s="33">
        <f t="shared" ca="1" si="62"/>
        <v>1</v>
      </c>
      <c r="CJ155" s="36">
        <f t="shared" ca="1" si="63"/>
        <v>100</v>
      </c>
      <c r="CK155" s="34">
        <f t="shared" si="64"/>
        <v>0</v>
      </c>
      <c r="CL155" s="21"/>
      <c r="CM155" s="35" t="str">
        <f t="shared" ca="1" si="65"/>
        <v>TERMINADO</v>
      </c>
      <c r="CN155" s="82"/>
      <c r="CO155" s="145" t="s">
        <v>1452</v>
      </c>
      <c r="CP155" s="26" t="s">
        <v>123</v>
      </c>
      <c r="CR155" s="83" t="s">
        <v>1453</v>
      </c>
    </row>
    <row r="156" spans="1:96" ht="24.75" customHeight="1">
      <c r="A156" s="48" t="s">
        <v>1454</v>
      </c>
      <c r="B156" s="77" t="s">
        <v>1455</v>
      </c>
      <c r="C156" s="17" t="s">
        <v>104</v>
      </c>
      <c r="D156" s="18" t="s">
        <v>1456</v>
      </c>
      <c r="E156" s="17" t="s">
        <v>106</v>
      </c>
      <c r="F156" s="17" t="s">
        <v>107</v>
      </c>
      <c r="G156" s="17" t="s">
        <v>108</v>
      </c>
      <c r="H156" s="78">
        <v>52252727</v>
      </c>
      <c r="I156" s="74" t="s">
        <v>1457</v>
      </c>
      <c r="J156" s="16"/>
      <c r="K156" s="16"/>
      <c r="L156" s="96" t="s">
        <v>1458</v>
      </c>
      <c r="M156" s="16" t="s">
        <v>111</v>
      </c>
      <c r="N156" s="22">
        <v>45308</v>
      </c>
      <c r="O156" s="22">
        <v>45309</v>
      </c>
      <c r="P156" s="22">
        <v>45656</v>
      </c>
      <c r="Q156" s="23">
        <f t="shared" si="54"/>
        <v>347</v>
      </c>
      <c r="R156" s="17" t="s">
        <v>242</v>
      </c>
      <c r="S156" s="110" t="s">
        <v>1459</v>
      </c>
      <c r="T156" s="16" t="s">
        <v>1460</v>
      </c>
      <c r="U156" s="67">
        <v>140414400</v>
      </c>
      <c r="V156" s="16" t="s">
        <v>606</v>
      </c>
      <c r="W156" s="224">
        <v>140414400</v>
      </c>
      <c r="X156" s="24">
        <v>11701200</v>
      </c>
      <c r="Y156" s="24"/>
      <c r="Z156" s="24"/>
      <c r="AA156" s="17" t="s">
        <v>116</v>
      </c>
      <c r="AB156" s="23" t="str">
        <f>IFERROR(VLOOKUP(AA156,Listas!$A$1:$C$14,2,FALSE),"")</f>
        <v>FREDY CÉSPEDES VILLA</v>
      </c>
      <c r="AC156" s="23">
        <f>IFERROR(VLOOKUP(AA156,Listas!$A$1:$C$14,3,FALSE),"")</f>
        <v>93363483</v>
      </c>
      <c r="AD156" s="17" t="s">
        <v>607</v>
      </c>
      <c r="AE156" s="17" t="s">
        <v>1155</v>
      </c>
      <c r="AF156" s="23" t="str">
        <f>IFERROR(VLOOKUP(AE156,Listas!$AD$1:$AF$66,2,FALSE),"")</f>
        <v>MARÍA FRANCISCA CEPEDA QUINTERO</v>
      </c>
      <c r="AG156" s="23">
        <f>IFERROR(VLOOKUP(AE156,Listas!$AD$1:$AF$65,3,FALSE),"")</f>
        <v>53062608</v>
      </c>
      <c r="AH156" s="17" t="s">
        <v>118</v>
      </c>
      <c r="AI156" s="65"/>
      <c r="AJ156" s="25" t="s">
        <v>119</v>
      </c>
      <c r="AK156" s="26" t="s">
        <v>120</v>
      </c>
      <c r="AL156" s="26" t="s">
        <v>120</v>
      </c>
      <c r="AM156" s="90" t="s">
        <v>119</v>
      </c>
      <c r="AN156" s="105">
        <v>27239</v>
      </c>
      <c r="AO156" s="91">
        <f t="shared" ca="1" si="66"/>
        <v>51</v>
      </c>
      <c r="AP156" s="26" t="s">
        <v>121</v>
      </c>
      <c r="AQ156" s="26" t="s">
        <v>486</v>
      </c>
      <c r="AR156" s="89">
        <v>45329</v>
      </c>
      <c r="AS156" s="27" t="s">
        <v>1461</v>
      </c>
      <c r="AT156" s="16">
        <v>1010122359</v>
      </c>
      <c r="AU156" s="27" t="s">
        <v>1462</v>
      </c>
      <c r="AV156" s="86">
        <v>132613200</v>
      </c>
      <c r="AW156" s="27"/>
      <c r="AX156" s="27"/>
      <c r="AY156" s="27"/>
      <c r="AZ156" s="27"/>
      <c r="BA156" s="27"/>
      <c r="BB156" s="27"/>
      <c r="BC156" s="97"/>
      <c r="BD156" s="27"/>
      <c r="BE156" s="16"/>
      <c r="BF156" s="28">
        <f t="shared" si="55"/>
        <v>0</v>
      </c>
      <c r="BG156" s="29"/>
      <c r="BH156" s="27"/>
      <c r="BI156" s="30">
        <f t="shared" si="56"/>
        <v>347</v>
      </c>
      <c r="BJ156" s="31">
        <f t="shared" si="57"/>
        <v>45656</v>
      </c>
      <c r="BK156" s="27"/>
      <c r="BL156" s="16"/>
      <c r="BM156" s="27"/>
      <c r="BN156" s="16"/>
      <c r="BO156" s="27"/>
      <c r="BP156" s="16"/>
      <c r="BQ156" s="27"/>
      <c r="BR156" s="24"/>
      <c r="BS156" s="24"/>
      <c r="BT156" s="32"/>
      <c r="BU156" s="27"/>
      <c r="BV156" s="24"/>
      <c r="BW156" s="24"/>
      <c r="BX156" s="16"/>
      <c r="BY156" s="27"/>
      <c r="BZ156" s="24"/>
      <c r="CA156" s="24"/>
      <c r="CB156" s="16"/>
      <c r="CC156" s="49">
        <f t="shared" si="58"/>
        <v>0</v>
      </c>
      <c r="CD156" s="24"/>
      <c r="CE156" s="49">
        <f t="shared" si="67"/>
        <v>140414400</v>
      </c>
      <c r="CF156" s="50"/>
      <c r="CG156" s="49">
        <f t="shared" ca="1" si="60"/>
        <v>140414400</v>
      </c>
      <c r="CH156" s="33">
        <f t="shared" ca="1" si="61"/>
        <v>1</v>
      </c>
      <c r="CI156" s="33">
        <f t="shared" ca="1" si="62"/>
        <v>1</v>
      </c>
      <c r="CJ156" s="36">
        <f t="shared" ca="1" si="63"/>
        <v>100</v>
      </c>
      <c r="CK156" s="34">
        <f t="shared" si="64"/>
        <v>0</v>
      </c>
      <c r="CL156" s="21"/>
      <c r="CM156" s="35" t="str">
        <f t="shared" ca="1" si="65"/>
        <v>TERMINADO</v>
      </c>
      <c r="CN156" s="82"/>
      <c r="CO156" s="145" t="s">
        <v>1463</v>
      </c>
      <c r="CP156" s="26" t="s">
        <v>123</v>
      </c>
    </row>
    <row r="157" spans="1:96" ht="24.75" customHeight="1">
      <c r="A157" s="48" t="s">
        <v>1464</v>
      </c>
      <c r="B157" s="77" t="s">
        <v>1465</v>
      </c>
      <c r="C157" s="17" t="s">
        <v>104</v>
      </c>
      <c r="D157" s="18" t="s">
        <v>1466</v>
      </c>
      <c r="E157" s="17" t="s">
        <v>106</v>
      </c>
      <c r="F157" s="17" t="s">
        <v>107</v>
      </c>
      <c r="G157" s="17" t="s">
        <v>108</v>
      </c>
      <c r="H157" s="78">
        <v>1026568683</v>
      </c>
      <c r="I157" s="74" t="s">
        <v>1467</v>
      </c>
      <c r="J157" s="16"/>
      <c r="K157" s="16"/>
      <c r="L157" s="20" t="s">
        <v>1468</v>
      </c>
      <c r="M157" s="16" t="s">
        <v>111</v>
      </c>
      <c r="N157" s="22">
        <v>45306</v>
      </c>
      <c r="O157" s="22">
        <v>45310</v>
      </c>
      <c r="P157" s="22">
        <v>45656</v>
      </c>
      <c r="Q157" s="23">
        <f t="shared" si="54"/>
        <v>346</v>
      </c>
      <c r="R157" s="17" t="s">
        <v>242</v>
      </c>
      <c r="S157" s="110" t="s">
        <v>1469</v>
      </c>
      <c r="T157" s="16" t="s">
        <v>1470</v>
      </c>
      <c r="U157" s="67">
        <v>145220976</v>
      </c>
      <c r="V157" s="16" t="s">
        <v>1212</v>
      </c>
      <c r="W157" s="224">
        <v>145220976</v>
      </c>
      <c r="X157" s="24">
        <v>12101748</v>
      </c>
      <c r="Y157" s="24"/>
      <c r="Z157" s="24"/>
      <c r="AA157" s="17" t="s">
        <v>116</v>
      </c>
      <c r="AB157" s="23" t="str">
        <f>IFERROR(VLOOKUP(AA157,Listas!$A$1:$C$14,2,FALSE),"")</f>
        <v>FREDY CÉSPEDES VILLA</v>
      </c>
      <c r="AC157" s="23">
        <f>IFERROR(VLOOKUP(AA157,Listas!$A$1:$C$14,3,FALSE),"")</f>
        <v>93363483</v>
      </c>
      <c r="AD157" s="17" t="s">
        <v>577</v>
      </c>
      <c r="AE157" s="17" t="s">
        <v>578</v>
      </c>
      <c r="AF157" s="23" t="str">
        <f>IFERROR(VLOOKUP(AE157,Listas!$AD$1:$AF$66,2,FALSE),"")</f>
        <v>EDGAR FABIO DÍAZ RAMIREZ</v>
      </c>
      <c r="AG157" s="23">
        <f>IFERROR(VLOOKUP(AE157,Listas!$AD$1:$AF$65,3,FALSE),"")</f>
        <v>79537198</v>
      </c>
      <c r="AH157" s="17" t="s">
        <v>118</v>
      </c>
      <c r="AI157" s="65" t="s">
        <v>1471</v>
      </c>
      <c r="AJ157" s="25" t="s">
        <v>119</v>
      </c>
      <c r="AK157" s="26" t="s">
        <v>120</v>
      </c>
      <c r="AL157" s="26" t="s">
        <v>120</v>
      </c>
      <c r="AM157" s="90" t="s">
        <v>119</v>
      </c>
      <c r="AN157" s="105">
        <v>33502</v>
      </c>
      <c r="AO157" s="91">
        <f t="shared" ca="1" si="66"/>
        <v>34</v>
      </c>
      <c r="AP157" s="26" t="s">
        <v>121</v>
      </c>
      <c r="AQ157" s="26" t="s">
        <v>886</v>
      </c>
      <c r="AR157" s="89"/>
      <c r="AS157" s="27"/>
      <c r="AT157" s="16"/>
      <c r="AU157" s="27"/>
      <c r="AV157" s="86"/>
      <c r="AW157" s="27"/>
      <c r="AX157" s="27"/>
      <c r="AY157" s="27"/>
      <c r="AZ157" s="27"/>
      <c r="BA157" s="27"/>
      <c r="BB157" s="27"/>
      <c r="BC157" s="97"/>
      <c r="BD157" s="27"/>
      <c r="BE157" s="16"/>
      <c r="BF157" s="28">
        <f t="shared" si="55"/>
        <v>0</v>
      </c>
      <c r="BG157" s="29"/>
      <c r="BH157" s="27"/>
      <c r="BI157" s="30">
        <f t="shared" si="56"/>
        <v>346</v>
      </c>
      <c r="BJ157" s="31">
        <f t="shared" si="57"/>
        <v>45656</v>
      </c>
      <c r="BK157" s="27"/>
      <c r="BL157" s="16"/>
      <c r="BM157" s="27"/>
      <c r="BN157" s="16"/>
      <c r="BO157" s="27"/>
      <c r="BP157" s="16"/>
      <c r="BQ157" s="27"/>
      <c r="BR157" s="24"/>
      <c r="BS157" s="24"/>
      <c r="BT157" s="32"/>
      <c r="BU157" s="27"/>
      <c r="BV157" s="24"/>
      <c r="BW157" s="24"/>
      <c r="BX157" s="16"/>
      <c r="BY157" s="27"/>
      <c r="BZ157" s="24"/>
      <c r="CA157" s="24"/>
      <c r="CB157" s="16"/>
      <c r="CC157" s="49">
        <f t="shared" si="58"/>
        <v>0</v>
      </c>
      <c r="CD157" s="24"/>
      <c r="CE157" s="49">
        <f t="shared" si="67"/>
        <v>145220976</v>
      </c>
      <c r="CF157" s="50"/>
      <c r="CG157" s="49">
        <f t="shared" ca="1" si="60"/>
        <v>145220976</v>
      </c>
      <c r="CH157" s="33">
        <f t="shared" ca="1" si="61"/>
        <v>1</v>
      </c>
      <c r="CI157" s="33">
        <f t="shared" ca="1" si="62"/>
        <v>1</v>
      </c>
      <c r="CJ157" s="36">
        <f t="shared" ca="1" si="63"/>
        <v>100</v>
      </c>
      <c r="CK157" s="34">
        <f t="shared" si="64"/>
        <v>0</v>
      </c>
      <c r="CL157" s="21"/>
      <c r="CM157" s="35" t="str">
        <f t="shared" ca="1" si="65"/>
        <v>TERMINADO</v>
      </c>
      <c r="CN157" s="82"/>
      <c r="CO157" s="145" t="s">
        <v>1472</v>
      </c>
      <c r="CP157" s="26" t="s">
        <v>142</v>
      </c>
    </row>
    <row r="158" spans="1:96" ht="24.75" customHeight="1">
      <c r="A158" s="48" t="s">
        <v>1473</v>
      </c>
      <c r="B158" s="77" t="s">
        <v>1474</v>
      </c>
      <c r="C158" s="17" t="s">
        <v>104</v>
      </c>
      <c r="D158" s="18" t="s">
        <v>1475</v>
      </c>
      <c r="E158" s="17" t="s">
        <v>106</v>
      </c>
      <c r="F158" s="17" t="s">
        <v>107</v>
      </c>
      <c r="G158" s="17" t="s">
        <v>108</v>
      </c>
      <c r="H158" s="78">
        <v>52506382</v>
      </c>
      <c r="I158" s="74" t="s">
        <v>1476</v>
      </c>
      <c r="J158" s="16"/>
      <c r="K158" s="16"/>
      <c r="L158" s="20" t="s">
        <v>1477</v>
      </c>
      <c r="M158" s="16" t="s">
        <v>111</v>
      </c>
      <c r="N158" s="22">
        <v>45306</v>
      </c>
      <c r="O158" s="22">
        <v>45310</v>
      </c>
      <c r="P158" s="22">
        <v>45656</v>
      </c>
      <c r="Q158" s="23">
        <f t="shared" si="54"/>
        <v>346</v>
      </c>
      <c r="R158" s="17" t="s">
        <v>242</v>
      </c>
      <c r="S158" s="107" t="s">
        <v>1469</v>
      </c>
      <c r="T158" s="16" t="s">
        <v>1470</v>
      </c>
      <c r="U158" s="67">
        <v>108874380</v>
      </c>
      <c r="V158" s="16" t="s">
        <v>1212</v>
      </c>
      <c r="W158" s="224">
        <v>108874380</v>
      </c>
      <c r="X158" s="24">
        <v>9075865</v>
      </c>
      <c r="Y158" s="24"/>
      <c r="Z158" s="24"/>
      <c r="AA158" s="17" t="s">
        <v>116</v>
      </c>
      <c r="AB158" s="23" t="str">
        <f>IFERROR(VLOOKUP(AA158,Listas!$A$1:$C$14,2,FALSE),"")</f>
        <v>FREDY CÉSPEDES VILLA</v>
      </c>
      <c r="AC158" s="23">
        <f>IFERROR(VLOOKUP(AA158,Listas!$A$1:$C$14,3,FALSE),"")</f>
        <v>93363483</v>
      </c>
      <c r="AD158" s="17" t="s">
        <v>577</v>
      </c>
      <c r="AE158" s="17" t="s">
        <v>578</v>
      </c>
      <c r="AF158" s="23" t="str">
        <f>IFERROR(VLOOKUP(AE158,Listas!$AD$1:$AF$66,2,FALSE),"")</f>
        <v>EDGAR FABIO DÍAZ RAMIREZ</v>
      </c>
      <c r="AG158" s="23">
        <f>IFERROR(VLOOKUP(AE158,Listas!$AD$1:$AF$65,3,FALSE),"")</f>
        <v>79537198</v>
      </c>
      <c r="AH158" s="17" t="s">
        <v>118</v>
      </c>
      <c r="AI158" s="65" t="s">
        <v>1478</v>
      </c>
      <c r="AJ158" s="25" t="s">
        <v>119</v>
      </c>
      <c r="AK158" s="26" t="s">
        <v>120</v>
      </c>
      <c r="AL158" s="26" t="s">
        <v>120</v>
      </c>
      <c r="AM158" s="90" t="s">
        <v>119</v>
      </c>
      <c r="AN158" s="105">
        <v>28965</v>
      </c>
      <c r="AO158" s="91">
        <f t="shared" ca="1" si="66"/>
        <v>46</v>
      </c>
      <c r="AP158" s="26" t="s">
        <v>121</v>
      </c>
      <c r="AQ158" s="26" t="s">
        <v>886</v>
      </c>
      <c r="AR158" s="89"/>
      <c r="AS158" s="27"/>
      <c r="AT158" s="16"/>
      <c r="AU158" s="27"/>
      <c r="AV158" s="86"/>
      <c r="AW158" s="27"/>
      <c r="AX158" s="27"/>
      <c r="AY158" s="27"/>
      <c r="AZ158" s="27"/>
      <c r="BA158" s="27"/>
      <c r="BB158" s="27"/>
      <c r="BC158" s="97"/>
      <c r="BD158" s="27"/>
      <c r="BE158" s="16"/>
      <c r="BF158" s="28">
        <f t="shared" si="55"/>
        <v>0</v>
      </c>
      <c r="BG158" s="29"/>
      <c r="BH158" s="27"/>
      <c r="BI158" s="30">
        <f t="shared" si="56"/>
        <v>346</v>
      </c>
      <c r="BJ158" s="31">
        <f t="shared" si="57"/>
        <v>45656</v>
      </c>
      <c r="BK158" s="27"/>
      <c r="BL158" s="16"/>
      <c r="BM158" s="27"/>
      <c r="BN158" s="16"/>
      <c r="BO158" s="27"/>
      <c r="BP158" s="16"/>
      <c r="BQ158" s="27"/>
      <c r="BR158" s="24"/>
      <c r="BS158" s="24"/>
      <c r="BT158" s="32"/>
      <c r="BU158" s="27"/>
      <c r="BV158" s="24"/>
      <c r="BW158" s="24"/>
      <c r="BX158" s="16"/>
      <c r="BY158" s="27"/>
      <c r="BZ158" s="24"/>
      <c r="CA158" s="24"/>
      <c r="CB158" s="16"/>
      <c r="CC158" s="49">
        <f t="shared" si="58"/>
        <v>0</v>
      </c>
      <c r="CD158" s="24"/>
      <c r="CE158" s="49">
        <f t="shared" si="67"/>
        <v>108874380</v>
      </c>
      <c r="CF158" s="50"/>
      <c r="CG158" s="49">
        <f t="shared" ca="1" si="60"/>
        <v>108874380</v>
      </c>
      <c r="CH158" s="33">
        <f t="shared" ca="1" si="61"/>
        <v>1</v>
      </c>
      <c r="CI158" s="33">
        <f t="shared" ca="1" si="62"/>
        <v>1</v>
      </c>
      <c r="CJ158" s="36">
        <f t="shared" ca="1" si="63"/>
        <v>100</v>
      </c>
      <c r="CK158" s="34">
        <f t="shared" si="64"/>
        <v>0</v>
      </c>
      <c r="CL158" s="21"/>
      <c r="CM158" s="35" t="str">
        <f t="shared" ca="1" si="65"/>
        <v>TERMINADO</v>
      </c>
      <c r="CN158" s="82"/>
      <c r="CO158" s="145" t="s">
        <v>1479</v>
      </c>
      <c r="CP158" s="26" t="s">
        <v>123</v>
      </c>
    </row>
    <row r="159" spans="1:96" ht="24.75" customHeight="1">
      <c r="A159" s="48" t="s">
        <v>1480</v>
      </c>
      <c r="B159" s="77" t="s">
        <v>1481</v>
      </c>
      <c r="C159" s="17" t="s">
        <v>104</v>
      </c>
      <c r="D159" s="18" t="s">
        <v>1482</v>
      </c>
      <c r="E159" s="17" t="s">
        <v>106</v>
      </c>
      <c r="F159" s="17" t="s">
        <v>107</v>
      </c>
      <c r="G159" s="17" t="s">
        <v>108</v>
      </c>
      <c r="H159" s="78">
        <v>1095918006</v>
      </c>
      <c r="I159" s="74" t="s">
        <v>1483</v>
      </c>
      <c r="J159" s="16"/>
      <c r="K159" s="16"/>
      <c r="L159" s="20" t="s">
        <v>1484</v>
      </c>
      <c r="M159" s="16" t="s">
        <v>111</v>
      </c>
      <c r="N159" s="22">
        <v>45306</v>
      </c>
      <c r="O159" s="22">
        <v>45307</v>
      </c>
      <c r="P159" s="22">
        <v>45656</v>
      </c>
      <c r="Q159" s="23">
        <f t="shared" si="54"/>
        <v>349</v>
      </c>
      <c r="R159" s="17" t="s">
        <v>242</v>
      </c>
      <c r="S159" s="110" t="s">
        <v>1485</v>
      </c>
      <c r="T159" s="16" t="s">
        <v>1486</v>
      </c>
      <c r="U159" s="67">
        <v>94406842</v>
      </c>
      <c r="V159" s="16" t="s">
        <v>344</v>
      </c>
      <c r="W159" s="224">
        <v>94406842</v>
      </c>
      <c r="X159" s="24">
        <v>8092015</v>
      </c>
      <c r="Y159" s="24"/>
      <c r="Z159" s="24"/>
      <c r="AA159" s="17" t="s">
        <v>116</v>
      </c>
      <c r="AB159" s="23" t="str">
        <f>IFERROR(VLOOKUP(AA159,Listas!$A$1:$C$14,2,FALSE),"")</f>
        <v>FREDY CÉSPEDES VILLA</v>
      </c>
      <c r="AC159" s="23">
        <f>IFERROR(VLOOKUP(AA159,Listas!$A$1:$C$14,3,FALSE),"")</f>
        <v>93363483</v>
      </c>
      <c r="AD159" s="17" t="s">
        <v>345</v>
      </c>
      <c r="AE159" s="17" t="s">
        <v>632</v>
      </c>
      <c r="AF159" s="23" t="str">
        <f>IFERROR(VLOOKUP(AE159,Listas!$AD$1:$AF$66,2,FALSE),"")</f>
        <v>MANUEL ALBERTO LOZANO CARDONA</v>
      </c>
      <c r="AG159" s="23">
        <f>IFERROR(VLOOKUP(AE159,Listas!$AD$1:$AF$65,3,FALSE),"")</f>
        <v>79940034</v>
      </c>
      <c r="AH159" s="17" t="s">
        <v>118</v>
      </c>
      <c r="AI159" s="65" t="s">
        <v>1487</v>
      </c>
      <c r="AJ159" s="25" t="s">
        <v>119</v>
      </c>
      <c r="AK159" s="26" t="s">
        <v>120</v>
      </c>
      <c r="AL159" s="26" t="s">
        <v>120</v>
      </c>
      <c r="AM159" s="90" t="s">
        <v>119</v>
      </c>
      <c r="AN159" s="105">
        <v>32444</v>
      </c>
      <c r="AO159" s="91">
        <f t="shared" ca="1" si="66"/>
        <v>37</v>
      </c>
      <c r="AP159" s="26" t="s">
        <v>121</v>
      </c>
      <c r="AQ159" s="26" t="s">
        <v>347</v>
      </c>
      <c r="AR159" s="89"/>
      <c r="AS159" s="27"/>
      <c r="AT159" s="16"/>
      <c r="AU159" s="27"/>
      <c r="AV159" s="86"/>
      <c r="AW159" s="27"/>
      <c r="AX159" s="27"/>
      <c r="AY159" s="27"/>
      <c r="AZ159" s="27"/>
      <c r="BA159" s="27"/>
      <c r="BB159" s="27"/>
      <c r="BC159" s="97"/>
      <c r="BD159" s="27"/>
      <c r="BE159" s="16"/>
      <c r="BF159" s="28">
        <f t="shared" si="55"/>
        <v>0</v>
      </c>
      <c r="BG159" s="29"/>
      <c r="BH159" s="27">
        <v>45467</v>
      </c>
      <c r="BI159" s="30">
        <f t="shared" si="56"/>
        <v>349</v>
      </c>
      <c r="BJ159" s="31">
        <f t="shared" si="57"/>
        <v>45467</v>
      </c>
      <c r="BK159" s="27"/>
      <c r="BL159" s="16"/>
      <c r="BM159" s="27"/>
      <c r="BN159" s="16"/>
      <c r="BO159" s="27"/>
      <c r="BP159" s="16"/>
      <c r="BQ159" s="27"/>
      <c r="BR159" s="24"/>
      <c r="BS159" s="24"/>
      <c r="BT159" s="32"/>
      <c r="BU159" s="27"/>
      <c r="BV159" s="24"/>
      <c r="BW159" s="24"/>
      <c r="BX159" s="16"/>
      <c r="BY159" s="27"/>
      <c r="BZ159" s="24"/>
      <c r="CA159" s="24"/>
      <c r="CB159" s="16"/>
      <c r="CC159" s="49">
        <f t="shared" si="58"/>
        <v>0</v>
      </c>
      <c r="CD159" s="24"/>
      <c r="CE159" s="49">
        <f t="shared" si="67"/>
        <v>94406842</v>
      </c>
      <c r="CF159" s="50"/>
      <c r="CG159" s="49">
        <f t="shared" ca="1" si="60"/>
        <v>94406842</v>
      </c>
      <c r="CH159" s="33">
        <f t="shared" ca="1" si="61"/>
        <v>1</v>
      </c>
      <c r="CI159" s="33">
        <f t="shared" ca="1" si="62"/>
        <v>1</v>
      </c>
      <c r="CJ159" s="36">
        <f t="shared" ca="1" si="63"/>
        <v>100</v>
      </c>
      <c r="CK159" s="34">
        <f t="shared" si="64"/>
        <v>0</v>
      </c>
      <c r="CL159" s="21"/>
      <c r="CM159" s="35" t="str">
        <f t="shared" ca="1" si="65"/>
        <v>TERMINADO</v>
      </c>
      <c r="CN159" s="82"/>
      <c r="CO159" s="145" t="s">
        <v>1488</v>
      </c>
      <c r="CP159" s="26" t="s">
        <v>123</v>
      </c>
    </row>
    <row r="160" spans="1:96" ht="24.75" customHeight="1">
      <c r="A160" s="48" t="s">
        <v>1489</v>
      </c>
      <c r="B160" s="77" t="s">
        <v>1490</v>
      </c>
      <c r="C160" s="17" t="s">
        <v>104</v>
      </c>
      <c r="D160" s="18" t="s">
        <v>1491</v>
      </c>
      <c r="E160" s="17" t="s">
        <v>106</v>
      </c>
      <c r="F160" s="17" t="s">
        <v>107</v>
      </c>
      <c r="G160" s="17" t="s">
        <v>108</v>
      </c>
      <c r="H160" s="78">
        <v>39582639</v>
      </c>
      <c r="I160" s="74" t="s">
        <v>1492</v>
      </c>
      <c r="J160" s="16"/>
      <c r="K160" s="16"/>
      <c r="L160" s="20" t="s">
        <v>1493</v>
      </c>
      <c r="M160" s="16" t="s">
        <v>111</v>
      </c>
      <c r="N160" s="22">
        <v>45307</v>
      </c>
      <c r="O160" s="22">
        <v>45309</v>
      </c>
      <c r="P160" s="22">
        <v>45656</v>
      </c>
      <c r="Q160" s="23">
        <f t="shared" si="54"/>
        <v>347</v>
      </c>
      <c r="R160" s="17" t="s">
        <v>112</v>
      </c>
      <c r="S160" s="110" t="s">
        <v>1494</v>
      </c>
      <c r="T160" s="16" t="s">
        <v>1495</v>
      </c>
      <c r="U160" s="67">
        <v>93000000</v>
      </c>
      <c r="V160" s="16" t="s">
        <v>1418</v>
      </c>
      <c r="W160" s="224">
        <v>93000000</v>
      </c>
      <c r="X160" s="24">
        <v>7750000</v>
      </c>
      <c r="Y160" s="24"/>
      <c r="Z160" s="24"/>
      <c r="AA160" s="17" t="s">
        <v>116</v>
      </c>
      <c r="AB160" s="23" t="str">
        <f>IFERROR(VLOOKUP(AA160,Listas!$A$1:$C$14,2,FALSE),"")</f>
        <v>FREDY CÉSPEDES VILLA</v>
      </c>
      <c r="AC160" s="23">
        <f>IFERROR(VLOOKUP(AA160,Listas!$A$1:$C$14,3,FALSE),"")</f>
        <v>93363483</v>
      </c>
      <c r="AD160" s="17" t="s">
        <v>116</v>
      </c>
      <c r="AE160" s="17" t="s">
        <v>484</v>
      </c>
      <c r="AF160" s="23" t="str">
        <f>IFERROR(VLOOKUP(AE160,Listas!$AD$1:$AF$66,2,FALSE),"")</f>
        <v>JAIME ANDRES GIL ACOSTA</v>
      </c>
      <c r="AG160" s="23">
        <f>IFERROR(VLOOKUP(AE160,Listas!$AD$1:$AF$65,3,FALSE),"")</f>
        <v>98622827</v>
      </c>
      <c r="AH160" s="17" t="s">
        <v>118</v>
      </c>
      <c r="AI160" s="65" t="s">
        <v>1496</v>
      </c>
      <c r="AJ160" s="25" t="s">
        <v>119</v>
      </c>
      <c r="AK160" s="26" t="s">
        <v>120</v>
      </c>
      <c r="AL160" s="26" t="s">
        <v>120</v>
      </c>
      <c r="AM160" s="90" t="s">
        <v>119</v>
      </c>
      <c r="AN160" s="105">
        <v>30731</v>
      </c>
      <c r="AO160" s="91">
        <f t="shared" ca="1" si="66"/>
        <v>41</v>
      </c>
      <c r="AP160" s="26" t="s">
        <v>121</v>
      </c>
      <c r="AQ160" s="26" t="s">
        <v>486</v>
      </c>
      <c r="AR160" s="89"/>
      <c r="AS160" s="27"/>
      <c r="AT160" s="16"/>
      <c r="AU160" s="27"/>
      <c r="AV160" s="86"/>
      <c r="AW160" s="27"/>
      <c r="AX160" s="27"/>
      <c r="AY160" s="27"/>
      <c r="AZ160" s="27"/>
      <c r="BA160" s="27"/>
      <c r="BB160" s="27"/>
      <c r="BC160" s="97"/>
      <c r="BD160" s="27"/>
      <c r="BE160" s="16"/>
      <c r="BF160" s="28">
        <f t="shared" si="55"/>
        <v>0</v>
      </c>
      <c r="BG160" s="29"/>
      <c r="BH160" s="27"/>
      <c r="BI160" s="30">
        <f t="shared" si="56"/>
        <v>347</v>
      </c>
      <c r="BJ160" s="31">
        <f t="shared" si="57"/>
        <v>45656</v>
      </c>
      <c r="BK160" s="27"/>
      <c r="BL160" s="16"/>
      <c r="BM160" s="27"/>
      <c r="BN160" s="16"/>
      <c r="BO160" s="27"/>
      <c r="BP160" s="16"/>
      <c r="BQ160" s="27"/>
      <c r="BR160" s="24"/>
      <c r="BS160" s="24"/>
      <c r="BT160" s="32"/>
      <c r="BU160" s="27"/>
      <c r="BV160" s="24"/>
      <c r="BW160" s="24"/>
      <c r="BX160" s="16"/>
      <c r="BY160" s="27"/>
      <c r="BZ160" s="24"/>
      <c r="CA160" s="24"/>
      <c r="CB160" s="16"/>
      <c r="CC160" s="49">
        <f t="shared" si="58"/>
        <v>0</v>
      </c>
      <c r="CD160" s="24"/>
      <c r="CE160" s="49">
        <f t="shared" si="67"/>
        <v>93000000</v>
      </c>
      <c r="CF160" s="50"/>
      <c r="CG160" s="49">
        <f t="shared" ca="1" si="60"/>
        <v>93000000</v>
      </c>
      <c r="CH160" s="33">
        <f t="shared" ca="1" si="61"/>
        <v>1</v>
      </c>
      <c r="CI160" s="33">
        <f t="shared" ca="1" si="62"/>
        <v>1</v>
      </c>
      <c r="CJ160" s="36">
        <f t="shared" ca="1" si="63"/>
        <v>100</v>
      </c>
      <c r="CK160" s="34">
        <f t="shared" si="64"/>
        <v>0</v>
      </c>
      <c r="CL160" s="21"/>
      <c r="CM160" s="35" t="str">
        <f t="shared" ca="1" si="65"/>
        <v>TERMINADO</v>
      </c>
      <c r="CN160" s="82"/>
      <c r="CO160" s="145" t="s">
        <v>1497</v>
      </c>
      <c r="CP160" s="26" t="s">
        <v>123</v>
      </c>
    </row>
    <row r="161" spans="1:98" ht="24.75" customHeight="1">
      <c r="A161" s="48" t="s">
        <v>1498</v>
      </c>
      <c r="B161" s="77" t="s">
        <v>1499</v>
      </c>
      <c r="C161" s="17" t="s">
        <v>104</v>
      </c>
      <c r="D161" s="18" t="s">
        <v>1500</v>
      </c>
      <c r="E161" s="17" t="s">
        <v>106</v>
      </c>
      <c r="F161" s="17" t="s">
        <v>107</v>
      </c>
      <c r="G161" s="17" t="s">
        <v>108</v>
      </c>
      <c r="H161" s="78">
        <v>1102358069</v>
      </c>
      <c r="I161" s="74" t="s">
        <v>1501</v>
      </c>
      <c r="J161" s="16"/>
      <c r="K161" s="16"/>
      <c r="L161" s="20" t="s">
        <v>1502</v>
      </c>
      <c r="M161" s="16" t="s">
        <v>111</v>
      </c>
      <c r="N161" s="22">
        <v>45307</v>
      </c>
      <c r="O161" s="22">
        <v>45308</v>
      </c>
      <c r="P161" s="22">
        <v>45565</v>
      </c>
      <c r="Q161" s="23">
        <f t="shared" si="54"/>
        <v>257</v>
      </c>
      <c r="R161" s="17" t="s">
        <v>242</v>
      </c>
      <c r="S161" s="110" t="s">
        <v>1503</v>
      </c>
      <c r="T161" s="16" t="s">
        <v>215</v>
      </c>
      <c r="U161" s="67">
        <v>145226400</v>
      </c>
      <c r="V161" s="16" t="s">
        <v>538</v>
      </c>
      <c r="W161" s="224">
        <v>123772500</v>
      </c>
      <c r="X161" s="24">
        <v>13752500</v>
      </c>
      <c r="Y161" s="24"/>
      <c r="Z161" s="24"/>
      <c r="AA161" s="17" t="s">
        <v>116</v>
      </c>
      <c r="AB161" s="23" t="str">
        <f>IFERROR(VLOOKUP(AA161,Listas!$A$1:$C$14,2,FALSE),"")</f>
        <v>FREDY CÉSPEDES VILLA</v>
      </c>
      <c r="AC161" s="23">
        <f>IFERROR(VLOOKUP(AA161,Listas!$A$1:$C$14,3,FALSE),"")</f>
        <v>93363483</v>
      </c>
      <c r="AD161" s="17" t="s">
        <v>217</v>
      </c>
      <c r="AE161" s="17" t="s">
        <v>265</v>
      </c>
      <c r="AF161" s="23" t="str">
        <f>IFERROR(VLOOKUP(AE161,Listas!$AD$1:$AF$66,2,FALSE),"")</f>
        <v>EDGAR ANTONIO GÓMEZ ÁLVAREZ</v>
      </c>
      <c r="AG161" s="23">
        <f>IFERROR(VLOOKUP(AE161,Listas!$AD$1:$AF$65,3,FALSE),"")</f>
        <v>2231755</v>
      </c>
      <c r="AH161" s="17" t="s">
        <v>118</v>
      </c>
      <c r="AI161" s="65" t="s">
        <v>1504</v>
      </c>
      <c r="AJ161" s="25" t="s">
        <v>119</v>
      </c>
      <c r="AK161" s="26" t="s">
        <v>120</v>
      </c>
      <c r="AL161" s="26" t="s">
        <v>120</v>
      </c>
      <c r="AM161" s="90" t="s">
        <v>119</v>
      </c>
      <c r="AN161" s="105">
        <v>32480</v>
      </c>
      <c r="AO161" s="91">
        <f t="shared" ca="1" si="66"/>
        <v>37</v>
      </c>
      <c r="AP161" s="26" t="s">
        <v>121</v>
      </c>
      <c r="AQ161" s="26" t="s">
        <v>220</v>
      </c>
      <c r="AR161" s="89"/>
      <c r="AS161" s="27"/>
      <c r="AT161" s="16"/>
      <c r="AU161" s="27"/>
      <c r="AV161" s="86"/>
      <c r="AW161" s="27"/>
      <c r="AX161" s="27"/>
      <c r="AY161" s="27"/>
      <c r="AZ161" s="27"/>
      <c r="BA161" s="27"/>
      <c r="BB161" s="236">
        <v>45565</v>
      </c>
      <c r="BC161" s="97">
        <v>92</v>
      </c>
      <c r="BD161" s="27"/>
      <c r="BE161" s="16"/>
      <c r="BF161" s="28">
        <f t="shared" si="55"/>
        <v>92</v>
      </c>
      <c r="BG161" s="29"/>
      <c r="BH161" s="27"/>
      <c r="BI161" s="30">
        <f t="shared" si="56"/>
        <v>349</v>
      </c>
      <c r="BJ161" s="31">
        <f t="shared" si="57"/>
        <v>45657</v>
      </c>
      <c r="BK161" s="27"/>
      <c r="BL161" s="16"/>
      <c r="BM161" s="27"/>
      <c r="BN161" s="16"/>
      <c r="BO161" s="27"/>
      <c r="BP161" s="16"/>
      <c r="BQ161" s="27">
        <v>45565</v>
      </c>
      <c r="BR161" s="24">
        <v>33922833</v>
      </c>
      <c r="BS161" t="s">
        <v>1505</v>
      </c>
      <c r="BT161" s="32" t="s">
        <v>1506</v>
      </c>
      <c r="BU161" s="27"/>
      <c r="BV161" s="24"/>
      <c r="BW161" s="24"/>
      <c r="BX161" s="16"/>
      <c r="BY161" s="27"/>
      <c r="BZ161" s="24"/>
      <c r="CA161" s="24"/>
      <c r="CB161" s="16"/>
      <c r="CC161" s="49">
        <f t="shared" si="58"/>
        <v>33922833</v>
      </c>
      <c r="CD161" s="24"/>
      <c r="CE161" s="49">
        <f t="shared" si="67"/>
        <v>157695333</v>
      </c>
      <c r="CF161" s="50"/>
      <c r="CG161" s="49">
        <f t="shared" ca="1" si="60"/>
        <v>157695333</v>
      </c>
      <c r="CH161" s="33">
        <f t="shared" ca="1" si="61"/>
        <v>1</v>
      </c>
      <c r="CI161" s="33">
        <f t="shared" ca="1" si="62"/>
        <v>1</v>
      </c>
      <c r="CJ161" s="36">
        <f t="shared" ca="1" si="63"/>
        <v>100</v>
      </c>
      <c r="CK161" s="34">
        <f t="shared" si="64"/>
        <v>0</v>
      </c>
      <c r="CL161" s="21"/>
      <c r="CM161" s="35" t="str">
        <f t="shared" ca="1" si="65"/>
        <v>TERMINADO</v>
      </c>
      <c r="CN161" s="82"/>
      <c r="CO161" s="145" t="s">
        <v>1507</v>
      </c>
      <c r="CP161" s="26" t="s">
        <v>142</v>
      </c>
    </row>
    <row r="162" spans="1:98" ht="24.75" customHeight="1">
      <c r="A162" s="48" t="s">
        <v>1508</v>
      </c>
      <c r="B162" s="77" t="s">
        <v>1509</v>
      </c>
      <c r="C162" s="17" t="s">
        <v>104</v>
      </c>
      <c r="D162" s="18" t="s">
        <v>1510</v>
      </c>
      <c r="E162" s="17" t="s">
        <v>106</v>
      </c>
      <c r="F162" s="17" t="s">
        <v>107</v>
      </c>
      <c r="G162" s="17" t="s">
        <v>108</v>
      </c>
      <c r="H162" s="78">
        <v>3402135</v>
      </c>
      <c r="I162" s="233" t="s">
        <v>1511</v>
      </c>
      <c r="J162" s="16"/>
      <c r="K162" s="16"/>
      <c r="L162" s="20" t="s">
        <v>492</v>
      </c>
      <c r="M162" s="16" t="s">
        <v>468</v>
      </c>
      <c r="N162" s="22">
        <v>45307</v>
      </c>
      <c r="O162" s="22">
        <v>45308</v>
      </c>
      <c r="P162" s="22">
        <v>45656</v>
      </c>
      <c r="Q162" s="23">
        <f t="shared" ref="Q162:Q170" si="68">P162-O162</f>
        <v>348</v>
      </c>
      <c r="R162" s="17" t="s">
        <v>242</v>
      </c>
      <c r="S162" s="110" t="s">
        <v>1512</v>
      </c>
      <c r="T162" s="16" t="s">
        <v>1345</v>
      </c>
      <c r="U162" s="67">
        <v>66268704</v>
      </c>
      <c r="V162" s="16" t="s">
        <v>344</v>
      </c>
      <c r="W162" s="224">
        <v>66268704</v>
      </c>
      <c r="X162" s="24">
        <v>5762496</v>
      </c>
      <c r="Y162" s="24"/>
      <c r="Z162" s="24"/>
      <c r="AA162" s="17" t="s">
        <v>116</v>
      </c>
      <c r="AB162" s="23" t="str">
        <f>IFERROR(VLOOKUP(AA162,Listas!$A$1:$C$14,2,FALSE),"")</f>
        <v>FREDY CÉSPEDES VILLA</v>
      </c>
      <c r="AC162" s="23">
        <f>IFERROR(VLOOKUP(AA162,Listas!$A$1:$C$14,3,FALSE),"")</f>
        <v>93363483</v>
      </c>
      <c r="AD162" s="17" t="s">
        <v>472</v>
      </c>
      <c r="AE162" s="17" t="s">
        <v>473</v>
      </c>
      <c r="AF162" s="23" t="str">
        <f>IFERROR(VLOOKUP(AE162,Listas!$AD$1:$AF$66,2,FALSE),"")</f>
        <v>DANIEL ALBERTO CASTAÑO LOPEZ</v>
      </c>
      <c r="AG162" s="23">
        <f>IFERROR(VLOOKUP(AE162,Listas!$AD$1:$AF$65,3,FALSE),"")</f>
        <v>7544385</v>
      </c>
      <c r="AH162" s="17" t="s">
        <v>118</v>
      </c>
      <c r="AI162" s="65" t="s">
        <v>1354</v>
      </c>
      <c r="AJ162" s="25" t="s">
        <v>119</v>
      </c>
      <c r="AK162" s="26" t="s">
        <v>120</v>
      </c>
      <c r="AL162" s="26" t="s">
        <v>120</v>
      </c>
      <c r="AM162" s="90" t="s">
        <v>119</v>
      </c>
      <c r="AN162" s="105">
        <v>30148</v>
      </c>
      <c r="AO162" s="91">
        <f t="shared" ca="1" si="66"/>
        <v>43</v>
      </c>
      <c r="AP162" s="26" t="s">
        <v>121</v>
      </c>
      <c r="AQ162" s="26" t="s">
        <v>409</v>
      </c>
      <c r="AR162" s="89"/>
      <c r="AS162" s="27"/>
      <c r="AT162" s="16"/>
      <c r="AU162" s="27"/>
      <c r="AV162" s="86"/>
      <c r="AW162" s="27"/>
      <c r="AX162" s="27"/>
      <c r="AY162" s="27"/>
      <c r="AZ162" s="27"/>
      <c r="BA162" s="27"/>
      <c r="BB162" s="27"/>
      <c r="BC162" s="97"/>
      <c r="BD162" s="27"/>
      <c r="BE162" s="16"/>
      <c r="BF162" s="28">
        <f t="shared" ref="BF162:BF170" si="69">BC162+BE162</f>
        <v>0</v>
      </c>
      <c r="BG162" s="29"/>
      <c r="BH162" s="27"/>
      <c r="BI162" s="30">
        <f t="shared" ref="BI162:BI170" si="70">BF162+Q162</f>
        <v>348</v>
      </c>
      <c r="BJ162" s="31">
        <f t="shared" ref="BJ162:BJ170" si="71">IF(BH162="",P162+BF162,BH162)</f>
        <v>45656</v>
      </c>
      <c r="BK162" s="27"/>
      <c r="BL162" s="16"/>
      <c r="BM162" s="27"/>
      <c r="BN162" s="16"/>
      <c r="BO162" s="27"/>
      <c r="BP162" s="16"/>
      <c r="BQ162" s="27"/>
      <c r="BR162" s="24"/>
      <c r="BS162" s="24"/>
      <c r="BT162" s="32"/>
      <c r="BU162" s="27"/>
      <c r="BV162" s="24"/>
      <c r="BW162" s="24"/>
      <c r="BX162" s="16"/>
      <c r="BY162" s="27"/>
      <c r="BZ162" s="24"/>
      <c r="CA162" s="24"/>
      <c r="CB162" s="16"/>
      <c r="CC162" s="49">
        <f t="shared" ref="CC162:CC170" si="72">BR162+BV162+BZ162</f>
        <v>0</v>
      </c>
      <c r="CD162" s="24"/>
      <c r="CE162" s="49">
        <f t="shared" si="67"/>
        <v>66268704</v>
      </c>
      <c r="CF162" s="50"/>
      <c r="CG162" s="49">
        <f t="shared" ref="CG162:CG170" ca="1" si="73">IFERROR(IF(((CE162/BI162)*(TODAY()-N162))&gt;CE162,CE162,((CE162/BI162)*(TODAY()-N162))),"")</f>
        <v>66268704</v>
      </c>
      <c r="CH162" s="33">
        <f t="shared" ref="CH162:CH170" ca="1" si="74">IF(TODAY()&gt;BJ162,1,+(DAYS360(O162,TODAY())/DAYS360(O162,BJ162)))</f>
        <v>1</v>
      </c>
      <c r="CI162" s="33">
        <f t="shared" ref="CI162:CI170" ca="1" si="75">+IF(CL162&gt;0,DAYS360(O162,CL162)/DAYS360(O162,BJ162),CH162)</f>
        <v>1</v>
      </c>
      <c r="CJ162" s="36">
        <f t="shared" ref="CJ162:CJ170" ca="1" si="76">IFERROR(IF(((CG162/CE162)*100)&gt;100,100,((CG162/CE162)*100)),"")</f>
        <v>100</v>
      </c>
      <c r="CK162" s="34">
        <f t="shared" ref="CK162:CK170" si="77">IFERROR((CF162/CE162)*100,"")</f>
        <v>0</v>
      </c>
      <c r="CL162" s="21"/>
      <c r="CM162" s="35" t="str">
        <f t="shared" ref="CM162:CM170" ca="1" si="78">IF(CL162&gt;1/1/6,"LIQUIDADO",IF(BJ162=0,"",IF(BJ162&gt;=TODAY(),"VIGENTE",IF(BJ162&lt;TODAY(),"TERMINADO",))))</f>
        <v>TERMINADO</v>
      </c>
      <c r="CN162" s="82"/>
      <c r="CO162" s="145" t="s">
        <v>1513</v>
      </c>
      <c r="CP162" s="26" t="s">
        <v>142</v>
      </c>
    </row>
    <row r="163" spans="1:98" ht="24.75" customHeight="1">
      <c r="A163" s="48" t="s">
        <v>1514</v>
      </c>
      <c r="B163" s="77" t="s">
        <v>1515</v>
      </c>
      <c r="C163" s="17" t="s">
        <v>104</v>
      </c>
      <c r="D163" s="18" t="s">
        <v>1516</v>
      </c>
      <c r="E163" s="17" t="s">
        <v>106</v>
      </c>
      <c r="F163" s="17" t="s">
        <v>107</v>
      </c>
      <c r="G163" s="17" t="s">
        <v>108</v>
      </c>
      <c r="H163" s="78">
        <v>80238421</v>
      </c>
      <c r="I163" s="74" t="s">
        <v>1517</v>
      </c>
      <c r="J163" s="16"/>
      <c r="K163" s="16"/>
      <c r="L163" s="20" t="s">
        <v>1518</v>
      </c>
      <c r="M163" s="16" t="s">
        <v>1519</v>
      </c>
      <c r="N163" s="22">
        <v>45307</v>
      </c>
      <c r="O163" s="22">
        <v>45309</v>
      </c>
      <c r="P163" s="22">
        <v>45656</v>
      </c>
      <c r="Q163" s="23">
        <f t="shared" si="68"/>
        <v>347</v>
      </c>
      <c r="R163" s="17" t="s">
        <v>242</v>
      </c>
      <c r="S163" s="110" t="s">
        <v>1520</v>
      </c>
      <c r="T163" s="16" t="s">
        <v>1521</v>
      </c>
      <c r="U163" s="67">
        <v>52671657</v>
      </c>
      <c r="V163" s="16" t="s">
        <v>1522</v>
      </c>
      <c r="W163" s="224">
        <v>52671657</v>
      </c>
      <c r="X163" s="24">
        <v>4413826</v>
      </c>
      <c r="Y163" s="24"/>
      <c r="Z163" s="24"/>
      <c r="AA163" s="17" t="s">
        <v>116</v>
      </c>
      <c r="AB163" s="23" t="str">
        <f>IFERROR(VLOOKUP(AA163,Listas!$A$1:$C$14,2,FALSE),"")</f>
        <v>FREDY CÉSPEDES VILLA</v>
      </c>
      <c r="AC163" s="23">
        <f>IFERROR(VLOOKUP(AA163,Listas!$A$1:$C$14,3,FALSE),"")</f>
        <v>93363483</v>
      </c>
      <c r="AD163" s="17" t="s">
        <v>1523</v>
      </c>
      <c r="AE163" s="17" t="s">
        <v>1524</v>
      </c>
      <c r="AF163" s="23" t="str">
        <f>IFERROR(VLOOKUP(AE163,Listas!$AD$1:$AF$66,2,FALSE),"")</f>
        <v>IVETTE FRASSER SÁNCHEZ</v>
      </c>
      <c r="AG163" s="23">
        <f>IFERROR(VLOOKUP(AE163,Listas!$AD$1:$AF$65,3,FALSE),"")</f>
        <v>38285903</v>
      </c>
      <c r="AH163" s="17" t="s">
        <v>118</v>
      </c>
      <c r="AI163" s="65" t="s">
        <v>1525</v>
      </c>
      <c r="AJ163" s="25" t="s">
        <v>119</v>
      </c>
      <c r="AK163" s="26" t="s">
        <v>120</v>
      </c>
      <c r="AL163" s="26" t="s">
        <v>120</v>
      </c>
      <c r="AM163" s="90" t="s">
        <v>119</v>
      </c>
      <c r="AN163" s="105">
        <v>29683</v>
      </c>
      <c r="AO163" s="91">
        <f t="shared" ca="1" si="66"/>
        <v>44</v>
      </c>
      <c r="AP163" s="26" t="s">
        <v>121</v>
      </c>
      <c r="AQ163" s="26" t="s">
        <v>327</v>
      </c>
      <c r="AR163" s="89"/>
      <c r="AS163" s="27"/>
      <c r="AT163" s="16"/>
      <c r="AU163" s="27"/>
      <c r="AV163" s="86"/>
      <c r="AW163" s="27"/>
      <c r="AX163" s="27"/>
      <c r="AY163" s="27"/>
      <c r="AZ163" s="27"/>
      <c r="BA163" s="27"/>
      <c r="BB163" s="27"/>
      <c r="BC163" s="97"/>
      <c r="BD163" s="27"/>
      <c r="BE163" s="16"/>
      <c r="BF163" s="28">
        <f t="shared" si="69"/>
        <v>0</v>
      </c>
      <c r="BG163" s="29"/>
      <c r="BH163" s="27"/>
      <c r="BI163" s="30">
        <f t="shared" si="70"/>
        <v>347</v>
      </c>
      <c r="BJ163" s="31">
        <f t="shared" si="71"/>
        <v>45656</v>
      </c>
      <c r="BK163" s="27"/>
      <c r="BL163" s="16"/>
      <c r="BM163" s="27"/>
      <c r="BN163" s="16"/>
      <c r="BO163" s="27"/>
      <c r="BP163" s="16"/>
      <c r="BQ163" s="27"/>
      <c r="BR163" s="24"/>
      <c r="BS163" s="24"/>
      <c r="BT163" s="32"/>
      <c r="BU163" s="27"/>
      <c r="BV163" s="24"/>
      <c r="BW163" s="24"/>
      <c r="BX163" s="16"/>
      <c r="BY163" s="27"/>
      <c r="BZ163" s="24"/>
      <c r="CA163" s="24"/>
      <c r="CB163" s="16"/>
      <c r="CC163" s="49">
        <f t="shared" si="72"/>
        <v>0</v>
      </c>
      <c r="CD163" s="24"/>
      <c r="CE163" s="49">
        <f t="shared" si="67"/>
        <v>52671657</v>
      </c>
      <c r="CF163" s="50"/>
      <c r="CG163" s="49">
        <f t="shared" ca="1" si="73"/>
        <v>52671657</v>
      </c>
      <c r="CH163" s="33">
        <f t="shared" ca="1" si="74"/>
        <v>1</v>
      </c>
      <c r="CI163" s="33">
        <f t="shared" ca="1" si="75"/>
        <v>1</v>
      </c>
      <c r="CJ163" s="36">
        <f t="shared" ca="1" si="76"/>
        <v>100</v>
      </c>
      <c r="CK163" s="34">
        <f t="shared" si="77"/>
        <v>0</v>
      </c>
      <c r="CL163" s="21"/>
      <c r="CM163" s="35" t="str">
        <f t="shared" ca="1" si="78"/>
        <v>TERMINADO</v>
      </c>
      <c r="CN163" s="82"/>
      <c r="CO163" s="145" t="s">
        <v>1526</v>
      </c>
      <c r="CP163" s="26" t="s">
        <v>142</v>
      </c>
    </row>
    <row r="164" spans="1:98" ht="24.75" customHeight="1">
      <c r="A164" s="48" t="s">
        <v>1527</v>
      </c>
      <c r="B164" s="77" t="s">
        <v>1528</v>
      </c>
      <c r="C164" s="17" t="s">
        <v>104</v>
      </c>
      <c r="D164" s="18" t="s">
        <v>1529</v>
      </c>
      <c r="E164" s="17" t="s">
        <v>106</v>
      </c>
      <c r="F164" s="17" t="s">
        <v>107</v>
      </c>
      <c r="G164" s="17" t="s">
        <v>108</v>
      </c>
      <c r="H164" s="78">
        <v>52812995</v>
      </c>
      <c r="I164" s="74" t="s">
        <v>1530</v>
      </c>
      <c r="J164" s="16"/>
      <c r="K164" s="16"/>
      <c r="L164" s="96" t="s">
        <v>1531</v>
      </c>
      <c r="M164" s="16" t="s">
        <v>111</v>
      </c>
      <c r="N164" s="22">
        <v>45307</v>
      </c>
      <c r="O164" s="22">
        <v>45308</v>
      </c>
      <c r="P164" s="22">
        <v>45656</v>
      </c>
      <c r="Q164" s="23">
        <f t="shared" si="68"/>
        <v>348</v>
      </c>
      <c r="R164" s="17" t="s">
        <v>242</v>
      </c>
      <c r="S164" s="110" t="s">
        <v>1532</v>
      </c>
      <c r="T164" s="16" t="s">
        <v>1521</v>
      </c>
      <c r="U164" s="67">
        <v>52524529</v>
      </c>
      <c r="V164" s="16" t="s">
        <v>1522</v>
      </c>
      <c r="W164" s="224">
        <v>52524529</v>
      </c>
      <c r="X164" s="24">
        <v>4413826</v>
      </c>
      <c r="Y164" s="24"/>
      <c r="Z164" s="24"/>
      <c r="AA164" s="17" t="s">
        <v>116</v>
      </c>
      <c r="AB164" s="23" t="str">
        <f>IFERROR(VLOOKUP(AA164,Listas!$A$1:$C$14,2,FALSE),"")</f>
        <v>FREDY CÉSPEDES VILLA</v>
      </c>
      <c r="AC164" s="23">
        <f>IFERROR(VLOOKUP(AA164,Listas!$A$1:$C$14,3,FALSE),"")</f>
        <v>93363483</v>
      </c>
      <c r="AD164" s="17" t="s">
        <v>1533</v>
      </c>
      <c r="AE164" s="17" t="s">
        <v>1534</v>
      </c>
      <c r="AF164" s="23" t="str">
        <f>IFERROR(VLOOKUP(AE164,Listas!$AD$1:$AF$66,2,FALSE),"")</f>
        <v>ESTEBAN GUERRERO ALVAREZ</v>
      </c>
      <c r="AG164" s="23">
        <f>IFERROR(VLOOKUP(AE164,Listas!$AD$1:$AF$65,3,FALSE),"")</f>
        <v>1032460552</v>
      </c>
      <c r="AH164" s="17" t="s">
        <v>118</v>
      </c>
      <c r="AI164" s="65" t="s">
        <v>1535</v>
      </c>
      <c r="AJ164" s="25" t="s">
        <v>119</v>
      </c>
      <c r="AK164" s="26" t="s">
        <v>120</v>
      </c>
      <c r="AL164" s="26" t="s">
        <v>120</v>
      </c>
      <c r="AM164" s="90" t="s">
        <v>119</v>
      </c>
      <c r="AN164" s="105">
        <v>30259</v>
      </c>
      <c r="AO164" s="91">
        <f t="shared" ca="1" si="66"/>
        <v>43</v>
      </c>
      <c r="AP164" s="26" t="s">
        <v>121</v>
      </c>
      <c r="AQ164" s="26" t="s">
        <v>327</v>
      </c>
      <c r="AR164" s="89"/>
      <c r="AS164" s="27"/>
      <c r="AT164" s="16"/>
      <c r="AU164" s="27"/>
      <c r="AV164" s="86"/>
      <c r="AW164" s="27"/>
      <c r="AX164" s="27"/>
      <c r="AY164" s="27"/>
      <c r="AZ164" s="27"/>
      <c r="BA164" s="27"/>
      <c r="BB164" s="27"/>
      <c r="BC164" s="97"/>
      <c r="BD164" s="27"/>
      <c r="BE164" s="16"/>
      <c r="BF164" s="28">
        <f t="shared" si="69"/>
        <v>0</v>
      </c>
      <c r="BG164" s="29"/>
      <c r="BH164" s="27"/>
      <c r="BI164" s="30">
        <f t="shared" si="70"/>
        <v>348</v>
      </c>
      <c r="BJ164" s="31">
        <f t="shared" si="71"/>
        <v>45656</v>
      </c>
      <c r="BK164" s="27"/>
      <c r="BL164" s="16"/>
      <c r="BM164" s="27"/>
      <c r="BN164" s="16"/>
      <c r="BO164" s="27"/>
      <c r="BP164" s="16"/>
      <c r="BQ164" s="27"/>
      <c r="BR164" s="24"/>
      <c r="BS164" s="24"/>
      <c r="BT164" s="32"/>
      <c r="BU164" s="27"/>
      <c r="BV164" s="24"/>
      <c r="BW164" s="24"/>
      <c r="BX164" s="16"/>
      <c r="BY164" s="27"/>
      <c r="BZ164" s="24"/>
      <c r="CA164" s="24"/>
      <c r="CB164" s="16"/>
      <c r="CC164" s="49">
        <f t="shared" si="72"/>
        <v>0</v>
      </c>
      <c r="CD164" s="24"/>
      <c r="CE164" s="49">
        <f t="shared" si="67"/>
        <v>52524529</v>
      </c>
      <c r="CF164" s="50"/>
      <c r="CG164" s="49">
        <f t="shared" ca="1" si="73"/>
        <v>52524529</v>
      </c>
      <c r="CH164" s="33">
        <f t="shared" ca="1" si="74"/>
        <v>1</v>
      </c>
      <c r="CI164" s="33">
        <f t="shared" ca="1" si="75"/>
        <v>1</v>
      </c>
      <c r="CJ164" s="36">
        <f t="shared" ca="1" si="76"/>
        <v>100</v>
      </c>
      <c r="CK164" s="34">
        <f t="shared" si="77"/>
        <v>0</v>
      </c>
      <c r="CL164" s="21"/>
      <c r="CM164" s="35" t="str">
        <f t="shared" ca="1" si="78"/>
        <v>TERMINADO</v>
      </c>
      <c r="CN164" s="82"/>
      <c r="CO164" s="145" t="s">
        <v>1536</v>
      </c>
      <c r="CP164" s="26" t="s">
        <v>123</v>
      </c>
    </row>
    <row r="165" spans="1:98" ht="24.75" customHeight="1">
      <c r="A165" s="48" t="s">
        <v>1537</v>
      </c>
      <c r="B165" s="77" t="s">
        <v>1538</v>
      </c>
      <c r="C165" s="17" t="s">
        <v>104</v>
      </c>
      <c r="D165" s="18" t="s">
        <v>1539</v>
      </c>
      <c r="E165" s="17" t="s">
        <v>106</v>
      </c>
      <c r="F165" s="17" t="s">
        <v>107</v>
      </c>
      <c r="G165" s="17" t="s">
        <v>108</v>
      </c>
      <c r="H165" s="78">
        <v>2000014697</v>
      </c>
      <c r="I165" s="74" t="s">
        <v>1540</v>
      </c>
      <c r="J165" s="16"/>
      <c r="K165" s="16"/>
      <c r="L165" s="20" t="s">
        <v>1285</v>
      </c>
      <c r="M165" s="16" t="s">
        <v>111</v>
      </c>
      <c r="N165" s="22">
        <v>45307</v>
      </c>
      <c r="O165" s="22">
        <v>45308</v>
      </c>
      <c r="P165" s="22">
        <v>45656</v>
      </c>
      <c r="Q165" s="23">
        <f t="shared" si="68"/>
        <v>348</v>
      </c>
      <c r="R165" s="17" t="s">
        <v>242</v>
      </c>
      <c r="S165" s="110" t="s">
        <v>1541</v>
      </c>
      <c r="T165" s="16" t="s">
        <v>1521</v>
      </c>
      <c r="U165" s="67">
        <v>51641769</v>
      </c>
      <c r="V165" s="16" t="s">
        <v>1522</v>
      </c>
      <c r="W165" s="224">
        <v>51641769</v>
      </c>
      <c r="X165" s="24">
        <v>4413826</v>
      </c>
      <c r="Y165" s="24"/>
      <c r="Z165" s="24"/>
      <c r="AA165" s="17" t="s">
        <v>116</v>
      </c>
      <c r="AB165" s="23" t="str">
        <f>IFERROR(VLOOKUP(AA165,Listas!$A$1:$C$14,2,FALSE),"")</f>
        <v>FREDY CÉSPEDES VILLA</v>
      </c>
      <c r="AC165" s="23">
        <f>IFERROR(VLOOKUP(AA165,Listas!$A$1:$C$14,3,FALSE),"")</f>
        <v>93363483</v>
      </c>
      <c r="AD165" s="17" t="s">
        <v>345</v>
      </c>
      <c r="AE165" s="17" t="s">
        <v>1062</v>
      </c>
      <c r="AF165" s="23" t="str">
        <f>IFERROR(VLOOKUP(AE165,Listas!$AD$1:$AF$66,2,FALSE),"")</f>
        <v>LIBIA ESPERANZA FONSECA MARÍN</v>
      </c>
      <c r="AG165" s="23">
        <f>IFERROR(VLOOKUP(AE165,Listas!$AD$1:$AF$65,3,FALSE),"")</f>
        <v>52207089</v>
      </c>
      <c r="AH165" s="17" t="s">
        <v>118</v>
      </c>
      <c r="AI165" s="65" t="s">
        <v>1542</v>
      </c>
      <c r="AJ165" s="25" t="s">
        <v>119</v>
      </c>
      <c r="AK165" s="26" t="s">
        <v>120</v>
      </c>
      <c r="AL165" s="26" t="s">
        <v>120</v>
      </c>
      <c r="AM165" s="90" t="s">
        <v>119</v>
      </c>
      <c r="AN165" s="105">
        <v>29668</v>
      </c>
      <c r="AO165" s="91">
        <f t="shared" ca="1" si="66"/>
        <v>44</v>
      </c>
      <c r="AP165" s="26" t="s">
        <v>121</v>
      </c>
      <c r="AQ165" s="26" t="s">
        <v>367</v>
      </c>
      <c r="AR165" s="89"/>
      <c r="AS165" s="27"/>
      <c r="AT165" s="16"/>
      <c r="AU165" s="27"/>
      <c r="AV165" s="86"/>
      <c r="AW165" s="27"/>
      <c r="AX165" s="27"/>
      <c r="AY165" s="27"/>
      <c r="AZ165" s="27"/>
      <c r="BA165" s="27"/>
      <c r="BB165" s="27"/>
      <c r="BC165" s="97"/>
      <c r="BD165" s="27"/>
      <c r="BE165" s="16"/>
      <c r="BF165" s="28">
        <f t="shared" si="69"/>
        <v>0</v>
      </c>
      <c r="BG165" s="29"/>
      <c r="BH165" s="27"/>
      <c r="BI165" s="30">
        <f t="shared" si="70"/>
        <v>348</v>
      </c>
      <c r="BJ165" s="31">
        <f t="shared" si="71"/>
        <v>45656</v>
      </c>
      <c r="BK165" s="27"/>
      <c r="BL165" s="16"/>
      <c r="BM165" s="27"/>
      <c r="BN165" s="16"/>
      <c r="BO165" s="27"/>
      <c r="BP165" s="16"/>
      <c r="BQ165" s="27"/>
      <c r="BR165" s="24"/>
      <c r="BS165" s="24"/>
      <c r="BT165" s="32"/>
      <c r="BU165" s="27"/>
      <c r="BV165" s="24"/>
      <c r="BW165" s="24"/>
      <c r="BX165" s="16"/>
      <c r="BY165" s="27"/>
      <c r="BZ165" s="24"/>
      <c r="CA165" s="24"/>
      <c r="CB165" s="16"/>
      <c r="CC165" s="49">
        <f t="shared" si="72"/>
        <v>0</v>
      </c>
      <c r="CD165" s="24"/>
      <c r="CE165" s="49">
        <f t="shared" si="67"/>
        <v>51641769</v>
      </c>
      <c r="CF165" s="50"/>
      <c r="CG165" s="49">
        <f t="shared" ca="1" si="73"/>
        <v>51641769</v>
      </c>
      <c r="CH165" s="33">
        <f t="shared" ca="1" si="74"/>
        <v>1</v>
      </c>
      <c r="CI165" s="33">
        <f t="shared" ca="1" si="75"/>
        <v>1</v>
      </c>
      <c r="CJ165" s="36">
        <f t="shared" ca="1" si="76"/>
        <v>100</v>
      </c>
      <c r="CK165" s="34">
        <f t="shared" si="77"/>
        <v>0</v>
      </c>
      <c r="CL165" s="21"/>
      <c r="CM165" s="35" t="str">
        <f t="shared" ca="1" si="78"/>
        <v>TERMINADO</v>
      </c>
      <c r="CN165" s="82"/>
      <c r="CO165" s="145" t="s">
        <v>1543</v>
      </c>
      <c r="CP165" s="26" t="s">
        <v>142</v>
      </c>
    </row>
    <row r="166" spans="1:98" ht="24.75" customHeight="1">
      <c r="A166" s="48" t="s">
        <v>1544</v>
      </c>
      <c r="B166" s="77" t="s">
        <v>1545</v>
      </c>
      <c r="C166" s="17" t="s">
        <v>104</v>
      </c>
      <c r="D166" s="18" t="s">
        <v>1546</v>
      </c>
      <c r="E166" s="17" t="s">
        <v>106</v>
      </c>
      <c r="F166" s="17" t="s">
        <v>107</v>
      </c>
      <c r="G166" s="17" t="s">
        <v>108</v>
      </c>
      <c r="H166" s="78">
        <v>1112767576</v>
      </c>
      <c r="I166" s="233" t="s">
        <v>1547</v>
      </c>
      <c r="J166" s="16"/>
      <c r="K166" s="16"/>
      <c r="L166" s="20" t="s">
        <v>1548</v>
      </c>
      <c r="M166" s="16" t="s">
        <v>111</v>
      </c>
      <c r="N166" s="22">
        <v>45307</v>
      </c>
      <c r="O166" s="22">
        <v>45308</v>
      </c>
      <c r="P166" s="22">
        <v>45656</v>
      </c>
      <c r="Q166" s="23">
        <f t="shared" si="68"/>
        <v>348</v>
      </c>
      <c r="R166" s="17" t="s">
        <v>242</v>
      </c>
      <c r="S166" s="110" t="s">
        <v>1549</v>
      </c>
      <c r="T166" s="16" t="s">
        <v>1550</v>
      </c>
      <c r="U166" s="67">
        <v>73563773</v>
      </c>
      <c r="V166" s="16" t="s">
        <v>884</v>
      </c>
      <c r="W166" s="224">
        <v>73563773</v>
      </c>
      <c r="X166" s="24">
        <v>6130314</v>
      </c>
      <c r="Y166" s="24"/>
      <c r="Z166" s="24"/>
      <c r="AA166" s="17" t="s">
        <v>116</v>
      </c>
      <c r="AB166" s="23" t="str">
        <f>IFERROR(VLOOKUP(AA166,Listas!$A$1:$C$14,2,FALSE),"")</f>
        <v>FREDY CÉSPEDES VILLA</v>
      </c>
      <c r="AC166" s="23">
        <f>IFERROR(VLOOKUP(AA166,Listas!$A$1:$C$14,3,FALSE),"")</f>
        <v>93363483</v>
      </c>
      <c r="AD166" s="17" t="s">
        <v>406</v>
      </c>
      <c r="AE166" s="17" t="s">
        <v>504</v>
      </c>
      <c r="AF166" s="23" t="str">
        <f>IFERROR(VLOOKUP(AE166,Listas!$AD$1:$AF$66,2,FALSE),"")</f>
        <v>EDUARDO ELÍAS BARCHA BOLÍVAR</v>
      </c>
      <c r="AG166" s="23">
        <f>IFERROR(VLOOKUP(AE166,Listas!$AD$1:$AF$65,3,FALSE),"")</f>
        <v>72133921</v>
      </c>
      <c r="AH166" s="17" t="s">
        <v>118</v>
      </c>
      <c r="AI166" s="65" t="s">
        <v>1551</v>
      </c>
      <c r="AJ166" s="25" t="s">
        <v>119</v>
      </c>
      <c r="AK166" s="26" t="s">
        <v>120</v>
      </c>
      <c r="AL166" s="26" t="s">
        <v>120</v>
      </c>
      <c r="AM166" s="90" t="s">
        <v>119</v>
      </c>
      <c r="AN166" s="105">
        <v>32686</v>
      </c>
      <c r="AO166" s="91">
        <f t="shared" ca="1" si="66"/>
        <v>36</v>
      </c>
      <c r="AP166" s="26" t="s">
        <v>121</v>
      </c>
      <c r="AQ166" s="26" t="s">
        <v>409</v>
      </c>
      <c r="AR166" s="89"/>
      <c r="AS166" s="27"/>
      <c r="AT166" s="16"/>
      <c r="AU166" s="27"/>
      <c r="AV166" s="86"/>
      <c r="AW166" s="27"/>
      <c r="AX166" s="27"/>
      <c r="AY166" s="27"/>
      <c r="AZ166" s="27"/>
      <c r="BA166" s="27"/>
      <c r="BB166" s="27"/>
      <c r="BC166" s="97"/>
      <c r="BD166" s="27"/>
      <c r="BE166" s="16"/>
      <c r="BF166" s="28">
        <f t="shared" si="69"/>
        <v>0</v>
      </c>
      <c r="BG166" s="29"/>
      <c r="BH166" s="27"/>
      <c r="BI166" s="30">
        <f t="shared" si="70"/>
        <v>348</v>
      </c>
      <c r="BJ166" s="31">
        <f t="shared" si="71"/>
        <v>45656</v>
      </c>
      <c r="BK166" s="27"/>
      <c r="BL166" s="16"/>
      <c r="BM166" s="27"/>
      <c r="BN166" s="16"/>
      <c r="BO166" s="27"/>
      <c r="BP166" s="16"/>
      <c r="BQ166" s="27"/>
      <c r="BR166" s="24"/>
      <c r="BS166" s="24"/>
      <c r="BT166" s="32"/>
      <c r="BU166" s="27"/>
      <c r="BV166" s="24"/>
      <c r="BW166" s="24"/>
      <c r="BX166" s="16"/>
      <c r="BY166" s="27"/>
      <c r="BZ166" s="24"/>
      <c r="CA166" s="24"/>
      <c r="CB166" s="16"/>
      <c r="CC166" s="49">
        <f t="shared" si="72"/>
        <v>0</v>
      </c>
      <c r="CD166" s="24"/>
      <c r="CE166" s="49">
        <f t="shared" si="67"/>
        <v>73563773</v>
      </c>
      <c r="CF166" s="50"/>
      <c r="CG166" s="49">
        <f t="shared" ca="1" si="73"/>
        <v>73563773</v>
      </c>
      <c r="CH166" s="33">
        <f t="shared" ca="1" si="74"/>
        <v>1</v>
      </c>
      <c r="CI166" s="33">
        <f t="shared" ca="1" si="75"/>
        <v>1</v>
      </c>
      <c r="CJ166" s="36">
        <f t="shared" ca="1" si="76"/>
        <v>100</v>
      </c>
      <c r="CK166" s="34">
        <f t="shared" si="77"/>
        <v>0</v>
      </c>
      <c r="CL166" s="21"/>
      <c r="CM166" s="35" t="str">
        <f t="shared" ca="1" si="78"/>
        <v>TERMINADO</v>
      </c>
      <c r="CN166" s="82"/>
      <c r="CO166" s="145" t="s">
        <v>1552</v>
      </c>
      <c r="CP166" s="26" t="s">
        <v>123</v>
      </c>
    </row>
    <row r="167" spans="1:98" ht="24.75" customHeight="1">
      <c r="A167" s="48" t="s">
        <v>1553</v>
      </c>
      <c r="B167" s="77" t="s">
        <v>1554</v>
      </c>
      <c r="C167" s="17" t="s">
        <v>104</v>
      </c>
      <c r="D167" s="18" t="s">
        <v>1555</v>
      </c>
      <c r="E167" s="17" t="s">
        <v>106</v>
      </c>
      <c r="F167" s="17" t="s">
        <v>107</v>
      </c>
      <c r="G167" s="17" t="s">
        <v>108</v>
      </c>
      <c r="H167" s="78">
        <v>1014208148</v>
      </c>
      <c r="I167" s="233" t="s">
        <v>1556</v>
      </c>
      <c r="J167" s="16"/>
      <c r="K167" s="16"/>
      <c r="L167" s="96" t="s">
        <v>1557</v>
      </c>
      <c r="M167" s="16" t="s">
        <v>111</v>
      </c>
      <c r="N167" s="22">
        <v>45307</v>
      </c>
      <c r="O167" s="22">
        <v>45308</v>
      </c>
      <c r="P167" s="22">
        <v>45656</v>
      </c>
      <c r="Q167" s="23">
        <f t="shared" si="68"/>
        <v>348</v>
      </c>
      <c r="R167" s="17" t="s">
        <v>242</v>
      </c>
      <c r="S167" s="110" t="s">
        <v>948</v>
      </c>
      <c r="T167" s="16" t="s">
        <v>1550</v>
      </c>
      <c r="U167" s="67">
        <v>73563773</v>
      </c>
      <c r="V167" s="16" t="s">
        <v>884</v>
      </c>
      <c r="W167" s="224">
        <v>73563773</v>
      </c>
      <c r="X167" s="24">
        <v>6130314</v>
      </c>
      <c r="Y167" s="24"/>
      <c r="Z167" s="24"/>
      <c r="AA167" s="17" t="s">
        <v>116</v>
      </c>
      <c r="AB167" s="23" t="str">
        <f>IFERROR(VLOOKUP(AA167,Listas!$A$1:$C$14,2,FALSE),"")</f>
        <v>FREDY CÉSPEDES VILLA</v>
      </c>
      <c r="AC167" s="23">
        <f>IFERROR(VLOOKUP(AA167,Listas!$A$1:$C$14,3,FALSE),"")</f>
        <v>93363483</v>
      </c>
      <c r="AD167" s="17" t="s">
        <v>406</v>
      </c>
      <c r="AE167" s="17" t="s">
        <v>504</v>
      </c>
      <c r="AF167" s="23" t="str">
        <f>IFERROR(VLOOKUP(AE167,Listas!$AD$1:$AF$66,2,FALSE),"")</f>
        <v>EDUARDO ELÍAS BARCHA BOLÍVAR</v>
      </c>
      <c r="AG167" s="23">
        <f>IFERROR(VLOOKUP(AE167,Listas!$AD$1:$AF$65,3,FALSE),"")</f>
        <v>72133921</v>
      </c>
      <c r="AH167" s="17" t="s">
        <v>118</v>
      </c>
      <c r="AI167" s="65"/>
      <c r="AJ167" s="25" t="s">
        <v>119</v>
      </c>
      <c r="AK167" s="26" t="s">
        <v>120</v>
      </c>
      <c r="AL167" s="26" t="s">
        <v>120</v>
      </c>
      <c r="AM167" s="90" t="s">
        <v>119</v>
      </c>
      <c r="AN167" s="105">
        <v>32897</v>
      </c>
      <c r="AO167" s="91">
        <f t="shared" ca="1" si="66"/>
        <v>35</v>
      </c>
      <c r="AP167" s="26" t="s">
        <v>121</v>
      </c>
      <c r="AQ167" s="26" t="s">
        <v>409</v>
      </c>
      <c r="AR167" s="89"/>
      <c r="AS167" s="27"/>
      <c r="AT167" s="16"/>
      <c r="AU167" s="27"/>
      <c r="AV167" s="86"/>
      <c r="AW167" s="27"/>
      <c r="AX167" s="27"/>
      <c r="AY167" s="27"/>
      <c r="AZ167" s="27"/>
      <c r="BA167" s="27"/>
      <c r="BB167" s="27"/>
      <c r="BC167" s="97"/>
      <c r="BD167" s="27"/>
      <c r="BE167" s="16"/>
      <c r="BF167" s="28">
        <f t="shared" si="69"/>
        <v>0</v>
      </c>
      <c r="BG167" s="29"/>
      <c r="BH167" s="27"/>
      <c r="BI167" s="30">
        <f t="shared" si="70"/>
        <v>348</v>
      </c>
      <c r="BJ167" s="31">
        <f t="shared" si="71"/>
        <v>45656</v>
      </c>
      <c r="BK167" s="27"/>
      <c r="BL167" s="16"/>
      <c r="BM167" s="27"/>
      <c r="BN167" s="16"/>
      <c r="BO167" s="27"/>
      <c r="BP167" s="16"/>
      <c r="BQ167" s="27"/>
      <c r="BR167" s="24"/>
      <c r="BS167" s="24"/>
      <c r="BT167" s="32"/>
      <c r="BU167" s="27"/>
      <c r="BV167" s="24"/>
      <c r="BW167" s="24"/>
      <c r="BX167" s="16"/>
      <c r="BY167" s="27"/>
      <c r="BZ167" s="24"/>
      <c r="CA167" s="24"/>
      <c r="CB167" s="16"/>
      <c r="CC167" s="49">
        <f t="shared" si="72"/>
        <v>0</v>
      </c>
      <c r="CD167" s="24"/>
      <c r="CE167" s="49">
        <f t="shared" si="67"/>
        <v>73563773</v>
      </c>
      <c r="CF167" s="50"/>
      <c r="CG167" s="49">
        <f t="shared" ca="1" si="73"/>
        <v>73563773</v>
      </c>
      <c r="CH167" s="33">
        <f t="shared" ca="1" si="74"/>
        <v>1</v>
      </c>
      <c r="CI167" s="33">
        <f t="shared" ca="1" si="75"/>
        <v>1</v>
      </c>
      <c r="CJ167" s="36">
        <f t="shared" ca="1" si="76"/>
        <v>100</v>
      </c>
      <c r="CK167" s="34">
        <f t="shared" si="77"/>
        <v>0</v>
      </c>
      <c r="CL167" s="21"/>
      <c r="CM167" s="35" t="str">
        <f t="shared" ca="1" si="78"/>
        <v>TERMINADO</v>
      </c>
      <c r="CN167" s="82"/>
      <c r="CO167" s="145" t="s">
        <v>1558</v>
      </c>
      <c r="CP167" s="26" t="s">
        <v>123</v>
      </c>
    </row>
    <row r="168" spans="1:98" ht="24.75" customHeight="1">
      <c r="A168" s="48" t="s">
        <v>1559</v>
      </c>
      <c r="B168" s="77" t="s">
        <v>1560</v>
      </c>
      <c r="C168" s="17" t="s">
        <v>104</v>
      </c>
      <c r="D168" s="18" t="s">
        <v>1561</v>
      </c>
      <c r="E168" s="17" t="s">
        <v>106</v>
      </c>
      <c r="F168" s="17" t="s">
        <v>107</v>
      </c>
      <c r="G168" s="17" t="s">
        <v>108</v>
      </c>
      <c r="H168" s="78">
        <v>53167395</v>
      </c>
      <c r="I168" s="74" t="s">
        <v>1562</v>
      </c>
      <c r="J168" s="16"/>
      <c r="K168" s="16"/>
      <c r="L168" s="20" t="s">
        <v>1563</v>
      </c>
      <c r="M168" s="16" t="s">
        <v>111</v>
      </c>
      <c r="N168" s="22">
        <v>45307</v>
      </c>
      <c r="O168" s="22">
        <v>45314</v>
      </c>
      <c r="P168" s="22">
        <v>45656</v>
      </c>
      <c r="Q168" s="23">
        <f t="shared" si="68"/>
        <v>342</v>
      </c>
      <c r="R168" s="17" t="s">
        <v>242</v>
      </c>
      <c r="S168" s="110" t="s">
        <v>1564</v>
      </c>
      <c r="T168" s="16" t="s">
        <v>732</v>
      </c>
      <c r="U168" s="67">
        <v>102989280</v>
      </c>
      <c r="V168" s="16" t="s">
        <v>894</v>
      </c>
      <c r="W168" s="224">
        <v>102989280</v>
      </c>
      <c r="X168" s="24">
        <v>8582440</v>
      </c>
      <c r="Y168" s="24"/>
      <c r="Z168" s="24"/>
      <c r="AA168" s="17" t="s">
        <v>116</v>
      </c>
      <c r="AB168" s="23" t="str">
        <f>IFERROR(VLOOKUP(AA168,Listas!$A$1:$C$14,2,FALSE),"")</f>
        <v>FREDY CÉSPEDES VILLA</v>
      </c>
      <c r="AC168" s="23">
        <f>IFERROR(VLOOKUP(AA168,Listas!$A$1:$C$14,3,FALSE),"")</f>
        <v>93363483</v>
      </c>
      <c r="AD168" s="17" t="s">
        <v>588</v>
      </c>
      <c r="AE168" s="17" t="s">
        <v>589</v>
      </c>
      <c r="AF168" s="23" t="str">
        <f>IFERROR(VLOOKUP(AE168,Listas!$AD$1:$AF$66,2,FALSE),"")</f>
        <v>ANA LUCY CASTRO CASTRO</v>
      </c>
      <c r="AG168" s="23">
        <f>IFERROR(VLOOKUP(AE168,Listas!$AD$1:$AF$65,3,FALSE),"")</f>
        <v>51743499</v>
      </c>
      <c r="AH168" s="17" t="s">
        <v>118</v>
      </c>
      <c r="AI168" s="65" t="s">
        <v>734</v>
      </c>
      <c r="AJ168" s="25" t="s">
        <v>119</v>
      </c>
      <c r="AK168" s="26" t="s">
        <v>120</v>
      </c>
      <c r="AL168" s="26" t="s">
        <v>120</v>
      </c>
      <c r="AM168" s="90" t="s">
        <v>119</v>
      </c>
      <c r="AN168" s="105">
        <v>31347</v>
      </c>
      <c r="AO168" s="91">
        <f t="shared" ca="1" si="66"/>
        <v>40</v>
      </c>
      <c r="AP168" s="26" t="s">
        <v>121</v>
      </c>
      <c r="AQ168" s="26" t="s">
        <v>486</v>
      </c>
      <c r="AR168" s="89"/>
      <c r="AS168" s="27"/>
      <c r="AT168" s="16"/>
      <c r="AU168" s="27"/>
      <c r="AV168" s="86"/>
      <c r="AW168" s="27"/>
      <c r="AX168" s="27"/>
      <c r="AY168" s="27"/>
      <c r="AZ168" s="27"/>
      <c r="BA168" s="27"/>
      <c r="BB168" s="27"/>
      <c r="BC168" s="97"/>
      <c r="BD168" s="27"/>
      <c r="BE168" s="16"/>
      <c r="BF168" s="28">
        <f t="shared" si="69"/>
        <v>0</v>
      </c>
      <c r="BG168" s="29"/>
      <c r="BH168" s="27"/>
      <c r="BI168" s="30">
        <f t="shared" si="70"/>
        <v>342</v>
      </c>
      <c r="BJ168" s="31">
        <f t="shared" si="71"/>
        <v>45656</v>
      </c>
      <c r="BK168" s="27"/>
      <c r="BL168" s="16"/>
      <c r="BM168" s="27"/>
      <c r="BN168" s="16"/>
      <c r="BO168" s="27"/>
      <c r="BP168" s="16"/>
      <c r="BQ168" s="27"/>
      <c r="BR168" s="24"/>
      <c r="BS168" s="24"/>
      <c r="BT168" s="32"/>
      <c r="BU168" s="27"/>
      <c r="BV168" s="24"/>
      <c r="BW168" s="24"/>
      <c r="BX168" s="16"/>
      <c r="BY168" s="27"/>
      <c r="BZ168" s="24"/>
      <c r="CA168" s="24"/>
      <c r="CB168" s="16"/>
      <c r="CC168" s="49">
        <f t="shared" si="72"/>
        <v>0</v>
      </c>
      <c r="CD168" s="24"/>
      <c r="CE168" s="49">
        <f t="shared" si="67"/>
        <v>102989280</v>
      </c>
      <c r="CF168" s="50"/>
      <c r="CG168" s="49">
        <f t="shared" ca="1" si="73"/>
        <v>102989280</v>
      </c>
      <c r="CH168" s="33">
        <f t="shared" ca="1" si="74"/>
        <v>1</v>
      </c>
      <c r="CI168" s="33">
        <f t="shared" ca="1" si="75"/>
        <v>1</v>
      </c>
      <c r="CJ168" s="36">
        <f t="shared" ca="1" si="76"/>
        <v>100</v>
      </c>
      <c r="CK168" s="34">
        <f t="shared" si="77"/>
        <v>0</v>
      </c>
      <c r="CL168" s="21"/>
      <c r="CM168" s="35" t="str">
        <f t="shared" ca="1" si="78"/>
        <v>TERMINADO</v>
      </c>
      <c r="CN168" s="82"/>
      <c r="CO168" s="145" t="s">
        <v>1565</v>
      </c>
      <c r="CP168" s="26" t="s">
        <v>123</v>
      </c>
    </row>
    <row r="169" spans="1:98" ht="24.75" customHeight="1">
      <c r="A169" s="48" t="s">
        <v>1566</v>
      </c>
      <c r="B169" s="77" t="s">
        <v>1567</v>
      </c>
      <c r="C169" s="17" t="s">
        <v>104</v>
      </c>
      <c r="D169" s="18" t="s">
        <v>1568</v>
      </c>
      <c r="E169" s="17" t="s">
        <v>106</v>
      </c>
      <c r="F169" s="17" t="s">
        <v>107</v>
      </c>
      <c r="G169" s="17" t="s">
        <v>108</v>
      </c>
      <c r="H169" s="78">
        <v>1095802755</v>
      </c>
      <c r="I169" s="74" t="s">
        <v>1569</v>
      </c>
      <c r="J169" s="16"/>
      <c r="K169" s="16"/>
      <c r="L169" s="20" t="s">
        <v>1570</v>
      </c>
      <c r="M169" s="16" t="s">
        <v>111</v>
      </c>
      <c r="N169" s="22">
        <v>45307</v>
      </c>
      <c r="O169" s="22">
        <v>45308</v>
      </c>
      <c r="P169" s="22">
        <v>45657</v>
      </c>
      <c r="Q169" s="23">
        <f t="shared" si="68"/>
        <v>349</v>
      </c>
      <c r="R169" s="17" t="s">
        <v>242</v>
      </c>
      <c r="S169" s="110" t="s">
        <v>1571</v>
      </c>
      <c r="T169" s="16" t="s">
        <v>1145</v>
      </c>
      <c r="U169" s="67">
        <v>198621600</v>
      </c>
      <c r="V169" s="16" t="s">
        <v>426</v>
      </c>
      <c r="W169" s="224">
        <v>198621600</v>
      </c>
      <c r="X169" s="24">
        <v>16551800</v>
      </c>
      <c r="Y169" s="24"/>
      <c r="Z169" s="24"/>
      <c r="AA169" s="17" t="s">
        <v>116</v>
      </c>
      <c r="AB169" s="23" t="str">
        <f>IFERROR(VLOOKUP(AA169,Listas!$A$1:$C$14,2,FALSE),"")</f>
        <v>FREDY CÉSPEDES VILLA</v>
      </c>
      <c r="AC169" s="23">
        <f>IFERROR(VLOOKUP(AA169,Listas!$A$1:$C$14,3,FALSE),"")</f>
        <v>93363483</v>
      </c>
      <c r="AD169" s="17" t="s">
        <v>427</v>
      </c>
      <c r="AE169" s="17" t="s">
        <v>428</v>
      </c>
      <c r="AF169" s="23" t="str">
        <f>IFERROR(VLOOKUP(AE169,Listas!$AD$1:$AF$66,2,FALSE),"")</f>
        <v>DINORAH PATRICIA ABADIA MURILLO</v>
      </c>
      <c r="AG169" s="23">
        <f>IFERROR(VLOOKUP(AE169,Listas!$AD$1:$AF$65,3,FALSE),"")</f>
        <v>52220857</v>
      </c>
      <c r="AH169" s="17" t="s">
        <v>118</v>
      </c>
      <c r="AI169" s="65" t="s">
        <v>1572</v>
      </c>
      <c r="AJ169" s="25" t="s">
        <v>119</v>
      </c>
      <c r="AK169" s="26" t="s">
        <v>120</v>
      </c>
      <c r="AL169" s="26" t="s">
        <v>120</v>
      </c>
      <c r="AM169" s="90" t="s">
        <v>119</v>
      </c>
      <c r="AN169" s="105">
        <v>32857</v>
      </c>
      <c r="AO169" s="91">
        <f t="shared" ca="1" si="66"/>
        <v>36</v>
      </c>
      <c r="AP169" s="26" t="s">
        <v>121</v>
      </c>
      <c r="AQ169" s="26" t="s">
        <v>515</v>
      </c>
      <c r="AR169" s="89"/>
      <c r="AS169" s="27"/>
      <c r="AT169" s="16"/>
      <c r="AU169" s="27"/>
      <c r="AV169" s="86"/>
      <c r="AW169" s="27"/>
      <c r="AX169" s="27"/>
      <c r="AY169" s="27"/>
      <c r="AZ169" s="27"/>
      <c r="BA169" s="27"/>
      <c r="BB169" s="27"/>
      <c r="BC169" s="97"/>
      <c r="BD169" s="27"/>
      <c r="BE169" s="16"/>
      <c r="BF169" s="28">
        <f t="shared" si="69"/>
        <v>0</v>
      </c>
      <c r="BG169" s="29"/>
      <c r="BH169" s="27"/>
      <c r="BI169" s="30">
        <f t="shared" si="70"/>
        <v>349</v>
      </c>
      <c r="BJ169" s="31">
        <f t="shared" si="71"/>
        <v>45657</v>
      </c>
      <c r="BK169" s="27"/>
      <c r="BL169" s="16"/>
      <c r="BM169" s="27"/>
      <c r="BN169" s="16"/>
      <c r="BO169" s="27"/>
      <c r="BP169" s="16"/>
      <c r="BQ169" s="27"/>
      <c r="BR169" s="24"/>
      <c r="BS169" s="24"/>
      <c r="BT169" s="32"/>
      <c r="BU169" s="27"/>
      <c r="BV169" s="24"/>
      <c r="BW169" s="24"/>
      <c r="BX169" s="16"/>
      <c r="BY169" s="27"/>
      <c r="BZ169" s="24"/>
      <c r="CA169" s="24"/>
      <c r="CB169" s="16"/>
      <c r="CC169" s="49">
        <f t="shared" si="72"/>
        <v>0</v>
      </c>
      <c r="CD169" s="24"/>
      <c r="CE169" s="49">
        <f t="shared" si="67"/>
        <v>198621600</v>
      </c>
      <c r="CF169" s="50"/>
      <c r="CG169" s="49">
        <f t="shared" ca="1" si="73"/>
        <v>198621600</v>
      </c>
      <c r="CH169" s="33">
        <f t="shared" ca="1" si="74"/>
        <v>1</v>
      </c>
      <c r="CI169" s="33">
        <f t="shared" ca="1" si="75"/>
        <v>1</v>
      </c>
      <c r="CJ169" s="36">
        <f t="shared" ca="1" si="76"/>
        <v>100</v>
      </c>
      <c r="CK169" s="34">
        <f t="shared" si="77"/>
        <v>0</v>
      </c>
      <c r="CL169" s="21"/>
      <c r="CM169" s="35" t="str">
        <f t="shared" ca="1" si="78"/>
        <v>TERMINADO</v>
      </c>
      <c r="CN169" s="82"/>
      <c r="CO169" s="145" t="s">
        <v>1573</v>
      </c>
      <c r="CP169" s="26" t="s">
        <v>123</v>
      </c>
    </row>
    <row r="170" spans="1:98" ht="24.75" customHeight="1">
      <c r="A170" s="48" t="s">
        <v>1574</v>
      </c>
      <c r="B170" s="77" t="s">
        <v>1575</v>
      </c>
      <c r="C170" s="17" t="s">
        <v>104</v>
      </c>
      <c r="D170" s="18" t="s">
        <v>1576</v>
      </c>
      <c r="E170" s="17" t="s">
        <v>106</v>
      </c>
      <c r="F170" s="17" t="s">
        <v>107</v>
      </c>
      <c r="G170" s="17" t="s">
        <v>108</v>
      </c>
      <c r="H170" s="78">
        <v>1019023428</v>
      </c>
      <c r="I170" s="74" t="s">
        <v>1577</v>
      </c>
      <c r="J170" s="16"/>
      <c r="K170" s="16"/>
      <c r="L170" s="20" t="s">
        <v>1578</v>
      </c>
      <c r="M170" s="16" t="s">
        <v>111</v>
      </c>
      <c r="N170" s="22">
        <v>45307</v>
      </c>
      <c r="O170" s="22">
        <v>45309</v>
      </c>
      <c r="P170" s="22">
        <v>45657</v>
      </c>
      <c r="Q170" s="23">
        <f t="shared" si="68"/>
        <v>348</v>
      </c>
      <c r="R170" s="17" t="s">
        <v>242</v>
      </c>
      <c r="S170" s="110" t="s">
        <v>1579</v>
      </c>
      <c r="T170" s="16" t="s">
        <v>1145</v>
      </c>
      <c r="U170" s="67">
        <v>158270934</v>
      </c>
      <c r="V170" s="16" t="s">
        <v>426</v>
      </c>
      <c r="W170" s="224">
        <v>158270934</v>
      </c>
      <c r="X170" s="24">
        <v>13486692</v>
      </c>
      <c r="Y170" s="24"/>
      <c r="Z170" s="24"/>
      <c r="AA170" s="17" t="s">
        <v>116</v>
      </c>
      <c r="AB170" s="23" t="str">
        <f>IFERROR(VLOOKUP(AA170,Listas!$A$1:$C$14,2,FALSE),"")</f>
        <v>FREDY CÉSPEDES VILLA</v>
      </c>
      <c r="AC170" s="23">
        <f>IFERROR(VLOOKUP(AA170,Listas!$A$1:$C$14,3,FALSE),"")</f>
        <v>93363483</v>
      </c>
      <c r="AD170" s="17" t="s">
        <v>427</v>
      </c>
      <c r="AE170" s="17" t="s">
        <v>428</v>
      </c>
      <c r="AF170" s="23" t="str">
        <f>IFERROR(VLOOKUP(AE170,Listas!$AD$1:$AF$66,2,FALSE),"")</f>
        <v>DINORAH PATRICIA ABADIA MURILLO</v>
      </c>
      <c r="AG170" s="23">
        <f>IFERROR(VLOOKUP(AE170,Listas!$AD$1:$AF$65,3,FALSE),"")</f>
        <v>52220857</v>
      </c>
      <c r="AH170" s="17" t="s">
        <v>118</v>
      </c>
      <c r="AI170" s="65" t="s">
        <v>1580</v>
      </c>
      <c r="AJ170" s="25" t="s">
        <v>119</v>
      </c>
      <c r="AK170" s="26" t="s">
        <v>120</v>
      </c>
      <c r="AL170" s="26" t="s">
        <v>120</v>
      </c>
      <c r="AM170" s="90" t="s">
        <v>119</v>
      </c>
      <c r="AN170" s="105">
        <v>32160</v>
      </c>
      <c r="AO170" s="91">
        <f t="shared" ref="AO170" ca="1" si="79">IF(YEAR(TODAY())-YEAR(AN170)&gt;100," ",YEAR(TODAY())-YEAR(AN170))</f>
        <v>37</v>
      </c>
      <c r="AP170" s="26" t="s">
        <v>121</v>
      </c>
      <c r="AQ170" s="26" t="s">
        <v>515</v>
      </c>
      <c r="AR170" s="89"/>
      <c r="AS170" s="27"/>
      <c r="AT170" s="16"/>
      <c r="AU170" s="27"/>
      <c r="AV170" s="86"/>
      <c r="AW170" s="27"/>
      <c r="AX170" s="27"/>
      <c r="AY170" s="27"/>
      <c r="AZ170" s="27"/>
      <c r="BA170" s="27"/>
      <c r="BB170" s="27"/>
      <c r="BC170" s="97"/>
      <c r="BD170" s="27"/>
      <c r="BE170" s="16"/>
      <c r="BF170" s="28">
        <f t="shared" si="69"/>
        <v>0</v>
      </c>
      <c r="BG170" s="29"/>
      <c r="BH170" s="27"/>
      <c r="BI170" s="30">
        <f t="shared" si="70"/>
        <v>348</v>
      </c>
      <c r="BJ170" s="31">
        <f t="shared" si="71"/>
        <v>45657</v>
      </c>
      <c r="BK170" s="27"/>
      <c r="BL170" s="16"/>
      <c r="BM170" s="27"/>
      <c r="BN170" s="16"/>
      <c r="BO170" s="27"/>
      <c r="BP170" s="16"/>
      <c r="BQ170" s="27"/>
      <c r="BR170" s="24"/>
      <c r="BS170" s="24"/>
      <c r="BT170" s="32"/>
      <c r="BU170" s="27"/>
      <c r="BV170" s="24"/>
      <c r="BW170" s="24"/>
      <c r="BX170" s="16"/>
      <c r="BY170" s="27"/>
      <c r="BZ170" s="24"/>
      <c r="CA170" s="24"/>
      <c r="CB170" s="16"/>
      <c r="CC170" s="49">
        <f t="shared" si="72"/>
        <v>0</v>
      </c>
      <c r="CD170" s="24"/>
      <c r="CE170" s="49">
        <f t="shared" si="67"/>
        <v>158270934</v>
      </c>
      <c r="CF170" s="50"/>
      <c r="CG170" s="49">
        <f t="shared" ca="1" si="73"/>
        <v>158270934</v>
      </c>
      <c r="CH170" s="33">
        <f t="shared" ca="1" si="74"/>
        <v>1</v>
      </c>
      <c r="CI170" s="33">
        <f t="shared" ca="1" si="75"/>
        <v>1</v>
      </c>
      <c r="CJ170" s="36">
        <f t="shared" ca="1" si="76"/>
        <v>100</v>
      </c>
      <c r="CK170" s="34">
        <f t="shared" si="77"/>
        <v>0</v>
      </c>
      <c r="CL170" s="21"/>
      <c r="CM170" s="35" t="str">
        <f t="shared" ca="1" si="78"/>
        <v>TERMINADO</v>
      </c>
      <c r="CN170" s="82"/>
      <c r="CO170" s="145" t="s">
        <v>1581</v>
      </c>
      <c r="CP170" s="26" t="s">
        <v>123</v>
      </c>
    </row>
    <row r="171" spans="1:98" s="153" customFormat="1" ht="24.75" customHeight="1">
      <c r="A171" s="48"/>
      <c r="B171" s="345" t="s">
        <v>1582</v>
      </c>
      <c r="C171" s="345" t="s">
        <v>1583</v>
      </c>
      <c r="D171" s="18"/>
      <c r="E171" s="17"/>
      <c r="F171" s="17"/>
      <c r="G171" s="17"/>
      <c r="H171" s="78"/>
      <c r="I171" s="74"/>
      <c r="J171" s="16"/>
      <c r="K171" s="16"/>
      <c r="L171" s="96"/>
      <c r="M171" s="16"/>
      <c r="N171" s="22"/>
      <c r="O171" s="22"/>
      <c r="P171" s="22"/>
      <c r="Q171" s="23"/>
      <c r="R171" s="17"/>
      <c r="S171" s="16"/>
      <c r="T171" s="16"/>
      <c r="U171" s="67"/>
      <c r="V171" s="16"/>
      <c r="W171" s="24"/>
      <c r="X171" s="24"/>
      <c r="Y171" s="24"/>
      <c r="Z171" s="24"/>
      <c r="AA171" s="17"/>
      <c r="AB171" s="23"/>
      <c r="AC171" s="23"/>
      <c r="AD171" s="17"/>
      <c r="AE171" s="17"/>
      <c r="AF171" s="23"/>
      <c r="AG171" s="23"/>
      <c r="AH171" s="17"/>
      <c r="AI171" s="65"/>
      <c r="AJ171" s="25"/>
      <c r="AK171" s="26"/>
      <c r="AL171" s="26"/>
      <c r="AM171" s="90"/>
      <c r="AN171" s="105"/>
      <c r="AO171" s="91"/>
      <c r="AP171" s="26"/>
      <c r="AQ171" s="26"/>
      <c r="AR171" s="89"/>
      <c r="AS171" s="27"/>
      <c r="AT171" s="16"/>
      <c r="AU171" s="27"/>
      <c r="AV171" s="86"/>
      <c r="AW171" s="27"/>
      <c r="AX171" s="27"/>
      <c r="AY171" s="27"/>
      <c r="AZ171" s="27"/>
      <c r="BA171" s="27"/>
      <c r="BB171" s="27"/>
      <c r="BC171" s="97"/>
      <c r="BD171" s="27"/>
      <c r="BE171" s="16"/>
      <c r="BF171" s="28"/>
      <c r="BG171" s="29"/>
      <c r="BH171" s="27"/>
      <c r="BI171" s="30"/>
      <c r="BJ171" s="31"/>
      <c r="BK171" s="27"/>
      <c r="BL171" s="16"/>
      <c r="BM171" s="27"/>
      <c r="BN171" s="16"/>
      <c r="BO171" s="27"/>
      <c r="BP171" s="16"/>
      <c r="BQ171" s="27"/>
      <c r="BR171" s="24"/>
      <c r="BS171" s="24"/>
      <c r="BT171" s="32"/>
      <c r="BU171" s="27"/>
      <c r="BV171" s="24"/>
      <c r="BW171" s="24"/>
      <c r="BX171" s="16"/>
      <c r="BY171" s="27"/>
      <c r="BZ171" s="24"/>
      <c r="CA171" s="24"/>
      <c r="CB171" s="16"/>
      <c r="CC171" s="49"/>
      <c r="CD171" s="24"/>
      <c r="CE171" s="49"/>
      <c r="CF171" s="50"/>
      <c r="CG171" s="49"/>
      <c r="CH171" s="33"/>
      <c r="CI171" s="33"/>
      <c r="CJ171" s="36"/>
      <c r="CK171" s="34"/>
      <c r="CL171" s="21"/>
      <c r="CM171" s="35"/>
      <c r="CN171" s="82"/>
      <c r="CO171" s="145"/>
      <c r="CP171" s="26"/>
      <c r="CQ171" s="83"/>
      <c r="CR171" s="83"/>
      <c r="CS171" s="48"/>
      <c r="CT171" s="345"/>
    </row>
    <row r="172" spans="1:98" ht="24.75" customHeight="1">
      <c r="A172" s="48" t="s">
        <v>1584</v>
      </c>
      <c r="B172" s="77" t="s">
        <v>1585</v>
      </c>
      <c r="C172" s="17" t="s">
        <v>104</v>
      </c>
      <c r="D172" s="18" t="s">
        <v>1586</v>
      </c>
      <c r="E172" s="17" t="s">
        <v>106</v>
      </c>
      <c r="F172" s="17" t="s">
        <v>107</v>
      </c>
      <c r="G172" s="17" t="s">
        <v>108</v>
      </c>
      <c r="H172" s="78">
        <v>1026289457</v>
      </c>
      <c r="I172" s="74" t="s">
        <v>1587</v>
      </c>
      <c r="J172" s="16"/>
      <c r="K172" s="16"/>
      <c r="L172" s="20" t="s">
        <v>1588</v>
      </c>
      <c r="M172" s="16" t="s">
        <v>111</v>
      </c>
      <c r="N172" s="22">
        <v>45307</v>
      </c>
      <c r="O172" s="22">
        <v>45308</v>
      </c>
      <c r="P172" s="22">
        <v>45656</v>
      </c>
      <c r="Q172" s="23">
        <f t="shared" ref="Q172:Q206" si="80">P172-O172</f>
        <v>348</v>
      </c>
      <c r="R172" s="17" t="s">
        <v>112</v>
      </c>
      <c r="S172" s="110" t="s">
        <v>1589</v>
      </c>
      <c r="T172" s="16" t="s">
        <v>364</v>
      </c>
      <c r="U172" s="67">
        <v>58981798</v>
      </c>
      <c r="V172" s="16" t="s">
        <v>1590</v>
      </c>
      <c r="W172" s="224">
        <v>58981798</v>
      </c>
      <c r="X172" s="24">
        <v>5026898</v>
      </c>
      <c r="Y172" s="24"/>
      <c r="Z172" s="24"/>
      <c r="AA172" s="17" t="s">
        <v>116</v>
      </c>
      <c r="AB172" s="23" t="str">
        <f>IFERROR(VLOOKUP(AA172,Listas!$A$1:$C$14,2,FALSE),"")</f>
        <v>FREDY CÉSPEDES VILLA</v>
      </c>
      <c r="AC172" s="23">
        <f>IFERROR(VLOOKUP(AA172,Listas!$A$1:$C$14,3,FALSE),"")</f>
        <v>93363483</v>
      </c>
      <c r="AD172" s="17" t="s">
        <v>345</v>
      </c>
      <c r="AE172" s="17" t="s">
        <v>346</v>
      </c>
      <c r="AF172" s="23" t="str">
        <f>IFERROR(VLOOKUP(AE172,Listas!$AD$1:$AF$66,2,FALSE),"")</f>
        <v>RODOLFO GIOVANNI CANCHILA SUÁREZ</v>
      </c>
      <c r="AG172" s="23">
        <f>IFERROR(VLOOKUP(AE172,Listas!$AD$1:$AF$65,3,FALSE),"")</f>
        <v>79672493</v>
      </c>
      <c r="AH172" s="17" t="s">
        <v>118</v>
      </c>
      <c r="AI172" s="65" t="s">
        <v>1591</v>
      </c>
      <c r="AJ172" s="25" t="s">
        <v>119</v>
      </c>
      <c r="AK172" s="26" t="s">
        <v>120</v>
      </c>
      <c r="AL172" s="26" t="s">
        <v>120</v>
      </c>
      <c r="AM172" s="90" t="s">
        <v>119</v>
      </c>
      <c r="AN172" s="105">
        <v>34607</v>
      </c>
      <c r="AO172" s="91">
        <f t="shared" ref="AO172:AO206" ca="1" si="81">IF(YEAR(TODAY())-YEAR(AN172)&gt;100," ",YEAR(TODAY())-YEAR(AN172))</f>
        <v>31</v>
      </c>
      <c r="AP172" s="26" t="s">
        <v>121</v>
      </c>
      <c r="AQ172" s="26" t="s">
        <v>367</v>
      </c>
      <c r="AR172" s="89"/>
      <c r="AS172" s="27"/>
      <c r="AT172" s="16"/>
      <c r="AU172" s="27"/>
      <c r="AV172" s="86"/>
      <c r="AW172" s="27"/>
      <c r="AX172" s="27"/>
      <c r="AY172" s="27"/>
      <c r="AZ172" s="27"/>
      <c r="BA172" s="27"/>
      <c r="BB172" s="27"/>
      <c r="BC172" s="97"/>
      <c r="BD172" s="27"/>
      <c r="BE172" s="16"/>
      <c r="BF172" s="28">
        <f t="shared" ref="BF172:BF207" si="82">BC172+BE172</f>
        <v>0</v>
      </c>
      <c r="BG172" s="29"/>
      <c r="BH172" s="27"/>
      <c r="BI172" s="30">
        <f t="shared" ref="BI172:BI207" si="83">BF172+Q172</f>
        <v>348</v>
      </c>
      <c r="BJ172" s="31">
        <f t="shared" ref="BJ172:BJ207" si="84">IF(BH172="",P172+BF172,BH172)</f>
        <v>45656</v>
      </c>
      <c r="BK172" s="27"/>
      <c r="BL172" s="16"/>
      <c r="BM172" s="27"/>
      <c r="BN172" s="16"/>
      <c r="BO172" s="27"/>
      <c r="BP172" s="16"/>
      <c r="BQ172" s="27"/>
      <c r="BR172" s="24"/>
      <c r="BS172" s="24"/>
      <c r="BT172" s="32"/>
      <c r="BU172" s="27"/>
      <c r="BV172" s="24"/>
      <c r="BW172" s="24"/>
      <c r="BX172" s="16"/>
      <c r="BY172" s="27"/>
      <c r="BZ172" s="24"/>
      <c r="CA172" s="24"/>
      <c r="CB172" s="16"/>
      <c r="CC172" s="49">
        <f t="shared" ref="CC172:CC207" si="85">BR172+BV172+BZ172</f>
        <v>0</v>
      </c>
      <c r="CD172" s="24"/>
      <c r="CE172" s="49">
        <f t="shared" ref="CE172:CE183" si="86">IF(Y172=0,(W172+CC172)-CD172,IF(Y172&gt;0,(Y172+CC172)-CD172))</f>
        <v>58981798</v>
      </c>
      <c r="CF172" s="50"/>
      <c r="CG172" s="49">
        <f t="shared" ref="CG172:CG207" ca="1" si="87">IFERROR(IF(((CE172/BI172)*(TODAY()-N172))&gt;CE172,CE172,((CE172/BI172)*(TODAY()-N172))),"")</f>
        <v>58981798</v>
      </c>
      <c r="CH172" s="33">
        <f t="shared" ref="CH172:CH207" ca="1" si="88">IF(TODAY()&gt;BJ172,1,+(DAYS360(O172,TODAY())/DAYS360(O172,BJ172)))</f>
        <v>1</v>
      </c>
      <c r="CI172" s="33">
        <f t="shared" ref="CI172:CI207" ca="1" si="89">+IF(CL172&gt;0,DAYS360(O172,CL172)/DAYS360(O172,BJ172),CH172)</f>
        <v>1</v>
      </c>
      <c r="CJ172" s="36">
        <f t="shared" ref="CJ172:CJ207" ca="1" si="90">IFERROR(IF(((CG172/CE172)*100)&gt;100,100,((CG172/CE172)*100)),"")</f>
        <v>100</v>
      </c>
      <c r="CK172" s="34">
        <f t="shared" ref="CK172:CK207" si="91">IFERROR((CF172/CE172)*100,"")</f>
        <v>0</v>
      </c>
      <c r="CL172" s="21"/>
      <c r="CM172" s="35" t="str">
        <f t="shared" ref="CM172:CM206" ca="1" si="92">IF(CL172&gt;1/1/6,"LIQUIDADO",IF(BJ172=0,"",IF(BJ172&gt;=TODAY(),"VIGENTE",IF(BJ172&lt;TODAY(),"TERMINADO",))))</f>
        <v>TERMINADO</v>
      </c>
      <c r="CN172" s="82"/>
      <c r="CO172" s="145" t="s">
        <v>1592</v>
      </c>
      <c r="CP172" s="26" t="s">
        <v>123</v>
      </c>
    </row>
    <row r="173" spans="1:98" ht="24.75" customHeight="1">
      <c r="A173" s="48" t="s">
        <v>1593</v>
      </c>
      <c r="B173" s="77" t="s">
        <v>1594</v>
      </c>
      <c r="C173" s="17" t="s">
        <v>104</v>
      </c>
      <c r="D173" s="18" t="s">
        <v>1595</v>
      </c>
      <c r="E173" s="17" t="s">
        <v>106</v>
      </c>
      <c r="F173" s="17" t="s">
        <v>107</v>
      </c>
      <c r="G173" s="17" t="s">
        <v>108</v>
      </c>
      <c r="H173" s="78">
        <v>79986737</v>
      </c>
      <c r="I173" s="74" t="s">
        <v>1596</v>
      </c>
      <c r="J173" s="16"/>
      <c r="K173" s="16"/>
      <c r="L173" s="20" t="s">
        <v>1597</v>
      </c>
      <c r="M173" s="16" t="s">
        <v>111</v>
      </c>
      <c r="N173" s="22">
        <v>45308</v>
      </c>
      <c r="O173" s="22">
        <v>45313</v>
      </c>
      <c r="P173" s="22">
        <v>45656</v>
      </c>
      <c r="Q173" s="23">
        <f t="shared" si="80"/>
        <v>343</v>
      </c>
      <c r="R173" s="17" t="s">
        <v>242</v>
      </c>
      <c r="S173" s="110" t="s">
        <v>1598</v>
      </c>
      <c r="T173" s="16" t="s">
        <v>1470</v>
      </c>
      <c r="U173" s="67">
        <v>125076000</v>
      </c>
      <c r="V173" s="16" t="s">
        <v>1212</v>
      </c>
      <c r="W173" s="224">
        <v>125076000</v>
      </c>
      <c r="X173" s="24"/>
      <c r="Y173" s="24"/>
      <c r="Z173" s="24"/>
      <c r="AA173" s="17" t="s">
        <v>116</v>
      </c>
      <c r="AB173" s="23" t="str">
        <f>IFERROR(VLOOKUP(AA173,Listas!$A$1:$C$14,2,FALSE),"")</f>
        <v>FREDY CÉSPEDES VILLA</v>
      </c>
      <c r="AC173" s="23">
        <f>IFERROR(VLOOKUP(AA173,Listas!$A$1:$C$14,3,FALSE),"")</f>
        <v>93363483</v>
      </c>
      <c r="AD173" s="17" t="s">
        <v>577</v>
      </c>
      <c r="AE173" s="17" t="s">
        <v>1599</v>
      </c>
      <c r="AF173" s="23" t="str">
        <f>IFERROR(VLOOKUP(AE173,Listas!$AD$1:$AF$66,2,FALSE),"")</f>
        <v>BEATRIZ HELENA TORRES LIZARAZO</v>
      </c>
      <c r="AG173" s="23">
        <f>IFERROR(VLOOKUP(AE173,Listas!$AD$1:$AF$65,3,FALSE),"")</f>
        <v>63513648</v>
      </c>
      <c r="AH173" s="17" t="s">
        <v>118</v>
      </c>
      <c r="AI173" s="65" t="s">
        <v>1600</v>
      </c>
      <c r="AJ173" s="25" t="s">
        <v>119</v>
      </c>
      <c r="AK173" s="26" t="s">
        <v>120</v>
      </c>
      <c r="AL173" s="26" t="s">
        <v>120</v>
      </c>
      <c r="AM173" s="90" t="s">
        <v>119</v>
      </c>
      <c r="AN173" s="105">
        <v>28856</v>
      </c>
      <c r="AO173" s="91">
        <f t="shared" ca="1" si="81"/>
        <v>46</v>
      </c>
      <c r="AP173" s="26" t="s">
        <v>121</v>
      </c>
      <c r="AQ173" s="26" t="s">
        <v>886</v>
      </c>
      <c r="AR173" s="89"/>
      <c r="AS173" s="27"/>
      <c r="AT173" s="16"/>
      <c r="AU173" s="27"/>
      <c r="AV173" s="86"/>
      <c r="AW173" s="27"/>
      <c r="AX173" s="27"/>
      <c r="AY173" s="27"/>
      <c r="AZ173" s="27"/>
      <c r="BA173" s="27"/>
      <c r="BB173" s="27"/>
      <c r="BC173" s="97"/>
      <c r="BD173" s="27"/>
      <c r="BE173" s="16"/>
      <c r="BF173" s="28">
        <f t="shared" si="82"/>
        <v>0</v>
      </c>
      <c r="BG173" s="29"/>
      <c r="BH173" s="27"/>
      <c r="BI173" s="30">
        <f t="shared" si="83"/>
        <v>343</v>
      </c>
      <c r="BJ173" s="31">
        <f t="shared" si="84"/>
        <v>45656</v>
      </c>
      <c r="BK173" s="27"/>
      <c r="BL173" s="16"/>
      <c r="BM173" s="27"/>
      <c r="BN173" s="16"/>
      <c r="BO173" s="27"/>
      <c r="BP173" s="16"/>
      <c r="BQ173" s="27"/>
      <c r="BR173" s="24"/>
      <c r="BS173" s="24"/>
      <c r="BT173" s="32"/>
      <c r="BU173" s="27"/>
      <c r="BV173" s="24"/>
      <c r="BW173" s="24"/>
      <c r="BX173" s="16"/>
      <c r="BY173" s="27"/>
      <c r="BZ173" s="24"/>
      <c r="CA173" s="24"/>
      <c r="CB173" s="16"/>
      <c r="CC173" s="49">
        <f t="shared" si="85"/>
        <v>0</v>
      </c>
      <c r="CD173" s="24"/>
      <c r="CE173" s="49">
        <f t="shared" si="86"/>
        <v>125076000</v>
      </c>
      <c r="CF173" s="50"/>
      <c r="CG173" s="49">
        <f t="shared" ca="1" si="87"/>
        <v>125076000</v>
      </c>
      <c r="CH173" s="33">
        <f t="shared" ca="1" si="88"/>
        <v>1</v>
      </c>
      <c r="CI173" s="33">
        <f t="shared" ca="1" si="89"/>
        <v>1</v>
      </c>
      <c r="CJ173" s="36">
        <f t="shared" ca="1" si="90"/>
        <v>100</v>
      </c>
      <c r="CK173" s="34">
        <f t="shared" si="91"/>
        <v>0</v>
      </c>
      <c r="CL173" s="21"/>
      <c r="CM173" s="35" t="str">
        <f t="shared" ca="1" si="92"/>
        <v>TERMINADO</v>
      </c>
      <c r="CN173" s="82"/>
      <c r="CO173" s="145" t="s">
        <v>1601</v>
      </c>
      <c r="CP173" s="26" t="s">
        <v>142</v>
      </c>
    </row>
    <row r="174" spans="1:98" ht="24.75" customHeight="1">
      <c r="A174" s="48" t="s">
        <v>1602</v>
      </c>
      <c r="B174" s="77" t="s">
        <v>1603</v>
      </c>
      <c r="C174" s="17" t="s">
        <v>104</v>
      </c>
      <c r="D174" s="18" t="s">
        <v>1604</v>
      </c>
      <c r="E174" s="17" t="s">
        <v>106</v>
      </c>
      <c r="F174" s="17" t="s">
        <v>107</v>
      </c>
      <c r="G174" s="17" t="s">
        <v>108</v>
      </c>
      <c r="H174" s="78">
        <v>1053786806</v>
      </c>
      <c r="I174" s="74" t="s">
        <v>1605</v>
      </c>
      <c r="J174" s="16"/>
      <c r="K174" s="16"/>
      <c r="L174" s="20" t="s">
        <v>521</v>
      </c>
      <c r="M174" s="16" t="s">
        <v>111</v>
      </c>
      <c r="N174" s="22">
        <v>45307</v>
      </c>
      <c r="O174" s="22">
        <v>45309</v>
      </c>
      <c r="P174" s="22">
        <v>45656</v>
      </c>
      <c r="Q174" s="23">
        <f t="shared" si="80"/>
        <v>347</v>
      </c>
      <c r="R174" s="17" t="s">
        <v>242</v>
      </c>
      <c r="S174" s="110" t="s">
        <v>1606</v>
      </c>
      <c r="T174" s="16" t="s">
        <v>1345</v>
      </c>
      <c r="U174" s="67">
        <v>50906127</v>
      </c>
      <c r="V174" s="16" t="s">
        <v>471</v>
      </c>
      <c r="W174" s="224">
        <v>50906127</v>
      </c>
      <c r="X174" s="24">
        <v>4413826</v>
      </c>
      <c r="Y174" s="24"/>
      <c r="Z174" s="24"/>
      <c r="AA174" s="17" t="s">
        <v>116</v>
      </c>
      <c r="AB174" s="23" t="str">
        <f>IFERROR(VLOOKUP(AA174,Listas!$A$1:$C$14,2,FALSE),"")</f>
        <v>FREDY CÉSPEDES VILLA</v>
      </c>
      <c r="AC174" s="23">
        <f>IFERROR(VLOOKUP(AA174,Listas!$A$1:$C$14,3,FALSE),"")</f>
        <v>93363483</v>
      </c>
      <c r="AD174" s="17" t="s">
        <v>345</v>
      </c>
      <c r="AE174" s="17" t="s">
        <v>346</v>
      </c>
      <c r="AF174" s="23" t="str">
        <f>IFERROR(VLOOKUP(AE174,Listas!$AD$1:$AF$66,2,FALSE),"")</f>
        <v>RODOLFO GIOVANNI CANCHILA SUÁREZ</v>
      </c>
      <c r="AG174" s="23">
        <f>IFERROR(VLOOKUP(AE174,Listas!$AD$1:$AF$65,3,FALSE),"")</f>
        <v>79672493</v>
      </c>
      <c r="AH174" s="17" t="s">
        <v>118</v>
      </c>
      <c r="AI174" s="65" t="s">
        <v>1607</v>
      </c>
      <c r="AJ174" s="25" t="s">
        <v>119</v>
      </c>
      <c r="AK174" s="26" t="s">
        <v>120</v>
      </c>
      <c r="AL174" s="26" t="s">
        <v>120</v>
      </c>
      <c r="AM174" s="90" t="s">
        <v>119</v>
      </c>
      <c r="AN174" s="105">
        <v>32221</v>
      </c>
      <c r="AO174" s="91">
        <f t="shared" ca="1" si="81"/>
        <v>37</v>
      </c>
      <c r="AP174" s="26" t="s">
        <v>121</v>
      </c>
      <c r="AQ174" s="26" t="s">
        <v>347</v>
      </c>
      <c r="AR174" s="89"/>
      <c r="AS174" s="27"/>
      <c r="AT174" s="16"/>
      <c r="AU174" s="27"/>
      <c r="AV174" s="86"/>
      <c r="AW174" s="27"/>
      <c r="AX174" s="27"/>
      <c r="AY174" s="27"/>
      <c r="AZ174" s="27"/>
      <c r="BA174" s="27"/>
      <c r="BB174" s="27"/>
      <c r="BC174" s="97"/>
      <c r="BD174" s="27"/>
      <c r="BE174" s="16"/>
      <c r="BF174" s="28">
        <f t="shared" si="82"/>
        <v>0</v>
      </c>
      <c r="BG174" s="29"/>
      <c r="BH174" s="27"/>
      <c r="BI174" s="30">
        <f t="shared" si="83"/>
        <v>347</v>
      </c>
      <c r="BJ174" s="31">
        <f t="shared" si="84"/>
        <v>45656</v>
      </c>
      <c r="BK174" s="27"/>
      <c r="BL174" s="16"/>
      <c r="BM174" s="27"/>
      <c r="BN174" s="16"/>
      <c r="BO174" s="27"/>
      <c r="BP174" s="16"/>
      <c r="BQ174" s="27"/>
      <c r="BR174" s="24"/>
      <c r="BS174" s="24"/>
      <c r="BT174" s="32"/>
      <c r="BU174" s="27"/>
      <c r="BV174" s="24"/>
      <c r="BW174" s="24"/>
      <c r="BX174" s="16"/>
      <c r="BY174" s="27"/>
      <c r="BZ174" s="24"/>
      <c r="CA174" s="24"/>
      <c r="CB174" s="16"/>
      <c r="CC174" s="49">
        <f t="shared" si="85"/>
        <v>0</v>
      </c>
      <c r="CD174" s="24"/>
      <c r="CE174" s="49">
        <f t="shared" si="86"/>
        <v>50906127</v>
      </c>
      <c r="CF174" s="50"/>
      <c r="CG174" s="49">
        <f t="shared" ca="1" si="87"/>
        <v>50906127</v>
      </c>
      <c r="CH174" s="33">
        <f t="shared" ca="1" si="88"/>
        <v>1</v>
      </c>
      <c r="CI174" s="33">
        <f t="shared" ca="1" si="89"/>
        <v>1</v>
      </c>
      <c r="CJ174" s="36">
        <f t="shared" ca="1" si="90"/>
        <v>100</v>
      </c>
      <c r="CK174" s="34">
        <f t="shared" si="91"/>
        <v>0</v>
      </c>
      <c r="CL174" s="21"/>
      <c r="CM174" s="35" t="str">
        <f t="shared" ca="1" si="92"/>
        <v>TERMINADO</v>
      </c>
      <c r="CN174" s="82"/>
      <c r="CO174" s="145" t="s">
        <v>1608</v>
      </c>
      <c r="CP174" s="26" t="s">
        <v>142</v>
      </c>
    </row>
    <row r="175" spans="1:98" ht="24.75" customHeight="1">
      <c r="A175" s="48" t="s">
        <v>1609</v>
      </c>
      <c r="B175" s="77" t="s">
        <v>1610</v>
      </c>
      <c r="C175" s="17" t="s">
        <v>104</v>
      </c>
      <c r="D175" s="18" t="s">
        <v>1611</v>
      </c>
      <c r="E175" s="17" t="s">
        <v>106</v>
      </c>
      <c r="F175" s="17" t="s">
        <v>107</v>
      </c>
      <c r="G175" s="17" t="s">
        <v>108</v>
      </c>
      <c r="H175" s="78">
        <v>1031120469</v>
      </c>
      <c r="I175" s="74" t="s">
        <v>1612</v>
      </c>
      <c r="J175" s="16"/>
      <c r="K175" s="16"/>
      <c r="L175" s="96" t="s">
        <v>1613</v>
      </c>
      <c r="M175" s="16" t="s">
        <v>111</v>
      </c>
      <c r="N175" s="22">
        <v>45308</v>
      </c>
      <c r="O175" s="22">
        <v>45309</v>
      </c>
      <c r="P175" s="22">
        <v>45656</v>
      </c>
      <c r="Q175" s="23">
        <f t="shared" si="80"/>
        <v>347</v>
      </c>
      <c r="R175" s="17" t="s">
        <v>242</v>
      </c>
      <c r="S175" s="110" t="s">
        <v>1614</v>
      </c>
      <c r="T175" s="16" t="s">
        <v>1615</v>
      </c>
      <c r="U175" s="67">
        <v>50906127</v>
      </c>
      <c r="V175" s="16" t="s">
        <v>471</v>
      </c>
      <c r="W175" s="224">
        <v>50906127</v>
      </c>
      <c r="X175" s="24">
        <v>4413826</v>
      </c>
      <c r="Y175" s="24"/>
      <c r="Z175" s="24"/>
      <c r="AA175" s="17" t="s">
        <v>116</v>
      </c>
      <c r="AB175" s="23" t="str">
        <f>IFERROR(VLOOKUP(AA175,Listas!$A$1:$C$14,2,FALSE),"")</f>
        <v>FREDY CÉSPEDES VILLA</v>
      </c>
      <c r="AC175" s="23">
        <f>IFERROR(VLOOKUP(AA175,Listas!$A$1:$C$14,3,FALSE),"")</f>
        <v>93363483</v>
      </c>
      <c r="AD175" s="17" t="s">
        <v>345</v>
      </c>
      <c r="AE175" s="17" t="s">
        <v>346</v>
      </c>
      <c r="AF175" s="23" t="str">
        <f>IFERROR(VLOOKUP(AE175,Listas!$AD$1:$AF$66,2,FALSE),"")</f>
        <v>RODOLFO GIOVANNI CANCHILA SUÁREZ</v>
      </c>
      <c r="AG175" s="23">
        <f>IFERROR(VLOOKUP(AE175,Listas!$AD$1:$AF$65,3,FALSE),"")</f>
        <v>79672493</v>
      </c>
      <c r="AH175" s="17" t="s">
        <v>118</v>
      </c>
      <c r="AI175" s="65" t="s">
        <v>1616</v>
      </c>
      <c r="AJ175" s="25" t="s">
        <v>119</v>
      </c>
      <c r="AK175" s="26" t="s">
        <v>120</v>
      </c>
      <c r="AL175" s="26" t="s">
        <v>120</v>
      </c>
      <c r="AM175" s="90" t="s">
        <v>119</v>
      </c>
      <c r="AN175" s="105">
        <v>31472</v>
      </c>
      <c r="AO175" s="91">
        <f t="shared" ca="1" si="81"/>
        <v>39</v>
      </c>
      <c r="AP175" s="26" t="s">
        <v>121</v>
      </c>
      <c r="AQ175" s="26" t="s">
        <v>347</v>
      </c>
      <c r="AR175" s="89"/>
      <c r="AS175" s="27"/>
      <c r="AT175" s="16"/>
      <c r="AU175" s="27"/>
      <c r="AV175" s="86"/>
      <c r="AW175" s="27"/>
      <c r="AX175" s="27"/>
      <c r="AY175" s="27"/>
      <c r="AZ175" s="27"/>
      <c r="BA175" s="27"/>
      <c r="BB175" s="27"/>
      <c r="BC175" s="97"/>
      <c r="BD175" s="27"/>
      <c r="BE175" s="16"/>
      <c r="BF175" s="28">
        <f t="shared" si="82"/>
        <v>0</v>
      </c>
      <c r="BG175" s="29"/>
      <c r="BH175" s="27"/>
      <c r="BI175" s="30">
        <f t="shared" si="83"/>
        <v>347</v>
      </c>
      <c r="BJ175" s="31">
        <f t="shared" si="84"/>
        <v>45656</v>
      </c>
      <c r="BK175" s="27"/>
      <c r="BL175" s="16"/>
      <c r="BM175" s="27"/>
      <c r="BN175" s="16"/>
      <c r="BO175" s="27"/>
      <c r="BP175" s="16"/>
      <c r="BQ175" s="27"/>
      <c r="BR175" s="24"/>
      <c r="BS175" s="24"/>
      <c r="BT175" s="32"/>
      <c r="BU175" s="27"/>
      <c r="BV175" s="24"/>
      <c r="BW175" s="24"/>
      <c r="BX175" s="16"/>
      <c r="BY175" s="27"/>
      <c r="BZ175" s="24"/>
      <c r="CA175" s="24"/>
      <c r="CB175" s="16"/>
      <c r="CC175" s="49">
        <f t="shared" si="85"/>
        <v>0</v>
      </c>
      <c r="CD175" s="24"/>
      <c r="CE175" s="49">
        <f t="shared" si="86"/>
        <v>50906127</v>
      </c>
      <c r="CF175" s="50"/>
      <c r="CG175" s="49">
        <f t="shared" ca="1" si="87"/>
        <v>50906127</v>
      </c>
      <c r="CH175" s="33">
        <f t="shared" ca="1" si="88"/>
        <v>1</v>
      </c>
      <c r="CI175" s="33">
        <f t="shared" ca="1" si="89"/>
        <v>1</v>
      </c>
      <c r="CJ175" s="36">
        <f t="shared" ca="1" si="90"/>
        <v>100</v>
      </c>
      <c r="CK175" s="34">
        <f t="shared" si="91"/>
        <v>0</v>
      </c>
      <c r="CL175" s="21"/>
      <c r="CM175" s="35" t="str">
        <f t="shared" ca="1" si="92"/>
        <v>TERMINADO</v>
      </c>
      <c r="CN175" s="82"/>
      <c r="CO175" s="145" t="s">
        <v>1617</v>
      </c>
      <c r="CP175" s="26" t="s">
        <v>142</v>
      </c>
    </row>
    <row r="176" spans="1:98" ht="24.75" customHeight="1">
      <c r="A176" s="48" t="s">
        <v>1618</v>
      </c>
      <c r="B176" s="77" t="s">
        <v>1619</v>
      </c>
      <c r="C176" s="17" t="s">
        <v>104</v>
      </c>
      <c r="D176" s="18" t="s">
        <v>1620</v>
      </c>
      <c r="E176" s="17" t="s">
        <v>106</v>
      </c>
      <c r="F176" s="17" t="s">
        <v>107</v>
      </c>
      <c r="G176" s="17" t="s">
        <v>108</v>
      </c>
      <c r="H176" s="78">
        <v>79720987</v>
      </c>
      <c r="I176" s="74" t="s">
        <v>1621</v>
      </c>
      <c r="J176" s="16"/>
      <c r="K176" s="16"/>
      <c r="L176" s="20" t="s">
        <v>1622</v>
      </c>
      <c r="M176" s="16" t="s">
        <v>111</v>
      </c>
      <c r="N176" s="22">
        <v>45307</v>
      </c>
      <c r="O176" s="22">
        <v>45309</v>
      </c>
      <c r="P176" s="22">
        <v>45490</v>
      </c>
      <c r="Q176" s="23">
        <f t="shared" si="80"/>
        <v>181</v>
      </c>
      <c r="R176" s="17" t="s">
        <v>112</v>
      </c>
      <c r="S176" s="110" t="s">
        <v>1623</v>
      </c>
      <c r="T176" s="16" t="s">
        <v>114</v>
      </c>
      <c r="U176" s="67">
        <v>62529204</v>
      </c>
      <c r="V176" s="16" t="s">
        <v>742</v>
      </c>
      <c r="W176" s="224">
        <v>62529204</v>
      </c>
      <c r="X176" s="24">
        <v>10421534</v>
      </c>
      <c r="Y176" s="24"/>
      <c r="Z176" s="24"/>
      <c r="AA176" s="17" t="s">
        <v>116</v>
      </c>
      <c r="AB176" s="23" t="str">
        <f>IFERROR(VLOOKUP(AA176,Listas!$A$1:$C$14,2,FALSE),"")</f>
        <v>FREDY CÉSPEDES VILLA</v>
      </c>
      <c r="AC176" s="23">
        <f>IFERROR(VLOOKUP(AA176,Listas!$A$1:$C$14,3,FALSE),"")</f>
        <v>93363483</v>
      </c>
      <c r="AD176" s="17" t="s">
        <v>116</v>
      </c>
      <c r="AE176" s="17" t="s">
        <v>325</v>
      </c>
      <c r="AF176" s="23" t="str">
        <f>IFERROR(VLOOKUP(AE176,Listas!$AD$1:$AF$66,2,FALSE),"")</f>
        <v>SANDRA MILENA MÁRQUEZ PARRA</v>
      </c>
      <c r="AG176" s="23">
        <f>IFERROR(VLOOKUP(AE176,Listas!$AD$1:$AF$65,3,FALSE),"")</f>
        <v>52487587</v>
      </c>
      <c r="AH176" s="17" t="s">
        <v>118</v>
      </c>
      <c r="AI176" s="65" t="s">
        <v>1624</v>
      </c>
      <c r="AJ176" s="25" t="s">
        <v>119</v>
      </c>
      <c r="AK176" s="26" t="s">
        <v>120</v>
      </c>
      <c r="AL176" s="26" t="s">
        <v>120</v>
      </c>
      <c r="AM176" s="90" t="s">
        <v>119</v>
      </c>
      <c r="AN176" s="105"/>
      <c r="AO176" s="91" t="str">
        <f t="shared" ca="1" si="81"/>
        <v xml:space="preserve"> </v>
      </c>
      <c r="AP176" s="26" t="s">
        <v>121</v>
      </c>
      <c r="AQ176" s="26" t="s">
        <v>327</v>
      </c>
      <c r="AR176" s="89"/>
      <c r="AS176" s="27"/>
      <c r="AT176" s="16"/>
      <c r="AU176" s="27"/>
      <c r="AV176" s="86"/>
      <c r="AW176" s="27"/>
      <c r="AX176" s="27"/>
      <c r="AY176" s="27"/>
      <c r="AZ176" s="27"/>
      <c r="BA176" s="27"/>
      <c r="BB176" s="27"/>
      <c r="BC176" s="97"/>
      <c r="BD176" s="27"/>
      <c r="BE176" s="16"/>
      <c r="BF176" s="28">
        <f t="shared" si="82"/>
        <v>0</v>
      </c>
      <c r="BG176" s="29"/>
      <c r="BH176" s="27"/>
      <c r="BI176" s="30">
        <f t="shared" si="83"/>
        <v>181</v>
      </c>
      <c r="BJ176" s="31">
        <f t="shared" si="84"/>
        <v>45490</v>
      </c>
      <c r="BK176" s="27"/>
      <c r="BL176" s="16"/>
      <c r="BM176" s="27"/>
      <c r="BN176" s="16"/>
      <c r="BO176" s="27"/>
      <c r="BP176" s="16"/>
      <c r="BQ176" s="27"/>
      <c r="BR176" s="24"/>
      <c r="BS176" s="24"/>
      <c r="BT176" s="32"/>
      <c r="BU176" s="27"/>
      <c r="BV176" s="24"/>
      <c r="BW176" s="24"/>
      <c r="BX176" s="16"/>
      <c r="BY176" s="27"/>
      <c r="BZ176" s="24"/>
      <c r="CA176" s="24"/>
      <c r="CB176" s="16"/>
      <c r="CC176" s="49">
        <f t="shared" si="85"/>
        <v>0</v>
      </c>
      <c r="CD176" s="24"/>
      <c r="CE176" s="49">
        <f t="shared" si="86"/>
        <v>62529204</v>
      </c>
      <c r="CF176" s="50"/>
      <c r="CG176" s="49">
        <f t="shared" ca="1" si="87"/>
        <v>62529204</v>
      </c>
      <c r="CH176" s="33">
        <f t="shared" ca="1" si="88"/>
        <v>1</v>
      </c>
      <c r="CI176" s="33">
        <f t="shared" ca="1" si="89"/>
        <v>1</v>
      </c>
      <c r="CJ176" s="36">
        <f t="shared" ca="1" si="90"/>
        <v>100</v>
      </c>
      <c r="CK176" s="34">
        <f t="shared" si="91"/>
        <v>0</v>
      </c>
      <c r="CL176" s="21"/>
      <c r="CM176" s="35" t="str">
        <f t="shared" ca="1" si="92"/>
        <v>TERMINADO</v>
      </c>
      <c r="CN176" s="82"/>
      <c r="CO176" s="145" t="s">
        <v>1625</v>
      </c>
      <c r="CP176" s="26" t="s">
        <v>142</v>
      </c>
    </row>
    <row r="177" spans="1:94" ht="24.75" customHeight="1">
      <c r="A177" s="48" t="s">
        <v>1626</v>
      </c>
      <c r="B177" s="77" t="s">
        <v>1627</v>
      </c>
      <c r="C177" s="17" t="s">
        <v>104</v>
      </c>
      <c r="D177" s="18" t="s">
        <v>1628</v>
      </c>
      <c r="E177" s="17" t="s">
        <v>106</v>
      </c>
      <c r="F177" s="17" t="s">
        <v>107</v>
      </c>
      <c r="G177" s="17" t="s">
        <v>108</v>
      </c>
      <c r="H177" s="78">
        <v>80425655</v>
      </c>
      <c r="I177" s="74" t="s">
        <v>1629</v>
      </c>
      <c r="J177" s="16"/>
      <c r="K177" s="16"/>
      <c r="L177" s="20" t="s">
        <v>1630</v>
      </c>
      <c r="M177" s="16" t="s">
        <v>111</v>
      </c>
      <c r="N177" s="22">
        <v>45307</v>
      </c>
      <c r="O177" s="22">
        <v>45313</v>
      </c>
      <c r="P177" s="22">
        <v>45656</v>
      </c>
      <c r="Q177" s="23">
        <f t="shared" si="80"/>
        <v>343</v>
      </c>
      <c r="R177" s="17" t="s">
        <v>242</v>
      </c>
      <c r="S177" s="110" t="s">
        <v>1631</v>
      </c>
      <c r="T177" s="16" t="s">
        <v>1470</v>
      </c>
      <c r="U177" s="67">
        <v>108874380</v>
      </c>
      <c r="V177" s="16" t="s">
        <v>1212</v>
      </c>
      <c r="W177" s="224">
        <v>108874380</v>
      </c>
      <c r="X177" s="24">
        <v>9072865</v>
      </c>
      <c r="Y177" s="24"/>
      <c r="Z177" s="24"/>
      <c r="AA177" s="17" t="s">
        <v>116</v>
      </c>
      <c r="AB177" s="23" t="str">
        <f>IFERROR(VLOOKUP(AA177,Listas!$A$1:$C$14,2,FALSE),"")</f>
        <v>FREDY CÉSPEDES VILLA</v>
      </c>
      <c r="AC177" s="23">
        <f>IFERROR(VLOOKUP(AA177,Listas!$A$1:$C$14,3,FALSE),"")</f>
        <v>93363483</v>
      </c>
      <c r="AD177" s="17" t="s">
        <v>577</v>
      </c>
      <c r="AE177" s="17" t="s">
        <v>578</v>
      </c>
      <c r="AF177" s="23" t="str">
        <f>IFERROR(VLOOKUP(AE177,Listas!$AD$1:$AF$66,2,FALSE),"")</f>
        <v>EDGAR FABIO DÍAZ RAMIREZ</v>
      </c>
      <c r="AG177" s="23">
        <f>IFERROR(VLOOKUP(AE177,Listas!$AD$1:$AF$65,3,FALSE),"")</f>
        <v>79537198</v>
      </c>
      <c r="AH177" s="17" t="s">
        <v>118</v>
      </c>
      <c r="AI177" s="65" t="s">
        <v>1632</v>
      </c>
      <c r="AJ177" s="25" t="s">
        <v>119</v>
      </c>
      <c r="AK177" s="26" t="s">
        <v>120</v>
      </c>
      <c r="AL177" s="26" t="s">
        <v>120</v>
      </c>
      <c r="AM177" s="90" t="s">
        <v>119</v>
      </c>
      <c r="AN177" s="105">
        <v>26474</v>
      </c>
      <c r="AO177" s="91">
        <f t="shared" ca="1" si="81"/>
        <v>53</v>
      </c>
      <c r="AP177" s="26" t="s">
        <v>121</v>
      </c>
      <c r="AQ177" s="26" t="s">
        <v>886</v>
      </c>
      <c r="AR177" s="89"/>
      <c r="AS177" s="27"/>
      <c r="AT177" s="16"/>
      <c r="AU177" s="27"/>
      <c r="AV177" s="86"/>
      <c r="AW177" s="27"/>
      <c r="AX177" s="27"/>
      <c r="AY177" s="27"/>
      <c r="AZ177" s="27"/>
      <c r="BA177" s="27"/>
      <c r="BB177" s="27"/>
      <c r="BC177" s="97"/>
      <c r="BD177" s="27"/>
      <c r="BE177" s="16"/>
      <c r="BF177" s="28">
        <f t="shared" si="82"/>
        <v>0</v>
      </c>
      <c r="BG177" s="29"/>
      <c r="BH177" s="27"/>
      <c r="BI177" s="30">
        <f t="shared" si="83"/>
        <v>343</v>
      </c>
      <c r="BJ177" s="31">
        <f t="shared" si="84"/>
        <v>45656</v>
      </c>
      <c r="BK177" s="27"/>
      <c r="BL177" s="16"/>
      <c r="BM177" s="27"/>
      <c r="BN177" s="16"/>
      <c r="BO177" s="27"/>
      <c r="BP177" s="16"/>
      <c r="BQ177" s="27"/>
      <c r="BR177" s="24"/>
      <c r="BS177" s="24"/>
      <c r="BT177" s="32"/>
      <c r="BU177" s="27"/>
      <c r="BV177" s="24"/>
      <c r="BW177" s="24"/>
      <c r="BX177" s="16"/>
      <c r="BY177" s="27"/>
      <c r="BZ177" s="24"/>
      <c r="CA177" s="24"/>
      <c r="CB177" s="16"/>
      <c r="CC177" s="49">
        <f t="shared" si="85"/>
        <v>0</v>
      </c>
      <c r="CD177" s="24"/>
      <c r="CE177" s="49">
        <f t="shared" si="86"/>
        <v>108874380</v>
      </c>
      <c r="CF177" s="50"/>
      <c r="CG177" s="49">
        <f t="shared" ca="1" si="87"/>
        <v>108874380</v>
      </c>
      <c r="CH177" s="33">
        <f t="shared" ca="1" si="88"/>
        <v>1</v>
      </c>
      <c r="CI177" s="33">
        <f t="shared" ca="1" si="89"/>
        <v>1</v>
      </c>
      <c r="CJ177" s="36">
        <f t="shared" ca="1" si="90"/>
        <v>100</v>
      </c>
      <c r="CK177" s="34">
        <f t="shared" si="91"/>
        <v>0</v>
      </c>
      <c r="CL177" s="21"/>
      <c r="CM177" s="35" t="str">
        <f t="shared" ca="1" si="92"/>
        <v>TERMINADO</v>
      </c>
      <c r="CN177" s="82"/>
      <c r="CO177" s="145" t="s">
        <v>1633</v>
      </c>
      <c r="CP177" s="26" t="s">
        <v>142</v>
      </c>
    </row>
    <row r="178" spans="1:94" ht="24.75" customHeight="1">
      <c r="A178" s="48" t="s">
        <v>1634</v>
      </c>
      <c r="B178" s="77" t="s">
        <v>1635</v>
      </c>
      <c r="C178" s="17" t="s">
        <v>104</v>
      </c>
      <c r="D178" s="18" t="s">
        <v>1636</v>
      </c>
      <c r="E178" s="17" t="s">
        <v>106</v>
      </c>
      <c r="F178" s="17" t="s">
        <v>107</v>
      </c>
      <c r="G178" s="17" t="s">
        <v>108</v>
      </c>
      <c r="H178" s="78">
        <v>1012421393</v>
      </c>
      <c r="I178" s="74" t="s">
        <v>1637</v>
      </c>
      <c r="J178" s="16"/>
      <c r="K178" s="16"/>
      <c r="L178" s="20" t="s">
        <v>1638</v>
      </c>
      <c r="M178" s="16" t="s">
        <v>111</v>
      </c>
      <c r="N178" s="22">
        <v>45310</v>
      </c>
      <c r="O178" s="22">
        <v>45315</v>
      </c>
      <c r="P178" s="22">
        <v>45656</v>
      </c>
      <c r="Q178" s="23">
        <f t="shared" si="80"/>
        <v>341</v>
      </c>
      <c r="R178" s="17" t="s">
        <v>242</v>
      </c>
      <c r="S178" s="110" t="s">
        <v>1639</v>
      </c>
      <c r="T178" s="16" t="s">
        <v>997</v>
      </c>
      <c r="U178" s="67">
        <v>124453333</v>
      </c>
      <c r="V178" s="16" t="s">
        <v>815</v>
      </c>
      <c r="W178" s="224">
        <v>124453333</v>
      </c>
      <c r="X178" s="24">
        <v>10400000</v>
      </c>
      <c r="Y178" s="24"/>
      <c r="Z178" s="24"/>
      <c r="AA178" s="17" t="s">
        <v>116</v>
      </c>
      <c r="AB178" s="23" t="str">
        <f>IFERROR(VLOOKUP(AA178,Listas!$A$1:$C$14,2,FALSE),"")</f>
        <v>FREDY CÉSPEDES VILLA</v>
      </c>
      <c r="AC178" s="23">
        <f>IFERROR(VLOOKUP(AA178,Listas!$A$1:$C$14,3,FALSE),"")</f>
        <v>93363483</v>
      </c>
      <c r="AD178" s="17" t="s">
        <v>816</v>
      </c>
      <c r="AE178" s="17" t="s">
        <v>1450</v>
      </c>
      <c r="AF178" s="23" t="str">
        <f>IFERROR(VLOOKUP(AE178,Listas!$AD$1:$AF$66,2,FALSE),"")</f>
        <v>LINA MARIA CRUZ SILVA</v>
      </c>
      <c r="AG178" s="23">
        <f>IFERROR(VLOOKUP(AE178,Listas!$AD$1:$AF$65,3,FALSE),"")</f>
        <v>52423537</v>
      </c>
      <c r="AH178" s="17" t="s">
        <v>118</v>
      </c>
      <c r="AI178" s="65" t="s">
        <v>1640</v>
      </c>
      <c r="AJ178" s="25" t="s">
        <v>119</v>
      </c>
      <c r="AK178" s="26" t="s">
        <v>120</v>
      </c>
      <c r="AL178" s="26" t="s">
        <v>120</v>
      </c>
      <c r="AM178" s="90" t="s">
        <v>119</v>
      </c>
      <c r="AN178" s="105">
        <v>34828</v>
      </c>
      <c r="AO178" s="91">
        <f t="shared" ca="1" si="81"/>
        <v>30</v>
      </c>
      <c r="AP178" s="26" t="s">
        <v>121</v>
      </c>
      <c r="AQ178" s="26" t="s">
        <v>1641</v>
      </c>
      <c r="AR178" s="89"/>
      <c r="AS178" s="27"/>
      <c r="AT178" s="16"/>
      <c r="AU178" s="27"/>
      <c r="AV178" s="86"/>
      <c r="AW178" s="27"/>
      <c r="AX178" s="27"/>
      <c r="AY178" s="27"/>
      <c r="AZ178" s="27"/>
      <c r="BA178" s="27"/>
      <c r="BB178" s="27"/>
      <c r="BC178" s="97"/>
      <c r="BD178" s="27"/>
      <c r="BE178" s="16"/>
      <c r="BF178" s="28">
        <f t="shared" si="82"/>
        <v>0</v>
      </c>
      <c r="BG178" s="29"/>
      <c r="BH178" s="27"/>
      <c r="BI178" s="30">
        <f t="shared" si="83"/>
        <v>341</v>
      </c>
      <c r="BJ178" s="31">
        <f t="shared" si="84"/>
        <v>45656</v>
      </c>
      <c r="BK178" s="27"/>
      <c r="BL178" s="16"/>
      <c r="BM178" s="27"/>
      <c r="BN178" s="16"/>
      <c r="BO178" s="27"/>
      <c r="BP178" s="16"/>
      <c r="BQ178" s="27"/>
      <c r="BR178" s="24"/>
      <c r="BS178" s="24"/>
      <c r="BT178" s="32"/>
      <c r="BU178" s="27"/>
      <c r="BV178" s="24"/>
      <c r="BW178" s="24"/>
      <c r="BX178" s="16"/>
      <c r="BY178" s="27"/>
      <c r="BZ178" s="24"/>
      <c r="CA178" s="24"/>
      <c r="CB178" s="16"/>
      <c r="CC178" s="49">
        <f t="shared" si="85"/>
        <v>0</v>
      </c>
      <c r="CD178" s="24"/>
      <c r="CE178" s="49">
        <f t="shared" si="86"/>
        <v>124453333</v>
      </c>
      <c r="CF178" s="50"/>
      <c r="CG178" s="49">
        <f t="shared" ca="1" si="87"/>
        <v>124453333</v>
      </c>
      <c r="CH178" s="33">
        <f t="shared" ca="1" si="88"/>
        <v>1</v>
      </c>
      <c r="CI178" s="33">
        <f t="shared" ca="1" si="89"/>
        <v>1</v>
      </c>
      <c r="CJ178" s="36">
        <f t="shared" ca="1" si="90"/>
        <v>100</v>
      </c>
      <c r="CK178" s="34">
        <f t="shared" si="91"/>
        <v>0</v>
      </c>
      <c r="CL178" s="21"/>
      <c r="CM178" s="35" t="str">
        <f t="shared" ca="1" si="92"/>
        <v>TERMINADO</v>
      </c>
      <c r="CN178" s="82"/>
      <c r="CO178" s="145" t="s">
        <v>1642</v>
      </c>
      <c r="CP178" s="26" t="s">
        <v>123</v>
      </c>
    </row>
    <row r="179" spans="1:94" ht="24.75" customHeight="1">
      <c r="A179" s="48" t="s">
        <v>1643</v>
      </c>
      <c r="B179" s="77" t="s">
        <v>1644</v>
      </c>
      <c r="C179" s="17" t="s">
        <v>104</v>
      </c>
      <c r="D179" s="18" t="s">
        <v>1645</v>
      </c>
      <c r="E179" s="17" t="s">
        <v>106</v>
      </c>
      <c r="F179" s="17" t="s">
        <v>107</v>
      </c>
      <c r="G179" s="17" t="s">
        <v>108</v>
      </c>
      <c r="H179" s="78">
        <v>79974196</v>
      </c>
      <c r="I179" s="74" t="s">
        <v>1646</v>
      </c>
      <c r="J179" s="16"/>
      <c r="K179" s="16"/>
      <c r="L179" s="20" t="s">
        <v>1647</v>
      </c>
      <c r="M179" s="16" t="s">
        <v>111</v>
      </c>
      <c r="N179" s="22">
        <v>45307</v>
      </c>
      <c r="O179" s="22">
        <v>45310</v>
      </c>
      <c r="P179" s="22">
        <v>45656</v>
      </c>
      <c r="Q179" s="23">
        <f t="shared" si="80"/>
        <v>346</v>
      </c>
      <c r="R179" s="17" t="s">
        <v>242</v>
      </c>
      <c r="S179" s="110" t="s">
        <v>1648</v>
      </c>
      <c r="T179" s="16" t="s">
        <v>668</v>
      </c>
      <c r="U179" s="67">
        <v>97104180</v>
      </c>
      <c r="V179" s="16" t="s">
        <v>815</v>
      </c>
      <c r="W179" s="224">
        <v>97104180</v>
      </c>
      <c r="X179" s="24">
        <v>8092015</v>
      </c>
      <c r="Y179" s="24"/>
      <c r="Z179" s="24"/>
      <c r="AA179" s="17" t="s">
        <v>116</v>
      </c>
      <c r="AB179" s="23" t="str">
        <f>IFERROR(VLOOKUP(AA179,Listas!$A$1:$C$14,2,FALSE),"")</f>
        <v>FREDY CÉSPEDES VILLA</v>
      </c>
      <c r="AC179" s="23">
        <f>IFERROR(VLOOKUP(AA179,Listas!$A$1:$C$14,3,FALSE),"")</f>
        <v>93363483</v>
      </c>
      <c r="AD179" s="17" t="s">
        <v>282</v>
      </c>
      <c r="AE179" s="17" t="s">
        <v>293</v>
      </c>
      <c r="AF179" s="23" t="str">
        <f>IFERROR(VLOOKUP(AE179,Listas!$AD$1:$AF$66,2,FALSE),"")</f>
        <v>MÓNICA PINTO GARCÍA</v>
      </c>
      <c r="AG179" s="23">
        <f>IFERROR(VLOOKUP(AE179,Listas!$AD$1:$AF$65,3,FALSE),"")</f>
        <v>52867207</v>
      </c>
      <c r="AH179" s="17" t="s">
        <v>118</v>
      </c>
      <c r="AI179" s="65" t="s">
        <v>1649</v>
      </c>
      <c r="AJ179" s="25" t="s">
        <v>119</v>
      </c>
      <c r="AK179" s="26" t="s">
        <v>120</v>
      </c>
      <c r="AL179" s="26" t="s">
        <v>120</v>
      </c>
      <c r="AM179" s="90" t="s">
        <v>119</v>
      </c>
      <c r="AN179" s="105">
        <v>29233</v>
      </c>
      <c r="AO179" s="91">
        <f t="shared" ca="1" si="81"/>
        <v>45</v>
      </c>
      <c r="AP179" s="26" t="s">
        <v>121</v>
      </c>
      <c r="AQ179" s="26" t="s">
        <v>285</v>
      </c>
      <c r="AR179" s="89"/>
      <c r="AS179" s="27"/>
      <c r="AT179" s="16"/>
      <c r="AU179" s="27"/>
      <c r="AV179" s="86"/>
      <c r="AW179" s="27"/>
      <c r="AX179" s="27"/>
      <c r="AY179" s="27"/>
      <c r="AZ179" s="27"/>
      <c r="BA179" s="27"/>
      <c r="BB179" s="27"/>
      <c r="BC179" s="97"/>
      <c r="BD179" s="27"/>
      <c r="BE179" s="16"/>
      <c r="BF179" s="28">
        <f t="shared" si="82"/>
        <v>0</v>
      </c>
      <c r="BG179" s="29"/>
      <c r="BH179" s="27"/>
      <c r="BI179" s="30">
        <f t="shared" si="83"/>
        <v>346</v>
      </c>
      <c r="BJ179" s="31">
        <f t="shared" si="84"/>
        <v>45656</v>
      </c>
      <c r="BK179" s="27"/>
      <c r="BL179" s="16"/>
      <c r="BM179" s="27"/>
      <c r="BN179" s="16"/>
      <c r="BO179" s="27"/>
      <c r="BP179" s="16"/>
      <c r="BQ179" s="27"/>
      <c r="BR179" s="24"/>
      <c r="BS179" s="24"/>
      <c r="BT179" s="32"/>
      <c r="BU179" s="27"/>
      <c r="BV179" s="24"/>
      <c r="BW179" s="24"/>
      <c r="BX179" s="16"/>
      <c r="BY179" s="27"/>
      <c r="BZ179" s="24"/>
      <c r="CA179" s="24"/>
      <c r="CB179" s="16"/>
      <c r="CC179" s="49">
        <f t="shared" si="85"/>
        <v>0</v>
      </c>
      <c r="CD179" s="24"/>
      <c r="CE179" s="49">
        <f t="shared" si="86"/>
        <v>97104180</v>
      </c>
      <c r="CF179" s="50"/>
      <c r="CG179" s="49">
        <f t="shared" ca="1" si="87"/>
        <v>97104180</v>
      </c>
      <c r="CH179" s="33">
        <f t="shared" ca="1" si="88"/>
        <v>1</v>
      </c>
      <c r="CI179" s="33">
        <f t="shared" ca="1" si="89"/>
        <v>1</v>
      </c>
      <c r="CJ179" s="36">
        <f t="shared" ca="1" si="90"/>
        <v>100</v>
      </c>
      <c r="CK179" s="34">
        <f t="shared" si="91"/>
        <v>0</v>
      </c>
      <c r="CL179" s="21"/>
      <c r="CM179" s="35" t="str">
        <f t="shared" ca="1" si="92"/>
        <v>TERMINADO</v>
      </c>
      <c r="CN179" s="82"/>
      <c r="CO179" s="145" t="s">
        <v>1650</v>
      </c>
      <c r="CP179" s="26" t="s">
        <v>142</v>
      </c>
    </row>
    <row r="180" spans="1:94" ht="24.75" customHeight="1">
      <c r="A180" s="48" t="s">
        <v>1651</v>
      </c>
      <c r="B180" s="77" t="s">
        <v>1652</v>
      </c>
      <c r="C180" s="17" t="s">
        <v>104</v>
      </c>
      <c r="D180" s="18" t="s">
        <v>1653</v>
      </c>
      <c r="E180" s="17" t="s">
        <v>106</v>
      </c>
      <c r="F180" s="17" t="s">
        <v>107</v>
      </c>
      <c r="G180" s="17" t="s">
        <v>108</v>
      </c>
      <c r="H180" s="78">
        <v>94513533</v>
      </c>
      <c r="I180" s="74" t="s">
        <v>1654</v>
      </c>
      <c r="J180" s="16"/>
      <c r="K180" s="16"/>
      <c r="L180" s="20" t="s">
        <v>1655</v>
      </c>
      <c r="M180" s="16" t="s">
        <v>557</v>
      </c>
      <c r="N180" s="22">
        <v>45307</v>
      </c>
      <c r="O180" s="22">
        <v>45308</v>
      </c>
      <c r="P180" s="22">
        <v>45656</v>
      </c>
      <c r="Q180" s="23">
        <f t="shared" si="80"/>
        <v>348</v>
      </c>
      <c r="R180" s="17" t="s">
        <v>242</v>
      </c>
      <c r="S180" s="110" t="s">
        <v>1656</v>
      </c>
      <c r="T180" s="16" t="s">
        <v>1486</v>
      </c>
      <c r="U180" s="67">
        <v>68381614</v>
      </c>
      <c r="V180" s="16" t="s">
        <v>344</v>
      </c>
      <c r="W180" s="224">
        <v>68381614</v>
      </c>
      <c r="X180" s="24">
        <v>5762495</v>
      </c>
      <c r="Y180" s="24"/>
      <c r="Z180" s="24"/>
      <c r="AA180" s="17" t="s">
        <v>116</v>
      </c>
      <c r="AB180" s="23" t="str">
        <f>IFERROR(VLOOKUP(AA180,Listas!$A$1:$C$14,2,FALSE),"")</f>
        <v>FREDY CÉSPEDES VILLA</v>
      </c>
      <c r="AC180" s="23">
        <f>IFERROR(VLOOKUP(AA180,Listas!$A$1:$C$14,3,FALSE),"")</f>
        <v>93363483</v>
      </c>
      <c r="AD180" s="17" t="s">
        <v>559</v>
      </c>
      <c r="AE180" s="17" t="s">
        <v>560</v>
      </c>
      <c r="AF180" s="23" t="str">
        <f>IFERROR(VLOOKUP(AE180,Listas!$AD$1:$AF$66,2,FALSE),"")</f>
        <v>CESAR AUGUSTO LÓPEZ LÓPEZ</v>
      </c>
      <c r="AG180" s="23">
        <f>IFERROR(VLOOKUP(AE180,Listas!$AD$1:$AF$65,3,FALSE),"")</f>
        <v>6103856</v>
      </c>
      <c r="AH180" s="17" t="s">
        <v>118</v>
      </c>
      <c r="AI180" s="65" t="s">
        <v>1657</v>
      </c>
      <c r="AJ180" s="25" t="s">
        <v>119</v>
      </c>
      <c r="AK180" s="26" t="s">
        <v>120</v>
      </c>
      <c r="AL180" s="26" t="s">
        <v>120</v>
      </c>
      <c r="AM180" s="90" t="s">
        <v>119</v>
      </c>
      <c r="AN180" s="105">
        <v>28530</v>
      </c>
      <c r="AO180" s="91">
        <f t="shared" ca="1" si="81"/>
        <v>47</v>
      </c>
      <c r="AP180" s="26" t="s">
        <v>121</v>
      </c>
      <c r="AQ180" s="26" t="s">
        <v>327</v>
      </c>
      <c r="AR180" s="89"/>
      <c r="AS180" s="27"/>
      <c r="AT180" s="16"/>
      <c r="AU180" s="27"/>
      <c r="AV180" s="86"/>
      <c r="AW180" s="27"/>
      <c r="AX180" s="27"/>
      <c r="AY180" s="27"/>
      <c r="AZ180" s="27"/>
      <c r="BA180" s="27"/>
      <c r="BB180" s="27"/>
      <c r="BC180" s="97"/>
      <c r="BD180" s="27"/>
      <c r="BE180" s="16"/>
      <c r="BF180" s="28">
        <f t="shared" si="82"/>
        <v>0</v>
      </c>
      <c r="BG180" s="29"/>
      <c r="BH180" s="27"/>
      <c r="BI180" s="30">
        <f t="shared" si="83"/>
        <v>348</v>
      </c>
      <c r="BJ180" s="31">
        <f t="shared" si="84"/>
        <v>45656</v>
      </c>
      <c r="BK180" s="27"/>
      <c r="BL180" s="16"/>
      <c r="BM180" s="27"/>
      <c r="BN180" s="16"/>
      <c r="BO180" s="27"/>
      <c r="BP180" s="16"/>
      <c r="BQ180" s="27"/>
      <c r="BR180" s="24"/>
      <c r="BS180" s="24"/>
      <c r="BT180" s="32"/>
      <c r="BU180" s="27"/>
      <c r="BV180" s="24"/>
      <c r="BW180" s="24"/>
      <c r="BX180" s="16"/>
      <c r="BY180" s="27"/>
      <c r="BZ180" s="24"/>
      <c r="CA180" s="24"/>
      <c r="CB180" s="16"/>
      <c r="CC180" s="49">
        <f t="shared" si="85"/>
        <v>0</v>
      </c>
      <c r="CD180" s="24"/>
      <c r="CE180" s="49">
        <f t="shared" si="86"/>
        <v>68381614</v>
      </c>
      <c r="CF180" s="50"/>
      <c r="CG180" s="49">
        <f t="shared" ca="1" si="87"/>
        <v>68381614</v>
      </c>
      <c r="CH180" s="33">
        <f t="shared" ca="1" si="88"/>
        <v>1</v>
      </c>
      <c r="CI180" s="33">
        <f t="shared" ca="1" si="89"/>
        <v>1</v>
      </c>
      <c r="CJ180" s="36">
        <f t="shared" ca="1" si="90"/>
        <v>100</v>
      </c>
      <c r="CK180" s="34">
        <f t="shared" si="91"/>
        <v>0</v>
      </c>
      <c r="CL180" s="21"/>
      <c r="CM180" s="35" t="str">
        <f t="shared" ca="1" si="92"/>
        <v>TERMINADO</v>
      </c>
      <c r="CN180" s="82"/>
      <c r="CO180" s="145" t="s">
        <v>1658</v>
      </c>
      <c r="CP180" s="26" t="s">
        <v>142</v>
      </c>
    </row>
    <row r="181" spans="1:94" ht="24.75" customHeight="1">
      <c r="A181" s="48" t="s">
        <v>1659</v>
      </c>
      <c r="B181" s="77" t="s">
        <v>1660</v>
      </c>
      <c r="C181" s="17" t="s">
        <v>104</v>
      </c>
      <c r="D181" s="18" t="s">
        <v>1661</v>
      </c>
      <c r="E181" s="17" t="s">
        <v>106</v>
      </c>
      <c r="F181" s="17" t="s">
        <v>107</v>
      </c>
      <c r="G181" s="17" t="s">
        <v>108</v>
      </c>
      <c r="H181" s="78">
        <v>79305405</v>
      </c>
      <c r="I181" s="74" t="s">
        <v>1662</v>
      </c>
      <c r="J181" s="16"/>
      <c r="K181" s="16"/>
      <c r="L181" s="96" t="s">
        <v>1563</v>
      </c>
      <c r="M181" s="16" t="s">
        <v>111</v>
      </c>
      <c r="N181" s="22">
        <v>45307</v>
      </c>
      <c r="O181" s="22">
        <v>45316</v>
      </c>
      <c r="P181" s="22">
        <v>45656</v>
      </c>
      <c r="Q181" s="23">
        <f t="shared" si="80"/>
        <v>340</v>
      </c>
      <c r="R181" s="17" t="s">
        <v>242</v>
      </c>
      <c r="S181" s="110" t="s">
        <v>1564</v>
      </c>
      <c r="T181" s="16" t="s">
        <v>732</v>
      </c>
      <c r="U181" s="67">
        <v>102989280</v>
      </c>
      <c r="V181" s="16" t="s">
        <v>894</v>
      </c>
      <c r="W181" s="224">
        <v>102989280</v>
      </c>
      <c r="X181" s="24">
        <v>8582440</v>
      </c>
      <c r="Y181" s="24"/>
      <c r="Z181" s="24"/>
      <c r="AA181" s="17" t="s">
        <v>116</v>
      </c>
      <c r="AB181" s="23" t="str">
        <f>IFERROR(VLOOKUP(AA181,Listas!$A$1:$C$14,2,FALSE),"")</f>
        <v>FREDY CÉSPEDES VILLA</v>
      </c>
      <c r="AC181" s="23">
        <f>IFERROR(VLOOKUP(AA181,Listas!$A$1:$C$14,3,FALSE),"")</f>
        <v>93363483</v>
      </c>
      <c r="AD181" s="17" t="s">
        <v>588</v>
      </c>
      <c r="AE181" s="17" t="s">
        <v>589</v>
      </c>
      <c r="AF181" s="23" t="str">
        <f>IFERROR(VLOOKUP(AE181,Listas!$AD$1:$AF$66,2,FALSE),"")</f>
        <v>ANA LUCY CASTRO CASTRO</v>
      </c>
      <c r="AG181" s="23">
        <f>IFERROR(VLOOKUP(AE181,Listas!$AD$1:$AF$65,3,FALSE),"")</f>
        <v>51743499</v>
      </c>
      <c r="AH181" s="17" t="s">
        <v>118</v>
      </c>
      <c r="AI181" s="65" t="s">
        <v>1663</v>
      </c>
      <c r="AJ181" s="25" t="s">
        <v>119</v>
      </c>
      <c r="AK181" s="26" t="s">
        <v>120</v>
      </c>
      <c r="AL181" s="26" t="s">
        <v>120</v>
      </c>
      <c r="AM181" s="90" t="s">
        <v>119</v>
      </c>
      <c r="AN181" s="105">
        <v>23555</v>
      </c>
      <c r="AO181" s="91">
        <f t="shared" ca="1" si="81"/>
        <v>61</v>
      </c>
      <c r="AP181" s="26" t="s">
        <v>121</v>
      </c>
      <c r="AQ181" s="26" t="s">
        <v>486</v>
      </c>
      <c r="AR181" s="89"/>
      <c r="AS181" s="27"/>
      <c r="AT181" s="16"/>
      <c r="AU181" s="27"/>
      <c r="AV181" s="86"/>
      <c r="AW181" s="27"/>
      <c r="AX181" s="27"/>
      <c r="AY181" s="27"/>
      <c r="AZ181" s="27"/>
      <c r="BA181" s="27"/>
      <c r="BB181" s="27"/>
      <c r="BC181" s="97"/>
      <c r="BD181" s="27"/>
      <c r="BE181" s="16"/>
      <c r="BF181" s="28">
        <f t="shared" si="82"/>
        <v>0</v>
      </c>
      <c r="BG181" s="29"/>
      <c r="BH181" s="27"/>
      <c r="BI181" s="30">
        <f t="shared" si="83"/>
        <v>340</v>
      </c>
      <c r="BJ181" s="31">
        <f t="shared" si="84"/>
        <v>45656</v>
      </c>
      <c r="BK181" s="27"/>
      <c r="BL181" s="16"/>
      <c r="BM181" s="27"/>
      <c r="BN181" s="16"/>
      <c r="BO181" s="27"/>
      <c r="BP181" s="16"/>
      <c r="BQ181" s="27"/>
      <c r="BR181" s="24"/>
      <c r="BS181" s="24"/>
      <c r="BT181" s="32"/>
      <c r="BU181" s="27"/>
      <c r="BV181" s="24"/>
      <c r="BW181" s="24"/>
      <c r="BX181" s="16"/>
      <c r="BY181" s="27"/>
      <c r="BZ181" s="24"/>
      <c r="CA181" s="24"/>
      <c r="CB181" s="16"/>
      <c r="CC181" s="49">
        <f t="shared" si="85"/>
        <v>0</v>
      </c>
      <c r="CD181" s="24"/>
      <c r="CE181" s="49">
        <f t="shared" si="86"/>
        <v>102989280</v>
      </c>
      <c r="CF181" s="50"/>
      <c r="CG181" s="49">
        <f t="shared" ca="1" si="87"/>
        <v>102989280</v>
      </c>
      <c r="CH181" s="33">
        <f t="shared" ca="1" si="88"/>
        <v>1</v>
      </c>
      <c r="CI181" s="33">
        <f t="shared" ca="1" si="89"/>
        <v>1</v>
      </c>
      <c r="CJ181" s="36">
        <f t="shared" ca="1" si="90"/>
        <v>100</v>
      </c>
      <c r="CK181" s="34">
        <f t="shared" si="91"/>
        <v>0</v>
      </c>
      <c r="CL181" s="21"/>
      <c r="CM181" s="35" t="str">
        <f t="shared" ca="1" si="92"/>
        <v>TERMINADO</v>
      </c>
      <c r="CN181" s="82"/>
      <c r="CO181" s="145" t="s">
        <v>1664</v>
      </c>
      <c r="CP181" s="26" t="s">
        <v>142</v>
      </c>
    </row>
    <row r="182" spans="1:94" ht="24.75" customHeight="1">
      <c r="A182" s="48" t="s">
        <v>1665</v>
      </c>
      <c r="B182" s="77" t="s">
        <v>1666</v>
      </c>
      <c r="C182" s="17" t="s">
        <v>104</v>
      </c>
      <c r="D182" s="18" t="s">
        <v>1667</v>
      </c>
      <c r="E182" s="17" t="s">
        <v>106</v>
      </c>
      <c r="F182" s="17" t="s">
        <v>107</v>
      </c>
      <c r="G182" s="17" t="s">
        <v>108</v>
      </c>
      <c r="H182" s="78">
        <v>1010201205</v>
      </c>
      <c r="I182" s="74" t="s">
        <v>1668</v>
      </c>
      <c r="J182" s="16"/>
      <c r="K182" s="16"/>
      <c r="L182" s="20" t="s">
        <v>1669</v>
      </c>
      <c r="M182" s="16" t="s">
        <v>111</v>
      </c>
      <c r="N182" s="22">
        <v>45307</v>
      </c>
      <c r="O182" s="22">
        <v>45309</v>
      </c>
      <c r="P182" s="22">
        <v>45656</v>
      </c>
      <c r="Q182" s="23">
        <f t="shared" si="80"/>
        <v>347</v>
      </c>
      <c r="R182" s="17" t="s">
        <v>242</v>
      </c>
      <c r="S182" s="110" t="s">
        <v>1670</v>
      </c>
      <c r="T182" s="16" t="s">
        <v>997</v>
      </c>
      <c r="U182" s="67">
        <v>116160000</v>
      </c>
      <c r="V182" s="16" t="s">
        <v>815</v>
      </c>
      <c r="W182" s="224">
        <v>116160000</v>
      </c>
      <c r="X182" s="24">
        <v>9900000</v>
      </c>
      <c r="Y182" s="24"/>
      <c r="Z182" s="24"/>
      <c r="AA182" s="17" t="s">
        <v>116</v>
      </c>
      <c r="AB182" s="23" t="str">
        <f>IFERROR(VLOOKUP(AA182,Listas!$A$1:$C$14,2,FALSE),"")</f>
        <v>FREDY CÉSPEDES VILLA</v>
      </c>
      <c r="AC182" s="23">
        <f>IFERROR(VLOOKUP(AA182,Listas!$A$1:$C$14,3,FALSE),"")</f>
        <v>93363483</v>
      </c>
      <c r="AD182" s="17" t="s">
        <v>816</v>
      </c>
      <c r="AE182" s="17" t="s">
        <v>1450</v>
      </c>
      <c r="AF182" s="23" t="str">
        <f>IFERROR(VLOOKUP(AE182,Listas!$AD$1:$AF$66,2,FALSE),"")</f>
        <v>LINA MARIA CRUZ SILVA</v>
      </c>
      <c r="AG182" s="23">
        <f>IFERROR(VLOOKUP(AE182,Listas!$AD$1:$AF$65,3,FALSE),"")</f>
        <v>52423537</v>
      </c>
      <c r="AH182" s="17" t="s">
        <v>118</v>
      </c>
      <c r="AI182" s="65" t="s">
        <v>1671</v>
      </c>
      <c r="AJ182" s="25" t="s">
        <v>119</v>
      </c>
      <c r="AK182" s="26" t="s">
        <v>120</v>
      </c>
      <c r="AL182" s="26" t="s">
        <v>120</v>
      </c>
      <c r="AM182" s="90" t="s">
        <v>119</v>
      </c>
      <c r="AN182" s="105">
        <v>33632</v>
      </c>
      <c r="AO182" s="91">
        <f t="shared" ca="1" si="81"/>
        <v>33</v>
      </c>
      <c r="AP182" s="26" t="s">
        <v>121</v>
      </c>
      <c r="AQ182" s="26" t="s">
        <v>515</v>
      </c>
      <c r="AR182" s="89"/>
      <c r="AS182" s="27"/>
      <c r="AT182" s="16"/>
      <c r="AU182" s="27"/>
      <c r="AV182" s="86"/>
      <c r="AW182" s="27"/>
      <c r="AX182" s="27"/>
      <c r="AY182" s="27"/>
      <c r="AZ182" s="27"/>
      <c r="BA182" s="27"/>
      <c r="BB182" s="27"/>
      <c r="BC182" s="97"/>
      <c r="BD182" s="27"/>
      <c r="BE182" s="16"/>
      <c r="BF182" s="28">
        <f t="shared" si="82"/>
        <v>0</v>
      </c>
      <c r="BG182" s="29"/>
      <c r="BH182" s="27"/>
      <c r="BI182" s="30">
        <f t="shared" si="83"/>
        <v>347</v>
      </c>
      <c r="BJ182" s="31">
        <f t="shared" si="84"/>
        <v>45656</v>
      </c>
      <c r="BK182" s="27"/>
      <c r="BL182" s="16"/>
      <c r="BM182" s="27"/>
      <c r="BN182" s="16"/>
      <c r="BO182" s="27"/>
      <c r="BP182" s="16"/>
      <c r="BQ182" s="27"/>
      <c r="BR182" s="24"/>
      <c r="BS182" s="24"/>
      <c r="BT182" s="32"/>
      <c r="BU182" s="27"/>
      <c r="BV182" s="24"/>
      <c r="BW182" s="24"/>
      <c r="BX182" s="16"/>
      <c r="BY182" s="27"/>
      <c r="BZ182" s="24"/>
      <c r="CA182" s="24"/>
      <c r="CB182" s="16"/>
      <c r="CC182" s="49">
        <f t="shared" si="85"/>
        <v>0</v>
      </c>
      <c r="CD182" s="24"/>
      <c r="CE182" s="49">
        <f t="shared" si="86"/>
        <v>116160000</v>
      </c>
      <c r="CF182" s="50"/>
      <c r="CG182" s="49">
        <f t="shared" ca="1" si="87"/>
        <v>116160000</v>
      </c>
      <c r="CH182" s="33">
        <f t="shared" ca="1" si="88"/>
        <v>1</v>
      </c>
      <c r="CI182" s="33">
        <f t="shared" ca="1" si="89"/>
        <v>1</v>
      </c>
      <c r="CJ182" s="36">
        <f t="shared" ca="1" si="90"/>
        <v>100</v>
      </c>
      <c r="CK182" s="34">
        <f t="shared" si="91"/>
        <v>0</v>
      </c>
      <c r="CL182" s="21"/>
      <c r="CM182" s="35" t="str">
        <f t="shared" ca="1" si="92"/>
        <v>TERMINADO</v>
      </c>
      <c r="CN182" s="82"/>
      <c r="CO182" s="145" t="s">
        <v>1672</v>
      </c>
      <c r="CP182" s="26" t="s">
        <v>142</v>
      </c>
    </row>
    <row r="183" spans="1:94" ht="24.75" customHeight="1">
      <c r="A183" s="48" t="s">
        <v>1673</v>
      </c>
      <c r="B183" s="77" t="s">
        <v>1674</v>
      </c>
      <c r="C183" s="17" t="s">
        <v>104</v>
      </c>
      <c r="D183" s="18" t="s">
        <v>1675</v>
      </c>
      <c r="E183" s="17" t="s">
        <v>106</v>
      </c>
      <c r="F183" s="17" t="s">
        <v>107</v>
      </c>
      <c r="G183" s="17" t="s">
        <v>108</v>
      </c>
      <c r="H183" s="78">
        <v>43723814</v>
      </c>
      <c r="I183" s="74" t="s">
        <v>1676</v>
      </c>
      <c r="J183" s="16"/>
      <c r="K183" s="16"/>
      <c r="L183" s="20" t="s">
        <v>1677</v>
      </c>
      <c r="M183" s="16" t="s">
        <v>111</v>
      </c>
      <c r="N183" s="22">
        <v>45307</v>
      </c>
      <c r="O183" s="22">
        <v>45309</v>
      </c>
      <c r="P183" s="22">
        <v>45656</v>
      </c>
      <c r="Q183" s="23">
        <f t="shared" si="80"/>
        <v>347</v>
      </c>
      <c r="R183" s="17" t="s">
        <v>242</v>
      </c>
      <c r="S183" s="110" t="s">
        <v>1678</v>
      </c>
      <c r="T183" s="16" t="s">
        <v>1486</v>
      </c>
      <c r="U183" s="67">
        <v>90880160</v>
      </c>
      <c r="V183" s="16" t="s">
        <v>344</v>
      </c>
      <c r="W183" s="224">
        <v>90880160</v>
      </c>
      <c r="X183" s="24">
        <v>7767535</v>
      </c>
      <c r="Y183" s="24"/>
      <c r="Z183" s="24"/>
      <c r="AA183" s="17" t="s">
        <v>116</v>
      </c>
      <c r="AB183" s="23" t="str">
        <f>IFERROR(VLOOKUP(AA183,Listas!$A$1:$C$14,2,FALSE),"")</f>
        <v>FREDY CÉSPEDES VILLA</v>
      </c>
      <c r="AC183" s="23">
        <f>IFERROR(VLOOKUP(AA183,Listas!$A$1:$C$14,3,FALSE),"")</f>
        <v>93363483</v>
      </c>
      <c r="AD183" s="17" t="s">
        <v>345</v>
      </c>
      <c r="AE183" s="17" t="s">
        <v>632</v>
      </c>
      <c r="AF183" s="23" t="str">
        <f>IFERROR(VLOOKUP(AE183,Listas!$AD$1:$AF$66,2,FALSE),"")</f>
        <v>MANUEL ALBERTO LOZANO CARDONA</v>
      </c>
      <c r="AG183" s="23">
        <f>IFERROR(VLOOKUP(AE183,Listas!$AD$1:$AF$65,3,FALSE),"")</f>
        <v>79940034</v>
      </c>
      <c r="AH183" s="17" t="s">
        <v>118</v>
      </c>
      <c r="AI183" s="65" t="s">
        <v>1679</v>
      </c>
      <c r="AJ183" s="25" t="s">
        <v>119</v>
      </c>
      <c r="AK183" s="26" t="s">
        <v>120</v>
      </c>
      <c r="AL183" s="26" t="s">
        <v>120</v>
      </c>
      <c r="AM183" s="90" t="s">
        <v>119</v>
      </c>
      <c r="AN183" s="105">
        <v>25520</v>
      </c>
      <c r="AO183" s="91">
        <f t="shared" ca="1" si="81"/>
        <v>56</v>
      </c>
      <c r="AP183" s="26" t="s">
        <v>121</v>
      </c>
      <c r="AQ183" s="26" t="s">
        <v>347</v>
      </c>
      <c r="AR183" s="89"/>
      <c r="AS183" s="27"/>
      <c r="AT183" s="16"/>
      <c r="AU183" s="27"/>
      <c r="AV183" s="86"/>
      <c r="AW183" s="27"/>
      <c r="AX183" s="27"/>
      <c r="AY183" s="27"/>
      <c r="AZ183" s="27"/>
      <c r="BA183" s="27"/>
      <c r="BB183" s="27"/>
      <c r="BC183" s="97"/>
      <c r="BD183" s="27"/>
      <c r="BE183" s="16"/>
      <c r="BF183" s="28">
        <f t="shared" si="82"/>
        <v>0</v>
      </c>
      <c r="BG183" s="29"/>
      <c r="BH183" s="27"/>
      <c r="BI183" s="30">
        <f t="shared" si="83"/>
        <v>347</v>
      </c>
      <c r="BJ183" s="31">
        <f t="shared" si="84"/>
        <v>45656</v>
      </c>
      <c r="BK183" s="27"/>
      <c r="BL183" s="16"/>
      <c r="BM183" s="27"/>
      <c r="BN183" s="16"/>
      <c r="BO183" s="27"/>
      <c r="BP183" s="16"/>
      <c r="BQ183" s="27"/>
      <c r="BR183" s="24"/>
      <c r="BS183" s="24"/>
      <c r="BT183" s="32"/>
      <c r="BU183" s="27"/>
      <c r="BV183" s="24"/>
      <c r="BW183" s="24"/>
      <c r="BX183" s="16"/>
      <c r="BY183" s="27"/>
      <c r="BZ183" s="24"/>
      <c r="CA183" s="24"/>
      <c r="CB183" s="16"/>
      <c r="CC183" s="49">
        <f t="shared" si="85"/>
        <v>0</v>
      </c>
      <c r="CD183" s="24"/>
      <c r="CE183" s="49">
        <f t="shared" si="86"/>
        <v>90880160</v>
      </c>
      <c r="CF183" s="50"/>
      <c r="CG183" s="49">
        <f t="shared" ca="1" si="87"/>
        <v>90880160</v>
      </c>
      <c r="CH183" s="33">
        <f t="shared" ca="1" si="88"/>
        <v>1</v>
      </c>
      <c r="CI183" s="33">
        <f t="shared" ca="1" si="89"/>
        <v>1</v>
      </c>
      <c r="CJ183" s="36">
        <f t="shared" ca="1" si="90"/>
        <v>100</v>
      </c>
      <c r="CK183" s="34">
        <f t="shared" si="91"/>
        <v>0</v>
      </c>
      <c r="CL183" s="21"/>
      <c r="CM183" s="35" t="str">
        <f t="shared" ca="1" si="92"/>
        <v>TERMINADO</v>
      </c>
      <c r="CN183" s="82"/>
      <c r="CO183" s="145" t="s">
        <v>1680</v>
      </c>
      <c r="CP183" s="26" t="s">
        <v>123</v>
      </c>
    </row>
    <row r="184" spans="1:94" ht="24.75" customHeight="1">
      <c r="A184" s="48" t="s">
        <v>1681</v>
      </c>
      <c r="B184" s="77" t="s">
        <v>1682</v>
      </c>
      <c r="C184" s="17" t="s">
        <v>104</v>
      </c>
      <c r="D184" s="18" t="s">
        <v>1683</v>
      </c>
      <c r="E184" s="17" t="s">
        <v>106</v>
      </c>
      <c r="F184" s="17" t="s">
        <v>107</v>
      </c>
      <c r="G184" s="17" t="s">
        <v>108</v>
      </c>
      <c r="H184" s="78">
        <v>80208899</v>
      </c>
      <c r="I184" s="74" t="s">
        <v>1684</v>
      </c>
      <c r="J184" s="16"/>
      <c r="K184" s="16"/>
      <c r="L184" s="20" t="s">
        <v>1685</v>
      </c>
      <c r="M184" s="16" t="s">
        <v>111</v>
      </c>
      <c r="N184" s="22">
        <v>45307</v>
      </c>
      <c r="O184" s="22">
        <v>45309</v>
      </c>
      <c r="P184" s="22">
        <v>45657</v>
      </c>
      <c r="Q184" s="23">
        <f t="shared" si="80"/>
        <v>348</v>
      </c>
      <c r="R184" s="17" t="s">
        <v>242</v>
      </c>
      <c r="S184" s="110" t="s">
        <v>1686</v>
      </c>
      <c r="T184" s="16" t="s">
        <v>1145</v>
      </c>
      <c r="U184" s="67">
        <v>70512250</v>
      </c>
      <c r="V184" s="16" t="s">
        <v>426</v>
      </c>
      <c r="W184" s="224">
        <v>70512250</v>
      </c>
      <c r="X184" s="67">
        <v>6131500</v>
      </c>
      <c r="Y184" s="24"/>
      <c r="Z184" s="24"/>
      <c r="AA184" s="17" t="s">
        <v>116</v>
      </c>
      <c r="AB184" s="23" t="str">
        <f>IFERROR(VLOOKUP(AA184,Listas!$A$1:$C$14,2,FALSE),"")</f>
        <v>FREDY CÉSPEDES VILLA</v>
      </c>
      <c r="AC184" s="23">
        <f>IFERROR(VLOOKUP(AA184,Listas!$A$1:$C$14,3,FALSE),"")</f>
        <v>93363483</v>
      </c>
      <c r="AD184" s="17" t="s">
        <v>427</v>
      </c>
      <c r="AE184" s="17" t="s">
        <v>428</v>
      </c>
      <c r="AF184" s="23" t="str">
        <f>IFERROR(VLOOKUP(AE184,Listas!$AD$1:$AF$66,2,FALSE),"")</f>
        <v>DINORAH PATRICIA ABADIA MURILLO</v>
      </c>
      <c r="AG184" s="23">
        <f>IFERROR(VLOOKUP(AE184,Listas!$AD$1:$AF$65,3,FALSE),"")</f>
        <v>52220857</v>
      </c>
      <c r="AH184" s="17" t="s">
        <v>118</v>
      </c>
      <c r="AI184" s="65" t="s">
        <v>1687</v>
      </c>
      <c r="AJ184" s="25" t="s">
        <v>119</v>
      </c>
      <c r="AK184" s="26" t="s">
        <v>120</v>
      </c>
      <c r="AL184" s="26" t="s">
        <v>120</v>
      </c>
      <c r="AM184" s="90" t="s">
        <v>119</v>
      </c>
      <c r="AN184" s="105">
        <v>30355</v>
      </c>
      <c r="AO184" s="91">
        <f t="shared" ca="1" si="81"/>
        <v>42</v>
      </c>
      <c r="AP184" s="26" t="s">
        <v>121</v>
      </c>
      <c r="AQ184" s="26" t="s">
        <v>515</v>
      </c>
      <c r="AR184" s="89"/>
      <c r="AS184" s="27"/>
      <c r="AT184" s="16"/>
      <c r="AU184" s="27"/>
      <c r="AV184" s="86"/>
      <c r="AW184" s="27"/>
      <c r="AX184" s="27"/>
      <c r="AY184" s="27"/>
      <c r="AZ184" s="27"/>
      <c r="BA184" s="27"/>
      <c r="BB184" s="27"/>
      <c r="BC184" s="97"/>
      <c r="BD184" s="27"/>
      <c r="BE184" s="16"/>
      <c r="BF184" s="28">
        <f t="shared" si="82"/>
        <v>0</v>
      </c>
      <c r="BG184" s="29"/>
      <c r="BH184" s="27"/>
      <c r="BI184" s="30">
        <f t="shared" si="83"/>
        <v>348</v>
      </c>
      <c r="BJ184" s="31">
        <f t="shared" si="84"/>
        <v>45657</v>
      </c>
      <c r="BK184" s="27"/>
      <c r="BL184" s="16"/>
      <c r="BM184" s="27"/>
      <c r="BN184" s="16"/>
      <c r="BO184" s="27"/>
      <c r="BP184" s="16"/>
      <c r="BQ184" s="27"/>
      <c r="BR184" s="24"/>
      <c r="BS184" s="24"/>
      <c r="BT184" s="32"/>
      <c r="BU184" s="27"/>
      <c r="BV184" s="24"/>
      <c r="BW184" s="24"/>
      <c r="BX184" s="16"/>
      <c r="BY184" s="27"/>
      <c r="BZ184" s="24"/>
      <c r="CA184" s="24"/>
      <c r="CB184" s="16"/>
      <c r="CC184" s="49">
        <f t="shared" si="85"/>
        <v>0</v>
      </c>
      <c r="CD184" s="24"/>
      <c r="CE184" s="49">
        <f>IF(Y184=0,(X184+CC184)-CD184,IF(Y184&gt;0,(Y184+CC184)-CD184))</f>
        <v>6131500</v>
      </c>
      <c r="CF184" s="50"/>
      <c r="CG184" s="49">
        <f t="shared" ca="1" si="87"/>
        <v>6131500</v>
      </c>
      <c r="CH184" s="33">
        <f t="shared" ca="1" si="88"/>
        <v>1</v>
      </c>
      <c r="CI184" s="33">
        <f t="shared" ca="1" si="89"/>
        <v>1</v>
      </c>
      <c r="CJ184" s="36">
        <f t="shared" ca="1" si="90"/>
        <v>100</v>
      </c>
      <c r="CK184" s="34">
        <f t="shared" si="91"/>
        <v>0</v>
      </c>
      <c r="CL184" s="21"/>
      <c r="CM184" s="35" t="str">
        <f t="shared" ca="1" si="92"/>
        <v>TERMINADO</v>
      </c>
      <c r="CN184" s="82"/>
      <c r="CO184" s="145" t="s">
        <v>1688</v>
      </c>
      <c r="CP184" s="26" t="s">
        <v>142</v>
      </c>
    </row>
    <row r="185" spans="1:94" ht="24.75" customHeight="1">
      <c r="A185" s="48" t="s">
        <v>1689</v>
      </c>
      <c r="B185" s="77" t="s">
        <v>1690</v>
      </c>
      <c r="C185" s="17" t="s">
        <v>104</v>
      </c>
      <c r="D185" s="18" t="s">
        <v>1691</v>
      </c>
      <c r="E185" s="17" t="s">
        <v>106</v>
      </c>
      <c r="F185" s="17" t="s">
        <v>107</v>
      </c>
      <c r="G185" s="17" t="s">
        <v>108</v>
      </c>
      <c r="H185" s="78">
        <v>1075280552</v>
      </c>
      <c r="I185" s="74" t="s">
        <v>1692</v>
      </c>
      <c r="J185" s="16"/>
      <c r="K185" s="16"/>
      <c r="L185" s="20" t="s">
        <v>1693</v>
      </c>
      <c r="M185" s="16" t="s">
        <v>111</v>
      </c>
      <c r="N185" s="22">
        <v>45307</v>
      </c>
      <c r="O185" s="22">
        <v>45309</v>
      </c>
      <c r="P185" s="22">
        <v>45656</v>
      </c>
      <c r="Q185" s="23">
        <f t="shared" si="80"/>
        <v>347</v>
      </c>
      <c r="R185" s="17" t="s">
        <v>242</v>
      </c>
      <c r="S185" s="110" t="s">
        <v>1694</v>
      </c>
      <c r="T185" s="16" t="s">
        <v>1695</v>
      </c>
      <c r="U185" s="67">
        <v>72602716</v>
      </c>
      <c r="V185" s="16" t="s">
        <v>688</v>
      </c>
      <c r="W185" s="224">
        <v>72602716</v>
      </c>
      <c r="X185" s="24">
        <v>6130314</v>
      </c>
      <c r="Y185" s="24"/>
      <c r="Z185" s="24"/>
      <c r="AA185" s="17" t="s">
        <v>116</v>
      </c>
      <c r="AB185" s="23" t="str">
        <f>IFERROR(VLOOKUP(AA185,Listas!$A$1:$C$14,2,FALSE),"")</f>
        <v>FREDY CÉSPEDES VILLA</v>
      </c>
      <c r="AC185" s="23">
        <f>IFERROR(VLOOKUP(AA185,Listas!$A$1:$C$14,3,FALSE),"")</f>
        <v>93363483</v>
      </c>
      <c r="AD185" s="17" t="s">
        <v>304</v>
      </c>
      <c r="AE185" s="17" t="s">
        <v>305</v>
      </c>
      <c r="AF185" s="23" t="str">
        <f>IFERROR(VLOOKUP(AE185,Listas!$AD$1:$AF$66,2,FALSE),"")</f>
        <v>ALVARO HERNAN URQUIJO GOMEZ</v>
      </c>
      <c r="AG185" s="23">
        <v>80505520</v>
      </c>
      <c r="AH185" s="17" t="s">
        <v>118</v>
      </c>
      <c r="AI185" s="65" t="s">
        <v>1696</v>
      </c>
      <c r="AJ185" s="25" t="s">
        <v>119</v>
      </c>
      <c r="AK185" s="26" t="s">
        <v>120</v>
      </c>
      <c r="AL185" s="26" t="s">
        <v>120</v>
      </c>
      <c r="AM185" s="90" t="s">
        <v>119</v>
      </c>
      <c r="AN185" s="105">
        <v>34340</v>
      </c>
      <c r="AO185" s="91">
        <f t="shared" ca="1" si="81"/>
        <v>31</v>
      </c>
      <c r="AP185" s="26" t="s">
        <v>121</v>
      </c>
      <c r="AQ185" s="26" t="s">
        <v>122</v>
      </c>
      <c r="AR185" s="89"/>
      <c r="AS185" s="27"/>
      <c r="AT185" s="16"/>
      <c r="AU185" s="27"/>
      <c r="AV185" s="86"/>
      <c r="AW185" s="27"/>
      <c r="AX185" s="27"/>
      <c r="AY185" s="27"/>
      <c r="AZ185" s="27"/>
      <c r="BA185" s="27"/>
      <c r="BB185" s="27"/>
      <c r="BC185" s="97"/>
      <c r="BD185" s="27"/>
      <c r="BE185" s="16"/>
      <c r="BF185" s="28">
        <f t="shared" si="82"/>
        <v>0</v>
      </c>
      <c r="BG185" s="29"/>
      <c r="BH185" s="27">
        <v>45468</v>
      </c>
      <c r="BI185" s="30">
        <f t="shared" si="83"/>
        <v>347</v>
      </c>
      <c r="BJ185" s="31">
        <f t="shared" si="84"/>
        <v>45468</v>
      </c>
      <c r="BK185" s="27"/>
      <c r="BL185" s="16"/>
      <c r="BM185" s="27"/>
      <c r="BN185" s="16"/>
      <c r="BO185" s="27"/>
      <c r="BP185" s="16"/>
      <c r="BQ185" s="27"/>
      <c r="BR185" s="24"/>
      <c r="BS185" s="24"/>
      <c r="BT185" s="32"/>
      <c r="BU185" s="27"/>
      <c r="BV185" s="24"/>
      <c r="BW185" s="24"/>
      <c r="BX185" s="16"/>
      <c r="BY185" s="27"/>
      <c r="BZ185" s="24"/>
      <c r="CA185" s="24"/>
      <c r="CB185" s="16"/>
      <c r="CC185" s="49">
        <f t="shared" si="85"/>
        <v>0</v>
      </c>
      <c r="CD185" s="24"/>
      <c r="CE185" s="49">
        <f t="shared" ref="CE185:CE207" si="93">IF(Y185=0,(W185+CC185)-CD185,IF(Y185&gt;0,(Y185+CC185)-CD185))</f>
        <v>72602716</v>
      </c>
      <c r="CF185" s="50"/>
      <c r="CG185" s="49">
        <f t="shared" ca="1" si="87"/>
        <v>72602716</v>
      </c>
      <c r="CH185" s="33">
        <f t="shared" ca="1" si="88"/>
        <v>1</v>
      </c>
      <c r="CI185" s="33">
        <f t="shared" ca="1" si="89"/>
        <v>1</v>
      </c>
      <c r="CJ185" s="36">
        <f t="shared" ca="1" si="90"/>
        <v>100</v>
      </c>
      <c r="CK185" s="34">
        <f t="shared" si="91"/>
        <v>0</v>
      </c>
      <c r="CL185" s="21"/>
      <c r="CM185" s="35" t="str">
        <f t="shared" ca="1" si="92"/>
        <v>TERMINADO</v>
      </c>
      <c r="CN185" s="82"/>
      <c r="CO185" s="145" t="s">
        <v>1697</v>
      </c>
      <c r="CP185" s="26" t="s">
        <v>123</v>
      </c>
    </row>
    <row r="186" spans="1:94" ht="24.75" customHeight="1">
      <c r="A186" s="48" t="s">
        <v>1698</v>
      </c>
      <c r="B186" s="77" t="s">
        <v>1699</v>
      </c>
      <c r="C186" s="17" t="s">
        <v>104</v>
      </c>
      <c r="D186" s="18" t="s">
        <v>1700</v>
      </c>
      <c r="E186" s="17" t="s">
        <v>106</v>
      </c>
      <c r="F186" s="17" t="s">
        <v>107</v>
      </c>
      <c r="G186" s="17" t="s">
        <v>108</v>
      </c>
      <c r="H186" s="78">
        <v>52785192</v>
      </c>
      <c r="I186" s="74" t="s">
        <v>1701</v>
      </c>
      <c r="J186" s="16"/>
      <c r="K186" s="16"/>
      <c r="L186" s="20" t="s">
        <v>1702</v>
      </c>
      <c r="M186" s="16" t="s">
        <v>111</v>
      </c>
      <c r="N186" s="22">
        <v>45307</v>
      </c>
      <c r="O186" s="22">
        <v>45313</v>
      </c>
      <c r="P186" s="22">
        <v>45656</v>
      </c>
      <c r="Q186" s="23">
        <f t="shared" si="80"/>
        <v>343</v>
      </c>
      <c r="R186" s="17" t="s">
        <v>242</v>
      </c>
      <c r="S186" s="110" t="s">
        <v>1703</v>
      </c>
      <c r="T186" s="16" t="s">
        <v>1470</v>
      </c>
      <c r="U186" s="67">
        <v>93586848</v>
      </c>
      <c r="V186" s="16" t="s">
        <v>1212</v>
      </c>
      <c r="W186" s="224">
        <v>93586848</v>
      </c>
      <c r="X186" s="24">
        <v>7798904</v>
      </c>
      <c r="Y186" s="24"/>
      <c r="Z186" s="24"/>
      <c r="AA186" s="17" t="s">
        <v>116</v>
      </c>
      <c r="AB186" s="23" t="str">
        <f>IFERROR(VLOOKUP(AA186,Listas!$A$1:$C$14,2,FALSE),"")</f>
        <v>FREDY CÉSPEDES VILLA</v>
      </c>
      <c r="AC186" s="23">
        <f>IFERROR(VLOOKUP(AA186,Listas!$A$1:$C$14,3,FALSE),"")</f>
        <v>93363483</v>
      </c>
      <c r="AD186" s="17" t="s">
        <v>577</v>
      </c>
      <c r="AE186" s="17" t="s">
        <v>578</v>
      </c>
      <c r="AF186" s="23" t="str">
        <f>IFERROR(VLOOKUP(AE186,Listas!$AD$1:$AF$66,2,FALSE),"")</f>
        <v>EDGAR FABIO DÍAZ RAMIREZ</v>
      </c>
      <c r="AG186" s="23">
        <f>IFERROR(VLOOKUP(AE186,Listas!$AD$1:$AF$65,3,FALSE),"")</f>
        <v>79537198</v>
      </c>
      <c r="AH186" s="17" t="s">
        <v>118</v>
      </c>
      <c r="AI186" s="65" t="s">
        <v>1704</v>
      </c>
      <c r="AJ186" s="25" t="s">
        <v>119</v>
      </c>
      <c r="AK186" s="26" t="s">
        <v>120</v>
      </c>
      <c r="AL186" s="26" t="s">
        <v>120</v>
      </c>
      <c r="AM186" s="90" t="s">
        <v>119</v>
      </c>
      <c r="AN186" s="105">
        <v>30155</v>
      </c>
      <c r="AO186" s="91">
        <f t="shared" ca="1" si="81"/>
        <v>43</v>
      </c>
      <c r="AP186" s="26" t="s">
        <v>121</v>
      </c>
      <c r="AQ186" s="26" t="s">
        <v>886</v>
      </c>
      <c r="AR186" s="89"/>
      <c r="AS186" s="27"/>
      <c r="AT186" s="16"/>
      <c r="AU186" s="27"/>
      <c r="AV186" s="86"/>
      <c r="AW186" s="27"/>
      <c r="AX186" s="27"/>
      <c r="AY186" s="27"/>
      <c r="AZ186" s="27"/>
      <c r="BA186" s="27"/>
      <c r="BB186" s="27"/>
      <c r="BC186" s="97"/>
      <c r="BD186" s="27"/>
      <c r="BE186" s="16"/>
      <c r="BF186" s="28">
        <f t="shared" si="82"/>
        <v>0</v>
      </c>
      <c r="BG186" s="29"/>
      <c r="BH186" s="27"/>
      <c r="BI186" s="30">
        <f t="shared" si="83"/>
        <v>343</v>
      </c>
      <c r="BJ186" s="31">
        <f t="shared" si="84"/>
        <v>45656</v>
      </c>
      <c r="BK186" s="27"/>
      <c r="BL186" s="16"/>
      <c r="BM186" s="27"/>
      <c r="BN186" s="16"/>
      <c r="BO186" s="27"/>
      <c r="BP186" s="16"/>
      <c r="BQ186" s="27"/>
      <c r="BR186" s="24"/>
      <c r="BS186" s="24"/>
      <c r="BT186" s="32"/>
      <c r="BU186" s="27"/>
      <c r="BV186" s="24"/>
      <c r="BW186" s="24"/>
      <c r="BX186" s="16"/>
      <c r="BY186" s="27"/>
      <c r="BZ186" s="24"/>
      <c r="CA186" s="24"/>
      <c r="CB186" s="16"/>
      <c r="CC186" s="49">
        <f t="shared" si="85"/>
        <v>0</v>
      </c>
      <c r="CD186" s="24"/>
      <c r="CE186" s="49">
        <f t="shared" si="93"/>
        <v>93586848</v>
      </c>
      <c r="CF186" s="50"/>
      <c r="CG186" s="49">
        <f t="shared" ca="1" si="87"/>
        <v>93586848</v>
      </c>
      <c r="CH186" s="33">
        <f t="shared" ca="1" si="88"/>
        <v>1</v>
      </c>
      <c r="CI186" s="33">
        <f t="shared" ca="1" si="89"/>
        <v>1</v>
      </c>
      <c r="CJ186" s="36">
        <f t="shared" ca="1" si="90"/>
        <v>100</v>
      </c>
      <c r="CK186" s="34">
        <f t="shared" si="91"/>
        <v>0</v>
      </c>
      <c r="CL186" s="21"/>
      <c r="CM186" s="35" t="str">
        <f t="shared" ca="1" si="92"/>
        <v>TERMINADO</v>
      </c>
      <c r="CN186" s="82"/>
      <c r="CO186" s="145" t="s">
        <v>1705</v>
      </c>
      <c r="CP186" s="26" t="s">
        <v>123</v>
      </c>
    </row>
    <row r="187" spans="1:94" ht="24.75" customHeight="1">
      <c r="A187" s="48" t="s">
        <v>1706</v>
      </c>
      <c r="B187" s="77" t="s">
        <v>1707</v>
      </c>
      <c r="C187" s="17" t="s">
        <v>104</v>
      </c>
      <c r="D187" s="18" t="s">
        <v>1708</v>
      </c>
      <c r="E187" s="17" t="s">
        <v>106</v>
      </c>
      <c r="F187" s="17" t="s">
        <v>107</v>
      </c>
      <c r="G187" s="17" t="s">
        <v>108</v>
      </c>
      <c r="H187" s="78">
        <v>52220442</v>
      </c>
      <c r="I187" s="74" t="s">
        <v>1709</v>
      </c>
      <c r="J187" s="16"/>
      <c r="K187" s="16"/>
      <c r="L187" s="20" t="s">
        <v>1710</v>
      </c>
      <c r="M187" s="16" t="s">
        <v>111</v>
      </c>
      <c r="N187" s="22">
        <v>45307</v>
      </c>
      <c r="O187" s="22">
        <v>45310</v>
      </c>
      <c r="P187" s="22">
        <v>45656</v>
      </c>
      <c r="Q187" s="23">
        <f t="shared" si="80"/>
        <v>346</v>
      </c>
      <c r="R187" s="17" t="s">
        <v>242</v>
      </c>
      <c r="S187" s="110" t="s">
        <v>1711</v>
      </c>
      <c r="T187" s="16" t="s">
        <v>404</v>
      </c>
      <c r="U187" s="67">
        <v>183909432</v>
      </c>
      <c r="V187" s="16" t="s">
        <v>1712</v>
      </c>
      <c r="W187" s="224">
        <v>183909432</v>
      </c>
      <c r="X187" s="24">
        <v>15325786</v>
      </c>
      <c r="Y187" s="24"/>
      <c r="Z187" s="24"/>
      <c r="AA187" s="17" t="s">
        <v>116</v>
      </c>
      <c r="AB187" s="23" t="str">
        <f>IFERROR(VLOOKUP(AA187,Listas!$A$1:$C$14,2,FALSE),"")</f>
        <v>FREDY CÉSPEDES VILLA</v>
      </c>
      <c r="AC187" s="23">
        <f>IFERROR(VLOOKUP(AA187,Listas!$A$1:$C$14,3,FALSE),"")</f>
        <v>93363483</v>
      </c>
      <c r="AD187" s="17" t="s">
        <v>406</v>
      </c>
      <c r="AE187" s="17" t="s">
        <v>504</v>
      </c>
      <c r="AF187" s="23" t="str">
        <f>IFERROR(VLOOKUP(AE187,Listas!$AD$1:$AF$66,2,FALSE),"")</f>
        <v>EDUARDO ELÍAS BARCHA BOLÍVAR</v>
      </c>
      <c r="AG187" s="23">
        <f>IFERROR(VLOOKUP(AE187,Listas!$AD$1:$AF$65,3,FALSE),"")</f>
        <v>72133921</v>
      </c>
      <c r="AH187" s="17" t="s">
        <v>118</v>
      </c>
      <c r="AI187" s="65" t="s">
        <v>1713</v>
      </c>
      <c r="AJ187" s="25" t="s">
        <v>119</v>
      </c>
      <c r="AK187" s="26" t="s">
        <v>120</v>
      </c>
      <c r="AL187" s="26" t="s">
        <v>120</v>
      </c>
      <c r="AM187" s="90" t="s">
        <v>119</v>
      </c>
      <c r="AN187" s="105">
        <v>27102</v>
      </c>
      <c r="AO187" s="91">
        <f t="shared" ca="1" si="81"/>
        <v>51</v>
      </c>
      <c r="AP187" s="26" t="s">
        <v>121</v>
      </c>
      <c r="AQ187" s="26" t="s">
        <v>886</v>
      </c>
      <c r="AR187" s="89"/>
      <c r="AS187" s="27"/>
      <c r="AT187" s="16"/>
      <c r="AU187" s="27"/>
      <c r="AV187" s="86"/>
      <c r="AW187" s="27"/>
      <c r="AX187" s="27"/>
      <c r="AY187" s="27"/>
      <c r="AZ187" s="27"/>
      <c r="BA187" s="27"/>
      <c r="BB187" s="27"/>
      <c r="BC187" s="97"/>
      <c r="BD187" s="27"/>
      <c r="BE187" s="16"/>
      <c r="BF187" s="28">
        <f t="shared" si="82"/>
        <v>0</v>
      </c>
      <c r="BG187" s="29"/>
      <c r="BH187" s="27"/>
      <c r="BI187" s="30">
        <f t="shared" si="83"/>
        <v>346</v>
      </c>
      <c r="BJ187" s="31">
        <f t="shared" si="84"/>
        <v>45656</v>
      </c>
      <c r="BK187" s="27"/>
      <c r="BL187" s="16"/>
      <c r="BM187" s="27"/>
      <c r="BN187" s="16"/>
      <c r="BO187" s="27"/>
      <c r="BP187" s="16"/>
      <c r="BQ187" s="27"/>
      <c r="BR187" s="24"/>
      <c r="BS187" s="24"/>
      <c r="BT187" s="32"/>
      <c r="BU187" s="27"/>
      <c r="BV187" s="24"/>
      <c r="BW187" s="24"/>
      <c r="BX187" s="16"/>
      <c r="BY187" s="27"/>
      <c r="BZ187" s="24"/>
      <c r="CA187" s="24"/>
      <c r="CB187" s="16"/>
      <c r="CC187" s="49">
        <f t="shared" si="85"/>
        <v>0</v>
      </c>
      <c r="CD187" s="24"/>
      <c r="CE187" s="49">
        <f t="shared" si="93"/>
        <v>183909432</v>
      </c>
      <c r="CF187" s="50"/>
      <c r="CG187" s="49">
        <f t="shared" ca="1" si="87"/>
        <v>183909432</v>
      </c>
      <c r="CH187" s="33">
        <f t="shared" ca="1" si="88"/>
        <v>1</v>
      </c>
      <c r="CI187" s="33">
        <f t="shared" ca="1" si="89"/>
        <v>1</v>
      </c>
      <c r="CJ187" s="36">
        <f t="shared" ca="1" si="90"/>
        <v>100</v>
      </c>
      <c r="CK187" s="34">
        <f t="shared" si="91"/>
        <v>0</v>
      </c>
      <c r="CL187" s="21"/>
      <c r="CM187" s="35" t="str">
        <f t="shared" ca="1" si="92"/>
        <v>TERMINADO</v>
      </c>
      <c r="CN187" s="82"/>
      <c r="CO187" s="145" t="s">
        <v>1714</v>
      </c>
      <c r="CP187" s="26" t="s">
        <v>123</v>
      </c>
    </row>
    <row r="188" spans="1:94" ht="24.75" customHeight="1">
      <c r="A188" s="48" t="s">
        <v>1715</v>
      </c>
      <c r="B188" s="77" t="s">
        <v>1716</v>
      </c>
      <c r="C188" s="17" t="s">
        <v>104</v>
      </c>
      <c r="D188" s="18" t="s">
        <v>1717</v>
      </c>
      <c r="E188" s="17" t="s">
        <v>106</v>
      </c>
      <c r="F188" s="17" t="s">
        <v>107</v>
      </c>
      <c r="G188" s="17" t="s">
        <v>108</v>
      </c>
      <c r="H188" s="78">
        <v>41679748</v>
      </c>
      <c r="I188" s="74" t="s">
        <v>1718</v>
      </c>
      <c r="J188" s="16"/>
      <c r="K188" s="16"/>
      <c r="L188" s="20" t="s">
        <v>1719</v>
      </c>
      <c r="M188" s="16" t="s">
        <v>111</v>
      </c>
      <c r="N188" s="22">
        <v>45307</v>
      </c>
      <c r="O188" s="22">
        <v>45313</v>
      </c>
      <c r="P188" s="22">
        <v>45657</v>
      </c>
      <c r="Q188" s="23">
        <f t="shared" si="80"/>
        <v>344</v>
      </c>
      <c r="R188" s="17" t="s">
        <v>242</v>
      </c>
      <c r="S188" s="110" t="s">
        <v>1720</v>
      </c>
      <c r="T188" s="16" t="s">
        <v>1201</v>
      </c>
      <c r="U188" s="67">
        <v>40287574</v>
      </c>
      <c r="V188" s="16" t="s">
        <v>1721</v>
      </c>
      <c r="W188" s="224">
        <v>40287574</v>
      </c>
      <c r="X188" s="24">
        <v>3433600</v>
      </c>
      <c r="Y188" s="24"/>
      <c r="Z188" s="24"/>
      <c r="AA188" s="17" t="s">
        <v>116</v>
      </c>
      <c r="AB188" s="23" t="str">
        <f>IFERROR(VLOOKUP(AA188,Listas!$A$1:$C$14,2,FALSE),"")</f>
        <v>FREDY CÉSPEDES VILLA</v>
      </c>
      <c r="AC188" s="23">
        <f>IFERROR(VLOOKUP(AA188,Listas!$A$1:$C$14,3,FALSE),"")</f>
        <v>93363483</v>
      </c>
      <c r="AD188" s="17" t="s">
        <v>427</v>
      </c>
      <c r="AE188" s="17" t="s">
        <v>428</v>
      </c>
      <c r="AF188" s="23" t="str">
        <f>IFERROR(VLOOKUP(AE188,Listas!$AD$1:$AF$66,2,FALSE),"")</f>
        <v>DINORAH PATRICIA ABADIA MURILLO</v>
      </c>
      <c r="AG188" s="23">
        <f>IFERROR(VLOOKUP(AE188,Listas!$AD$1:$AF$65,3,FALSE),"")</f>
        <v>52220857</v>
      </c>
      <c r="AH188" s="17" t="s">
        <v>118</v>
      </c>
      <c r="AI188" s="65" t="s">
        <v>1722</v>
      </c>
      <c r="AJ188" s="25" t="s">
        <v>119</v>
      </c>
      <c r="AK188" s="26" t="s">
        <v>120</v>
      </c>
      <c r="AL188" s="26" t="s">
        <v>120</v>
      </c>
      <c r="AM188" s="90" t="s">
        <v>119</v>
      </c>
      <c r="AN188" s="105">
        <v>20743</v>
      </c>
      <c r="AO188" s="91">
        <f t="shared" ca="1" si="81"/>
        <v>69</v>
      </c>
      <c r="AP188" s="26" t="s">
        <v>121</v>
      </c>
      <c r="AQ188" s="26" t="s">
        <v>515</v>
      </c>
      <c r="AR188" s="89"/>
      <c r="AS188" s="27"/>
      <c r="AT188" s="16"/>
      <c r="AU188" s="27"/>
      <c r="AV188" s="86"/>
      <c r="AW188" s="27"/>
      <c r="AX188" s="27"/>
      <c r="AY188" s="27"/>
      <c r="AZ188" s="27"/>
      <c r="BA188" s="27"/>
      <c r="BB188" s="27"/>
      <c r="BC188" s="97"/>
      <c r="BD188" s="27"/>
      <c r="BE188" s="16"/>
      <c r="BF188" s="28">
        <f t="shared" si="82"/>
        <v>0</v>
      </c>
      <c r="BG188" s="29"/>
      <c r="BH188" s="27"/>
      <c r="BI188" s="30">
        <f t="shared" si="83"/>
        <v>344</v>
      </c>
      <c r="BJ188" s="31">
        <f t="shared" si="84"/>
        <v>45657</v>
      </c>
      <c r="BK188" s="27"/>
      <c r="BL188" s="16"/>
      <c r="BM188" s="27"/>
      <c r="BN188" s="16"/>
      <c r="BO188" s="27"/>
      <c r="BP188" s="16"/>
      <c r="BQ188" s="27"/>
      <c r="BR188" s="24"/>
      <c r="BS188" s="24"/>
      <c r="BT188" s="32"/>
      <c r="BU188" s="27"/>
      <c r="BV188" s="24"/>
      <c r="BW188" s="24"/>
      <c r="BX188" s="16"/>
      <c r="BY188" s="27"/>
      <c r="BZ188" s="24"/>
      <c r="CA188" s="24"/>
      <c r="CB188" s="16"/>
      <c r="CC188" s="49">
        <f t="shared" si="85"/>
        <v>0</v>
      </c>
      <c r="CD188" s="24"/>
      <c r="CE188" s="49">
        <f t="shared" si="93"/>
        <v>40287574</v>
      </c>
      <c r="CF188" s="50"/>
      <c r="CG188" s="49">
        <f t="shared" ca="1" si="87"/>
        <v>40287574</v>
      </c>
      <c r="CH188" s="33">
        <f t="shared" ca="1" si="88"/>
        <v>1</v>
      </c>
      <c r="CI188" s="33">
        <f t="shared" ca="1" si="89"/>
        <v>1</v>
      </c>
      <c r="CJ188" s="36">
        <f t="shared" ca="1" si="90"/>
        <v>100</v>
      </c>
      <c r="CK188" s="34">
        <f t="shared" si="91"/>
        <v>0</v>
      </c>
      <c r="CL188" s="21"/>
      <c r="CM188" s="35" t="str">
        <f t="shared" ca="1" si="92"/>
        <v>TERMINADO</v>
      </c>
      <c r="CN188" s="82"/>
      <c r="CO188" s="145" t="s">
        <v>1723</v>
      </c>
      <c r="CP188" s="26" t="s">
        <v>123</v>
      </c>
    </row>
    <row r="189" spans="1:94" ht="24.75" customHeight="1">
      <c r="A189" s="48" t="s">
        <v>1724</v>
      </c>
      <c r="B189" s="77" t="s">
        <v>1725</v>
      </c>
      <c r="C189" s="17" t="s">
        <v>104</v>
      </c>
      <c r="D189" s="18" t="s">
        <v>1726</v>
      </c>
      <c r="E189" s="17" t="s">
        <v>106</v>
      </c>
      <c r="F189" s="17" t="s">
        <v>107</v>
      </c>
      <c r="G189" s="17" t="s">
        <v>108</v>
      </c>
      <c r="H189" s="78" t="s">
        <v>1727</v>
      </c>
      <c r="I189" s="74" t="s">
        <v>1728</v>
      </c>
      <c r="J189" s="16"/>
      <c r="K189" s="16"/>
      <c r="L189" s="96" t="s">
        <v>1729</v>
      </c>
      <c r="M189" s="16" t="s">
        <v>111</v>
      </c>
      <c r="N189" s="22">
        <v>45307</v>
      </c>
      <c r="O189" s="22">
        <v>45308</v>
      </c>
      <c r="P189" s="22">
        <v>45656</v>
      </c>
      <c r="Q189" s="23">
        <f t="shared" si="80"/>
        <v>348</v>
      </c>
      <c r="R189" s="17" t="s">
        <v>242</v>
      </c>
      <c r="S189" s="110" t="s">
        <v>1730</v>
      </c>
      <c r="T189" s="16" t="s">
        <v>1486</v>
      </c>
      <c r="U189" s="67">
        <v>93327906</v>
      </c>
      <c r="V189" s="16" t="s">
        <v>344</v>
      </c>
      <c r="W189" s="224">
        <v>93327906</v>
      </c>
      <c r="X189" s="24">
        <v>8092015</v>
      </c>
      <c r="Y189" s="24"/>
      <c r="Z189" s="24"/>
      <c r="AA189" s="17" t="s">
        <v>116</v>
      </c>
      <c r="AB189" s="23" t="str">
        <f>IFERROR(VLOOKUP(AA189,Listas!$A$1:$C$14,2,FALSE),"")</f>
        <v>FREDY CÉSPEDES VILLA</v>
      </c>
      <c r="AC189" s="23">
        <f>IFERROR(VLOOKUP(AA189,Listas!$A$1:$C$14,3,FALSE),"")</f>
        <v>93363483</v>
      </c>
      <c r="AD189" s="17" t="s">
        <v>345</v>
      </c>
      <c r="AE189" s="17" t="s">
        <v>346</v>
      </c>
      <c r="AF189" s="23" t="str">
        <f>IFERROR(VLOOKUP(AE189,Listas!$AD$1:$AF$66,2,FALSE),"")</f>
        <v>RODOLFO GIOVANNI CANCHILA SUÁREZ</v>
      </c>
      <c r="AG189" s="23">
        <f>IFERROR(VLOOKUP(AE189,Listas!$AD$1:$AF$65,3,FALSE),"")</f>
        <v>79672493</v>
      </c>
      <c r="AH189" s="17" t="s">
        <v>118</v>
      </c>
      <c r="AI189" s="65" t="s">
        <v>1731</v>
      </c>
      <c r="AJ189" s="25" t="s">
        <v>119</v>
      </c>
      <c r="AK189" s="26" t="s">
        <v>120</v>
      </c>
      <c r="AL189" s="26" t="s">
        <v>120</v>
      </c>
      <c r="AM189" s="90" t="s">
        <v>119</v>
      </c>
      <c r="AN189" s="105">
        <v>27249</v>
      </c>
      <c r="AO189" s="91">
        <f t="shared" ca="1" si="81"/>
        <v>51</v>
      </c>
      <c r="AP189" s="26" t="s">
        <v>121</v>
      </c>
      <c r="AQ189" s="26" t="s">
        <v>347</v>
      </c>
      <c r="AR189" s="89"/>
      <c r="AS189" s="27"/>
      <c r="AT189" s="16"/>
      <c r="AU189" s="27"/>
      <c r="AV189" s="86"/>
      <c r="AW189" s="27"/>
      <c r="AX189" s="27"/>
      <c r="AY189" s="27"/>
      <c r="AZ189" s="27"/>
      <c r="BA189" s="27"/>
      <c r="BB189" s="27"/>
      <c r="BC189" s="97"/>
      <c r="BD189" s="27"/>
      <c r="BE189" s="16"/>
      <c r="BF189" s="28">
        <f t="shared" si="82"/>
        <v>0</v>
      </c>
      <c r="BG189" s="29"/>
      <c r="BH189" s="27"/>
      <c r="BI189" s="30">
        <f t="shared" si="83"/>
        <v>348</v>
      </c>
      <c r="BJ189" s="31">
        <f t="shared" si="84"/>
        <v>45656</v>
      </c>
      <c r="BK189" s="27"/>
      <c r="BL189" s="16"/>
      <c r="BM189" s="27"/>
      <c r="BN189" s="16"/>
      <c r="BO189" s="27"/>
      <c r="BP189" s="16"/>
      <c r="BQ189" s="27"/>
      <c r="BR189" s="24"/>
      <c r="BS189" s="24"/>
      <c r="BT189" s="32"/>
      <c r="BU189" s="27"/>
      <c r="BV189" s="24"/>
      <c r="BW189" s="24"/>
      <c r="BX189" s="16"/>
      <c r="BY189" s="27"/>
      <c r="BZ189" s="24"/>
      <c r="CA189" s="24"/>
      <c r="CB189" s="16"/>
      <c r="CC189" s="49">
        <f t="shared" si="85"/>
        <v>0</v>
      </c>
      <c r="CD189" s="24"/>
      <c r="CE189" s="49">
        <f t="shared" si="93"/>
        <v>93327906</v>
      </c>
      <c r="CF189" s="50"/>
      <c r="CG189" s="49">
        <f t="shared" ca="1" si="87"/>
        <v>93327906</v>
      </c>
      <c r="CH189" s="33">
        <f t="shared" ca="1" si="88"/>
        <v>1</v>
      </c>
      <c r="CI189" s="33">
        <f t="shared" ca="1" si="89"/>
        <v>1</v>
      </c>
      <c r="CJ189" s="36">
        <f t="shared" ca="1" si="90"/>
        <v>100</v>
      </c>
      <c r="CK189" s="34">
        <f t="shared" si="91"/>
        <v>0</v>
      </c>
      <c r="CL189" s="21"/>
      <c r="CM189" s="35" t="str">
        <f t="shared" ca="1" si="92"/>
        <v>TERMINADO</v>
      </c>
      <c r="CN189" s="82"/>
      <c r="CO189" s="145" t="s">
        <v>1732</v>
      </c>
      <c r="CP189" s="26" t="s">
        <v>142</v>
      </c>
    </row>
    <row r="190" spans="1:94" ht="24.75" customHeight="1">
      <c r="A190" s="48" t="s">
        <v>1733</v>
      </c>
      <c r="B190" s="77" t="s">
        <v>1734</v>
      </c>
      <c r="C190" s="17" t="s">
        <v>104</v>
      </c>
      <c r="D190" s="18" t="s">
        <v>1735</v>
      </c>
      <c r="E190" s="17" t="s">
        <v>106</v>
      </c>
      <c r="F190" s="17" t="s">
        <v>107</v>
      </c>
      <c r="G190" s="17" t="s">
        <v>108</v>
      </c>
      <c r="H190" s="78">
        <v>1070957484</v>
      </c>
      <c r="I190" s="74" t="s">
        <v>1736</v>
      </c>
      <c r="J190" s="16"/>
      <c r="K190" s="16"/>
      <c r="L190" s="20" t="s">
        <v>1737</v>
      </c>
      <c r="M190" s="16" t="s">
        <v>111</v>
      </c>
      <c r="N190" s="22">
        <v>45307</v>
      </c>
      <c r="O190" s="22">
        <v>45308</v>
      </c>
      <c r="P190" s="22">
        <v>45656</v>
      </c>
      <c r="Q190" s="23">
        <f t="shared" si="80"/>
        <v>348</v>
      </c>
      <c r="R190" s="17" t="s">
        <v>242</v>
      </c>
      <c r="S190" s="110" t="s">
        <v>1738</v>
      </c>
      <c r="T190" s="16" t="s">
        <v>1486</v>
      </c>
      <c r="U190" s="67">
        <v>66268704</v>
      </c>
      <c r="V190" s="16" t="s">
        <v>344</v>
      </c>
      <c r="W190" s="224">
        <v>66268704</v>
      </c>
      <c r="X190" s="24">
        <v>5762496</v>
      </c>
      <c r="Y190" s="24"/>
      <c r="Z190" s="24"/>
      <c r="AA190" s="17" t="s">
        <v>116</v>
      </c>
      <c r="AB190" s="23" t="str">
        <f>IFERROR(VLOOKUP(AA190,Listas!$A$1:$C$14,2,FALSE),"")</f>
        <v>FREDY CÉSPEDES VILLA</v>
      </c>
      <c r="AC190" s="23">
        <f>IFERROR(VLOOKUP(AA190,Listas!$A$1:$C$14,3,FALSE),"")</f>
        <v>93363483</v>
      </c>
      <c r="AD190" s="17" t="s">
        <v>345</v>
      </c>
      <c r="AE190" s="17" t="s">
        <v>346</v>
      </c>
      <c r="AF190" s="23" t="str">
        <f>IFERROR(VLOOKUP(AE190,Listas!$AD$1:$AF$66,2,FALSE),"")</f>
        <v>RODOLFO GIOVANNI CANCHILA SUÁREZ</v>
      </c>
      <c r="AG190" s="23">
        <f>IFERROR(VLOOKUP(AE190,Listas!$AD$1:$AF$65,3,FALSE),"")</f>
        <v>79672493</v>
      </c>
      <c r="AH190" s="17" t="s">
        <v>118</v>
      </c>
      <c r="AI190" s="65" t="s">
        <v>1739</v>
      </c>
      <c r="AJ190" s="25" t="s">
        <v>119</v>
      </c>
      <c r="AK190" s="26" t="s">
        <v>120</v>
      </c>
      <c r="AL190" s="26" t="s">
        <v>120</v>
      </c>
      <c r="AM190" s="90" t="s">
        <v>119</v>
      </c>
      <c r="AN190" s="105">
        <v>32999</v>
      </c>
      <c r="AO190" s="91">
        <f t="shared" ca="1" si="81"/>
        <v>35</v>
      </c>
      <c r="AP190" s="26" t="s">
        <v>121</v>
      </c>
      <c r="AQ190" s="26" t="s">
        <v>347</v>
      </c>
      <c r="AR190" s="89"/>
      <c r="AS190" s="27"/>
      <c r="AT190" s="16"/>
      <c r="AU190" s="27"/>
      <c r="AV190" s="86"/>
      <c r="AW190" s="27"/>
      <c r="AX190" s="27"/>
      <c r="AY190" s="27"/>
      <c r="AZ190" s="27"/>
      <c r="BA190" s="27"/>
      <c r="BB190" s="27"/>
      <c r="BC190" s="97"/>
      <c r="BD190" s="27"/>
      <c r="BE190" s="16"/>
      <c r="BF190" s="28">
        <f t="shared" si="82"/>
        <v>0</v>
      </c>
      <c r="BG190" s="29"/>
      <c r="BH190" s="27"/>
      <c r="BI190" s="30">
        <f t="shared" si="83"/>
        <v>348</v>
      </c>
      <c r="BJ190" s="31">
        <f t="shared" si="84"/>
        <v>45656</v>
      </c>
      <c r="BK190" s="27"/>
      <c r="BL190" s="16"/>
      <c r="BM190" s="27"/>
      <c r="BN190" s="16"/>
      <c r="BO190" s="27"/>
      <c r="BP190" s="16"/>
      <c r="BQ190" s="27"/>
      <c r="BR190" s="24"/>
      <c r="BS190" s="24"/>
      <c r="BT190" s="32"/>
      <c r="BU190" s="27"/>
      <c r="BV190" s="24"/>
      <c r="BW190" s="24"/>
      <c r="BX190" s="16"/>
      <c r="BY190" s="27"/>
      <c r="BZ190" s="24"/>
      <c r="CA190" s="24"/>
      <c r="CB190" s="16"/>
      <c r="CC190" s="49">
        <f t="shared" si="85"/>
        <v>0</v>
      </c>
      <c r="CD190" s="24"/>
      <c r="CE190" s="49">
        <f t="shared" si="93"/>
        <v>66268704</v>
      </c>
      <c r="CF190" s="50"/>
      <c r="CG190" s="49">
        <f t="shared" ca="1" si="87"/>
        <v>66268704</v>
      </c>
      <c r="CH190" s="33">
        <f t="shared" ca="1" si="88"/>
        <v>1</v>
      </c>
      <c r="CI190" s="33">
        <f t="shared" ca="1" si="89"/>
        <v>1</v>
      </c>
      <c r="CJ190" s="36">
        <f t="shared" ca="1" si="90"/>
        <v>100</v>
      </c>
      <c r="CK190" s="34">
        <f t="shared" si="91"/>
        <v>0</v>
      </c>
      <c r="CL190" s="21"/>
      <c r="CM190" s="35" t="str">
        <f t="shared" ca="1" si="92"/>
        <v>TERMINADO</v>
      </c>
      <c r="CN190" s="82"/>
      <c r="CO190" s="145" t="s">
        <v>1740</v>
      </c>
      <c r="CP190" s="26" t="s">
        <v>123</v>
      </c>
    </row>
    <row r="191" spans="1:94" ht="24.75" customHeight="1">
      <c r="A191" s="48" t="s">
        <v>1741</v>
      </c>
      <c r="B191" s="77" t="s">
        <v>1742</v>
      </c>
      <c r="C191" s="17" t="s">
        <v>104</v>
      </c>
      <c r="D191" s="18" t="s">
        <v>1743</v>
      </c>
      <c r="E191" s="17" t="s">
        <v>106</v>
      </c>
      <c r="F191" s="17" t="s">
        <v>107</v>
      </c>
      <c r="G191" s="17" t="s">
        <v>108</v>
      </c>
      <c r="H191" s="78">
        <v>1023898745</v>
      </c>
      <c r="I191" s="74" t="s">
        <v>1744</v>
      </c>
      <c r="J191" s="16"/>
      <c r="K191" s="16"/>
      <c r="L191" s="20" t="s">
        <v>1745</v>
      </c>
      <c r="M191" s="16" t="s">
        <v>111</v>
      </c>
      <c r="N191" s="22">
        <v>45309</v>
      </c>
      <c r="O191" s="22">
        <v>45310</v>
      </c>
      <c r="P191" s="22">
        <v>45656</v>
      </c>
      <c r="Q191" s="23">
        <f t="shared" si="80"/>
        <v>346</v>
      </c>
      <c r="R191" s="17" t="s">
        <v>242</v>
      </c>
      <c r="S191" s="110" t="s">
        <v>1230</v>
      </c>
      <c r="T191" s="16" t="s">
        <v>1486</v>
      </c>
      <c r="U191" s="67">
        <v>50758999</v>
      </c>
      <c r="V191" s="16" t="s">
        <v>344</v>
      </c>
      <c r="W191" s="224">
        <v>50758999</v>
      </c>
      <c r="X191" s="24">
        <v>5762496</v>
      </c>
      <c r="Y191" s="24"/>
      <c r="Z191" s="24"/>
      <c r="AA191" s="17" t="s">
        <v>116</v>
      </c>
      <c r="AB191" s="23" t="str">
        <f>IFERROR(VLOOKUP(AA191,Listas!$A$1:$C$14,2,FALSE),"")</f>
        <v>FREDY CÉSPEDES VILLA</v>
      </c>
      <c r="AC191" s="23">
        <f>IFERROR(VLOOKUP(AA191,Listas!$A$1:$C$14,3,FALSE),"")</f>
        <v>93363483</v>
      </c>
      <c r="AD191" s="17" t="s">
        <v>345</v>
      </c>
      <c r="AE191" s="17" t="s">
        <v>346</v>
      </c>
      <c r="AF191" s="23" t="str">
        <f>IFERROR(VLOOKUP(AE191,Listas!$AD$1:$AF$66,2,FALSE),"")</f>
        <v>RODOLFO GIOVANNI CANCHILA SUÁREZ</v>
      </c>
      <c r="AG191" s="23">
        <f>IFERROR(VLOOKUP(AE191,Listas!$AD$1:$AF$65,3,FALSE),"")</f>
        <v>79672493</v>
      </c>
      <c r="AH191" s="17" t="s">
        <v>118</v>
      </c>
      <c r="AI191" s="65" t="s">
        <v>1746</v>
      </c>
      <c r="AJ191" s="25" t="s">
        <v>119</v>
      </c>
      <c r="AK191" s="26" t="s">
        <v>120</v>
      </c>
      <c r="AL191" s="26" t="s">
        <v>120</v>
      </c>
      <c r="AM191" s="90" t="s">
        <v>119</v>
      </c>
      <c r="AN191" s="105">
        <v>33093</v>
      </c>
      <c r="AO191" s="91">
        <f t="shared" ca="1" si="81"/>
        <v>35</v>
      </c>
      <c r="AP191" s="26" t="s">
        <v>121</v>
      </c>
      <c r="AQ191" s="26" t="s">
        <v>347</v>
      </c>
      <c r="AR191" s="89"/>
      <c r="AS191" s="27"/>
      <c r="AT191" s="16"/>
      <c r="AU191" s="27"/>
      <c r="AV191" s="86"/>
      <c r="AW191" s="27"/>
      <c r="AX191" s="27"/>
      <c r="AY191" s="27"/>
      <c r="AZ191" s="27"/>
      <c r="BA191" s="27"/>
      <c r="BB191" s="27"/>
      <c r="BC191" s="97"/>
      <c r="BD191" s="27"/>
      <c r="BE191" s="16"/>
      <c r="BF191" s="28">
        <f t="shared" si="82"/>
        <v>0</v>
      </c>
      <c r="BG191" s="29"/>
      <c r="BH191" s="27"/>
      <c r="BI191" s="30">
        <f t="shared" si="83"/>
        <v>346</v>
      </c>
      <c r="BJ191" s="31">
        <f t="shared" si="84"/>
        <v>45656</v>
      </c>
      <c r="BK191" s="27"/>
      <c r="BL191" s="16"/>
      <c r="BM191" s="27"/>
      <c r="BN191" s="16"/>
      <c r="BO191" s="27"/>
      <c r="BP191" s="16"/>
      <c r="BQ191" s="27"/>
      <c r="BR191" s="24"/>
      <c r="BS191" s="24"/>
      <c r="BT191" s="32"/>
      <c r="BU191" s="27"/>
      <c r="BV191" s="24"/>
      <c r="BW191" s="24"/>
      <c r="BX191" s="16"/>
      <c r="BY191" s="27"/>
      <c r="BZ191" s="24"/>
      <c r="CA191" s="24"/>
      <c r="CB191" s="16"/>
      <c r="CC191" s="49">
        <f t="shared" si="85"/>
        <v>0</v>
      </c>
      <c r="CD191" s="24"/>
      <c r="CE191" s="49">
        <f t="shared" si="93"/>
        <v>50758999</v>
      </c>
      <c r="CF191" s="50"/>
      <c r="CG191" s="49">
        <f t="shared" ca="1" si="87"/>
        <v>50758999</v>
      </c>
      <c r="CH191" s="33">
        <f t="shared" ca="1" si="88"/>
        <v>1</v>
      </c>
      <c r="CI191" s="33">
        <f t="shared" ca="1" si="89"/>
        <v>1</v>
      </c>
      <c r="CJ191" s="36">
        <f t="shared" ca="1" si="90"/>
        <v>100</v>
      </c>
      <c r="CK191" s="34">
        <f t="shared" si="91"/>
        <v>0</v>
      </c>
      <c r="CL191" s="21"/>
      <c r="CM191" s="35" t="str">
        <f t="shared" ca="1" si="92"/>
        <v>TERMINADO</v>
      </c>
      <c r="CN191" s="82"/>
      <c r="CO191" s="145" t="s">
        <v>1747</v>
      </c>
      <c r="CP191" s="26" t="s">
        <v>142</v>
      </c>
    </row>
    <row r="192" spans="1:94" ht="24.75" customHeight="1">
      <c r="A192" s="48" t="s">
        <v>1748</v>
      </c>
      <c r="B192" s="77" t="s">
        <v>1749</v>
      </c>
      <c r="C192" s="17" t="s">
        <v>104</v>
      </c>
      <c r="D192" s="18" t="s">
        <v>1750</v>
      </c>
      <c r="E192" s="17" t="s">
        <v>106</v>
      </c>
      <c r="F192" s="17" t="s">
        <v>107</v>
      </c>
      <c r="G192" s="17" t="s">
        <v>108</v>
      </c>
      <c r="H192" s="78">
        <v>1019004209</v>
      </c>
      <c r="I192" s="74" t="s">
        <v>1751</v>
      </c>
      <c r="J192" s="16"/>
      <c r="K192" s="16"/>
      <c r="L192" s="20" t="s">
        <v>1752</v>
      </c>
      <c r="M192" s="16" t="s">
        <v>111</v>
      </c>
      <c r="N192" s="22">
        <v>45308</v>
      </c>
      <c r="O192" s="22">
        <v>45309</v>
      </c>
      <c r="P192" s="22">
        <v>45656</v>
      </c>
      <c r="Q192" s="23">
        <f t="shared" si="80"/>
        <v>347</v>
      </c>
      <c r="R192" s="17" t="s">
        <v>242</v>
      </c>
      <c r="S192" s="110" t="s">
        <v>1753</v>
      </c>
      <c r="T192" s="16" t="s">
        <v>1486</v>
      </c>
      <c r="U192" s="67">
        <v>85563632</v>
      </c>
      <c r="V192" s="16" t="s">
        <v>344</v>
      </c>
      <c r="W192" s="224">
        <v>85563632</v>
      </c>
      <c r="X192" s="24">
        <v>7335440</v>
      </c>
      <c r="Y192" s="24"/>
      <c r="Z192" s="24"/>
      <c r="AA192" s="17" t="s">
        <v>116</v>
      </c>
      <c r="AB192" s="23" t="str">
        <f>IFERROR(VLOOKUP(AA192,Listas!$A$1:$C$14,2,FALSE),"")</f>
        <v>FREDY CÉSPEDES VILLA</v>
      </c>
      <c r="AC192" s="23">
        <f>IFERROR(VLOOKUP(AA192,Listas!$A$1:$C$14,3,FALSE),"")</f>
        <v>93363483</v>
      </c>
      <c r="AD192" s="17" t="s">
        <v>345</v>
      </c>
      <c r="AE192" s="17" t="s">
        <v>1062</v>
      </c>
      <c r="AF192" s="23" t="str">
        <f>IFERROR(VLOOKUP(AE192,Listas!$AD$1:$AF$66,2,FALSE),"")</f>
        <v>LIBIA ESPERANZA FONSECA MARÍN</v>
      </c>
      <c r="AG192" s="23">
        <f>IFERROR(VLOOKUP(AE192,Listas!$AD$1:$AF$65,3,FALSE),"")</f>
        <v>52207089</v>
      </c>
      <c r="AH192" s="17" t="s">
        <v>118</v>
      </c>
      <c r="AI192" s="65" t="s">
        <v>1754</v>
      </c>
      <c r="AJ192" s="25" t="s">
        <v>119</v>
      </c>
      <c r="AK192" s="26" t="s">
        <v>120</v>
      </c>
      <c r="AL192" s="26" t="s">
        <v>120</v>
      </c>
      <c r="AM192" s="90" t="s">
        <v>119</v>
      </c>
      <c r="AN192" s="105">
        <v>31500</v>
      </c>
      <c r="AO192" s="91">
        <f t="shared" ca="1" si="81"/>
        <v>39</v>
      </c>
      <c r="AP192" s="26" t="s">
        <v>121</v>
      </c>
      <c r="AQ192" s="26" t="s">
        <v>367</v>
      </c>
      <c r="AR192" s="89"/>
      <c r="AS192" s="27"/>
      <c r="AT192" s="16"/>
      <c r="AU192" s="27"/>
      <c r="AV192" s="86"/>
      <c r="AW192" s="27"/>
      <c r="AX192" s="27"/>
      <c r="AY192" s="27"/>
      <c r="AZ192" s="27"/>
      <c r="BA192" s="27"/>
      <c r="BB192" s="27"/>
      <c r="BC192" s="97"/>
      <c r="BD192" s="27"/>
      <c r="BE192" s="16"/>
      <c r="BF192" s="28">
        <f t="shared" si="82"/>
        <v>0</v>
      </c>
      <c r="BG192" s="29"/>
      <c r="BH192" s="27">
        <v>45531</v>
      </c>
      <c r="BI192" s="30">
        <f t="shared" si="83"/>
        <v>347</v>
      </c>
      <c r="BJ192" s="31">
        <f t="shared" si="84"/>
        <v>45531</v>
      </c>
      <c r="BK192" s="27"/>
      <c r="BL192" s="16"/>
      <c r="BM192" s="27"/>
      <c r="BN192" s="16"/>
      <c r="BO192" s="27"/>
      <c r="BP192" s="16"/>
      <c r="BQ192" s="27"/>
      <c r="BR192" s="24"/>
      <c r="BS192" s="24"/>
      <c r="BT192" s="32"/>
      <c r="BU192" s="27"/>
      <c r="BV192" s="24"/>
      <c r="BW192" s="24"/>
      <c r="BX192" s="16"/>
      <c r="BY192" s="27"/>
      <c r="BZ192" s="24"/>
      <c r="CA192" s="24"/>
      <c r="CB192" s="16"/>
      <c r="CC192" s="49">
        <f t="shared" si="85"/>
        <v>0</v>
      </c>
      <c r="CD192" s="24"/>
      <c r="CE192" s="49">
        <f t="shared" si="93"/>
        <v>85563632</v>
      </c>
      <c r="CF192" s="50"/>
      <c r="CG192" s="49">
        <f t="shared" ca="1" si="87"/>
        <v>85563632</v>
      </c>
      <c r="CH192" s="33">
        <f t="shared" ca="1" si="88"/>
        <v>1</v>
      </c>
      <c r="CI192" s="33">
        <f t="shared" ca="1" si="89"/>
        <v>1</v>
      </c>
      <c r="CJ192" s="36">
        <f t="shared" ca="1" si="90"/>
        <v>100</v>
      </c>
      <c r="CK192" s="34">
        <f t="shared" si="91"/>
        <v>0</v>
      </c>
      <c r="CL192" s="21"/>
      <c r="CM192" s="35" t="str">
        <f t="shared" ca="1" si="92"/>
        <v>TERMINADO</v>
      </c>
      <c r="CN192" s="82"/>
      <c r="CO192" s="145" t="s">
        <v>1755</v>
      </c>
      <c r="CP192" s="26" t="s">
        <v>123</v>
      </c>
    </row>
    <row r="193" spans="1:98" ht="24.75" customHeight="1">
      <c r="A193" s="48" t="s">
        <v>1756</v>
      </c>
      <c r="B193" s="77" t="s">
        <v>1757</v>
      </c>
      <c r="C193" s="17" t="s">
        <v>104</v>
      </c>
      <c r="D193" s="18" t="s">
        <v>1758</v>
      </c>
      <c r="E193" s="17" t="s">
        <v>106</v>
      </c>
      <c r="F193" s="17" t="s">
        <v>107</v>
      </c>
      <c r="G193" s="17" t="s">
        <v>108</v>
      </c>
      <c r="H193" s="78">
        <v>1032361431</v>
      </c>
      <c r="I193" s="74" t="s">
        <v>1759</v>
      </c>
      <c r="J193" s="16"/>
      <c r="K193" s="16"/>
      <c r="L193" s="96" t="s">
        <v>1760</v>
      </c>
      <c r="M193" s="16" t="s">
        <v>111</v>
      </c>
      <c r="N193" s="22">
        <v>45309</v>
      </c>
      <c r="O193" s="22">
        <v>45310</v>
      </c>
      <c r="P193" s="22">
        <v>45657</v>
      </c>
      <c r="Q193" s="23">
        <f t="shared" si="80"/>
        <v>347</v>
      </c>
      <c r="R193" s="17" t="s">
        <v>242</v>
      </c>
      <c r="S193" s="110" t="s">
        <v>1761</v>
      </c>
      <c r="T193" s="16" t="s">
        <v>1145</v>
      </c>
      <c r="U193" s="67">
        <v>135914334</v>
      </c>
      <c r="V193" s="16" t="s">
        <v>426</v>
      </c>
      <c r="W193" s="224">
        <v>135914334</v>
      </c>
      <c r="X193" s="24">
        <v>11649800</v>
      </c>
      <c r="Y193" s="24"/>
      <c r="Z193" s="24"/>
      <c r="AA193" s="17" t="s">
        <v>116</v>
      </c>
      <c r="AB193" s="23" t="str">
        <f>IFERROR(VLOOKUP(AA193,Listas!$A$1:$C$14,2,FALSE),"")</f>
        <v>FREDY CÉSPEDES VILLA</v>
      </c>
      <c r="AC193" s="23">
        <f>IFERROR(VLOOKUP(AA193,Listas!$A$1:$C$14,3,FALSE),"")</f>
        <v>93363483</v>
      </c>
      <c r="AD193" s="17" t="s">
        <v>427</v>
      </c>
      <c r="AE193" s="17" t="s">
        <v>428</v>
      </c>
      <c r="AF193" s="23" t="str">
        <f>IFERROR(VLOOKUP(AE193,Listas!$AD$1:$AF$66,2,FALSE),"")</f>
        <v>DINORAH PATRICIA ABADIA MURILLO</v>
      </c>
      <c r="AG193" s="23">
        <f>IFERROR(VLOOKUP(AE193,Listas!$AD$1:$AF$65,3,FALSE),"")</f>
        <v>52220857</v>
      </c>
      <c r="AH193" s="17" t="s">
        <v>118</v>
      </c>
      <c r="AI193" s="65" t="s">
        <v>1762</v>
      </c>
      <c r="AJ193" s="25" t="s">
        <v>119</v>
      </c>
      <c r="AK193" s="26" t="s">
        <v>120</v>
      </c>
      <c r="AL193" s="26" t="s">
        <v>120</v>
      </c>
      <c r="AM193" s="90" t="s">
        <v>119</v>
      </c>
      <c r="AN193" s="105">
        <v>31473</v>
      </c>
      <c r="AO193" s="91">
        <f t="shared" ca="1" si="81"/>
        <v>39</v>
      </c>
      <c r="AP193" s="26" t="s">
        <v>121</v>
      </c>
      <c r="AQ193" s="26" t="s">
        <v>515</v>
      </c>
      <c r="AR193" s="89"/>
      <c r="AS193" s="27"/>
      <c r="AT193" s="16"/>
      <c r="AU193" s="27"/>
      <c r="AV193" s="86"/>
      <c r="AW193" s="27"/>
      <c r="AX193" s="27"/>
      <c r="AY193" s="27"/>
      <c r="AZ193" s="27"/>
      <c r="BA193" s="27"/>
      <c r="BB193" s="27"/>
      <c r="BC193" s="97"/>
      <c r="BD193" s="27"/>
      <c r="BE193" s="16"/>
      <c r="BF193" s="28">
        <f t="shared" si="82"/>
        <v>0</v>
      </c>
      <c r="BG193" s="29"/>
      <c r="BH193" s="27"/>
      <c r="BI193" s="30">
        <f t="shared" si="83"/>
        <v>347</v>
      </c>
      <c r="BJ193" s="31">
        <f t="shared" si="84"/>
        <v>45657</v>
      </c>
      <c r="BK193" s="27"/>
      <c r="BL193" s="16"/>
      <c r="BM193" s="27"/>
      <c r="BN193" s="16"/>
      <c r="BO193" s="27"/>
      <c r="BP193" s="16"/>
      <c r="BQ193" s="27"/>
      <c r="BR193" s="24"/>
      <c r="BS193" s="24"/>
      <c r="BT193" s="32"/>
      <c r="BU193" s="27"/>
      <c r="BV193" s="24"/>
      <c r="BW193" s="24"/>
      <c r="BX193" s="16"/>
      <c r="BY193" s="27"/>
      <c r="BZ193" s="24"/>
      <c r="CA193" s="24"/>
      <c r="CB193" s="16"/>
      <c r="CC193" s="49">
        <f t="shared" si="85"/>
        <v>0</v>
      </c>
      <c r="CD193" s="24"/>
      <c r="CE193" s="49">
        <f t="shared" si="93"/>
        <v>135914334</v>
      </c>
      <c r="CF193" s="50"/>
      <c r="CG193" s="49">
        <f t="shared" ca="1" si="87"/>
        <v>135914334</v>
      </c>
      <c r="CH193" s="33">
        <f t="shared" ca="1" si="88"/>
        <v>1</v>
      </c>
      <c r="CI193" s="33">
        <f t="shared" ca="1" si="89"/>
        <v>1</v>
      </c>
      <c r="CJ193" s="36">
        <f t="shared" ca="1" si="90"/>
        <v>100</v>
      </c>
      <c r="CK193" s="34">
        <f t="shared" si="91"/>
        <v>0</v>
      </c>
      <c r="CL193" s="21"/>
      <c r="CM193" s="35" t="str">
        <f t="shared" ca="1" si="92"/>
        <v>TERMINADO</v>
      </c>
      <c r="CN193" s="82"/>
      <c r="CO193" s="145" t="s">
        <v>1763</v>
      </c>
      <c r="CP193" s="26" t="s">
        <v>142</v>
      </c>
    </row>
    <row r="194" spans="1:98" ht="24.75" customHeight="1">
      <c r="A194" s="48" t="s">
        <v>1764</v>
      </c>
      <c r="B194" s="77" t="s">
        <v>1765</v>
      </c>
      <c r="C194" s="17" t="s">
        <v>104</v>
      </c>
      <c r="D194" s="18" t="s">
        <v>1766</v>
      </c>
      <c r="E194" s="17" t="s">
        <v>106</v>
      </c>
      <c r="F194" s="17" t="s">
        <v>107</v>
      </c>
      <c r="G194" s="17" t="s">
        <v>108</v>
      </c>
      <c r="H194" s="78">
        <v>1016024904</v>
      </c>
      <c r="I194" s="74" t="s">
        <v>1767</v>
      </c>
      <c r="J194" s="16"/>
      <c r="K194" s="16"/>
      <c r="L194" s="20" t="s">
        <v>1768</v>
      </c>
      <c r="M194" s="16" t="s">
        <v>111</v>
      </c>
      <c r="N194" s="22">
        <v>45308</v>
      </c>
      <c r="O194" s="22">
        <v>45310</v>
      </c>
      <c r="P194" s="22">
        <v>45656</v>
      </c>
      <c r="Q194" s="23">
        <f t="shared" si="80"/>
        <v>346</v>
      </c>
      <c r="R194" s="17" t="s">
        <v>242</v>
      </c>
      <c r="S194" s="110" t="s">
        <v>1769</v>
      </c>
      <c r="T194" s="16" t="s">
        <v>1486</v>
      </c>
      <c r="U194" s="67">
        <v>85563632</v>
      </c>
      <c r="V194" s="16" t="s">
        <v>344</v>
      </c>
      <c r="W194" s="224">
        <v>93058173</v>
      </c>
      <c r="X194" s="24">
        <v>8092015</v>
      </c>
      <c r="Y194" s="24"/>
      <c r="Z194" s="24"/>
      <c r="AA194" s="17" t="s">
        <v>116</v>
      </c>
      <c r="AB194" s="23" t="str">
        <f>IFERROR(VLOOKUP(AA194,Listas!$A$1:$C$14,2,FALSE),"")</f>
        <v>FREDY CÉSPEDES VILLA</v>
      </c>
      <c r="AC194" s="23">
        <f>IFERROR(VLOOKUP(AA194,Listas!$A$1:$C$14,3,FALSE),"")</f>
        <v>93363483</v>
      </c>
      <c r="AD194" s="17" t="s">
        <v>345</v>
      </c>
      <c r="AE194" s="17" t="s">
        <v>346</v>
      </c>
      <c r="AF194" s="23" t="str">
        <f>IFERROR(VLOOKUP(AE194,Listas!$AD$1:$AF$66,2,FALSE),"")</f>
        <v>RODOLFO GIOVANNI CANCHILA SUÁREZ</v>
      </c>
      <c r="AG194" s="23">
        <f>IFERROR(VLOOKUP(AE194,Listas!$AD$1:$AF$65,3,FALSE),"")</f>
        <v>79672493</v>
      </c>
      <c r="AH194" s="17" t="s">
        <v>118</v>
      </c>
      <c r="AI194" s="65" t="s">
        <v>1770</v>
      </c>
      <c r="AJ194" s="25" t="s">
        <v>119</v>
      </c>
      <c r="AK194" s="26" t="s">
        <v>120</v>
      </c>
      <c r="AL194" s="26" t="s">
        <v>120</v>
      </c>
      <c r="AM194" s="90" t="s">
        <v>119</v>
      </c>
      <c r="AN194" s="105">
        <v>32946</v>
      </c>
      <c r="AO194" s="91">
        <f t="shared" ca="1" si="81"/>
        <v>35</v>
      </c>
      <c r="AP194" s="26" t="s">
        <v>121</v>
      </c>
      <c r="AQ194" s="26" t="s">
        <v>347</v>
      </c>
      <c r="AR194" s="89"/>
      <c r="AS194" s="27"/>
      <c r="AT194" s="16"/>
      <c r="AU194" s="27"/>
      <c r="AV194" s="86"/>
      <c r="AW194" s="27"/>
      <c r="AX194" s="27"/>
      <c r="AY194" s="27"/>
      <c r="AZ194" s="27"/>
      <c r="BA194" s="27"/>
      <c r="BB194" s="27"/>
      <c r="BC194" s="97"/>
      <c r="BD194" s="27"/>
      <c r="BE194" s="16"/>
      <c r="BF194" s="28">
        <f t="shared" si="82"/>
        <v>0</v>
      </c>
      <c r="BG194" s="29"/>
      <c r="BH194" s="27"/>
      <c r="BI194" s="30">
        <f t="shared" si="83"/>
        <v>346</v>
      </c>
      <c r="BJ194" s="31">
        <f t="shared" si="84"/>
        <v>45656</v>
      </c>
      <c r="BK194" s="27"/>
      <c r="BL194" s="16"/>
      <c r="BM194" s="27"/>
      <c r="BN194" s="16"/>
      <c r="BO194" s="27"/>
      <c r="BP194" s="16"/>
      <c r="BQ194" s="27"/>
      <c r="BR194" s="24"/>
      <c r="BS194" s="24"/>
      <c r="BT194" s="32"/>
      <c r="BU194" s="27"/>
      <c r="BV194" s="24"/>
      <c r="BW194" s="24"/>
      <c r="BX194" s="16"/>
      <c r="BY194" s="27"/>
      <c r="BZ194" s="24"/>
      <c r="CA194" s="24"/>
      <c r="CB194" s="16"/>
      <c r="CC194" s="49">
        <f t="shared" si="85"/>
        <v>0</v>
      </c>
      <c r="CD194" s="24"/>
      <c r="CE194" s="49">
        <f t="shared" si="93"/>
        <v>93058173</v>
      </c>
      <c r="CF194" s="50"/>
      <c r="CG194" s="49">
        <f t="shared" ca="1" si="87"/>
        <v>93058173</v>
      </c>
      <c r="CH194" s="33">
        <f t="shared" ca="1" si="88"/>
        <v>1</v>
      </c>
      <c r="CI194" s="33">
        <f t="shared" ca="1" si="89"/>
        <v>1</v>
      </c>
      <c r="CJ194" s="36">
        <f t="shared" ca="1" si="90"/>
        <v>100</v>
      </c>
      <c r="CK194" s="34">
        <f t="shared" si="91"/>
        <v>0</v>
      </c>
      <c r="CL194" s="21"/>
      <c r="CM194" s="35" t="str">
        <f t="shared" ca="1" si="92"/>
        <v>TERMINADO</v>
      </c>
      <c r="CN194" s="82"/>
      <c r="CO194" s="145" t="s">
        <v>1771</v>
      </c>
      <c r="CP194" s="26" t="s">
        <v>142</v>
      </c>
    </row>
    <row r="195" spans="1:98" ht="24.75" customHeight="1">
      <c r="A195" s="48" t="s">
        <v>1772</v>
      </c>
      <c r="B195" s="77" t="s">
        <v>1773</v>
      </c>
      <c r="C195" s="17" t="s">
        <v>104</v>
      </c>
      <c r="D195" s="18" t="s">
        <v>1774</v>
      </c>
      <c r="E195" s="17" t="s">
        <v>106</v>
      </c>
      <c r="F195" s="17" t="s">
        <v>107</v>
      </c>
      <c r="G195" s="17" t="s">
        <v>108</v>
      </c>
      <c r="H195" s="78">
        <v>79870709</v>
      </c>
      <c r="I195" s="74" t="s">
        <v>1775</v>
      </c>
      <c r="J195" s="16"/>
      <c r="K195" s="16"/>
      <c r="L195" s="20" t="s">
        <v>1776</v>
      </c>
      <c r="M195" s="16" t="s">
        <v>111</v>
      </c>
      <c r="N195" s="22">
        <v>45308</v>
      </c>
      <c r="O195" s="22">
        <v>45309</v>
      </c>
      <c r="P195" s="22">
        <v>45656</v>
      </c>
      <c r="Q195" s="23">
        <f t="shared" si="80"/>
        <v>347</v>
      </c>
      <c r="R195" s="17" t="s">
        <v>242</v>
      </c>
      <c r="S195" s="110" t="s">
        <v>1777</v>
      </c>
      <c r="T195" s="16" t="s">
        <v>1145</v>
      </c>
      <c r="U195" s="67">
        <v>135914334</v>
      </c>
      <c r="V195" s="16" t="s">
        <v>426</v>
      </c>
      <c r="W195" s="224">
        <v>135914334</v>
      </c>
      <c r="X195" s="24">
        <v>11649800</v>
      </c>
      <c r="Y195" s="24"/>
      <c r="Z195" s="24"/>
      <c r="AA195" s="17" t="s">
        <v>116</v>
      </c>
      <c r="AB195" s="23" t="str">
        <f>IFERROR(VLOOKUP(AA195,Listas!$A$1:$C$14,2,FALSE),"")</f>
        <v>FREDY CÉSPEDES VILLA</v>
      </c>
      <c r="AC195" s="23">
        <f>IFERROR(VLOOKUP(AA195,Listas!$A$1:$C$14,3,FALSE),"")</f>
        <v>93363483</v>
      </c>
      <c r="AD195" s="17" t="s">
        <v>427</v>
      </c>
      <c r="AE195" s="17" t="s">
        <v>428</v>
      </c>
      <c r="AF195" s="23" t="str">
        <f>IFERROR(VLOOKUP(AE195,Listas!$AD$1:$AF$66,2,FALSE),"")</f>
        <v>DINORAH PATRICIA ABADIA MURILLO</v>
      </c>
      <c r="AG195" s="23">
        <f>IFERROR(VLOOKUP(AE195,Listas!$AD$1:$AF$65,3,FALSE),"")</f>
        <v>52220857</v>
      </c>
      <c r="AH195" s="17" t="s">
        <v>118</v>
      </c>
      <c r="AI195" s="65" t="s">
        <v>1778</v>
      </c>
      <c r="AJ195" s="25" t="s">
        <v>119</v>
      </c>
      <c r="AK195" s="26" t="s">
        <v>120</v>
      </c>
      <c r="AL195" s="26" t="s">
        <v>120</v>
      </c>
      <c r="AM195" s="90" t="s">
        <v>119</v>
      </c>
      <c r="AN195" s="105">
        <v>27785</v>
      </c>
      <c r="AO195" s="91">
        <f t="shared" ca="1" si="81"/>
        <v>49</v>
      </c>
      <c r="AP195" s="26" t="s">
        <v>121</v>
      </c>
      <c r="AQ195" s="26" t="s">
        <v>515</v>
      </c>
      <c r="AR195" s="89"/>
      <c r="AS195" s="27"/>
      <c r="AT195" s="16"/>
      <c r="AU195" s="27"/>
      <c r="AV195" s="86"/>
      <c r="AW195" s="27"/>
      <c r="AX195" s="27"/>
      <c r="AY195" s="27"/>
      <c r="AZ195" s="27"/>
      <c r="BA195" s="27"/>
      <c r="BB195" s="27"/>
      <c r="BC195" s="97"/>
      <c r="BD195" s="27"/>
      <c r="BE195" s="16"/>
      <c r="BF195" s="28">
        <f t="shared" si="82"/>
        <v>0</v>
      </c>
      <c r="BG195" s="29"/>
      <c r="BH195" s="27"/>
      <c r="BI195" s="30">
        <f t="shared" si="83"/>
        <v>347</v>
      </c>
      <c r="BJ195" s="31">
        <f t="shared" si="84"/>
        <v>45656</v>
      </c>
      <c r="BK195" s="27"/>
      <c r="BL195" s="16"/>
      <c r="BM195" s="27"/>
      <c r="BN195" s="16"/>
      <c r="BO195" s="27"/>
      <c r="BP195" s="16"/>
      <c r="BQ195" s="27"/>
      <c r="BR195" s="24"/>
      <c r="BS195" s="24"/>
      <c r="BT195" s="32"/>
      <c r="BU195" s="27"/>
      <c r="BV195" s="24"/>
      <c r="BW195" s="24"/>
      <c r="BX195" s="16"/>
      <c r="BY195" s="27"/>
      <c r="BZ195" s="24"/>
      <c r="CA195" s="24"/>
      <c r="CB195" s="16"/>
      <c r="CC195" s="49">
        <f t="shared" si="85"/>
        <v>0</v>
      </c>
      <c r="CD195" s="24"/>
      <c r="CE195" s="49">
        <f t="shared" si="93"/>
        <v>135914334</v>
      </c>
      <c r="CF195" s="50"/>
      <c r="CG195" s="49">
        <f t="shared" ca="1" si="87"/>
        <v>135914334</v>
      </c>
      <c r="CH195" s="33">
        <f t="shared" ca="1" si="88"/>
        <v>1</v>
      </c>
      <c r="CI195" s="33">
        <f t="shared" ca="1" si="89"/>
        <v>1</v>
      </c>
      <c r="CJ195" s="36">
        <f t="shared" ca="1" si="90"/>
        <v>100</v>
      </c>
      <c r="CK195" s="34">
        <f t="shared" si="91"/>
        <v>0</v>
      </c>
      <c r="CL195" s="21"/>
      <c r="CM195" s="35" t="str">
        <f t="shared" ca="1" si="92"/>
        <v>TERMINADO</v>
      </c>
      <c r="CN195" s="82"/>
      <c r="CO195" s="145" t="s">
        <v>1779</v>
      </c>
      <c r="CP195" s="26" t="s">
        <v>142</v>
      </c>
    </row>
    <row r="196" spans="1:98" ht="24.75" customHeight="1">
      <c r="A196" s="48" t="s">
        <v>1780</v>
      </c>
      <c r="B196" s="77" t="s">
        <v>1781</v>
      </c>
      <c r="C196" s="17" t="s">
        <v>104</v>
      </c>
      <c r="D196" s="18" t="s">
        <v>1782</v>
      </c>
      <c r="E196" s="17" t="s">
        <v>106</v>
      </c>
      <c r="F196" s="17" t="s">
        <v>107</v>
      </c>
      <c r="G196" s="17" t="s">
        <v>108</v>
      </c>
      <c r="H196" s="78">
        <v>1018412747</v>
      </c>
      <c r="I196" s="74" t="s">
        <v>1783</v>
      </c>
      <c r="J196" s="16"/>
      <c r="K196" s="16"/>
      <c r="L196" s="96" t="s">
        <v>1784</v>
      </c>
      <c r="M196" s="16" t="s">
        <v>111</v>
      </c>
      <c r="N196" s="22">
        <v>45308</v>
      </c>
      <c r="O196" s="22">
        <v>45310</v>
      </c>
      <c r="P196" s="22">
        <v>45657</v>
      </c>
      <c r="Q196" s="23">
        <f t="shared" si="80"/>
        <v>347</v>
      </c>
      <c r="R196" s="17" t="s">
        <v>242</v>
      </c>
      <c r="S196" s="110" t="s">
        <v>1785</v>
      </c>
      <c r="T196" s="16" t="s">
        <v>1145</v>
      </c>
      <c r="U196" s="67">
        <v>106302660</v>
      </c>
      <c r="V196" s="16" t="s">
        <v>426</v>
      </c>
      <c r="W196" s="224">
        <v>106302660</v>
      </c>
      <c r="X196" s="24">
        <v>11649800</v>
      </c>
      <c r="Y196" s="24"/>
      <c r="Z196" s="24"/>
      <c r="AA196" s="17" t="s">
        <v>116</v>
      </c>
      <c r="AB196" s="23" t="str">
        <f>IFERROR(VLOOKUP(AA196,Listas!$A$1:$C$14,2,FALSE),"")</f>
        <v>FREDY CÉSPEDES VILLA</v>
      </c>
      <c r="AC196" s="23">
        <f>IFERROR(VLOOKUP(AA196,Listas!$A$1:$C$14,3,FALSE),"")</f>
        <v>93363483</v>
      </c>
      <c r="AD196" s="17" t="s">
        <v>427</v>
      </c>
      <c r="AE196" s="17" t="s">
        <v>428</v>
      </c>
      <c r="AF196" s="23" t="str">
        <f>IFERROR(VLOOKUP(AE196,Listas!$AD$1:$AF$66,2,FALSE),"")</f>
        <v>DINORAH PATRICIA ABADIA MURILLO</v>
      </c>
      <c r="AG196" s="23">
        <f>IFERROR(VLOOKUP(AE196,Listas!$AD$1:$AF$65,3,FALSE),"")</f>
        <v>52220857</v>
      </c>
      <c r="AH196" s="17" t="s">
        <v>118</v>
      </c>
      <c r="AI196" s="65" t="s">
        <v>1786</v>
      </c>
      <c r="AJ196" s="25" t="s">
        <v>119</v>
      </c>
      <c r="AK196" s="26" t="s">
        <v>120</v>
      </c>
      <c r="AL196" s="26" t="s">
        <v>120</v>
      </c>
      <c r="AM196" s="90" t="s">
        <v>119</v>
      </c>
      <c r="AN196" s="105">
        <v>32033</v>
      </c>
      <c r="AO196" s="91">
        <f t="shared" ca="1" si="81"/>
        <v>38</v>
      </c>
      <c r="AP196" s="26" t="s">
        <v>121</v>
      </c>
      <c r="AQ196" s="26" t="s">
        <v>515</v>
      </c>
      <c r="AR196" s="89"/>
      <c r="AS196" s="27"/>
      <c r="AT196" s="16"/>
      <c r="AU196" s="27"/>
      <c r="AV196" s="86"/>
      <c r="AW196" s="27"/>
      <c r="AX196" s="27"/>
      <c r="AY196" s="27"/>
      <c r="AZ196" s="27"/>
      <c r="BA196" s="27"/>
      <c r="BB196" s="27"/>
      <c r="BC196" s="97"/>
      <c r="BD196" s="27"/>
      <c r="BE196" s="16"/>
      <c r="BF196" s="28">
        <f t="shared" si="82"/>
        <v>0</v>
      </c>
      <c r="BG196" s="29"/>
      <c r="BH196" s="27"/>
      <c r="BI196" s="30">
        <f t="shared" si="83"/>
        <v>347</v>
      </c>
      <c r="BJ196" s="31">
        <f t="shared" si="84"/>
        <v>45657</v>
      </c>
      <c r="BK196" s="27"/>
      <c r="BL196" s="16"/>
      <c r="BM196" s="27"/>
      <c r="BN196" s="16"/>
      <c r="BO196" s="27"/>
      <c r="BP196" s="16"/>
      <c r="BQ196" s="27"/>
      <c r="BR196" s="24"/>
      <c r="BS196" s="24"/>
      <c r="BT196" s="32"/>
      <c r="BU196" s="27"/>
      <c r="BV196" s="24"/>
      <c r="BW196" s="24"/>
      <c r="BX196" s="16"/>
      <c r="BY196" s="27"/>
      <c r="BZ196" s="24"/>
      <c r="CA196" s="24"/>
      <c r="CB196" s="16"/>
      <c r="CC196" s="49">
        <f t="shared" si="85"/>
        <v>0</v>
      </c>
      <c r="CD196" s="24"/>
      <c r="CE196" s="49">
        <f t="shared" si="93"/>
        <v>106302660</v>
      </c>
      <c r="CF196" s="50"/>
      <c r="CG196" s="49">
        <f t="shared" ca="1" si="87"/>
        <v>106302660</v>
      </c>
      <c r="CH196" s="33">
        <f t="shared" ca="1" si="88"/>
        <v>1</v>
      </c>
      <c r="CI196" s="33">
        <f t="shared" ca="1" si="89"/>
        <v>1</v>
      </c>
      <c r="CJ196" s="36">
        <f t="shared" ca="1" si="90"/>
        <v>100</v>
      </c>
      <c r="CK196" s="34">
        <f t="shared" si="91"/>
        <v>0</v>
      </c>
      <c r="CL196" s="21"/>
      <c r="CM196" s="35" t="str">
        <f t="shared" ca="1" si="92"/>
        <v>TERMINADO</v>
      </c>
      <c r="CN196" s="82"/>
      <c r="CO196" s="145" t="s">
        <v>1787</v>
      </c>
      <c r="CP196" s="26" t="s">
        <v>142</v>
      </c>
    </row>
    <row r="197" spans="1:98" ht="24.75" customHeight="1">
      <c r="A197" s="48" t="s">
        <v>1788</v>
      </c>
      <c r="B197" s="77" t="s">
        <v>1789</v>
      </c>
      <c r="C197" s="17" t="s">
        <v>104</v>
      </c>
      <c r="D197" s="18" t="s">
        <v>1790</v>
      </c>
      <c r="E197" s="17" t="s">
        <v>106</v>
      </c>
      <c r="F197" s="17" t="s">
        <v>107</v>
      </c>
      <c r="G197" s="17" t="s">
        <v>108</v>
      </c>
      <c r="H197" s="78">
        <v>1024470423</v>
      </c>
      <c r="I197" s="233" t="s">
        <v>1791</v>
      </c>
      <c r="J197" s="16"/>
      <c r="K197" s="16"/>
      <c r="L197" s="20" t="s">
        <v>1792</v>
      </c>
      <c r="M197" s="16" t="s">
        <v>111</v>
      </c>
      <c r="N197" s="22">
        <v>45308</v>
      </c>
      <c r="O197" s="22">
        <v>45309</v>
      </c>
      <c r="P197" s="22">
        <v>45657</v>
      </c>
      <c r="Q197" s="23">
        <f t="shared" si="80"/>
        <v>348</v>
      </c>
      <c r="R197" s="17" t="s">
        <v>242</v>
      </c>
      <c r="S197" s="110" t="s">
        <v>1793</v>
      </c>
      <c r="T197" s="16" t="s">
        <v>404</v>
      </c>
      <c r="U197" s="67">
        <v>64736120</v>
      </c>
      <c r="V197" s="16" t="s">
        <v>884</v>
      </c>
      <c r="W197" s="224">
        <v>60333600</v>
      </c>
      <c r="X197" s="24">
        <v>5027800</v>
      </c>
      <c r="Y197" s="24"/>
      <c r="Z197" s="24"/>
      <c r="AA197" s="17" t="s">
        <v>116</v>
      </c>
      <c r="AB197" s="23" t="str">
        <f>IFERROR(VLOOKUP(AA197,Listas!$A$1:$C$14,2,FALSE),"")</f>
        <v>FREDY CÉSPEDES VILLA</v>
      </c>
      <c r="AC197" s="23">
        <f>IFERROR(VLOOKUP(AA197,Listas!$A$1:$C$14,3,FALSE),"")</f>
        <v>93363483</v>
      </c>
      <c r="AD197" s="17" t="s">
        <v>406</v>
      </c>
      <c r="AE197" s="17" t="s">
        <v>504</v>
      </c>
      <c r="AF197" s="23" t="str">
        <f>IFERROR(VLOOKUP(AE197,Listas!$AD$1:$AF$66,2,FALSE),"")</f>
        <v>EDUARDO ELÍAS BARCHA BOLÍVAR</v>
      </c>
      <c r="AG197" s="23">
        <f>IFERROR(VLOOKUP(AE197,Listas!$AD$1:$AF$65,3,FALSE),"")</f>
        <v>72133921</v>
      </c>
      <c r="AH197" s="17" t="s">
        <v>118</v>
      </c>
      <c r="AI197" s="65" t="s">
        <v>1794</v>
      </c>
      <c r="AJ197" s="25" t="s">
        <v>119</v>
      </c>
      <c r="AK197" s="26" t="s">
        <v>120</v>
      </c>
      <c r="AL197" s="26" t="s">
        <v>120</v>
      </c>
      <c r="AM197" s="90" t="s">
        <v>119</v>
      </c>
      <c r="AN197" s="105">
        <v>31791</v>
      </c>
      <c r="AO197" s="91">
        <f t="shared" ca="1" si="81"/>
        <v>38</v>
      </c>
      <c r="AP197" s="26" t="s">
        <v>121</v>
      </c>
      <c r="AQ197" s="26" t="s">
        <v>409</v>
      </c>
      <c r="AR197" s="89"/>
      <c r="AS197" s="27"/>
      <c r="AT197" s="16"/>
      <c r="AU197" s="27"/>
      <c r="AV197" s="86"/>
      <c r="AW197" s="27"/>
      <c r="AX197" s="27"/>
      <c r="AY197" s="27"/>
      <c r="AZ197" s="27"/>
      <c r="BA197" s="27"/>
      <c r="BB197" s="27"/>
      <c r="BC197" s="97"/>
      <c r="BD197" s="27"/>
      <c r="BE197" s="16"/>
      <c r="BF197" s="28">
        <f t="shared" si="82"/>
        <v>0</v>
      </c>
      <c r="BG197" s="29"/>
      <c r="BH197" s="27"/>
      <c r="BI197" s="30">
        <f t="shared" si="83"/>
        <v>348</v>
      </c>
      <c r="BJ197" s="31">
        <f t="shared" si="84"/>
        <v>45657</v>
      </c>
      <c r="BK197" s="27"/>
      <c r="BL197" s="16"/>
      <c r="BM197" s="27"/>
      <c r="BN197" s="16"/>
      <c r="BO197" s="27"/>
      <c r="BP197" s="16"/>
      <c r="BQ197" s="27"/>
      <c r="BR197" s="24"/>
      <c r="BS197" s="24"/>
      <c r="BT197" s="32"/>
      <c r="BU197" s="27"/>
      <c r="BV197" s="24"/>
      <c r="BW197" s="24"/>
      <c r="BX197" s="16"/>
      <c r="BY197" s="27"/>
      <c r="BZ197" s="24"/>
      <c r="CA197" s="24"/>
      <c r="CB197" s="16"/>
      <c r="CC197" s="49">
        <f t="shared" si="85"/>
        <v>0</v>
      </c>
      <c r="CD197" s="24"/>
      <c r="CE197" s="49">
        <f t="shared" si="93"/>
        <v>60333600</v>
      </c>
      <c r="CF197" s="50"/>
      <c r="CG197" s="49">
        <f t="shared" ca="1" si="87"/>
        <v>60333600</v>
      </c>
      <c r="CH197" s="33">
        <f t="shared" ca="1" si="88"/>
        <v>1</v>
      </c>
      <c r="CI197" s="33">
        <f t="shared" ca="1" si="89"/>
        <v>1</v>
      </c>
      <c r="CJ197" s="36">
        <f t="shared" ca="1" si="90"/>
        <v>100</v>
      </c>
      <c r="CK197" s="34">
        <f t="shared" si="91"/>
        <v>0</v>
      </c>
      <c r="CL197" s="21"/>
      <c r="CM197" s="35" t="str">
        <f t="shared" ca="1" si="92"/>
        <v>TERMINADO</v>
      </c>
      <c r="CN197" s="82"/>
      <c r="CO197" s="145" t="s">
        <v>1795</v>
      </c>
      <c r="CP197" s="26" t="s">
        <v>123</v>
      </c>
    </row>
    <row r="198" spans="1:98" ht="24.75" customHeight="1">
      <c r="A198" s="48" t="s">
        <v>1796</v>
      </c>
      <c r="B198" s="77" t="s">
        <v>1797</v>
      </c>
      <c r="C198" s="17" t="s">
        <v>104</v>
      </c>
      <c r="D198" s="18" t="s">
        <v>1798</v>
      </c>
      <c r="E198" s="17" t="s">
        <v>106</v>
      </c>
      <c r="F198" s="17" t="s">
        <v>107</v>
      </c>
      <c r="G198" s="17" t="s">
        <v>108</v>
      </c>
      <c r="H198" s="78">
        <v>1014253062</v>
      </c>
      <c r="I198" s="74" t="s">
        <v>1799</v>
      </c>
      <c r="J198" s="16"/>
      <c r="K198" s="16"/>
      <c r="L198" s="20" t="s">
        <v>1800</v>
      </c>
      <c r="M198" s="16" t="s">
        <v>111</v>
      </c>
      <c r="N198" s="22">
        <v>45308</v>
      </c>
      <c r="O198" s="22">
        <v>45313</v>
      </c>
      <c r="P198" s="22">
        <v>45657</v>
      </c>
      <c r="Q198" s="23">
        <f t="shared" si="80"/>
        <v>344</v>
      </c>
      <c r="R198" s="17" t="s">
        <v>242</v>
      </c>
      <c r="S198" s="110" t="s">
        <v>1801</v>
      </c>
      <c r="T198" s="16" t="s">
        <v>1145</v>
      </c>
      <c r="U198" s="67">
        <v>71942934</v>
      </c>
      <c r="V198" s="16" t="s">
        <v>426</v>
      </c>
      <c r="W198" s="224">
        <v>71942934</v>
      </c>
      <c r="X198" s="24">
        <v>6131500</v>
      </c>
      <c r="Y198" s="24"/>
      <c r="Z198" s="24"/>
      <c r="AA198" s="17" t="s">
        <v>116</v>
      </c>
      <c r="AB198" s="23" t="str">
        <f>IFERROR(VLOOKUP(AA198,Listas!$A$1:$C$14,2,FALSE),"")</f>
        <v>FREDY CÉSPEDES VILLA</v>
      </c>
      <c r="AC198" s="23">
        <f>IFERROR(VLOOKUP(AA198,Listas!$A$1:$C$14,3,FALSE),"")</f>
        <v>93363483</v>
      </c>
      <c r="AD198" s="17" t="s">
        <v>427</v>
      </c>
      <c r="AE198" s="17" t="s">
        <v>1802</v>
      </c>
      <c r="AF198" s="23" t="str">
        <f>IFERROR(VLOOKUP(AE198,Listas!$AD$1:$AF$66,2,FALSE),"")</f>
        <v>YULI ANDREA RIVEROS PINEDA</v>
      </c>
      <c r="AG198" s="23">
        <f>IFERROR(VLOOKUP(AE198,Listas!$AD$1:$AF$65,3,FALSE),"")</f>
        <v>53036984</v>
      </c>
      <c r="AH198" s="17" t="s">
        <v>118</v>
      </c>
      <c r="AI198" s="65" t="s">
        <v>1803</v>
      </c>
      <c r="AJ198" s="25" t="s">
        <v>119</v>
      </c>
      <c r="AK198" s="26" t="s">
        <v>120</v>
      </c>
      <c r="AL198" s="26" t="s">
        <v>120</v>
      </c>
      <c r="AM198" s="90" t="s">
        <v>119</v>
      </c>
      <c r="AN198" s="105">
        <v>34417</v>
      </c>
      <c r="AO198" s="91">
        <f t="shared" ca="1" si="81"/>
        <v>31</v>
      </c>
      <c r="AP198" s="26" t="s">
        <v>121</v>
      </c>
      <c r="AQ198" s="26" t="s">
        <v>1272</v>
      </c>
      <c r="AR198" s="89">
        <v>45597</v>
      </c>
      <c r="AS198" s="27" t="s">
        <v>1804</v>
      </c>
      <c r="AT198" s="16">
        <v>1026305003</v>
      </c>
      <c r="AU198" s="20" t="s">
        <v>1800</v>
      </c>
      <c r="AV198" s="86">
        <v>12263002</v>
      </c>
      <c r="AW198" s="27"/>
      <c r="AX198" s="27"/>
      <c r="AY198" s="27"/>
      <c r="AZ198" s="27"/>
      <c r="BA198" s="27"/>
      <c r="BB198" s="27"/>
      <c r="BC198" s="97"/>
      <c r="BD198" s="27"/>
      <c r="BE198" s="16"/>
      <c r="BF198" s="28">
        <f t="shared" si="82"/>
        <v>0</v>
      </c>
      <c r="BG198" s="29"/>
      <c r="BH198" s="27"/>
      <c r="BI198" s="30">
        <f t="shared" si="83"/>
        <v>344</v>
      </c>
      <c r="BJ198" s="31">
        <f t="shared" si="84"/>
        <v>45657</v>
      </c>
      <c r="BK198" s="27"/>
      <c r="BL198" s="16"/>
      <c r="BM198" s="27"/>
      <c r="BN198" s="16"/>
      <c r="BO198" s="27"/>
      <c r="BP198" s="16"/>
      <c r="BQ198" s="27"/>
      <c r="BR198" s="24"/>
      <c r="BS198" s="24"/>
      <c r="BT198" s="32"/>
      <c r="BU198" s="27"/>
      <c r="BV198" s="24"/>
      <c r="BW198" s="24"/>
      <c r="BX198" s="16"/>
      <c r="BY198" s="27"/>
      <c r="BZ198" s="24"/>
      <c r="CA198" s="24"/>
      <c r="CB198" s="16"/>
      <c r="CC198" s="49">
        <f t="shared" si="85"/>
        <v>0</v>
      </c>
      <c r="CD198" s="24"/>
      <c r="CE198" s="49">
        <f t="shared" si="93"/>
        <v>71942934</v>
      </c>
      <c r="CF198" s="50"/>
      <c r="CG198" s="49">
        <f t="shared" ca="1" si="87"/>
        <v>71942934</v>
      </c>
      <c r="CH198" s="33">
        <f t="shared" ca="1" si="88"/>
        <v>1</v>
      </c>
      <c r="CI198" s="33">
        <f t="shared" ca="1" si="89"/>
        <v>1</v>
      </c>
      <c r="CJ198" s="36">
        <f t="shared" ca="1" si="90"/>
        <v>100</v>
      </c>
      <c r="CK198" s="34">
        <f t="shared" si="91"/>
        <v>0</v>
      </c>
      <c r="CL198" s="21"/>
      <c r="CM198" s="35" t="str">
        <f t="shared" ca="1" si="92"/>
        <v>TERMINADO</v>
      </c>
      <c r="CN198" s="82"/>
      <c r="CO198" s="145" t="s">
        <v>1805</v>
      </c>
      <c r="CP198" s="26" t="s">
        <v>123</v>
      </c>
    </row>
    <row r="199" spans="1:98" ht="24.75" customHeight="1">
      <c r="A199" s="48" t="s">
        <v>1806</v>
      </c>
      <c r="B199" s="77" t="s">
        <v>1807</v>
      </c>
      <c r="C199" s="17" t="s">
        <v>104</v>
      </c>
      <c r="D199" s="18" t="s">
        <v>1808</v>
      </c>
      <c r="E199" s="17" t="s">
        <v>106</v>
      </c>
      <c r="F199" s="17" t="s">
        <v>107</v>
      </c>
      <c r="G199" s="17" t="s">
        <v>108</v>
      </c>
      <c r="H199" s="78">
        <v>1000502228</v>
      </c>
      <c r="I199" s="74" t="s">
        <v>1809</v>
      </c>
      <c r="J199" s="16"/>
      <c r="K199" s="16"/>
      <c r="L199" s="20" t="s">
        <v>1810</v>
      </c>
      <c r="M199" s="16" t="s">
        <v>111</v>
      </c>
      <c r="N199" s="22">
        <v>45308</v>
      </c>
      <c r="O199" s="22">
        <v>45310</v>
      </c>
      <c r="P199" s="22">
        <v>45656</v>
      </c>
      <c r="Q199" s="23">
        <f t="shared" si="80"/>
        <v>346</v>
      </c>
      <c r="R199" s="17" t="s">
        <v>242</v>
      </c>
      <c r="S199" s="110" t="s">
        <v>1811</v>
      </c>
      <c r="T199" s="16" t="s">
        <v>1695</v>
      </c>
      <c r="U199" s="67">
        <v>55178064</v>
      </c>
      <c r="V199" s="16" t="s">
        <v>688</v>
      </c>
      <c r="W199" s="224">
        <v>55178064</v>
      </c>
      <c r="X199" s="24">
        <v>4659038</v>
      </c>
      <c r="Y199" s="24"/>
      <c r="Z199" s="24"/>
      <c r="AA199" s="17" t="s">
        <v>116</v>
      </c>
      <c r="AB199" s="23" t="str">
        <f>IFERROR(VLOOKUP(AA199,Listas!$A$1:$C$14,2,FALSE),"")</f>
        <v>FREDY CÉSPEDES VILLA</v>
      </c>
      <c r="AC199" s="23">
        <f>IFERROR(VLOOKUP(AA199,Listas!$A$1:$C$14,3,FALSE),"")</f>
        <v>93363483</v>
      </c>
      <c r="AD199" s="17" t="s">
        <v>304</v>
      </c>
      <c r="AE199" s="17" t="s">
        <v>305</v>
      </c>
      <c r="AF199" s="23" t="str">
        <f>IFERROR(VLOOKUP(AE199,Listas!$AD$1:$AF$66,2,FALSE),"")</f>
        <v>ALVARO HERNAN URQUIJO GOMEZ</v>
      </c>
      <c r="AG199" s="23">
        <v>80505520</v>
      </c>
      <c r="AH199" s="17" t="s">
        <v>118</v>
      </c>
      <c r="AI199" s="65" t="s">
        <v>1812</v>
      </c>
      <c r="AJ199" s="25" t="s">
        <v>119</v>
      </c>
      <c r="AK199" s="26" t="s">
        <v>120</v>
      </c>
      <c r="AL199" s="26" t="s">
        <v>120</v>
      </c>
      <c r="AM199" s="90" t="s">
        <v>119</v>
      </c>
      <c r="AN199" s="105">
        <v>36727</v>
      </c>
      <c r="AO199" s="91">
        <f t="shared" ca="1" si="81"/>
        <v>25</v>
      </c>
      <c r="AP199" s="26" t="s">
        <v>121</v>
      </c>
      <c r="AQ199" s="26" t="s">
        <v>122</v>
      </c>
      <c r="AR199" s="89"/>
      <c r="AS199" s="27"/>
      <c r="AT199" s="16"/>
      <c r="AU199" s="27"/>
      <c r="AV199" s="86"/>
      <c r="AW199" s="27"/>
      <c r="AX199" s="27"/>
      <c r="AY199" s="27"/>
      <c r="AZ199" s="27"/>
      <c r="BA199" s="27"/>
      <c r="BB199" s="27"/>
      <c r="BC199" s="97"/>
      <c r="BD199" s="27"/>
      <c r="BE199" s="16"/>
      <c r="BF199" s="28">
        <f t="shared" si="82"/>
        <v>0</v>
      </c>
      <c r="BG199" s="29"/>
      <c r="BH199" s="27"/>
      <c r="BI199" s="30">
        <f t="shared" si="83"/>
        <v>346</v>
      </c>
      <c r="BJ199" s="31">
        <f t="shared" si="84"/>
        <v>45656</v>
      </c>
      <c r="BK199" s="27"/>
      <c r="BL199" s="16"/>
      <c r="BM199" s="27"/>
      <c r="BN199" s="16"/>
      <c r="BO199" s="27"/>
      <c r="BP199" s="16"/>
      <c r="BQ199" s="27"/>
      <c r="BR199" s="24"/>
      <c r="BS199" s="24"/>
      <c r="BT199" s="32"/>
      <c r="BU199" s="27"/>
      <c r="BV199" s="24"/>
      <c r="BW199" s="24"/>
      <c r="BX199" s="16"/>
      <c r="BY199" s="27"/>
      <c r="BZ199" s="24"/>
      <c r="CA199" s="24"/>
      <c r="CB199" s="16"/>
      <c r="CC199" s="49">
        <f t="shared" si="85"/>
        <v>0</v>
      </c>
      <c r="CD199" s="24"/>
      <c r="CE199" s="49">
        <f t="shared" si="93"/>
        <v>55178064</v>
      </c>
      <c r="CF199" s="50"/>
      <c r="CG199" s="49">
        <f t="shared" ca="1" si="87"/>
        <v>55178064</v>
      </c>
      <c r="CH199" s="33">
        <f t="shared" ca="1" si="88"/>
        <v>1</v>
      </c>
      <c r="CI199" s="33">
        <f t="shared" ca="1" si="89"/>
        <v>1</v>
      </c>
      <c r="CJ199" s="36">
        <f t="shared" ca="1" si="90"/>
        <v>100</v>
      </c>
      <c r="CK199" s="34">
        <f t="shared" si="91"/>
        <v>0</v>
      </c>
      <c r="CL199" s="21"/>
      <c r="CM199" s="35" t="str">
        <f t="shared" ca="1" si="92"/>
        <v>TERMINADO</v>
      </c>
      <c r="CN199" s="82"/>
      <c r="CO199" s="145" t="s">
        <v>1813</v>
      </c>
      <c r="CP199" s="26" t="s">
        <v>142</v>
      </c>
    </row>
    <row r="200" spans="1:98" ht="24.75" customHeight="1">
      <c r="A200" s="48" t="s">
        <v>1814</v>
      </c>
      <c r="B200" s="77" t="s">
        <v>1815</v>
      </c>
      <c r="C200" s="17" t="s">
        <v>104</v>
      </c>
      <c r="D200" s="18" t="s">
        <v>1816</v>
      </c>
      <c r="E200" s="17" t="s">
        <v>106</v>
      </c>
      <c r="F200" s="17" t="s">
        <v>107</v>
      </c>
      <c r="G200" s="17" t="s">
        <v>108</v>
      </c>
      <c r="H200" s="78">
        <v>53160766</v>
      </c>
      <c r="I200" s="74" t="s">
        <v>1817</v>
      </c>
      <c r="J200" s="16"/>
      <c r="K200" s="16"/>
      <c r="L200" s="20" t="s">
        <v>1818</v>
      </c>
      <c r="M200" s="16" t="s">
        <v>111</v>
      </c>
      <c r="N200" s="22">
        <v>45308</v>
      </c>
      <c r="O200" s="22">
        <v>45310</v>
      </c>
      <c r="P200" s="22">
        <v>45656</v>
      </c>
      <c r="Q200" s="23">
        <f t="shared" si="80"/>
        <v>346</v>
      </c>
      <c r="R200" s="17" t="s">
        <v>242</v>
      </c>
      <c r="S200" s="110" t="s">
        <v>1769</v>
      </c>
      <c r="T200" s="16" t="s">
        <v>1486</v>
      </c>
      <c r="U200" s="67">
        <v>106454949</v>
      </c>
      <c r="V200" s="16" t="s">
        <v>344</v>
      </c>
      <c r="W200" s="224">
        <v>106454949</v>
      </c>
      <c r="X200" s="24">
        <v>9072865</v>
      </c>
      <c r="Y200" s="24"/>
      <c r="Z200" s="24"/>
      <c r="AA200" s="17" t="s">
        <v>116</v>
      </c>
      <c r="AB200" s="23" t="str">
        <f>IFERROR(VLOOKUP(AA200,Listas!$A$1:$C$14,2,FALSE),"")</f>
        <v>FREDY CÉSPEDES VILLA</v>
      </c>
      <c r="AC200" s="23">
        <f>IFERROR(VLOOKUP(AA200,Listas!$A$1:$C$14,3,FALSE),"")</f>
        <v>93363483</v>
      </c>
      <c r="AD200" s="17" t="s">
        <v>345</v>
      </c>
      <c r="AE200" s="17" t="s">
        <v>632</v>
      </c>
      <c r="AF200" s="23" t="str">
        <f>IFERROR(VLOOKUP(AE200,Listas!$AD$1:$AF$66,2,FALSE),"")</f>
        <v>MANUEL ALBERTO LOZANO CARDONA</v>
      </c>
      <c r="AG200" s="23">
        <f>IFERROR(VLOOKUP(AE200,Listas!$AD$1:$AF$65,3,FALSE),"")</f>
        <v>79940034</v>
      </c>
      <c r="AH200" s="17" t="s">
        <v>118</v>
      </c>
      <c r="AI200" s="65" t="s">
        <v>1819</v>
      </c>
      <c r="AJ200" s="25" t="s">
        <v>119</v>
      </c>
      <c r="AK200" s="26" t="s">
        <v>120</v>
      </c>
      <c r="AL200" s="26" t="s">
        <v>120</v>
      </c>
      <c r="AM200" s="90" t="s">
        <v>119</v>
      </c>
      <c r="AN200" s="105">
        <v>31281</v>
      </c>
      <c r="AO200" s="91">
        <f t="shared" ca="1" si="81"/>
        <v>40</v>
      </c>
      <c r="AP200" s="26" t="s">
        <v>121</v>
      </c>
      <c r="AQ200" s="26" t="s">
        <v>347</v>
      </c>
      <c r="AR200" s="89"/>
      <c r="AS200" s="27"/>
      <c r="AT200" s="16"/>
      <c r="AU200" s="27"/>
      <c r="AV200" s="86"/>
      <c r="AW200" s="27"/>
      <c r="AX200" s="27"/>
      <c r="AY200" s="27"/>
      <c r="AZ200" s="27"/>
      <c r="BA200" s="27"/>
      <c r="BB200" s="27"/>
      <c r="BC200" s="97"/>
      <c r="BD200" s="27"/>
      <c r="BE200" s="16"/>
      <c r="BF200" s="28">
        <f t="shared" si="82"/>
        <v>0</v>
      </c>
      <c r="BG200" s="29"/>
      <c r="BH200" s="27"/>
      <c r="BI200" s="30">
        <f t="shared" si="83"/>
        <v>346</v>
      </c>
      <c r="BJ200" s="31">
        <f t="shared" si="84"/>
        <v>45656</v>
      </c>
      <c r="BK200" s="27"/>
      <c r="BL200" s="16"/>
      <c r="BM200" s="27"/>
      <c r="BN200" s="16"/>
      <c r="BO200" s="27"/>
      <c r="BP200" s="16"/>
      <c r="BQ200" s="27"/>
      <c r="BR200" s="24"/>
      <c r="BS200" s="24"/>
      <c r="BT200" s="32"/>
      <c r="BU200" s="27"/>
      <c r="BV200" s="24"/>
      <c r="BW200" s="24"/>
      <c r="BX200" s="16"/>
      <c r="BY200" s="27"/>
      <c r="BZ200" s="24"/>
      <c r="CA200" s="24"/>
      <c r="CB200" s="16"/>
      <c r="CC200" s="49">
        <f t="shared" si="85"/>
        <v>0</v>
      </c>
      <c r="CD200" s="24"/>
      <c r="CE200" s="49">
        <f t="shared" si="93"/>
        <v>106454949</v>
      </c>
      <c r="CF200" s="50"/>
      <c r="CG200" s="49">
        <f t="shared" ca="1" si="87"/>
        <v>106454949</v>
      </c>
      <c r="CH200" s="33">
        <f t="shared" ca="1" si="88"/>
        <v>1</v>
      </c>
      <c r="CI200" s="33">
        <f t="shared" ca="1" si="89"/>
        <v>1</v>
      </c>
      <c r="CJ200" s="36">
        <f t="shared" ca="1" si="90"/>
        <v>100</v>
      </c>
      <c r="CK200" s="34">
        <f t="shared" si="91"/>
        <v>0</v>
      </c>
      <c r="CL200" s="21"/>
      <c r="CM200" s="35" t="str">
        <f t="shared" ca="1" si="92"/>
        <v>TERMINADO</v>
      </c>
      <c r="CN200" s="82"/>
      <c r="CO200" s="145" t="s">
        <v>1820</v>
      </c>
      <c r="CP200" s="26" t="s">
        <v>123</v>
      </c>
    </row>
    <row r="201" spans="1:98" ht="24.75" customHeight="1">
      <c r="A201" s="48" t="s">
        <v>1821</v>
      </c>
      <c r="B201" s="77" t="s">
        <v>1822</v>
      </c>
      <c r="C201" s="17" t="s">
        <v>104</v>
      </c>
      <c r="D201" s="18" t="s">
        <v>1823</v>
      </c>
      <c r="E201" s="17" t="s">
        <v>106</v>
      </c>
      <c r="F201" s="17" t="s">
        <v>107</v>
      </c>
      <c r="G201" s="17" t="s">
        <v>108</v>
      </c>
      <c r="H201" s="78">
        <v>1129564699</v>
      </c>
      <c r="I201" s="233" t="s">
        <v>1824</v>
      </c>
      <c r="J201" s="16"/>
      <c r="K201" s="16"/>
      <c r="L201" s="20" t="s">
        <v>1825</v>
      </c>
      <c r="M201" s="16" t="s">
        <v>111</v>
      </c>
      <c r="N201" s="22">
        <v>45308</v>
      </c>
      <c r="O201" s="22">
        <v>45313</v>
      </c>
      <c r="P201" s="22">
        <v>45656</v>
      </c>
      <c r="Q201" s="23">
        <f t="shared" si="80"/>
        <v>343</v>
      </c>
      <c r="R201" s="17" t="s">
        <v>242</v>
      </c>
      <c r="S201" s="110" t="s">
        <v>1826</v>
      </c>
      <c r="T201" s="16" t="s">
        <v>1827</v>
      </c>
      <c r="U201" s="67">
        <v>52964916</v>
      </c>
      <c r="V201" s="16" t="s">
        <v>1222</v>
      </c>
      <c r="W201" s="224">
        <v>52964916</v>
      </c>
      <c r="X201" s="24">
        <v>4413826</v>
      </c>
      <c r="Y201" s="24"/>
      <c r="Z201" s="24"/>
      <c r="AA201" s="17" t="s">
        <v>116</v>
      </c>
      <c r="AB201" s="23" t="str">
        <f>IFERROR(VLOOKUP(AA201,Listas!$A$1:$C$14,2,FALSE),"")</f>
        <v>FREDY CÉSPEDES VILLA</v>
      </c>
      <c r="AC201" s="23">
        <f>IFERROR(VLOOKUP(AA201,Listas!$A$1:$C$14,3,FALSE),"")</f>
        <v>93363483</v>
      </c>
      <c r="AD201" s="17" t="s">
        <v>406</v>
      </c>
      <c r="AE201" s="17" t="s">
        <v>504</v>
      </c>
      <c r="AF201" s="23" t="str">
        <f>IFERROR(VLOOKUP(AE201,Listas!$AD$1:$AF$66,2,FALSE),"")</f>
        <v>EDUARDO ELÍAS BARCHA BOLÍVAR</v>
      </c>
      <c r="AG201" s="23">
        <f>IFERROR(VLOOKUP(AE201,Listas!$AD$1:$AF$65,3,FALSE),"")</f>
        <v>72133921</v>
      </c>
      <c r="AH201" s="17" t="s">
        <v>118</v>
      </c>
      <c r="AI201" s="65" t="s">
        <v>1828</v>
      </c>
      <c r="AJ201" s="25" t="s">
        <v>119</v>
      </c>
      <c r="AK201" s="26" t="s">
        <v>120</v>
      </c>
      <c r="AL201" s="26" t="s">
        <v>120</v>
      </c>
      <c r="AM201" s="90" t="s">
        <v>119</v>
      </c>
      <c r="AN201" s="105">
        <v>31472</v>
      </c>
      <c r="AO201" s="91">
        <f t="shared" ca="1" si="81"/>
        <v>39</v>
      </c>
      <c r="AP201" s="26" t="s">
        <v>121</v>
      </c>
      <c r="AQ201" s="26" t="s">
        <v>409</v>
      </c>
      <c r="AR201" s="89"/>
      <c r="AS201" s="27"/>
      <c r="AT201" s="16"/>
      <c r="AU201" s="27"/>
      <c r="AV201" s="86"/>
      <c r="AW201" s="27"/>
      <c r="AX201" s="27"/>
      <c r="AY201" s="27"/>
      <c r="AZ201" s="27"/>
      <c r="BA201" s="27"/>
      <c r="BB201" s="27"/>
      <c r="BC201" s="97"/>
      <c r="BD201" s="27"/>
      <c r="BE201" s="16"/>
      <c r="BF201" s="28">
        <f t="shared" si="82"/>
        <v>0</v>
      </c>
      <c r="BG201" s="29"/>
      <c r="BH201" s="27"/>
      <c r="BI201" s="30">
        <f t="shared" si="83"/>
        <v>343</v>
      </c>
      <c r="BJ201" s="31">
        <f t="shared" si="84"/>
        <v>45656</v>
      </c>
      <c r="BK201" s="27"/>
      <c r="BL201" s="16"/>
      <c r="BM201" s="27"/>
      <c r="BN201" s="16"/>
      <c r="BO201" s="27"/>
      <c r="BP201" s="16"/>
      <c r="BQ201" s="27"/>
      <c r="BR201" s="24"/>
      <c r="BS201" s="24"/>
      <c r="BT201" s="32"/>
      <c r="BU201" s="27"/>
      <c r="BV201" s="24"/>
      <c r="BW201" s="24"/>
      <c r="BX201" s="16"/>
      <c r="BY201" s="27"/>
      <c r="BZ201" s="24"/>
      <c r="CA201" s="24"/>
      <c r="CB201" s="16"/>
      <c r="CC201" s="49">
        <f t="shared" si="85"/>
        <v>0</v>
      </c>
      <c r="CD201" s="24"/>
      <c r="CE201" s="49">
        <f t="shared" si="93"/>
        <v>52964916</v>
      </c>
      <c r="CF201" s="50"/>
      <c r="CG201" s="49">
        <f t="shared" ca="1" si="87"/>
        <v>52964916</v>
      </c>
      <c r="CH201" s="33">
        <f t="shared" ca="1" si="88"/>
        <v>1</v>
      </c>
      <c r="CI201" s="33">
        <f t="shared" ca="1" si="89"/>
        <v>1</v>
      </c>
      <c r="CJ201" s="36">
        <f t="shared" ca="1" si="90"/>
        <v>100</v>
      </c>
      <c r="CK201" s="34">
        <f t="shared" si="91"/>
        <v>0</v>
      </c>
      <c r="CL201" s="21"/>
      <c r="CM201" s="35" t="str">
        <f t="shared" ca="1" si="92"/>
        <v>TERMINADO</v>
      </c>
      <c r="CN201" s="82"/>
      <c r="CO201" s="145" t="s">
        <v>1829</v>
      </c>
      <c r="CP201" s="26" t="s">
        <v>142</v>
      </c>
    </row>
    <row r="202" spans="1:98" ht="24.75" customHeight="1">
      <c r="A202" s="48" t="s">
        <v>1830</v>
      </c>
      <c r="B202" s="77" t="s">
        <v>1831</v>
      </c>
      <c r="C202" s="17" t="s">
        <v>104</v>
      </c>
      <c r="D202" s="18" t="s">
        <v>1832</v>
      </c>
      <c r="E202" s="17" t="s">
        <v>106</v>
      </c>
      <c r="F202" s="17" t="s">
        <v>107</v>
      </c>
      <c r="G202" s="17" t="s">
        <v>108</v>
      </c>
      <c r="H202" s="78">
        <v>53107754</v>
      </c>
      <c r="I202" s="74" t="s">
        <v>1833</v>
      </c>
      <c r="J202" s="16"/>
      <c r="K202" s="16"/>
      <c r="L202" s="20" t="s">
        <v>1834</v>
      </c>
      <c r="M202" s="16" t="s">
        <v>111</v>
      </c>
      <c r="N202" s="22">
        <v>45309</v>
      </c>
      <c r="O202" s="22">
        <v>45314</v>
      </c>
      <c r="P202" s="22">
        <v>45656</v>
      </c>
      <c r="Q202" s="23">
        <f t="shared" si="80"/>
        <v>342</v>
      </c>
      <c r="R202" s="17" t="s">
        <v>242</v>
      </c>
      <c r="S202" s="110" t="s">
        <v>1835</v>
      </c>
      <c r="T202" s="16" t="s">
        <v>949</v>
      </c>
      <c r="U202" s="67">
        <v>83862696</v>
      </c>
      <c r="V202" s="16" t="s">
        <v>1071</v>
      </c>
      <c r="W202" s="224">
        <v>83862696</v>
      </c>
      <c r="X202" s="24">
        <v>6988558</v>
      </c>
      <c r="Y202" s="24"/>
      <c r="Z202" s="24"/>
      <c r="AA202" s="17" t="s">
        <v>116</v>
      </c>
      <c r="AB202" s="23" t="str">
        <f>IFERROR(VLOOKUP(AA202,Listas!$A$1:$C$14,2,FALSE),"")</f>
        <v>FREDY CÉSPEDES VILLA</v>
      </c>
      <c r="AC202" s="23">
        <f>IFERROR(VLOOKUP(AA202,Listas!$A$1:$C$14,3,FALSE),"")</f>
        <v>93363483</v>
      </c>
      <c r="AD202" s="17" t="s">
        <v>951</v>
      </c>
      <c r="AE202" s="17" t="s">
        <v>952</v>
      </c>
      <c r="AF202" s="23" t="str">
        <f>IFERROR(VLOOKUP(AE202,Listas!$AD$1:$AF$66,2,FALSE),"")</f>
        <v>ANDRES MAURICIO LUQUE AYALA</v>
      </c>
      <c r="AG202" s="23">
        <f>IFERROR(VLOOKUP(AE202,Listas!$AD$1:$AF$65,3,FALSE),"")</f>
        <v>11443937</v>
      </c>
      <c r="AH202" s="17" t="s">
        <v>118</v>
      </c>
      <c r="AI202" s="65" t="s">
        <v>1836</v>
      </c>
      <c r="AJ202" s="25" t="s">
        <v>119</v>
      </c>
      <c r="AK202" s="26" t="s">
        <v>120</v>
      </c>
      <c r="AL202" s="26" t="s">
        <v>120</v>
      </c>
      <c r="AM202" s="90" t="s">
        <v>119</v>
      </c>
      <c r="AN202" s="105">
        <v>31317</v>
      </c>
      <c r="AO202" s="91">
        <f t="shared" ca="1" si="81"/>
        <v>40</v>
      </c>
      <c r="AP202" s="26" t="s">
        <v>121</v>
      </c>
      <c r="AQ202" s="26" t="s">
        <v>886</v>
      </c>
      <c r="AR202" s="89"/>
      <c r="AS202" s="27"/>
      <c r="AT202" s="16"/>
      <c r="AU202" s="27"/>
      <c r="AV202" s="86"/>
      <c r="AW202" s="27"/>
      <c r="AX202" s="27"/>
      <c r="AY202" s="27"/>
      <c r="AZ202" s="27"/>
      <c r="BA202" s="27"/>
      <c r="BB202" s="27"/>
      <c r="BC202" s="97"/>
      <c r="BD202" s="27"/>
      <c r="BE202" s="16"/>
      <c r="BF202" s="28">
        <f t="shared" si="82"/>
        <v>0</v>
      </c>
      <c r="BG202" s="29"/>
      <c r="BH202" s="27"/>
      <c r="BI202" s="30">
        <f t="shared" si="83"/>
        <v>342</v>
      </c>
      <c r="BJ202" s="31">
        <f t="shared" si="84"/>
        <v>45656</v>
      </c>
      <c r="BK202" s="27"/>
      <c r="BL202" s="16"/>
      <c r="BM202" s="27"/>
      <c r="BN202" s="16"/>
      <c r="BO202" s="27"/>
      <c r="BP202" s="16"/>
      <c r="BQ202" s="27"/>
      <c r="BR202" s="24"/>
      <c r="BS202" s="24"/>
      <c r="BT202" s="32"/>
      <c r="BU202" s="27"/>
      <c r="BV202" s="24"/>
      <c r="BW202" s="24"/>
      <c r="BX202" s="16"/>
      <c r="BY202" s="27"/>
      <c r="BZ202" s="24"/>
      <c r="CA202" s="24"/>
      <c r="CB202" s="16"/>
      <c r="CC202" s="49">
        <f t="shared" si="85"/>
        <v>0</v>
      </c>
      <c r="CD202" s="24"/>
      <c r="CE202" s="49">
        <f t="shared" si="93"/>
        <v>83862696</v>
      </c>
      <c r="CF202" s="50"/>
      <c r="CG202" s="49">
        <f t="shared" ca="1" si="87"/>
        <v>83862696</v>
      </c>
      <c r="CH202" s="33">
        <f t="shared" ca="1" si="88"/>
        <v>1</v>
      </c>
      <c r="CI202" s="33">
        <f t="shared" ca="1" si="89"/>
        <v>1</v>
      </c>
      <c r="CJ202" s="36">
        <f t="shared" ca="1" si="90"/>
        <v>100</v>
      </c>
      <c r="CK202" s="34">
        <f t="shared" si="91"/>
        <v>0</v>
      </c>
      <c r="CL202" s="21"/>
      <c r="CM202" s="35" t="str">
        <f t="shared" ca="1" si="92"/>
        <v>TERMINADO</v>
      </c>
      <c r="CN202" s="82"/>
      <c r="CO202" s="145" t="s">
        <v>1837</v>
      </c>
      <c r="CP202" s="26" t="s">
        <v>123</v>
      </c>
    </row>
    <row r="203" spans="1:98" ht="24.75" customHeight="1">
      <c r="A203" s="48" t="s">
        <v>1838</v>
      </c>
      <c r="B203" s="77" t="s">
        <v>1839</v>
      </c>
      <c r="C203" s="17" t="s">
        <v>104</v>
      </c>
      <c r="D203" s="18" t="s">
        <v>1840</v>
      </c>
      <c r="E203" s="17" t="s">
        <v>106</v>
      </c>
      <c r="F203" s="17" t="s">
        <v>107</v>
      </c>
      <c r="G203" s="17" t="s">
        <v>108</v>
      </c>
      <c r="H203" s="78">
        <v>1110476393</v>
      </c>
      <c r="I203" s="74" t="s">
        <v>1841</v>
      </c>
      <c r="J203" s="16"/>
      <c r="K203" s="16"/>
      <c r="L203" s="20" t="s">
        <v>1842</v>
      </c>
      <c r="M203" s="16" t="s">
        <v>111</v>
      </c>
      <c r="N203" s="22">
        <v>45309</v>
      </c>
      <c r="O203" s="22">
        <v>45314</v>
      </c>
      <c r="P203" s="22">
        <v>45656</v>
      </c>
      <c r="Q203" s="23">
        <f t="shared" si="80"/>
        <v>342</v>
      </c>
      <c r="R203" s="17" t="s">
        <v>242</v>
      </c>
      <c r="S203" s="110" t="s">
        <v>1843</v>
      </c>
      <c r="T203" s="16" t="s">
        <v>1249</v>
      </c>
      <c r="U203" s="67">
        <v>73563768</v>
      </c>
      <c r="V203" s="16" t="s">
        <v>1212</v>
      </c>
      <c r="W203" s="224">
        <v>73563768</v>
      </c>
      <c r="X203" s="24">
        <v>6130614</v>
      </c>
      <c r="Y203" s="24"/>
      <c r="Z203" s="24"/>
      <c r="AA203" s="17" t="s">
        <v>116</v>
      </c>
      <c r="AB203" s="23" t="str">
        <f>IFERROR(VLOOKUP(AA203,Listas!$A$1:$C$14,2,FALSE),"")</f>
        <v>FREDY CÉSPEDES VILLA</v>
      </c>
      <c r="AC203" s="23">
        <f>IFERROR(VLOOKUP(AA203,Listas!$A$1:$C$14,3,FALSE),"")</f>
        <v>93363483</v>
      </c>
      <c r="AD203" s="17" t="s">
        <v>577</v>
      </c>
      <c r="AE203" s="17" t="s">
        <v>578</v>
      </c>
      <c r="AF203" s="23" t="str">
        <f>IFERROR(VLOOKUP(AE203,Listas!$AD$1:$AF$66,2,FALSE),"")</f>
        <v>EDGAR FABIO DÍAZ RAMIREZ</v>
      </c>
      <c r="AG203" s="23">
        <f>IFERROR(VLOOKUP(AE203,Listas!$AD$1:$AF$65,3,FALSE),"")</f>
        <v>79537198</v>
      </c>
      <c r="AH203" s="17" t="s">
        <v>118</v>
      </c>
      <c r="AI203" s="65" t="s">
        <v>1844</v>
      </c>
      <c r="AJ203" s="25" t="s">
        <v>119</v>
      </c>
      <c r="AK203" s="26" t="s">
        <v>120</v>
      </c>
      <c r="AL203" s="26" t="s">
        <v>120</v>
      </c>
      <c r="AM203" s="90" t="s">
        <v>119</v>
      </c>
      <c r="AN203" s="105">
        <v>32397</v>
      </c>
      <c r="AO203" s="91">
        <f t="shared" ca="1" si="81"/>
        <v>37</v>
      </c>
      <c r="AP203" s="26" t="s">
        <v>121</v>
      </c>
      <c r="AQ203" s="26" t="s">
        <v>886</v>
      </c>
      <c r="AR203" s="89"/>
      <c r="AS203" s="27"/>
      <c r="AT203" s="16"/>
      <c r="AU203" s="27"/>
      <c r="AV203" s="86"/>
      <c r="AW203" s="27"/>
      <c r="AX203" s="27"/>
      <c r="AY203" s="27"/>
      <c r="AZ203" s="27"/>
      <c r="BA203" s="27"/>
      <c r="BB203" s="27"/>
      <c r="BC203" s="97"/>
      <c r="BD203" s="27"/>
      <c r="BE203" s="16"/>
      <c r="BF203" s="28">
        <f t="shared" si="82"/>
        <v>0</v>
      </c>
      <c r="BG203" s="29"/>
      <c r="BH203" s="27"/>
      <c r="BI203" s="30">
        <f t="shared" si="83"/>
        <v>342</v>
      </c>
      <c r="BJ203" s="31">
        <f t="shared" si="84"/>
        <v>45656</v>
      </c>
      <c r="BK203" s="27"/>
      <c r="BL203" s="16"/>
      <c r="BM203" s="27"/>
      <c r="BN203" s="16"/>
      <c r="BO203" s="27"/>
      <c r="BP203" s="16"/>
      <c r="BQ203" s="27"/>
      <c r="BR203" s="24"/>
      <c r="BS203" s="24"/>
      <c r="BT203" s="32"/>
      <c r="BU203" s="27"/>
      <c r="BV203" s="24"/>
      <c r="BW203" s="24"/>
      <c r="BX203" s="16"/>
      <c r="BY203" s="27"/>
      <c r="BZ203" s="24"/>
      <c r="CA203" s="24"/>
      <c r="CB203" s="16"/>
      <c r="CC203" s="49">
        <f t="shared" si="85"/>
        <v>0</v>
      </c>
      <c r="CD203" s="24"/>
      <c r="CE203" s="49">
        <f t="shared" si="93"/>
        <v>73563768</v>
      </c>
      <c r="CF203" s="50"/>
      <c r="CG203" s="49">
        <f t="shared" ca="1" si="87"/>
        <v>73563768</v>
      </c>
      <c r="CH203" s="33">
        <f t="shared" ca="1" si="88"/>
        <v>1</v>
      </c>
      <c r="CI203" s="33">
        <f t="shared" ca="1" si="89"/>
        <v>1</v>
      </c>
      <c r="CJ203" s="36">
        <f t="shared" ca="1" si="90"/>
        <v>100</v>
      </c>
      <c r="CK203" s="34">
        <f t="shared" si="91"/>
        <v>0</v>
      </c>
      <c r="CL203" s="21"/>
      <c r="CM203" s="35" t="str">
        <f t="shared" ca="1" si="92"/>
        <v>TERMINADO</v>
      </c>
      <c r="CN203" s="82"/>
      <c r="CO203" s="145" t="s">
        <v>1845</v>
      </c>
      <c r="CP203" s="26" t="s">
        <v>142</v>
      </c>
    </row>
    <row r="204" spans="1:98" ht="24.75" customHeight="1">
      <c r="A204" s="48" t="s">
        <v>1846</v>
      </c>
      <c r="B204" s="77" t="s">
        <v>1847</v>
      </c>
      <c r="C204" s="17" t="s">
        <v>104</v>
      </c>
      <c r="D204" s="18" t="s">
        <v>1848</v>
      </c>
      <c r="E204" s="17" t="s">
        <v>106</v>
      </c>
      <c r="F204" s="17" t="s">
        <v>107</v>
      </c>
      <c r="G204" s="17" t="s">
        <v>108</v>
      </c>
      <c r="H204" s="78">
        <v>1018460472</v>
      </c>
      <c r="I204" s="74" t="s">
        <v>1849</v>
      </c>
      <c r="J204" s="16"/>
      <c r="K204" s="16"/>
      <c r="L204" s="20" t="s">
        <v>1850</v>
      </c>
      <c r="M204" s="16" t="s">
        <v>111</v>
      </c>
      <c r="N204" s="22">
        <v>45309</v>
      </c>
      <c r="O204" s="22">
        <v>45314</v>
      </c>
      <c r="P204" s="22">
        <v>45656</v>
      </c>
      <c r="Q204" s="23">
        <f t="shared" si="80"/>
        <v>342</v>
      </c>
      <c r="R204" s="17" t="s">
        <v>242</v>
      </c>
      <c r="S204" s="110" t="s">
        <v>1851</v>
      </c>
      <c r="T204" s="16" t="s">
        <v>1249</v>
      </c>
      <c r="U204" s="67">
        <v>145220976</v>
      </c>
      <c r="V204" s="16" t="s">
        <v>1212</v>
      </c>
      <c r="W204" s="224">
        <v>145220976</v>
      </c>
      <c r="X204" s="24">
        <v>12101748</v>
      </c>
      <c r="Y204" s="24"/>
      <c r="Z204" s="24"/>
      <c r="AA204" s="17" t="s">
        <v>116</v>
      </c>
      <c r="AB204" s="23" t="str">
        <f>IFERROR(VLOOKUP(AA204,Listas!$A$1:$C$14,2,FALSE),"")</f>
        <v>FREDY CÉSPEDES VILLA</v>
      </c>
      <c r="AC204" s="23">
        <f>IFERROR(VLOOKUP(AA204,Listas!$A$1:$C$14,3,FALSE),"")</f>
        <v>93363483</v>
      </c>
      <c r="AD204" s="17" t="s">
        <v>577</v>
      </c>
      <c r="AE204" s="17" t="s">
        <v>578</v>
      </c>
      <c r="AF204" s="23" t="str">
        <f>IFERROR(VLOOKUP(AE204,Listas!$AD$1:$AF$66,2,FALSE),"")</f>
        <v>EDGAR FABIO DÍAZ RAMIREZ</v>
      </c>
      <c r="AG204" s="23">
        <f>IFERROR(VLOOKUP(AE204,Listas!$AD$1:$AF$65,3,FALSE),"")</f>
        <v>79537198</v>
      </c>
      <c r="AH204" s="17" t="s">
        <v>118</v>
      </c>
      <c r="AI204" s="65" t="s">
        <v>1852</v>
      </c>
      <c r="AJ204" s="25" t="s">
        <v>119</v>
      </c>
      <c r="AK204" s="26" t="s">
        <v>120</v>
      </c>
      <c r="AL204" s="26" t="s">
        <v>120</v>
      </c>
      <c r="AM204" s="90" t="s">
        <v>119</v>
      </c>
      <c r="AN204" s="105">
        <v>34155</v>
      </c>
      <c r="AO204" s="91">
        <f t="shared" ca="1" si="81"/>
        <v>32</v>
      </c>
      <c r="AP204" s="26" t="s">
        <v>121</v>
      </c>
      <c r="AQ204" s="26" t="s">
        <v>886</v>
      </c>
      <c r="AR204" s="89"/>
      <c r="AS204" s="27"/>
      <c r="AT204" s="16"/>
      <c r="AU204" s="27"/>
      <c r="AV204" s="86"/>
      <c r="AW204" s="27"/>
      <c r="AX204" s="27"/>
      <c r="AY204" s="27"/>
      <c r="AZ204" s="27"/>
      <c r="BA204" s="27"/>
      <c r="BB204" s="27"/>
      <c r="BC204" s="97"/>
      <c r="BD204" s="27"/>
      <c r="BE204" s="16"/>
      <c r="BF204" s="28">
        <f t="shared" si="82"/>
        <v>0</v>
      </c>
      <c r="BG204" s="29"/>
      <c r="BH204" s="27"/>
      <c r="BI204" s="30">
        <f t="shared" si="83"/>
        <v>342</v>
      </c>
      <c r="BJ204" s="31">
        <f t="shared" si="84"/>
        <v>45656</v>
      </c>
      <c r="BK204" s="27"/>
      <c r="BL204" s="16"/>
      <c r="BM204" s="27"/>
      <c r="BN204" s="16"/>
      <c r="BO204" s="27"/>
      <c r="BP204" s="16"/>
      <c r="BQ204" s="27"/>
      <c r="BR204" s="24"/>
      <c r="BS204" s="24"/>
      <c r="BT204" s="32"/>
      <c r="BU204" s="27"/>
      <c r="BV204" s="24"/>
      <c r="BW204" s="24"/>
      <c r="BX204" s="16"/>
      <c r="BY204" s="27"/>
      <c r="BZ204" s="24"/>
      <c r="CA204" s="24"/>
      <c r="CB204" s="16"/>
      <c r="CC204" s="49">
        <f t="shared" si="85"/>
        <v>0</v>
      </c>
      <c r="CD204" s="24"/>
      <c r="CE204" s="49">
        <f t="shared" si="93"/>
        <v>145220976</v>
      </c>
      <c r="CF204" s="50"/>
      <c r="CG204" s="49">
        <f t="shared" ca="1" si="87"/>
        <v>145220976</v>
      </c>
      <c r="CH204" s="33">
        <f t="shared" ca="1" si="88"/>
        <v>1</v>
      </c>
      <c r="CI204" s="33">
        <f t="shared" ca="1" si="89"/>
        <v>1</v>
      </c>
      <c r="CJ204" s="36">
        <f t="shared" ca="1" si="90"/>
        <v>100</v>
      </c>
      <c r="CK204" s="34">
        <f t="shared" si="91"/>
        <v>0</v>
      </c>
      <c r="CL204" s="21"/>
      <c r="CM204" s="35" t="str">
        <f t="shared" ca="1" si="92"/>
        <v>TERMINADO</v>
      </c>
      <c r="CN204" s="82"/>
      <c r="CO204" s="145" t="s">
        <v>1853</v>
      </c>
      <c r="CP204" s="26" t="s">
        <v>123</v>
      </c>
    </row>
    <row r="205" spans="1:98" ht="24.75" customHeight="1">
      <c r="A205" s="48" t="s">
        <v>1854</v>
      </c>
      <c r="B205" s="77" t="s">
        <v>1855</v>
      </c>
      <c r="C205" s="17" t="s">
        <v>104</v>
      </c>
      <c r="D205" s="18" t="s">
        <v>1856</v>
      </c>
      <c r="E205" s="17" t="s">
        <v>106</v>
      </c>
      <c r="F205" s="17" t="s">
        <v>107</v>
      </c>
      <c r="G205" s="17" t="s">
        <v>108</v>
      </c>
      <c r="H205" s="78">
        <v>80742990</v>
      </c>
      <c r="I205" s="74" t="s">
        <v>1857</v>
      </c>
      <c r="J205" s="16"/>
      <c r="K205" s="16"/>
      <c r="L205" s="20" t="s">
        <v>1858</v>
      </c>
      <c r="M205" s="16" t="s">
        <v>111</v>
      </c>
      <c r="N205" s="22">
        <v>45309</v>
      </c>
      <c r="O205" s="22">
        <v>45313</v>
      </c>
      <c r="P205" s="22">
        <v>45656</v>
      </c>
      <c r="Q205" s="23">
        <f t="shared" si="80"/>
        <v>343</v>
      </c>
      <c r="R205" s="17" t="s">
        <v>242</v>
      </c>
      <c r="S205" s="110" t="s">
        <v>1859</v>
      </c>
      <c r="T205" s="16" t="s">
        <v>1128</v>
      </c>
      <c r="U205" s="67">
        <v>53053333</v>
      </c>
      <c r="V205" s="16" t="s">
        <v>815</v>
      </c>
      <c r="W205" s="224">
        <v>53053333</v>
      </c>
      <c r="X205" s="24">
        <v>4600000</v>
      </c>
      <c r="Y205" s="24"/>
      <c r="Z205" s="24"/>
      <c r="AA205" s="17" t="s">
        <v>116</v>
      </c>
      <c r="AB205" s="23" t="str">
        <f>IFERROR(VLOOKUP(AA205,Listas!$A$1:$C$14,2,FALSE),"")</f>
        <v>FREDY CÉSPEDES VILLA</v>
      </c>
      <c r="AC205" s="23">
        <f>IFERROR(VLOOKUP(AA205,Listas!$A$1:$C$14,3,FALSE),"")</f>
        <v>93363483</v>
      </c>
      <c r="AD205" s="17" t="s">
        <v>816</v>
      </c>
      <c r="AE205" s="17" t="s">
        <v>817</v>
      </c>
      <c r="AF205" s="23" t="str">
        <f>IFERROR(VLOOKUP(AE205,Listas!$AD$1:$AF$66,2,FALSE),"")</f>
        <v>JOSÉ EDUARDO PARADA JIMÉNEZ</v>
      </c>
      <c r="AG205" s="23">
        <f>IFERROR(VLOOKUP(AE205,Listas!$AD$1:$AF$65,3,FALSE),"")</f>
        <v>79434805</v>
      </c>
      <c r="AH205" s="17" t="s">
        <v>118</v>
      </c>
      <c r="AI205" s="65" t="s">
        <v>1860</v>
      </c>
      <c r="AJ205" s="25" t="s">
        <v>119</v>
      </c>
      <c r="AK205" s="26" t="s">
        <v>120</v>
      </c>
      <c r="AL205" s="26" t="s">
        <v>120</v>
      </c>
      <c r="AM205" s="90" t="s">
        <v>119</v>
      </c>
      <c r="AN205" s="105">
        <v>29867</v>
      </c>
      <c r="AO205" s="91">
        <f t="shared" ca="1" si="81"/>
        <v>44</v>
      </c>
      <c r="AP205" s="26" t="s">
        <v>121</v>
      </c>
      <c r="AQ205" s="26" t="s">
        <v>819</v>
      </c>
      <c r="AR205" s="89"/>
      <c r="AS205" s="27"/>
      <c r="AT205" s="16"/>
      <c r="AU205" s="27"/>
      <c r="AV205" s="86"/>
      <c r="AW205" s="27"/>
      <c r="AX205" s="27"/>
      <c r="AY205" s="27"/>
      <c r="AZ205" s="27"/>
      <c r="BA205" s="27"/>
      <c r="BB205" s="27"/>
      <c r="BC205" s="97"/>
      <c r="BD205" s="27"/>
      <c r="BE205" s="16"/>
      <c r="BF205" s="28">
        <f t="shared" si="82"/>
        <v>0</v>
      </c>
      <c r="BG205" s="29"/>
      <c r="BH205" s="27"/>
      <c r="BI205" s="30">
        <f t="shared" si="83"/>
        <v>343</v>
      </c>
      <c r="BJ205" s="31">
        <f t="shared" si="84"/>
        <v>45656</v>
      </c>
      <c r="BK205" s="27"/>
      <c r="BL205" s="16"/>
      <c r="BM205" s="27"/>
      <c r="BN205" s="16"/>
      <c r="BO205" s="27"/>
      <c r="BP205" s="16"/>
      <c r="BQ205" s="27"/>
      <c r="BR205" s="24"/>
      <c r="BS205" s="24"/>
      <c r="BT205" s="32"/>
      <c r="BU205" s="27"/>
      <c r="BV205" s="24"/>
      <c r="BW205" s="24"/>
      <c r="BX205" s="16"/>
      <c r="BY205" s="27"/>
      <c r="BZ205" s="24"/>
      <c r="CA205" s="24"/>
      <c r="CB205" s="16"/>
      <c r="CC205" s="49">
        <f t="shared" si="85"/>
        <v>0</v>
      </c>
      <c r="CD205" s="24"/>
      <c r="CE205" s="49">
        <f t="shared" si="93"/>
        <v>53053333</v>
      </c>
      <c r="CF205" s="50"/>
      <c r="CG205" s="49">
        <f t="shared" ca="1" si="87"/>
        <v>53053333</v>
      </c>
      <c r="CH205" s="33">
        <f t="shared" ca="1" si="88"/>
        <v>1</v>
      </c>
      <c r="CI205" s="33">
        <f t="shared" ca="1" si="89"/>
        <v>1</v>
      </c>
      <c r="CJ205" s="36">
        <f t="shared" ca="1" si="90"/>
        <v>100</v>
      </c>
      <c r="CK205" s="34">
        <f t="shared" si="91"/>
        <v>0</v>
      </c>
      <c r="CL205" s="21"/>
      <c r="CM205" s="35" t="str">
        <f t="shared" ca="1" si="92"/>
        <v>TERMINADO</v>
      </c>
      <c r="CN205" s="82"/>
      <c r="CO205" s="145" t="s">
        <v>1861</v>
      </c>
      <c r="CP205" s="26" t="s">
        <v>142</v>
      </c>
    </row>
    <row r="206" spans="1:98" ht="24.75" customHeight="1">
      <c r="A206" s="48" t="s">
        <v>1862</v>
      </c>
      <c r="B206" s="77" t="s">
        <v>1863</v>
      </c>
      <c r="C206" s="17" t="s">
        <v>104</v>
      </c>
      <c r="D206" s="18" t="s">
        <v>1864</v>
      </c>
      <c r="E206" s="17" t="s">
        <v>106</v>
      </c>
      <c r="F206" s="17" t="s">
        <v>107</v>
      </c>
      <c r="G206" s="17" t="s">
        <v>108</v>
      </c>
      <c r="H206" s="78">
        <v>1023001940</v>
      </c>
      <c r="I206" s="74" t="s">
        <v>1865</v>
      </c>
      <c r="J206" s="16"/>
      <c r="K206" s="16"/>
      <c r="L206" s="20" t="s">
        <v>1866</v>
      </c>
      <c r="M206" s="16" t="s">
        <v>111</v>
      </c>
      <c r="N206" s="22">
        <v>45309</v>
      </c>
      <c r="O206" s="22">
        <v>45314</v>
      </c>
      <c r="P206" s="22">
        <v>45657</v>
      </c>
      <c r="Q206" s="23">
        <f t="shared" si="80"/>
        <v>343</v>
      </c>
      <c r="R206" s="17" t="s">
        <v>242</v>
      </c>
      <c r="S206" s="110" t="s">
        <v>1703</v>
      </c>
      <c r="T206" s="16" t="s">
        <v>1145</v>
      </c>
      <c r="U206" s="67">
        <v>71534167</v>
      </c>
      <c r="V206" s="16" t="s">
        <v>426</v>
      </c>
      <c r="W206" s="224">
        <v>71534167</v>
      </c>
      <c r="X206" s="24">
        <v>6131500</v>
      </c>
      <c r="Y206" s="24"/>
      <c r="Z206" s="24"/>
      <c r="AA206" s="17" t="s">
        <v>116</v>
      </c>
      <c r="AB206" s="23" t="str">
        <f>IFERROR(VLOOKUP(AA206,Listas!$A$1:$C$14,2,FALSE),"")</f>
        <v>FREDY CÉSPEDES VILLA</v>
      </c>
      <c r="AC206" s="23">
        <f>IFERROR(VLOOKUP(AA206,Listas!$A$1:$C$14,3,FALSE),"")</f>
        <v>93363483</v>
      </c>
      <c r="AD206" s="17" t="s">
        <v>427</v>
      </c>
      <c r="AE206" s="17" t="s">
        <v>1802</v>
      </c>
      <c r="AF206" s="23" t="str">
        <f>IFERROR(VLOOKUP(AE206,Listas!$AD$1:$AF$66,2,FALSE),"")</f>
        <v>YULI ANDREA RIVEROS PINEDA</v>
      </c>
      <c r="AG206" s="23">
        <f>IFERROR(VLOOKUP(AE206,Listas!$AD$1:$AF$65,3,FALSE),"")</f>
        <v>53036984</v>
      </c>
      <c r="AH206" s="17" t="s">
        <v>118</v>
      </c>
      <c r="AI206" s="65" t="s">
        <v>1867</v>
      </c>
      <c r="AJ206" s="25" t="s">
        <v>119</v>
      </c>
      <c r="AK206" s="26" t="s">
        <v>120</v>
      </c>
      <c r="AL206" s="26" t="s">
        <v>120</v>
      </c>
      <c r="AM206" s="90" t="s">
        <v>119</v>
      </c>
      <c r="AN206" s="105">
        <v>34739</v>
      </c>
      <c r="AO206" s="91">
        <f t="shared" ca="1" si="81"/>
        <v>30</v>
      </c>
      <c r="AP206" s="26" t="s">
        <v>121</v>
      </c>
      <c r="AQ206" s="26" t="s">
        <v>1272</v>
      </c>
      <c r="AR206" s="89">
        <v>45597</v>
      </c>
      <c r="AS206" s="27" t="s">
        <v>1868</v>
      </c>
      <c r="AT206" s="16">
        <v>1070947518</v>
      </c>
      <c r="AU206" s="20" t="s">
        <v>1866</v>
      </c>
      <c r="AV206" s="86">
        <v>12263602</v>
      </c>
      <c r="AW206" s="27"/>
      <c r="AX206" s="27"/>
      <c r="AY206" s="27"/>
      <c r="AZ206" s="27"/>
      <c r="BA206" s="27"/>
      <c r="BB206" s="27"/>
      <c r="BC206" s="97"/>
      <c r="BD206" s="27"/>
      <c r="BE206" s="16"/>
      <c r="BF206" s="28">
        <f t="shared" si="82"/>
        <v>0</v>
      </c>
      <c r="BG206" s="29"/>
      <c r="BH206" s="27"/>
      <c r="BI206" s="30">
        <f t="shared" si="83"/>
        <v>343</v>
      </c>
      <c r="BJ206" s="31">
        <f t="shared" si="84"/>
        <v>45657</v>
      </c>
      <c r="BK206" s="27"/>
      <c r="BL206" s="16"/>
      <c r="BM206" s="27"/>
      <c r="BN206" s="16"/>
      <c r="BO206" s="27"/>
      <c r="BP206" s="16"/>
      <c r="BQ206" s="27"/>
      <c r="BR206" s="24"/>
      <c r="BS206" s="24"/>
      <c r="BT206" s="32"/>
      <c r="BU206" s="27"/>
      <c r="BV206" s="24"/>
      <c r="BW206" s="24"/>
      <c r="BX206" s="16"/>
      <c r="BY206" s="27"/>
      <c r="BZ206" s="24"/>
      <c r="CA206" s="24"/>
      <c r="CB206" s="16"/>
      <c r="CC206" s="49">
        <f t="shared" si="85"/>
        <v>0</v>
      </c>
      <c r="CD206" s="24"/>
      <c r="CE206" s="49">
        <f t="shared" si="93"/>
        <v>71534167</v>
      </c>
      <c r="CF206" s="50"/>
      <c r="CG206" s="49">
        <f t="shared" ca="1" si="87"/>
        <v>71534167</v>
      </c>
      <c r="CH206" s="33">
        <f t="shared" ca="1" si="88"/>
        <v>1</v>
      </c>
      <c r="CI206" s="33">
        <f t="shared" ca="1" si="89"/>
        <v>1</v>
      </c>
      <c r="CJ206" s="36">
        <f t="shared" ca="1" si="90"/>
        <v>100</v>
      </c>
      <c r="CK206" s="34">
        <f t="shared" si="91"/>
        <v>0</v>
      </c>
      <c r="CL206" s="21"/>
      <c r="CM206" s="35" t="str">
        <f t="shared" ca="1" si="92"/>
        <v>TERMINADO</v>
      </c>
      <c r="CN206" s="82"/>
      <c r="CO206" s="145" t="s">
        <v>1869</v>
      </c>
      <c r="CP206" s="26" t="s">
        <v>123</v>
      </c>
    </row>
    <row r="207" spans="1:98" ht="24.75" customHeight="1">
      <c r="A207" s="48"/>
      <c r="B207" s="345" t="s">
        <v>1870</v>
      </c>
      <c r="C207" s="345" t="s">
        <v>1583</v>
      </c>
      <c r="D207" s="18"/>
      <c r="E207" s="17"/>
      <c r="F207" s="17"/>
      <c r="G207" s="17"/>
      <c r="H207" s="78"/>
      <c r="I207" s="74"/>
      <c r="J207" s="16"/>
      <c r="K207" s="16"/>
      <c r="L207" s="96"/>
      <c r="M207" s="16"/>
      <c r="N207" s="22"/>
      <c r="O207" s="22"/>
      <c r="P207" s="22"/>
      <c r="Q207" s="23"/>
      <c r="R207" s="17"/>
      <c r="S207" s="16"/>
      <c r="T207" s="16"/>
      <c r="U207" s="67"/>
      <c r="V207" s="16"/>
      <c r="W207" s="24"/>
      <c r="X207" s="24"/>
      <c r="Y207" s="24"/>
      <c r="Z207" s="24"/>
      <c r="AA207" s="17"/>
      <c r="AB207" s="23"/>
      <c r="AC207" s="23"/>
      <c r="AD207" s="17"/>
      <c r="AE207" s="17"/>
      <c r="AF207" s="23"/>
      <c r="AG207" s="23"/>
      <c r="AH207" s="17"/>
      <c r="AI207" s="65"/>
      <c r="AJ207" s="25"/>
      <c r="AK207" s="26"/>
      <c r="AL207" s="26"/>
      <c r="AM207" s="90"/>
      <c r="AN207" s="105"/>
      <c r="AO207" s="91"/>
      <c r="AP207" s="26"/>
      <c r="AQ207" s="26"/>
      <c r="AR207" s="89"/>
      <c r="AS207" s="27"/>
      <c r="AT207" s="16"/>
      <c r="AU207" s="27"/>
      <c r="AV207" s="86"/>
      <c r="AW207" s="27"/>
      <c r="AX207" s="27"/>
      <c r="AY207" s="27"/>
      <c r="AZ207" s="27"/>
      <c r="BA207" s="27"/>
      <c r="BB207" s="27"/>
      <c r="BC207" s="97"/>
      <c r="BD207" s="27"/>
      <c r="BE207" s="16"/>
      <c r="BF207" s="28">
        <f t="shared" si="82"/>
        <v>0</v>
      </c>
      <c r="BG207" s="29"/>
      <c r="BH207" s="27"/>
      <c r="BI207" s="30">
        <f t="shared" si="83"/>
        <v>0</v>
      </c>
      <c r="BJ207" s="31">
        <f t="shared" si="84"/>
        <v>0</v>
      </c>
      <c r="BK207" s="27"/>
      <c r="BL207" s="16"/>
      <c r="BM207" s="27"/>
      <c r="BN207" s="16"/>
      <c r="BO207" s="27"/>
      <c r="BP207" s="16"/>
      <c r="BQ207" s="27"/>
      <c r="BR207" s="24"/>
      <c r="BS207" s="24"/>
      <c r="BT207" s="32"/>
      <c r="BU207" s="27"/>
      <c r="BV207" s="24"/>
      <c r="BW207" s="24"/>
      <c r="BX207" s="16"/>
      <c r="BY207" s="27"/>
      <c r="BZ207" s="24"/>
      <c r="CA207" s="24"/>
      <c r="CB207" s="16"/>
      <c r="CC207" s="49">
        <f t="shared" si="85"/>
        <v>0</v>
      </c>
      <c r="CD207" s="24"/>
      <c r="CE207" s="49">
        <f t="shared" si="93"/>
        <v>0</v>
      </c>
      <c r="CF207" s="50"/>
      <c r="CG207" s="49" t="str">
        <f t="shared" ca="1" si="87"/>
        <v/>
      </c>
      <c r="CH207" s="33">
        <f t="shared" ca="1" si="88"/>
        <v>1</v>
      </c>
      <c r="CI207" s="33">
        <f t="shared" ca="1" si="89"/>
        <v>1</v>
      </c>
      <c r="CJ207" s="36" t="str">
        <f t="shared" ca="1" si="90"/>
        <v/>
      </c>
      <c r="CK207" s="34" t="str">
        <f t="shared" si="91"/>
        <v/>
      </c>
      <c r="CL207" s="21"/>
      <c r="CM207" s="35"/>
      <c r="CN207" s="82"/>
      <c r="CP207" s="26"/>
      <c r="CS207" s="48"/>
      <c r="CT207" s="345"/>
    </row>
    <row r="208" spans="1:98" s="154" customFormat="1" ht="24.75" customHeight="1">
      <c r="A208" s="48"/>
      <c r="B208" s="345" t="s">
        <v>1871</v>
      </c>
      <c r="C208" s="345" t="s">
        <v>1583</v>
      </c>
      <c r="D208" s="18"/>
      <c r="E208" s="17"/>
      <c r="F208" s="17"/>
      <c r="G208" s="17"/>
      <c r="H208" s="78"/>
      <c r="I208" s="74"/>
      <c r="J208" s="16"/>
      <c r="K208" s="16"/>
      <c r="L208" s="96"/>
      <c r="M208" s="16"/>
      <c r="N208" s="22"/>
      <c r="O208" s="22"/>
      <c r="P208" s="22"/>
      <c r="Q208" s="23"/>
      <c r="R208" s="17"/>
      <c r="S208" s="16"/>
      <c r="T208" s="16"/>
      <c r="U208" s="67"/>
      <c r="V208" s="16"/>
      <c r="W208" s="24"/>
      <c r="X208" s="24"/>
      <c r="Y208" s="24"/>
      <c r="Z208" s="24"/>
      <c r="AA208" s="17"/>
      <c r="AB208" s="23"/>
      <c r="AC208" s="23"/>
      <c r="AD208" s="17"/>
      <c r="AE208" s="17"/>
      <c r="AF208" s="23"/>
      <c r="AG208" s="23"/>
      <c r="AH208" s="17"/>
      <c r="AI208" s="65"/>
      <c r="AJ208" s="25"/>
      <c r="AK208" s="26"/>
      <c r="AL208" s="26"/>
      <c r="AM208" s="90"/>
      <c r="AN208" s="105"/>
      <c r="AO208" s="91"/>
      <c r="AP208" s="26"/>
      <c r="AQ208" s="26"/>
      <c r="AR208" s="89"/>
      <c r="AS208" s="27"/>
      <c r="AT208" s="16"/>
      <c r="AU208" s="27"/>
      <c r="AV208" s="86"/>
      <c r="AW208" s="27"/>
      <c r="AX208" s="27"/>
      <c r="AY208" s="27"/>
      <c r="AZ208" s="27"/>
      <c r="BA208" s="27"/>
      <c r="BB208" s="27"/>
      <c r="BC208" s="97"/>
      <c r="BD208" s="27"/>
      <c r="BE208" s="16"/>
      <c r="BF208" s="28"/>
      <c r="BG208" s="29"/>
      <c r="BH208" s="27"/>
      <c r="BI208" s="30"/>
      <c r="BJ208" s="31"/>
      <c r="BK208" s="27"/>
      <c r="BL208" s="16"/>
      <c r="BM208" s="27"/>
      <c r="BN208" s="16"/>
      <c r="BO208" s="27"/>
      <c r="BP208" s="16"/>
      <c r="BQ208" s="27"/>
      <c r="BR208" s="24"/>
      <c r="BS208" s="24"/>
      <c r="BT208" s="32"/>
      <c r="BU208" s="27"/>
      <c r="BV208" s="24"/>
      <c r="BW208" s="24"/>
      <c r="BX208" s="16"/>
      <c r="BY208" s="27"/>
      <c r="BZ208" s="24"/>
      <c r="CA208" s="24"/>
      <c r="CB208" s="16"/>
      <c r="CC208" s="49"/>
      <c r="CD208" s="24"/>
      <c r="CE208" s="49"/>
      <c r="CF208" s="50"/>
      <c r="CG208" s="49"/>
      <c r="CH208" s="33"/>
      <c r="CI208" s="33"/>
      <c r="CJ208" s="36"/>
      <c r="CK208" s="34"/>
      <c r="CL208" s="21"/>
      <c r="CM208" s="35"/>
      <c r="CN208" s="82"/>
      <c r="CO208" s="145"/>
      <c r="CP208" s="26"/>
      <c r="CQ208" s="83"/>
      <c r="CR208" s="83"/>
      <c r="CS208" s="48"/>
      <c r="CT208" s="345"/>
    </row>
    <row r="209" spans="1:98" ht="24.75" customHeight="1">
      <c r="A209" s="48" t="s">
        <v>1872</v>
      </c>
      <c r="B209" s="77" t="s">
        <v>1873</v>
      </c>
      <c r="C209" s="17" t="s">
        <v>104</v>
      </c>
      <c r="D209" s="18" t="s">
        <v>1874</v>
      </c>
      <c r="E209" s="17" t="s">
        <v>106</v>
      </c>
      <c r="F209" s="17" t="s">
        <v>107</v>
      </c>
      <c r="G209" s="17" t="s">
        <v>108</v>
      </c>
      <c r="H209" s="78">
        <v>1010165670</v>
      </c>
      <c r="I209" s="74" t="s">
        <v>1875</v>
      </c>
      <c r="J209" s="16"/>
      <c r="K209" s="16"/>
      <c r="L209" s="20" t="s">
        <v>1440</v>
      </c>
      <c r="M209" s="16" t="s">
        <v>111</v>
      </c>
      <c r="N209" s="22">
        <v>45309</v>
      </c>
      <c r="O209" s="22">
        <v>45313</v>
      </c>
      <c r="P209" s="22">
        <v>45656</v>
      </c>
      <c r="Q209" s="23">
        <f t="shared" ref="Q209:Q223" si="94">P209-O209</f>
        <v>343</v>
      </c>
      <c r="R209" s="17" t="s">
        <v>242</v>
      </c>
      <c r="S209" s="110" t="s">
        <v>1876</v>
      </c>
      <c r="T209" s="16" t="s">
        <v>1128</v>
      </c>
      <c r="U209" s="67">
        <v>72960000</v>
      </c>
      <c r="V209" s="16" t="s">
        <v>1877</v>
      </c>
      <c r="W209" s="224">
        <v>72960000</v>
      </c>
      <c r="X209" s="24">
        <v>6400000</v>
      </c>
      <c r="Y209" s="24"/>
      <c r="Z209" s="24"/>
      <c r="AA209" s="17" t="s">
        <v>116</v>
      </c>
      <c r="AB209" s="23" t="str">
        <f>IFERROR(VLOOKUP(AA209,Listas!$A$1:$C$14,2,FALSE),"")</f>
        <v>FREDY CÉSPEDES VILLA</v>
      </c>
      <c r="AC209" s="23">
        <f>IFERROR(VLOOKUP(AA209,Listas!$A$1:$C$14,3,FALSE),"")</f>
        <v>93363483</v>
      </c>
      <c r="AD209" s="17" t="s">
        <v>816</v>
      </c>
      <c r="AE209" s="17" t="s">
        <v>817</v>
      </c>
      <c r="AF209" s="23" t="str">
        <f>IFERROR(VLOOKUP(AE209,Listas!$AD$1:$AF$66,2,FALSE),"")</f>
        <v>JOSÉ EDUARDO PARADA JIMÉNEZ</v>
      </c>
      <c r="AG209" s="23">
        <f>IFERROR(VLOOKUP(AE209,Listas!$AD$1:$AF$65,3,FALSE),"")</f>
        <v>79434805</v>
      </c>
      <c r="AH209" s="17" t="s">
        <v>118</v>
      </c>
      <c r="AI209" s="65" t="s">
        <v>1878</v>
      </c>
      <c r="AJ209" s="25" t="s">
        <v>119</v>
      </c>
      <c r="AK209" s="26" t="s">
        <v>120</v>
      </c>
      <c r="AL209" s="26" t="s">
        <v>120</v>
      </c>
      <c r="AM209" s="90" t="s">
        <v>119</v>
      </c>
      <c r="AN209" s="105">
        <v>31640</v>
      </c>
      <c r="AO209" s="91">
        <f t="shared" ref="AO209:AO223" ca="1" si="95">IF(YEAR(TODAY())-YEAR(AN209)&gt;100," ",YEAR(TODAY())-YEAR(AN209))</f>
        <v>39</v>
      </c>
      <c r="AP209" s="26" t="s">
        <v>121</v>
      </c>
      <c r="AQ209" s="26" t="s">
        <v>819</v>
      </c>
      <c r="AR209" s="89"/>
      <c r="AS209" s="27"/>
      <c r="AT209" s="16"/>
      <c r="AU209" s="27"/>
      <c r="AV209" s="86"/>
      <c r="AW209" s="27"/>
      <c r="AX209" s="27"/>
      <c r="AY209" s="27"/>
      <c r="AZ209" s="27"/>
      <c r="BA209" s="27"/>
      <c r="BB209" s="27"/>
      <c r="BC209" s="97"/>
      <c r="BD209" s="27"/>
      <c r="BE209" s="16"/>
      <c r="BF209" s="28">
        <f t="shared" ref="BF209:BF240" si="96">BC209+BE209</f>
        <v>0</v>
      </c>
      <c r="BG209" s="29"/>
      <c r="BH209" s="27"/>
      <c r="BI209" s="30">
        <f t="shared" ref="BI209:BI240" si="97">BF209+Q209</f>
        <v>343</v>
      </c>
      <c r="BJ209" s="31">
        <f t="shared" ref="BJ209:BJ240" si="98">IF(BH209="",P209+BF209,BH209)</f>
        <v>45656</v>
      </c>
      <c r="BK209" s="27"/>
      <c r="BL209" s="16"/>
      <c r="BM209" s="27"/>
      <c r="BN209" s="16"/>
      <c r="BO209" s="27"/>
      <c r="BP209" s="16"/>
      <c r="BQ209" s="27"/>
      <c r="BR209" s="24"/>
      <c r="BS209" s="24"/>
      <c r="BT209" s="32"/>
      <c r="BU209" s="27"/>
      <c r="BV209" s="24"/>
      <c r="BW209" s="24"/>
      <c r="BX209" s="16"/>
      <c r="BY209" s="27"/>
      <c r="BZ209" s="24"/>
      <c r="CA209" s="24"/>
      <c r="CB209" s="16"/>
      <c r="CC209" s="49">
        <f t="shared" ref="CC209:CC240" si="99">BR209+BV209+BZ209</f>
        <v>0</v>
      </c>
      <c r="CD209" s="24"/>
      <c r="CE209" s="49">
        <f t="shared" ref="CE209:CE240" si="100">IF(Y209=0,(W209+CC209)-CD209,IF(Y209&gt;0,(Y209+CC209)-CD209))</f>
        <v>72960000</v>
      </c>
      <c r="CF209" s="50"/>
      <c r="CG209" s="49">
        <f t="shared" ref="CG209:CG240" ca="1" si="101">IFERROR(IF(((CE209/BI209)*(TODAY()-N209))&gt;CE209,CE209,((CE209/BI209)*(TODAY()-N209))),"")</f>
        <v>72960000</v>
      </c>
      <c r="CH209" s="33">
        <f t="shared" ref="CH209:CH240" ca="1" si="102">IF(TODAY()&gt;BJ209,1,+(DAYS360(O209,TODAY())/DAYS360(O209,BJ209)))</f>
        <v>1</v>
      </c>
      <c r="CI209" s="33">
        <f t="shared" ref="CI209:CI240" ca="1" si="103">+IF(CL209&gt;0,DAYS360(O209,CL209)/DAYS360(O209,BJ209),CH209)</f>
        <v>1</v>
      </c>
      <c r="CJ209" s="36">
        <f t="shared" ref="CJ209:CJ240" ca="1" si="104">IFERROR(IF(((CG209/CE209)*100)&gt;100,100,((CG209/CE209)*100)),"")</f>
        <v>100</v>
      </c>
      <c r="CK209" s="34">
        <f t="shared" ref="CK209:CK240" si="105">IFERROR((CF209/CE209)*100,"")</f>
        <v>0</v>
      </c>
      <c r="CL209" s="21"/>
      <c r="CM209" s="35" t="str">
        <f t="shared" ref="CM209:CM223" ca="1" si="106">IF(CL209&gt;1/1/6,"LIQUIDADO",IF(BJ209=0,"",IF(BJ209&gt;=TODAY(),"VIGENTE",IF(BJ209&lt;TODAY(),"TERMINADO",))))</f>
        <v>TERMINADO</v>
      </c>
      <c r="CN209" s="82"/>
      <c r="CO209" s="145" t="s">
        <v>1879</v>
      </c>
      <c r="CP209" s="26" t="s">
        <v>123</v>
      </c>
    </row>
    <row r="210" spans="1:98" ht="24.75" customHeight="1">
      <c r="A210" s="48" t="s">
        <v>1880</v>
      </c>
      <c r="B210" s="77" t="s">
        <v>1881</v>
      </c>
      <c r="C210" s="17" t="s">
        <v>104</v>
      </c>
      <c r="D210" s="18" t="s">
        <v>1882</v>
      </c>
      <c r="E210" s="17" t="s">
        <v>106</v>
      </c>
      <c r="F210" s="17" t="s">
        <v>107</v>
      </c>
      <c r="G210" s="17" t="s">
        <v>108</v>
      </c>
      <c r="H210" s="78">
        <v>52538663</v>
      </c>
      <c r="I210" s="74" t="s">
        <v>1883</v>
      </c>
      <c r="J210" s="16"/>
      <c r="K210" s="16"/>
      <c r="L210" s="20" t="s">
        <v>1884</v>
      </c>
      <c r="M210" s="16" t="s">
        <v>111</v>
      </c>
      <c r="N210" s="22">
        <v>45309</v>
      </c>
      <c r="O210" s="22">
        <v>45313</v>
      </c>
      <c r="P210" s="22">
        <v>45656</v>
      </c>
      <c r="Q210" s="23">
        <f t="shared" si="94"/>
        <v>343</v>
      </c>
      <c r="R210" s="17" t="s">
        <v>242</v>
      </c>
      <c r="S210" s="110" t="s">
        <v>1885</v>
      </c>
      <c r="T210" s="16" t="s">
        <v>1128</v>
      </c>
      <c r="U210" s="67">
        <v>73386667</v>
      </c>
      <c r="V210" s="16" t="s">
        <v>815</v>
      </c>
      <c r="W210" s="224">
        <v>73386667</v>
      </c>
      <c r="X210" s="24">
        <v>6400000</v>
      </c>
      <c r="Y210" s="24"/>
      <c r="Z210" s="24"/>
      <c r="AA210" s="17" t="s">
        <v>116</v>
      </c>
      <c r="AB210" s="23" t="str">
        <f>IFERROR(VLOOKUP(AA210,Listas!$A$1:$C$14,2,FALSE),"")</f>
        <v>FREDY CÉSPEDES VILLA</v>
      </c>
      <c r="AC210" s="23">
        <f>IFERROR(VLOOKUP(AA210,Listas!$A$1:$C$14,3,FALSE),"")</f>
        <v>93363483</v>
      </c>
      <c r="AD210" s="17" t="s">
        <v>816</v>
      </c>
      <c r="AE210" s="17" t="s">
        <v>817</v>
      </c>
      <c r="AF210" s="23" t="str">
        <f>IFERROR(VLOOKUP(AE210,Listas!$AD$1:$AF$66,2,FALSE),"")</f>
        <v>JOSÉ EDUARDO PARADA JIMÉNEZ</v>
      </c>
      <c r="AG210" s="23">
        <f>IFERROR(VLOOKUP(AE210,Listas!$AD$1:$AF$65,3,FALSE),"")</f>
        <v>79434805</v>
      </c>
      <c r="AH210" s="17" t="s">
        <v>118</v>
      </c>
      <c r="AI210" s="65" t="s">
        <v>1886</v>
      </c>
      <c r="AJ210" s="25" t="s">
        <v>119</v>
      </c>
      <c r="AK210" s="26" t="s">
        <v>120</v>
      </c>
      <c r="AL210" s="26" t="s">
        <v>120</v>
      </c>
      <c r="AM210" s="90" t="s">
        <v>119</v>
      </c>
      <c r="AN210" s="105">
        <v>29083</v>
      </c>
      <c r="AO210" s="91">
        <f t="shared" ca="1" si="95"/>
        <v>46</v>
      </c>
      <c r="AP210" s="26" t="s">
        <v>121</v>
      </c>
      <c r="AQ210" s="26" t="s">
        <v>819</v>
      </c>
      <c r="AR210" s="89"/>
      <c r="AS210" s="27"/>
      <c r="AT210" s="16"/>
      <c r="AU210" s="27"/>
      <c r="AV210" s="86"/>
      <c r="AW210" s="27"/>
      <c r="AX210" s="27"/>
      <c r="AY210" s="27"/>
      <c r="AZ210" s="27"/>
      <c r="BA210" s="27"/>
      <c r="BB210" s="27"/>
      <c r="BC210" s="97"/>
      <c r="BD210" s="27"/>
      <c r="BE210" s="16"/>
      <c r="BF210" s="28">
        <f t="shared" si="96"/>
        <v>0</v>
      </c>
      <c r="BG210" s="29"/>
      <c r="BH210" s="27"/>
      <c r="BI210" s="30">
        <f t="shared" si="97"/>
        <v>343</v>
      </c>
      <c r="BJ210" s="31">
        <f t="shared" si="98"/>
        <v>45656</v>
      </c>
      <c r="BK210" s="27"/>
      <c r="BL210" s="16"/>
      <c r="BM210" s="27"/>
      <c r="BN210" s="16"/>
      <c r="BO210" s="27"/>
      <c r="BP210" s="16"/>
      <c r="BQ210" s="27"/>
      <c r="BR210" s="24"/>
      <c r="BS210" s="24"/>
      <c r="BT210" s="32"/>
      <c r="BU210" s="27"/>
      <c r="BV210" s="24"/>
      <c r="BW210" s="24"/>
      <c r="BX210" s="16"/>
      <c r="BY210" s="27"/>
      <c r="BZ210" s="24"/>
      <c r="CA210" s="24"/>
      <c r="CB210" s="16"/>
      <c r="CC210" s="49">
        <f t="shared" si="99"/>
        <v>0</v>
      </c>
      <c r="CD210" s="24"/>
      <c r="CE210" s="49">
        <f t="shared" si="100"/>
        <v>73386667</v>
      </c>
      <c r="CF210" s="50"/>
      <c r="CG210" s="49">
        <f t="shared" ca="1" si="101"/>
        <v>73386667</v>
      </c>
      <c r="CH210" s="33">
        <f t="shared" ca="1" si="102"/>
        <v>1</v>
      </c>
      <c r="CI210" s="33">
        <f t="shared" ca="1" si="103"/>
        <v>1</v>
      </c>
      <c r="CJ210" s="36">
        <f t="shared" ca="1" si="104"/>
        <v>100</v>
      </c>
      <c r="CK210" s="34">
        <f t="shared" si="105"/>
        <v>0</v>
      </c>
      <c r="CL210" s="21"/>
      <c r="CM210" s="35" t="str">
        <f t="shared" ca="1" si="106"/>
        <v>TERMINADO</v>
      </c>
      <c r="CN210" s="82"/>
      <c r="CO210" s="145" t="s">
        <v>1887</v>
      </c>
      <c r="CP210" s="26" t="s">
        <v>123</v>
      </c>
    </row>
    <row r="211" spans="1:98" ht="24.75" customHeight="1">
      <c r="A211" s="48" t="s">
        <v>1888</v>
      </c>
      <c r="B211" s="77" t="s">
        <v>1889</v>
      </c>
      <c r="C211" s="17" t="s">
        <v>104</v>
      </c>
      <c r="D211" s="18" t="s">
        <v>1890</v>
      </c>
      <c r="E211" s="17" t="s">
        <v>106</v>
      </c>
      <c r="F211" s="17" t="s">
        <v>107</v>
      </c>
      <c r="G211" s="17" t="s">
        <v>108</v>
      </c>
      <c r="H211" s="78">
        <v>1094884450</v>
      </c>
      <c r="I211" s="74" t="s">
        <v>1891</v>
      </c>
      <c r="J211" s="16"/>
      <c r="K211" s="16"/>
      <c r="L211" s="20" t="s">
        <v>1892</v>
      </c>
      <c r="M211" s="16" t="s">
        <v>111</v>
      </c>
      <c r="N211" s="22">
        <v>45309</v>
      </c>
      <c r="O211" s="22">
        <v>45313</v>
      </c>
      <c r="P211" s="22">
        <v>45657</v>
      </c>
      <c r="Q211" s="23">
        <f t="shared" si="94"/>
        <v>344</v>
      </c>
      <c r="R211" s="17" t="s">
        <v>112</v>
      </c>
      <c r="S211" s="110" t="s">
        <v>1893</v>
      </c>
      <c r="T211" s="16" t="s">
        <v>263</v>
      </c>
      <c r="U211" s="67">
        <v>150815292</v>
      </c>
      <c r="V211" s="16" t="s">
        <v>1894</v>
      </c>
      <c r="W211" s="224">
        <v>150815292</v>
      </c>
      <c r="X211" s="24">
        <v>12567941</v>
      </c>
      <c r="Y211" s="24"/>
      <c r="Z211" s="24"/>
      <c r="AA211" s="17" t="s">
        <v>116</v>
      </c>
      <c r="AB211" s="23" t="str">
        <f>IFERROR(VLOOKUP(AA211,Listas!$A$1:$C$14,2,FALSE),"")</f>
        <v>FREDY CÉSPEDES VILLA</v>
      </c>
      <c r="AC211" s="23">
        <f>IFERROR(VLOOKUP(AA211,Listas!$A$1:$C$14,3,FALSE),"")</f>
        <v>93363483</v>
      </c>
      <c r="AD211" s="17" t="s">
        <v>217</v>
      </c>
      <c r="AE211" s="17" t="s">
        <v>265</v>
      </c>
      <c r="AF211" s="23" t="str">
        <f>IFERROR(VLOOKUP(AE211,Listas!$AD$1:$AF$66,2,FALSE),"")</f>
        <v>EDGAR ANTONIO GÓMEZ ÁLVAREZ</v>
      </c>
      <c r="AG211" s="23">
        <f>IFERROR(VLOOKUP(AE211,Listas!$AD$1:$AF$65,3,FALSE),"")</f>
        <v>2231755</v>
      </c>
      <c r="AH211" s="17" t="s">
        <v>118</v>
      </c>
      <c r="AI211" s="65" t="s">
        <v>1895</v>
      </c>
      <c r="AJ211" s="25" t="s">
        <v>119</v>
      </c>
      <c r="AK211" s="26" t="s">
        <v>120</v>
      </c>
      <c r="AL211" s="26" t="s">
        <v>120</v>
      </c>
      <c r="AM211" s="90" t="s">
        <v>119</v>
      </c>
      <c r="AN211" s="105">
        <v>31730</v>
      </c>
      <c r="AO211" s="91">
        <f t="shared" ca="1" si="95"/>
        <v>39</v>
      </c>
      <c r="AP211" s="26" t="s">
        <v>121</v>
      </c>
      <c r="AQ211" s="26" t="s">
        <v>220</v>
      </c>
      <c r="AR211" s="89"/>
      <c r="AS211" s="27"/>
      <c r="AT211" s="16"/>
      <c r="AU211" s="27"/>
      <c r="AV211" s="86"/>
      <c r="AW211" s="27"/>
      <c r="AX211" s="27"/>
      <c r="AY211" s="27"/>
      <c r="AZ211" s="27"/>
      <c r="BA211" s="27"/>
      <c r="BB211" s="27"/>
      <c r="BC211" s="97"/>
      <c r="BD211" s="27"/>
      <c r="BE211" s="16"/>
      <c r="BF211" s="28">
        <f t="shared" si="96"/>
        <v>0</v>
      </c>
      <c r="BG211" s="29"/>
      <c r="BH211" s="27"/>
      <c r="BI211" s="30">
        <f t="shared" si="97"/>
        <v>344</v>
      </c>
      <c r="BJ211" s="31">
        <f t="shared" si="98"/>
        <v>45657</v>
      </c>
      <c r="BK211" s="27"/>
      <c r="BL211" s="16"/>
      <c r="BM211" s="27"/>
      <c r="BN211" s="16"/>
      <c r="BO211" s="27"/>
      <c r="BP211" s="16"/>
      <c r="BQ211" s="27"/>
      <c r="BR211" s="24"/>
      <c r="BS211" s="24"/>
      <c r="BT211" s="32"/>
      <c r="BU211" s="27"/>
      <c r="BV211" s="24"/>
      <c r="BW211" s="24"/>
      <c r="BX211" s="16"/>
      <c r="BY211" s="27"/>
      <c r="BZ211" s="24"/>
      <c r="CA211" s="24"/>
      <c r="CB211" s="16"/>
      <c r="CC211" s="49">
        <f t="shared" si="99"/>
        <v>0</v>
      </c>
      <c r="CD211" s="24"/>
      <c r="CE211" s="49">
        <f t="shared" si="100"/>
        <v>150815292</v>
      </c>
      <c r="CF211" s="50"/>
      <c r="CG211" s="49">
        <f t="shared" ca="1" si="101"/>
        <v>150815292</v>
      </c>
      <c r="CH211" s="33">
        <f t="shared" ca="1" si="102"/>
        <v>1</v>
      </c>
      <c r="CI211" s="33">
        <f t="shared" ca="1" si="103"/>
        <v>1</v>
      </c>
      <c r="CJ211" s="36">
        <f t="shared" ca="1" si="104"/>
        <v>100</v>
      </c>
      <c r="CK211" s="34">
        <f t="shared" si="105"/>
        <v>0</v>
      </c>
      <c r="CL211" s="21"/>
      <c r="CM211" s="35" t="str">
        <f t="shared" ca="1" si="106"/>
        <v>TERMINADO</v>
      </c>
      <c r="CN211" s="82"/>
      <c r="CO211" s="145" t="s">
        <v>1896</v>
      </c>
      <c r="CP211" s="26" t="s">
        <v>123</v>
      </c>
    </row>
    <row r="212" spans="1:98" ht="24.75" customHeight="1">
      <c r="A212" s="48" t="s">
        <v>1897</v>
      </c>
      <c r="B212" s="77" t="s">
        <v>1898</v>
      </c>
      <c r="C212" s="17" t="s">
        <v>104</v>
      </c>
      <c r="D212" s="18" t="s">
        <v>1899</v>
      </c>
      <c r="E212" s="17" t="s">
        <v>106</v>
      </c>
      <c r="F212" s="17" t="s">
        <v>107</v>
      </c>
      <c r="G212" s="17" t="s">
        <v>108</v>
      </c>
      <c r="H212" s="78">
        <v>1019033940</v>
      </c>
      <c r="I212" s="74" t="s">
        <v>1900</v>
      </c>
      <c r="J212" s="16"/>
      <c r="K212" s="16"/>
      <c r="L212" s="20" t="s">
        <v>1901</v>
      </c>
      <c r="M212" s="16" t="s">
        <v>111</v>
      </c>
      <c r="N212" s="22">
        <v>45309</v>
      </c>
      <c r="O212" s="22">
        <v>45310</v>
      </c>
      <c r="P212" s="22">
        <v>45656</v>
      </c>
      <c r="Q212" s="23">
        <f t="shared" si="94"/>
        <v>346</v>
      </c>
      <c r="R212" s="17" t="s">
        <v>242</v>
      </c>
      <c r="S212" s="110" t="s">
        <v>1902</v>
      </c>
      <c r="T212" s="16" t="s">
        <v>364</v>
      </c>
      <c r="U212" s="67">
        <v>84582960</v>
      </c>
      <c r="V212" s="16" t="s">
        <v>1903</v>
      </c>
      <c r="W212" s="224">
        <v>84582960</v>
      </c>
      <c r="X212" s="24">
        <v>7355040</v>
      </c>
      <c r="Y212" s="24"/>
      <c r="Z212" s="24"/>
      <c r="AA212" s="17" t="s">
        <v>116</v>
      </c>
      <c r="AB212" s="23" t="str">
        <f>IFERROR(VLOOKUP(AA212,Listas!$A$1:$C$14,2,FALSE),"")</f>
        <v>FREDY CÉSPEDES VILLA</v>
      </c>
      <c r="AC212" s="23">
        <f>IFERROR(VLOOKUP(AA212,Listas!$A$1:$C$14,3,FALSE),"")</f>
        <v>93363483</v>
      </c>
      <c r="AD212" s="17" t="s">
        <v>345</v>
      </c>
      <c r="AE212" s="17" t="s">
        <v>632</v>
      </c>
      <c r="AF212" s="23" t="str">
        <f>IFERROR(VLOOKUP(AE212,Listas!$AD$1:$AF$66,2,FALSE),"")</f>
        <v>MANUEL ALBERTO LOZANO CARDONA</v>
      </c>
      <c r="AG212" s="23">
        <f>IFERROR(VLOOKUP(AE212,Listas!$AD$1:$AF$65,3,FALSE),"")</f>
        <v>79940034</v>
      </c>
      <c r="AH212" s="17" t="s">
        <v>118</v>
      </c>
      <c r="AI212" s="65" t="s">
        <v>1904</v>
      </c>
      <c r="AJ212" s="25" t="s">
        <v>119</v>
      </c>
      <c r="AK212" s="26" t="s">
        <v>120</v>
      </c>
      <c r="AL212" s="26" t="s">
        <v>120</v>
      </c>
      <c r="AM212" s="90" t="s">
        <v>119</v>
      </c>
      <c r="AN212" s="105">
        <v>32654</v>
      </c>
      <c r="AO212" s="91">
        <f t="shared" ca="1" si="95"/>
        <v>36</v>
      </c>
      <c r="AP212" s="26" t="s">
        <v>121</v>
      </c>
      <c r="AQ212" s="26" t="s">
        <v>367</v>
      </c>
      <c r="AR212" s="89"/>
      <c r="AS212" s="27"/>
      <c r="AT212" s="16"/>
      <c r="AU212" s="27"/>
      <c r="AV212" s="86"/>
      <c r="AW212" s="27"/>
      <c r="AX212" s="27"/>
      <c r="AY212" s="27"/>
      <c r="AZ212" s="27"/>
      <c r="BA212" s="27"/>
      <c r="BB212" s="27"/>
      <c r="BC212" s="97"/>
      <c r="BD212" s="27"/>
      <c r="BE212" s="16"/>
      <c r="BF212" s="28">
        <f t="shared" si="96"/>
        <v>0</v>
      </c>
      <c r="BG212" s="29"/>
      <c r="BH212" s="27"/>
      <c r="BI212" s="30">
        <f t="shared" si="97"/>
        <v>346</v>
      </c>
      <c r="BJ212" s="31">
        <f t="shared" si="98"/>
        <v>45656</v>
      </c>
      <c r="BK212" s="27"/>
      <c r="BL212" s="16"/>
      <c r="BM212" s="27"/>
      <c r="BN212" s="16"/>
      <c r="BO212" s="27"/>
      <c r="BP212" s="16"/>
      <c r="BQ212" s="27"/>
      <c r="BR212" s="24"/>
      <c r="BS212" s="24"/>
      <c r="BT212" s="32"/>
      <c r="BU212" s="27"/>
      <c r="BV212" s="24"/>
      <c r="BW212" s="24"/>
      <c r="BX212" s="16"/>
      <c r="BY212" s="27"/>
      <c r="BZ212" s="24"/>
      <c r="CA212" s="24"/>
      <c r="CB212" s="16"/>
      <c r="CC212" s="49">
        <f t="shared" si="99"/>
        <v>0</v>
      </c>
      <c r="CD212" s="24"/>
      <c r="CE212" s="49">
        <f t="shared" si="100"/>
        <v>84582960</v>
      </c>
      <c r="CF212" s="50"/>
      <c r="CG212" s="49">
        <f t="shared" ca="1" si="101"/>
        <v>84582960</v>
      </c>
      <c r="CH212" s="33">
        <f t="shared" ca="1" si="102"/>
        <v>1</v>
      </c>
      <c r="CI212" s="33">
        <f t="shared" ca="1" si="103"/>
        <v>1</v>
      </c>
      <c r="CJ212" s="36">
        <f t="shared" ca="1" si="104"/>
        <v>100</v>
      </c>
      <c r="CK212" s="34">
        <f t="shared" si="105"/>
        <v>0</v>
      </c>
      <c r="CL212" s="21"/>
      <c r="CM212" s="35" t="str">
        <f t="shared" ca="1" si="106"/>
        <v>TERMINADO</v>
      </c>
      <c r="CN212" s="82"/>
      <c r="CO212" s="145" t="s">
        <v>1905</v>
      </c>
      <c r="CP212" s="26" t="s">
        <v>123</v>
      </c>
    </row>
    <row r="213" spans="1:98" ht="24.75" customHeight="1">
      <c r="A213" s="48" t="s">
        <v>1906</v>
      </c>
      <c r="B213" s="77" t="s">
        <v>1907</v>
      </c>
      <c r="C213" s="17" t="s">
        <v>104</v>
      </c>
      <c r="D213" s="18" t="s">
        <v>1908</v>
      </c>
      <c r="E213" s="17" t="s">
        <v>106</v>
      </c>
      <c r="F213" s="17" t="s">
        <v>107</v>
      </c>
      <c r="G213" s="17" t="s">
        <v>108</v>
      </c>
      <c r="H213" s="78">
        <v>1030653345</v>
      </c>
      <c r="I213" s="74" t="s">
        <v>1909</v>
      </c>
      <c r="J213" s="16"/>
      <c r="K213" s="16"/>
      <c r="L213" s="20" t="s">
        <v>1910</v>
      </c>
      <c r="M213" s="16" t="s">
        <v>111</v>
      </c>
      <c r="N213" s="22">
        <v>45309</v>
      </c>
      <c r="O213" s="22">
        <v>45309</v>
      </c>
      <c r="P213" s="22">
        <v>45656</v>
      </c>
      <c r="Q213" s="23">
        <f t="shared" si="94"/>
        <v>347</v>
      </c>
      <c r="R213" s="17" t="s">
        <v>242</v>
      </c>
      <c r="S213" s="110" t="s">
        <v>1911</v>
      </c>
      <c r="T213" s="16" t="s">
        <v>865</v>
      </c>
      <c r="U213" s="67">
        <v>50453333</v>
      </c>
      <c r="V213" s="16" t="s">
        <v>866</v>
      </c>
      <c r="W213" s="224">
        <v>50906131</v>
      </c>
      <c r="X213" s="24">
        <v>4413826</v>
      </c>
      <c r="Y213" s="24"/>
      <c r="Z213" s="24"/>
      <c r="AA213" s="17" t="s">
        <v>116</v>
      </c>
      <c r="AB213" s="23" t="str">
        <f>IFERROR(VLOOKUP(AA213,Listas!$A$1:$C$14,2,FALSE),"")</f>
        <v>FREDY CÉSPEDES VILLA</v>
      </c>
      <c r="AC213" s="23">
        <f>IFERROR(VLOOKUP(AA213,Listas!$A$1:$C$14,3,FALSE),"")</f>
        <v>93363483</v>
      </c>
      <c r="AD213" s="17" t="s">
        <v>345</v>
      </c>
      <c r="AE213" s="17" t="s">
        <v>632</v>
      </c>
      <c r="AF213" s="23" t="str">
        <f>IFERROR(VLOOKUP(AE213,Listas!$AD$1:$AF$66,2,FALSE),"")</f>
        <v>MANUEL ALBERTO LOZANO CARDONA</v>
      </c>
      <c r="AG213" s="23">
        <f>IFERROR(VLOOKUP(AE213,Listas!$AD$1:$AF$65,3,FALSE),"")</f>
        <v>79940034</v>
      </c>
      <c r="AH213" s="17" t="s">
        <v>118</v>
      </c>
      <c r="AI213" s="65" t="s">
        <v>1912</v>
      </c>
      <c r="AJ213" s="25" t="s">
        <v>119</v>
      </c>
      <c r="AK213" s="26" t="s">
        <v>120</v>
      </c>
      <c r="AL213" s="26" t="s">
        <v>120</v>
      </c>
      <c r="AM213" s="90" t="s">
        <v>119</v>
      </c>
      <c r="AN213" s="105">
        <v>34836</v>
      </c>
      <c r="AO213" s="91">
        <f t="shared" ca="1" si="95"/>
        <v>30</v>
      </c>
      <c r="AP213" s="26" t="s">
        <v>121</v>
      </c>
      <c r="AQ213" s="26" t="s">
        <v>367</v>
      </c>
      <c r="AR213" s="89"/>
      <c r="AS213" s="27"/>
      <c r="AT213" s="16"/>
      <c r="AU213" s="27"/>
      <c r="AV213" s="86"/>
      <c r="AW213" s="27"/>
      <c r="AX213" s="27"/>
      <c r="AY213" s="27"/>
      <c r="AZ213" s="27"/>
      <c r="BA213" s="27"/>
      <c r="BB213" s="27"/>
      <c r="BC213" s="97"/>
      <c r="BD213" s="27"/>
      <c r="BE213" s="16"/>
      <c r="BF213" s="28">
        <f t="shared" si="96"/>
        <v>0</v>
      </c>
      <c r="BG213" s="29"/>
      <c r="BH213" s="27"/>
      <c r="BI213" s="30">
        <f t="shared" si="97"/>
        <v>347</v>
      </c>
      <c r="BJ213" s="31">
        <f t="shared" si="98"/>
        <v>45656</v>
      </c>
      <c r="BK213" s="27"/>
      <c r="BL213" s="16"/>
      <c r="BM213" s="27"/>
      <c r="BN213" s="16"/>
      <c r="BO213" s="27"/>
      <c r="BP213" s="16"/>
      <c r="BQ213" s="27"/>
      <c r="BR213" s="24"/>
      <c r="BS213" s="24"/>
      <c r="BT213" s="32"/>
      <c r="BU213" s="27"/>
      <c r="BV213" s="24"/>
      <c r="BW213" s="24"/>
      <c r="BX213" s="16"/>
      <c r="BY213" s="27"/>
      <c r="BZ213" s="24"/>
      <c r="CA213" s="24"/>
      <c r="CB213" s="16"/>
      <c r="CC213" s="49">
        <f t="shared" si="99"/>
        <v>0</v>
      </c>
      <c r="CD213" s="24"/>
      <c r="CE213" s="49">
        <f t="shared" si="100"/>
        <v>50906131</v>
      </c>
      <c r="CF213" s="50"/>
      <c r="CG213" s="49">
        <f t="shared" ca="1" si="101"/>
        <v>50906131</v>
      </c>
      <c r="CH213" s="33">
        <f t="shared" ca="1" si="102"/>
        <v>1</v>
      </c>
      <c r="CI213" s="33">
        <f t="shared" ca="1" si="103"/>
        <v>1</v>
      </c>
      <c r="CJ213" s="36">
        <f t="shared" ca="1" si="104"/>
        <v>100</v>
      </c>
      <c r="CK213" s="34">
        <f t="shared" si="105"/>
        <v>0</v>
      </c>
      <c r="CL213" s="21"/>
      <c r="CM213" s="35" t="str">
        <f t="shared" ca="1" si="106"/>
        <v>TERMINADO</v>
      </c>
      <c r="CN213" s="82"/>
      <c r="CO213" s="145" t="s">
        <v>1913</v>
      </c>
      <c r="CP213" s="26" t="s">
        <v>142</v>
      </c>
    </row>
    <row r="214" spans="1:98" ht="24.75" customHeight="1">
      <c r="A214" s="48" t="s">
        <v>1914</v>
      </c>
      <c r="B214" s="77" t="s">
        <v>1915</v>
      </c>
      <c r="C214" s="17" t="s">
        <v>104</v>
      </c>
      <c r="D214" s="18" t="s">
        <v>1916</v>
      </c>
      <c r="E214" s="17" t="s">
        <v>106</v>
      </c>
      <c r="F214" s="17" t="s">
        <v>107</v>
      </c>
      <c r="G214" s="17" t="s">
        <v>108</v>
      </c>
      <c r="H214" s="78">
        <v>1010173358</v>
      </c>
      <c r="I214" s="74" t="s">
        <v>1917</v>
      </c>
      <c r="J214" s="16"/>
      <c r="K214" s="16"/>
      <c r="L214" s="20" t="s">
        <v>1918</v>
      </c>
      <c r="M214" s="16" t="s">
        <v>111</v>
      </c>
      <c r="N214" s="22">
        <v>45309</v>
      </c>
      <c r="O214" s="22">
        <v>45310</v>
      </c>
      <c r="P214" s="22">
        <v>45656</v>
      </c>
      <c r="Q214" s="23">
        <f t="shared" si="94"/>
        <v>346</v>
      </c>
      <c r="R214" s="17" t="s">
        <v>242</v>
      </c>
      <c r="S214" s="110" t="s">
        <v>1919</v>
      </c>
      <c r="T214" s="16" t="s">
        <v>364</v>
      </c>
      <c r="U214" s="67">
        <v>86393205</v>
      </c>
      <c r="V214" s="16" t="s">
        <v>365</v>
      </c>
      <c r="W214" s="224">
        <v>86393205</v>
      </c>
      <c r="X214" s="24">
        <v>7426350</v>
      </c>
      <c r="Y214" s="24"/>
      <c r="Z214" s="24"/>
      <c r="AA214" s="17" t="s">
        <v>116</v>
      </c>
      <c r="AB214" s="23" t="str">
        <f>IFERROR(VLOOKUP(AA214,Listas!$A$1:$C$14,2,FALSE),"")</f>
        <v>FREDY CÉSPEDES VILLA</v>
      </c>
      <c r="AC214" s="23">
        <f>IFERROR(VLOOKUP(AA214,Listas!$A$1:$C$14,3,FALSE),"")</f>
        <v>93363483</v>
      </c>
      <c r="AD214" s="17" t="s">
        <v>345</v>
      </c>
      <c r="AE214" s="17" t="s">
        <v>632</v>
      </c>
      <c r="AF214" s="23" t="str">
        <f>IFERROR(VLOOKUP(AE214,Listas!$AD$1:$AF$66,2,FALSE),"")</f>
        <v>MANUEL ALBERTO LOZANO CARDONA</v>
      </c>
      <c r="AG214" s="23">
        <f>IFERROR(VLOOKUP(AE214,Listas!$AD$1:$AF$65,3,FALSE),"")</f>
        <v>79940034</v>
      </c>
      <c r="AH214" s="17" t="s">
        <v>118</v>
      </c>
      <c r="AI214" s="65" t="s">
        <v>1920</v>
      </c>
      <c r="AJ214" s="25" t="s">
        <v>119</v>
      </c>
      <c r="AK214" s="26" t="s">
        <v>120</v>
      </c>
      <c r="AL214" s="26" t="s">
        <v>120</v>
      </c>
      <c r="AM214" s="90" t="s">
        <v>119</v>
      </c>
      <c r="AN214" s="105">
        <v>32047</v>
      </c>
      <c r="AO214" s="91">
        <f t="shared" ca="1" si="95"/>
        <v>38</v>
      </c>
      <c r="AP214" s="26" t="s">
        <v>121</v>
      </c>
      <c r="AQ214" s="26" t="s">
        <v>367</v>
      </c>
      <c r="AR214" s="89"/>
      <c r="AS214" s="27"/>
      <c r="AT214" s="16"/>
      <c r="AU214" s="27"/>
      <c r="AV214" s="86"/>
      <c r="AW214" s="27"/>
      <c r="AX214" s="27"/>
      <c r="AY214" s="27"/>
      <c r="AZ214" s="27"/>
      <c r="BA214" s="27"/>
      <c r="BB214" s="27"/>
      <c r="BC214" s="97"/>
      <c r="BD214" s="27"/>
      <c r="BE214" s="16"/>
      <c r="BF214" s="28">
        <f t="shared" si="96"/>
        <v>0</v>
      </c>
      <c r="BG214" s="29"/>
      <c r="BH214" s="27"/>
      <c r="BI214" s="30">
        <f t="shared" si="97"/>
        <v>346</v>
      </c>
      <c r="BJ214" s="31">
        <f t="shared" si="98"/>
        <v>45656</v>
      </c>
      <c r="BK214" s="27"/>
      <c r="BL214" s="16"/>
      <c r="BM214" s="27"/>
      <c r="BN214" s="16"/>
      <c r="BO214" s="27"/>
      <c r="BP214" s="16"/>
      <c r="BQ214" s="27"/>
      <c r="BR214" s="24"/>
      <c r="BS214" s="24"/>
      <c r="BT214" s="32"/>
      <c r="BU214" s="27"/>
      <c r="BV214" s="24"/>
      <c r="BW214" s="24"/>
      <c r="BX214" s="16"/>
      <c r="BY214" s="27"/>
      <c r="BZ214" s="24"/>
      <c r="CA214" s="24"/>
      <c r="CB214" s="16"/>
      <c r="CC214" s="49">
        <f t="shared" si="99"/>
        <v>0</v>
      </c>
      <c r="CD214" s="24"/>
      <c r="CE214" s="49">
        <f t="shared" si="100"/>
        <v>86393205</v>
      </c>
      <c r="CF214" s="50"/>
      <c r="CG214" s="49">
        <f t="shared" ca="1" si="101"/>
        <v>86393205</v>
      </c>
      <c r="CH214" s="33">
        <f t="shared" ca="1" si="102"/>
        <v>1</v>
      </c>
      <c r="CI214" s="33">
        <f t="shared" ca="1" si="103"/>
        <v>1</v>
      </c>
      <c r="CJ214" s="36">
        <f t="shared" ca="1" si="104"/>
        <v>100</v>
      </c>
      <c r="CK214" s="34">
        <f t="shared" si="105"/>
        <v>0</v>
      </c>
      <c r="CL214" s="21"/>
      <c r="CM214" s="35" t="str">
        <f t="shared" ca="1" si="106"/>
        <v>TERMINADO</v>
      </c>
      <c r="CN214" s="82"/>
      <c r="CO214" s="145" t="s">
        <v>1921</v>
      </c>
      <c r="CP214" s="26" t="s">
        <v>142</v>
      </c>
    </row>
    <row r="215" spans="1:98" ht="24.75" customHeight="1">
      <c r="A215" s="48" t="s">
        <v>1922</v>
      </c>
      <c r="B215" s="77" t="s">
        <v>1923</v>
      </c>
      <c r="C215" s="17" t="s">
        <v>104</v>
      </c>
      <c r="D215" s="18" t="s">
        <v>1924</v>
      </c>
      <c r="E215" s="17" t="s">
        <v>106</v>
      </c>
      <c r="F215" s="17" t="s">
        <v>107</v>
      </c>
      <c r="G215" s="17" t="s">
        <v>108</v>
      </c>
      <c r="H215" s="78">
        <v>1032413869</v>
      </c>
      <c r="I215" s="74" t="s">
        <v>1925</v>
      </c>
      <c r="J215" s="16"/>
      <c r="K215" s="16"/>
      <c r="L215" s="20" t="s">
        <v>1926</v>
      </c>
      <c r="M215" s="16" t="s">
        <v>111</v>
      </c>
      <c r="N215" s="22">
        <v>45309</v>
      </c>
      <c r="O215" s="22">
        <v>45310</v>
      </c>
      <c r="P215" s="22">
        <v>45657</v>
      </c>
      <c r="Q215" s="23">
        <f t="shared" si="94"/>
        <v>347</v>
      </c>
      <c r="R215" s="17" t="s">
        <v>242</v>
      </c>
      <c r="S215" s="110" t="s">
        <v>1927</v>
      </c>
      <c r="T215" s="16" t="s">
        <v>1928</v>
      </c>
      <c r="U215" s="67">
        <v>125058408</v>
      </c>
      <c r="V215" s="16" t="s">
        <v>1165</v>
      </c>
      <c r="W215" s="224">
        <v>125058408</v>
      </c>
      <c r="X215" s="24">
        <v>10421534</v>
      </c>
      <c r="Y215" s="24"/>
      <c r="Z215" s="24"/>
      <c r="AA215" s="17" t="s">
        <v>116</v>
      </c>
      <c r="AB215" s="23" t="str">
        <f>IFERROR(VLOOKUP(AA215,Listas!$A$1:$C$14,2,FALSE),"")</f>
        <v>FREDY CÉSPEDES VILLA</v>
      </c>
      <c r="AC215" s="23">
        <f>IFERROR(VLOOKUP(AA215,Listas!$A$1:$C$14,3,FALSE),"")</f>
        <v>93363483</v>
      </c>
      <c r="AD215" s="17" t="s">
        <v>1166</v>
      </c>
      <c r="AE215" s="17" t="s">
        <v>1167</v>
      </c>
      <c r="AF215" s="23">
        <f>IFERROR(VLOOKUP(AE215,Listas!$AD$1:$AF$66,2,FALSE),"")</f>
        <v>0</v>
      </c>
      <c r="AG215" s="23">
        <f>IFERROR(VLOOKUP(AE215,Listas!$AD$1:$AF$65,3,FALSE),"")</f>
        <v>0</v>
      </c>
      <c r="AH215" s="17" t="s">
        <v>118</v>
      </c>
      <c r="AI215" s="65" t="s">
        <v>1929</v>
      </c>
      <c r="AJ215" s="25" t="s">
        <v>119</v>
      </c>
      <c r="AK215" s="26" t="s">
        <v>120</v>
      </c>
      <c r="AL215" s="26" t="s">
        <v>120</v>
      </c>
      <c r="AM215" s="90" t="s">
        <v>119</v>
      </c>
      <c r="AN215" s="105">
        <v>32153</v>
      </c>
      <c r="AO215" s="91">
        <f t="shared" ca="1" si="95"/>
        <v>37</v>
      </c>
      <c r="AP215" s="26" t="s">
        <v>121</v>
      </c>
      <c r="AQ215" s="26" t="s">
        <v>220</v>
      </c>
      <c r="AR215" s="89"/>
      <c r="AS215" s="27"/>
      <c r="AT215" s="16"/>
      <c r="AU215" s="27"/>
      <c r="AV215" s="86"/>
      <c r="AW215" s="27"/>
      <c r="AX215" s="27"/>
      <c r="AY215" s="27"/>
      <c r="AZ215" s="27"/>
      <c r="BA215" s="27"/>
      <c r="BB215" s="27"/>
      <c r="BC215" s="97"/>
      <c r="BD215" s="27"/>
      <c r="BE215" s="16"/>
      <c r="BF215" s="28">
        <f t="shared" si="96"/>
        <v>0</v>
      </c>
      <c r="BG215" s="29"/>
      <c r="BH215" s="27"/>
      <c r="BI215" s="30">
        <f t="shared" si="97"/>
        <v>347</v>
      </c>
      <c r="BJ215" s="31">
        <f t="shared" si="98"/>
        <v>45657</v>
      </c>
      <c r="BK215" s="27"/>
      <c r="BL215" s="16"/>
      <c r="BM215" s="27"/>
      <c r="BN215" s="16"/>
      <c r="BO215" s="27"/>
      <c r="BP215" s="16"/>
      <c r="BQ215" s="27"/>
      <c r="BR215" s="24"/>
      <c r="BS215" s="24"/>
      <c r="BT215" s="32"/>
      <c r="BU215" s="27"/>
      <c r="BV215" s="24"/>
      <c r="BW215" s="24"/>
      <c r="BX215" s="16"/>
      <c r="BY215" s="27"/>
      <c r="BZ215" s="24"/>
      <c r="CA215" s="24"/>
      <c r="CB215" s="16"/>
      <c r="CC215" s="49">
        <f t="shared" si="99"/>
        <v>0</v>
      </c>
      <c r="CD215" s="24"/>
      <c r="CE215" s="49">
        <f t="shared" si="100"/>
        <v>125058408</v>
      </c>
      <c r="CF215" s="50"/>
      <c r="CG215" s="49">
        <f t="shared" ca="1" si="101"/>
        <v>125058408</v>
      </c>
      <c r="CH215" s="33">
        <f t="shared" ca="1" si="102"/>
        <v>1</v>
      </c>
      <c r="CI215" s="33">
        <f t="shared" ca="1" si="103"/>
        <v>1</v>
      </c>
      <c r="CJ215" s="36">
        <f t="shared" ca="1" si="104"/>
        <v>100</v>
      </c>
      <c r="CK215" s="34">
        <f t="shared" si="105"/>
        <v>0</v>
      </c>
      <c r="CL215" s="21"/>
      <c r="CM215" s="35" t="str">
        <f t="shared" ca="1" si="106"/>
        <v>TERMINADO</v>
      </c>
      <c r="CN215" s="82"/>
      <c r="CO215" s="145" t="s">
        <v>1930</v>
      </c>
      <c r="CP215" s="26" t="s">
        <v>123</v>
      </c>
    </row>
    <row r="216" spans="1:98" ht="24.75" customHeight="1">
      <c r="A216" s="48" t="s">
        <v>1931</v>
      </c>
      <c r="B216" s="77" t="s">
        <v>1932</v>
      </c>
      <c r="C216" s="17" t="s">
        <v>104</v>
      </c>
      <c r="D216" s="18" t="s">
        <v>1933</v>
      </c>
      <c r="E216" s="17" t="s">
        <v>106</v>
      </c>
      <c r="F216" s="17" t="s">
        <v>107</v>
      </c>
      <c r="G216" s="17" t="s">
        <v>108</v>
      </c>
      <c r="H216" s="78">
        <v>53105053</v>
      </c>
      <c r="I216" s="74" t="s">
        <v>1934</v>
      </c>
      <c r="J216" s="16"/>
      <c r="K216" s="16"/>
      <c r="L216" s="96" t="s">
        <v>1935</v>
      </c>
      <c r="M216" s="16" t="s">
        <v>111</v>
      </c>
      <c r="N216" s="22">
        <v>45309</v>
      </c>
      <c r="O216" s="22">
        <v>45313</v>
      </c>
      <c r="P216" s="22">
        <v>45580</v>
      </c>
      <c r="Q216" s="23">
        <f t="shared" si="94"/>
        <v>267</v>
      </c>
      <c r="R216" s="17" t="s">
        <v>112</v>
      </c>
      <c r="S216" s="110" t="s">
        <v>1936</v>
      </c>
      <c r="T216" s="16" t="s">
        <v>1937</v>
      </c>
      <c r="U216" s="67">
        <v>125000000</v>
      </c>
      <c r="V216" s="16" t="s">
        <v>1938</v>
      </c>
      <c r="W216" s="224">
        <v>125000000</v>
      </c>
      <c r="X216" s="24">
        <v>15000000</v>
      </c>
      <c r="Y216" s="24"/>
      <c r="Z216" s="24"/>
      <c r="AA216" s="17" t="s">
        <v>116</v>
      </c>
      <c r="AB216" s="23" t="str">
        <f>IFERROR(VLOOKUP(AA216,Listas!$A$1:$C$14,2,FALSE),"")</f>
        <v>FREDY CÉSPEDES VILLA</v>
      </c>
      <c r="AC216" s="23">
        <f>IFERROR(VLOOKUP(AA216,Listas!$A$1:$C$14,3,FALSE),"")</f>
        <v>93363483</v>
      </c>
      <c r="AD216" s="17" t="s">
        <v>116</v>
      </c>
      <c r="AE216" s="17" t="s">
        <v>743</v>
      </c>
      <c r="AF216" s="23" t="str">
        <f>IFERROR(VLOOKUP(AE216,Listas!$AD$1:$AF$66,2,FALSE),"")</f>
        <v>FREDY CÉSPEDES VILLA</v>
      </c>
      <c r="AG216" s="23">
        <f>IFERROR(VLOOKUP(AE216,Listas!$AD$1:$AF$65,3,FALSE),"")</f>
        <v>93363483</v>
      </c>
      <c r="AH216" s="17" t="s">
        <v>118</v>
      </c>
      <c r="AI216" s="65" t="s">
        <v>1939</v>
      </c>
      <c r="AJ216" s="25" t="s">
        <v>119</v>
      </c>
      <c r="AK216" s="26" t="s">
        <v>120</v>
      </c>
      <c r="AL216" s="26" t="s">
        <v>120</v>
      </c>
      <c r="AM216" s="90" t="s">
        <v>119</v>
      </c>
      <c r="AN216" s="105">
        <v>30750</v>
      </c>
      <c r="AO216" s="91">
        <f t="shared" ca="1" si="95"/>
        <v>41</v>
      </c>
      <c r="AP216" s="26" t="s">
        <v>121</v>
      </c>
      <c r="AQ216" s="26" t="s">
        <v>122</v>
      </c>
      <c r="AR216" s="89"/>
      <c r="AS216" s="27"/>
      <c r="AT216" s="16"/>
      <c r="AU216" s="27"/>
      <c r="AV216" s="86"/>
      <c r="AW216" s="27"/>
      <c r="AX216" s="27"/>
      <c r="AY216" s="27"/>
      <c r="AZ216" s="27"/>
      <c r="BA216" s="27"/>
      <c r="BB216" s="27">
        <v>45580</v>
      </c>
      <c r="BC216" s="78">
        <v>77</v>
      </c>
      <c r="BD216" s="27"/>
      <c r="BE216" s="16"/>
      <c r="BF216" s="28">
        <f t="shared" si="96"/>
        <v>77</v>
      </c>
      <c r="BG216" s="29"/>
      <c r="BH216" s="27"/>
      <c r="BI216" s="30">
        <f t="shared" si="97"/>
        <v>344</v>
      </c>
      <c r="BJ216" s="31">
        <f t="shared" si="98"/>
        <v>45657</v>
      </c>
      <c r="BK216" s="27"/>
      <c r="BL216" s="16"/>
      <c r="BM216" s="27"/>
      <c r="BN216" s="16"/>
      <c r="BO216" s="27"/>
      <c r="BP216" s="16"/>
      <c r="BQ216" s="27">
        <v>45566</v>
      </c>
      <c r="BR216" s="24">
        <v>37000000</v>
      </c>
      <c r="BS216" s="24"/>
      <c r="BT216" s="32"/>
      <c r="BW216" s="24"/>
      <c r="BX216" s="16"/>
      <c r="BY216" s="27"/>
      <c r="BZ216" s="24"/>
      <c r="CA216" s="24"/>
      <c r="CB216" s="16"/>
      <c r="CC216" s="49">
        <f t="shared" si="99"/>
        <v>37000000</v>
      </c>
      <c r="CD216" s="24"/>
      <c r="CE216" s="49">
        <f t="shared" si="100"/>
        <v>162000000</v>
      </c>
      <c r="CF216" s="50"/>
      <c r="CG216" s="49">
        <f t="shared" ca="1" si="101"/>
        <v>162000000</v>
      </c>
      <c r="CH216" s="33">
        <f t="shared" ca="1" si="102"/>
        <v>1</v>
      </c>
      <c r="CI216" s="33">
        <f t="shared" ca="1" si="103"/>
        <v>1</v>
      </c>
      <c r="CJ216" s="36">
        <f t="shared" ca="1" si="104"/>
        <v>100</v>
      </c>
      <c r="CK216" s="34">
        <f t="shared" si="105"/>
        <v>0</v>
      </c>
      <c r="CL216" s="21"/>
      <c r="CM216" s="35" t="str">
        <f t="shared" ca="1" si="106"/>
        <v>TERMINADO</v>
      </c>
      <c r="CN216" s="82"/>
      <c r="CO216" s="145" t="s">
        <v>1940</v>
      </c>
      <c r="CP216" s="26" t="s">
        <v>123</v>
      </c>
    </row>
    <row r="217" spans="1:98" ht="24.75" customHeight="1">
      <c r="A217" s="48" t="s">
        <v>1941</v>
      </c>
      <c r="B217" s="77" t="s">
        <v>1942</v>
      </c>
      <c r="C217" s="17" t="s">
        <v>104</v>
      </c>
      <c r="D217" s="18" t="s">
        <v>1943</v>
      </c>
      <c r="E217" s="17" t="s">
        <v>106</v>
      </c>
      <c r="F217" s="17" t="s">
        <v>107</v>
      </c>
      <c r="G217" s="17" t="s">
        <v>108</v>
      </c>
      <c r="H217" s="78">
        <v>1136888072</v>
      </c>
      <c r="I217" s="74" t="s">
        <v>1944</v>
      </c>
      <c r="J217" s="16"/>
      <c r="K217" s="16"/>
      <c r="L217" s="96" t="s">
        <v>1945</v>
      </c>
      <c r="M217" s="16" t="s">
        <v>111</v>
      </c>
      <c r="N217" s="22">
        <v>45309</v>
      </c>
      <c r="O217" s="22">
        <v>45313</v>
      </c>
      <c r="P217" s="22">
        <v>45366</v>
      </c>
      <c r="Q217" s="23">
        <f t="shared" si="94"/>
        <v>53</v>
      </c>
      <c r="R217" s="17" t="s">
        <v>242</v>
      </c>
      <c r="S217" s="110" t="s">
        <v>1946</v>
      </c>
      <c r="T217" s="16" t="s">
        <v>1947</v>
      </c>
      <c r="U217" s="67">
        <v>14222330</v>
      </c>
      <c r="V217" s="16" t="s">
        <v>688</v>
      </c>
      <c r="W217" s="224">
        <v>14222330</v>
      </c>
      <c r="X217" s="24">
        <v>7111165</v>
      </c>
      <c r="Y217" s="24"/>
      <c r="Z217" s="24"/>
      <c r="AA217" s="17" t="s">
        <v>116</v>
      </c>
      <c r="AB217" s="23" t="str">
        <f>IFERROR(VLOOKUP(AA217,Listas!$A$1:$C$14,2,FALSE),"")</f>
        <v>FREDY CÉSPEDES VILLA</v>
      </c>
      <c r="AC217" s="23">
        <f>IFERROR(VLOOKUP(AA217,Listas!$A$1:$C$14,3,FALSE),"")</f>
        <v>93363483</v>
      </c>
      <c r="AD217" s="17" t="s">
        <v>304</v>
      </c>
      <c r="AE217" s="17" t="s">
        <v>305</v>
      </c>
      <c r="AF217" s="23" t="str">
        <f>IFERROR(VLOOKUP(AE217,Listas!$AD$1:$AF$66,2,FALSE),"")</f>
        <v>ALVARO HERNAN URQUIJO GOMEZ</v>
      </c>
      <c r="AG217" s="23">
        <v>80505520</v>
      </c>
      <c r="AH217" s="17" t="s">
        <v>118</v>
      </c>
      <c r="AI217" s="65" t="s">
        <v>1948</v>
      </c>
      <c r="AJ217" s="25" t="s">
        <v>119</v>
      </c>
      <c r="AK217" s="26" t="s">
        <v>120</v>
      </c>
      <c r="AL217" s="26" t="s">
        <v>120</v>
      </c>
      <c r="AM217" s="90" t="s">
        <v>119</v>
      </c>
      <c r="AN217" s="105">
        <v>35346</v>
      </c>
      <c r="AO217" s="91">
        <f t="shared" ca="1" si="95"/>
        <v>29</v>
      </c>
      <c r="AP217" s="26" t="s">
        <v>121</v>
      </c>
      <c r="AQ217" s="26" t="s">
        <v>122</v>
      </c>
      <c r="AR217" s="89"/>
      <c r="AS217" s="27"/>
      <c r="AT217" s="16"/>
      <c r="AU217" s="27"/>
      <c r="AV217" s="86"/>
      <c r="AW217" s="27"/>
      <c r="AX217" s="27"/>
      <c r="AY217" s="27"/>
      <c r="AZ217" s="27"/>
      <c r="BA217" s="27"/>
      <c r="BB217" s="27"/>
      <c r="BC217" s="97"/>
      <c r="BD217" s="27"/>
      <c r="BE217" s="16"/>
      <c r="BF217" s="28">
        <f t="shared" si="96"/>
        <v>0</v>
      </c>
      <c r="BG217" s="29"/>
      <c r="BH217" s="27">
        <v>45356</v>
      </c>
      <c r="BI217" s="30">
        <f t="shared" si="97"/>
        <v>53</v>
      </c>
      <c r="BJ217" s="31">
        <f t="shared" si="98"/>
        <v>45356</v>
      </c>
      <c r="BK217" s="27"/>
      <c r="BL217" s="16"/>
      <c r="BM217" s="27"/>
      <c r="BN217" s="16"/>
      <c r="BO217" s="27"/>
      <c r="BP217" s="16"/>
      <c r="BQ217" s="27"/>
      <c r="BR217" s="24"/>
      <c r="BS217" s="24"/>
      <c r="BT217" s="32"/>
      <c r="BU217" s="27"/>
      <c r="BV217" s="24"/>
      <c r="BW217" s="24"/>
      <c r="BX217" s="16"/>
      <c r="BY217" s="27"/>
      <c r="BZ217" s="24"/>
      <c r="CA217" s="24"/>
      <c r="CB217" s="16"/>
      <c r="CC217" s="49">
        <f t="shared" si="99"/>
        <v>0</v>
      </c>
      <c r="CD217" s="24"/>
      <c r="CE217" s="49">
        <f t="shared" si="100"/>
        <v>14222330</v>
      </c>
      <c r="CF217" s="50"/>
      <c r="CG217" s="49">
        <f t="shared" ca="1" si="101"/>
        <v>14222330</v>
      </c>
      <c r="CH217" s="33">
        <f t="shared" ca="1" si="102"/>
        <v>1</v>
      </c>
      <c r="CI217" s="33">
        <f t="shared" ca="1" si="103"/>
        <v>1</v>
      </c>
      <c r="CJ217" s="36">
        <f t="shared" ca="1" si="104"/>
        <v>100</v>
      </c>
      <c r="CK217" s="34">
        <f t="shared" si="105"/>
        <v>0</v>
      </c>
      <c r="CL217" s="21"/>
      <c r="CM217" s="35" t="str">
        <f t="shared" ca="1" si="106"/>
        <v>TERMINADO</v>
      </c>
      <c r="CN217" s="82"/>
      <c r="CO217" s="145" t="s">
        <v>1949</v>
      </c>
      <c r="CP217" s="26" t="s">
        <v>123</v>
      </c>
    </row>
    <row r="218" spans="1:98" ht="24.75" customHeight="1">
      <c r="A218" s="48" t="s">
        <v>1950</v>
      </c>
      <c r="B218" s="77" t="s">
        <v>1951</v>
      </c>
      <c r="C218" s="17" t="s">
        <v>104</v>
      </c>
      <c r="D218" s="18" t="s">
        <v>1952</v>
      </c>
      <c r="E218" s="17" t="s">
        <v>106</v>
      </c>
      <c r="F218" s="17" t="s">
        <v>107</v>
      </c>
      <c r="G218" s="17" t="s">
        <v>108</v>
      </c>
      <c r="H218" s="78">
        <v>1088238178</v>
      </c>
      <c r="I218" s="74" t="s">
        <v>1953</v>
      </c>
      <c r="J218" s="16"/>
      <c r="K218" s="16"/>
      <c r="L218" s="96" t="s">
        <v>1954</v>
      </c>
      <c r="M218" s="16" t="s">
        <v>111</v>
      </c>
      <c r="N218" s="22">
        <v>45309</v>
      </c>
      <c r="O218" s="22">
        <v>45310</v>
      </c>
      <c r="P218" s="22">
        <v>45656</v>
      </c>
      <c r="Q218" s="23">
        <f t="shared" si="94"/>
        <v>346</v>
      </c>
      <c r="R218" s="17" t="s">
        <v>112</v>
      </c>
      <c r="S218" s="110" t="s">
        <v>1955</v>
      </c>
      <c r="T218" s="16" t="s">
        <v>1937</v>
      </c>
      <c r="U218" s="67">
        <v>125490355</v>
      </c>
      <c r="V218" s="16" t="s">
        <v>1938</v>
      </c>
      <c r="W218" s="224">
        <v>125490355</v>
      </c>
      <c r="X218" s="24">
        <v>10423000</v>
      </c>
      <c r="Y218" s="24"/>
      <c r="Z218" s="24"/>
      <c r="AA218" s="17" t="s">
        <v>116</v>
      </c>
      <c r="AB218" s="23" t="str">
        <f>IFERROR(VLOOKUP(AA218,Listas!$A$1:$C$14,2,FALSE),"")</f>
        <v>FREDY CÉSPEDES VILLA</v>
      </c>
      <c r="AC218" s="23">
        <f>IFERROR(VLOOKUP(AA218,Listas!$A$1:$C$14,3,FALSE),"")</f>
        <v>93363483</v>
      </c>
      <c r="AD218" s="17" t="s">
        <v>116</v>
      </c>
      <c r="AE218" s="17" t="s">
        <v>743</v>
      </c>
      <c r="AF218" s="23" t="str">
        <f>IFERROR(VLOOKUP(AE218,Listas!$AD$1:$AF$66,2,FALSE),"")</f>
        <v>FREDY CÉSPEDES VILLA</v>
      </c>
      <c r="AG218" s="23">
        <f>IFERROR(VLOOKUP(AE218,Listas!$AD$1:$AF$65,3,FALSE),"")</f>
        <v>93363483</v>
      </c>
      <c r="AH218" s="17" t="s">
        <v>118</v>
      </c>
      <c r="AI218" s="65" t="s">
        <v>1956</v>
      </c>
      <c r="AJ218" s="25" t="s">
        <v>119</v>
      </c>
      <c r="AK218" s="26" t="s">
        <v>120</v>
      </c>
      <c r="AL218" s="26" t="s">
        <v>120</v>
      </c>
      <c r="AM218" s="90" t="s">
        <v>119</v>
      </c>
      <c r="AN218" s="105">
        <v>31445</v>
      </c>
      <c r="AO218" s="91">
        <f t="shared" ca="1" si="95"/>
        <v>39</v>
      </c>
      <c r="AP218" s="26" t="s">
        <v>121</v>
      </c>
      <c r="AQ218" s="26" t="s">
        <v>122</v>
      </c>
      <c r="AR218" s="89"/>
      <c r="AS218" s="27"/>
      <c r="AT218" s="16"/>
      <c r="AU218" s="27"/>
      <c r="AV218" s="86"/>
      <c r="AW218" s="27"/>
      <c r="AX218" s="27"/>
      <c r="AY218" s="27"/>
      <c r="AZ218" s="27"/>
      <c r="BA218" s="27"/>
      <c r="BB218" s="27"/>
      <c r="BC218" s="97"/>
      <c r="BD218" s="27"/>
      <c r="BE218" s="16"/>
      <c r="BF218" s="28">
        <f t="shared" si="96"/>
        <v>0</v>
      </c>
      <c r="BG218" s="29"/>
      <c r="BH218" s="27"/>
      <c r="BI218" s="30">
        <f t="shared" si="97"/>
        <v>346</v>
      </c>
      <c r="BJ218" s="31">
        <f t="shared" si="98"/>
        <v>45656</v>
      </c>
      <c r="BK218" s="27"/>
      <c r="BL218" s="16"/>
      <c r="BM218" s="27"/>
      <c r="BN218" s="16"/>
      <c r="BO218" s="27"/>
      <c r="BP218" s="16"/>
      <c r="BQ218" s="27"/>
      <c r="BR218" s="24"/>
      <c r="BS218" s="24"/>
      <c r="BT218" s="32"/>
      <c r="BU218" s="27"/>
      <c r="BV218" s="24"/>
      <c r="BW218" s="24"/>
      <c r="BX218" s="16"/>
      <c r="BY218" s="27"/>
      <c r="BZ218" s="24"/>
      <c r="CA218" s="24"/>
      <c r="CB218" s="16"/>
      <c r="CC218" s="49">
        <f t="shared" si="99"/>
        <v>0</v>
      </c>
      <c r="CD218" s="24"/>
      <c r="CE218" s="49">
        <f t="shared" si="100"/>
        <v>125490355</v>
      </c>
      <c r="CF218" s="50"/>
      <c r="CG218" s="49">
        <f t="shared" ca="1" si="101"/>
        <v>125490355</v>
      </c>
      <c r="CH218" s="33">
        <f t="shared" ca="1" si="102"/>
        <v>1</v>
      </c>
      <c r="CI218" s="33">
        <f t="shared" ca="1" si="103"/>
        <v>1</v>
      </c>
      <c r="CJ218" s="36">
        <f t="shared" ca="1" si="104"/>
        <v>100</v>
      </c>
      <c r="CK218" s="34">
        <f t="shared" si="105"/>
        <v>0</v>
      </c>
      <c r="CL218" s="21"/>
      <c r="CM218" s="35" t="str">
        <f t="shared" ca="1" si="106"/>
        <v>TERMINADO</v>
      </c>
      <c r="CN218" s="82"/>
      <c r="CO218" s="145" t="s">
        <v>1957</v>
      </c>
      <c r="CP218" s="26" t="s">
        <v>123</v>
      </c>
    </row>
    <row r="219" spans="1:98" ht="24.75" customHeight="1">
      <c r="A219" s="48" t="s">
        <v>1958</v>
      </c>
      <c r="B219" s="77" t="s">
        <v>1959</v>
      </c>
      <c r="C219" s="17" t="s">
        <v>104</v>
      </c>
      <c r="D219" s="18" t="s">
        <v>1960</v>
      </c>
      <c r="E219" s="17" t="s">
        <v>106</v>
      </c>
      <c r="F219" s="17" t="s">
        <v>107</v>
      </c>
      <c r="G219" s="17" t="s">
        <v>108</v>
      </c>
      <c r="H219" s="78">
        <v>51933941</v>
      </c>
      <c r="I219" s="74" t="s">
        <v>1961</v>
      </c>
      <c r="J219" s="16"/>
      <c r="K219" s="16"/>
      <c r="L219" s="20" t="s">
        <v>1962</v>
      </c>
      <c r="M219" s="16" t="s">
        <v>111</v>
      </c>
      <c r="N219" s="22">
        <v>45309</v>
      </c>
      <c r="O219" s="22">
        <v>45313</v>
      </c>
      <c r="P219" s="22">
        <v>45657</v>
      </c>
      <c r="Q219" s="23">
        <f t="shared" si="94"/>
        <v>344</v>
      </c>
      <c r="R219" s="17" t="s">
        <v>242</v>
      </c>
      <c r="S219" s="110" t="s">
        <v>1963</v>
      </c>
      <c r="T219" s="16" t="s">
        <v>1964</v>
      </c>
      <c r="U219" s="67">
        <v>51626667</v>
      </c>
      <c r="V219" s="16" t="s">
        <v>866</v>
      </c>
      <c r="W219" s="224">
        <v>51626667</v>
      </c>
      <c r="X219" s="24">
        <v>4400000</v>
      </c>
      <c r="Y219" s="24"/>
      <c r="Z219" s="24"/>
      <c r="AA219" s="17" t="s">
        <v>116</v>
      </c>
      <c r="AB219" s="23" t="str">
        <f>IFERROR(VLOOKUP(AA219,Listas!$A$1:$C$14,2,FALSE),"")</f>
        <v>FREDY CÉSPEDES VILLA</v>
      </c>
      <c r="AC219" s="23">
        <f>IFERROR(VLOOKUP(AA219,Listas!$A$1:$C$14,3,FALSE),"")</f>
        <v>93363483</v>
      </c>
      <c r="AD219" s="17" t="s">
        <v>816</v>
      </c>
      <c r="AE219" s="17" t="s">
        <v>1450</v>
      </c>
      <c r="AF219" s="23" t="str">
        <f>IFERROR(VLOOKUP(AE219,Listas!$AD$1:$AF$66,2,FALSE),"")</f>
        <v>LINA MARIA CRUZ SILVA</v>
      </c>
      <c r="AG219" s="23">
        <f>IFERROR(VLOOKUP(AE219,Listas!$AD$1:$AF$65,3,FALSE),"")</f>
        <v>52423537</v>
      </c>
      <c r="AH219" s="17" t="s">
        <v>118</v>
      </c>
      <c r="AI219" s="65" t="s">
        <v>1965</v>
      </c>
      <c r="AJ219" s="25" t="s">
        <v>119</v>
      </c>
      <c r="AK219" s="26" t="s">
        <v>120</v>
      </c>
      <c r="AL219" s="26" t="s">
        <v>120</v>
      </c>
      <c r="AM219" s="90" t="s">
        <v>119</v>
      </c>
      <c r="AN219" s="105">
        <v>25269</v>
      </c>
      <c r="AO219" s="91">
        <f t="shared" ca="1" si="95"/>
        <v>56</v>
      </c>
      <c r="AP219" s="26" t="s">
        <v>121</v>
      </c>
      <c r="AQ219" s="26" t="s">
        <v>515</v>
      </c>
      <c r="AR219" s="89"/>
      <c r="AS219" s="27"/>
      <c r="AT219" s="16"/>
      <c r="AU219" s="27"/>
      <c r="AV219" s="86"/>
      <c r="AW219" s="27"/>
      <c r="AX219" s="27"/>
      <c r="AY219" s="27"/>
      <c r="AZ219" s="27"/>
      <c r="BA219" s="27"/>
      <c r="BB219" s="27"/>
      <c r="BC219" s="97"/>
      <c r="BD219" s="27"/>
      <c r="BE219" s="16"/>
      <c r="BF219" s="28">
        <f t="shared" si="96"/>
        <v>0</v>
      </c>
      <c r="BG219" s="29"/>
      <c r="BH219" s="27"/>
      <c r="BI219" s="30">
        <f t="shared" si="97"/>
        <v>344</v>
      </c>
      <c r="BJ219" s="31">
        <f t="shared" si="98"/>
        <v>45657</v>
      </c>
      <c r="BK219" s="27"/>
      <c r="BL219" s="16"/>
      <c r="BM219" s="27"/>
      <c r="BN219" s="16"/>
      <c r="BO219" s="27"/>
      <c r="BP219" s="16"/>
      <c r="BQ219" s="27"/>
      <c r="BR219" s="24"/>
      <c r="BS219" s="24"/>
      <c r="BT219" s="32"/>
      <c r="BU219" s="27"/>
      <c r="BV219" s="24"/>
      <c r="BW219" s="24"/>
      <c r="BX219" s="16"/>
      <c r="BY219" s="27"/>
      <c r="BZ219" s="24"/>
      <c r="CA219" s="24"/>
      <c r="CB219" s="16"/>
      <c r="CC219" s="49">
        <f t="shared" si="99"/>
        <v>0</v>
      </c>
      <c r="CD219" s="24"/>
      <c r="CE219" s="49">
        <f t="shared" si="100"/>
        <v>51626667</v>
      </c>
      <c r="CF219" s="50"/>
      <c r="CG219" s="49">
        <f t="shared" ca="1" si="101"/>
        <v>51626667</v>
      </c>
      <c r="CH219" s="33">
        <f t="shared" ca="1" si="102"/>
        <v>1</v>
      </c>
      <c r="CI219" s="33">
        <f t="shared" ca="1" si="103"/>
        <v>1</v>
      </c>
      <c r="CJ219" s="36">
        <f t="shared" ca="1" si="104"/>
        <v>100</v>
      </c>
      <c r="CK219" s="34">
        <f t="shared" si="105"/>
        <v>0</v>
      </c>
      <c r="CL219" s="21"/>
      <c r="CM219" s="35" t="str">
        <f t="shared" ca="1" si="106"/>
        <v>TERMINADO</v>
      </c>
      <c r="CN219" s="82"/>
      <c r="CO219" s="145" t="s">
        <v>1966</v>
      </c>
      <c r="CP219" s="26" t="s">
        <v>123</v>
      </c>
    </row>
    <row r="220" spans="1:98" ht="24.75" customHeight="1">
      <c r="A220" s="48" t="s">
        <v>1967</v>
      </c>
      <c r="B220" s="77" t="s">
        <v>1968</v>
      </c>
      <c r="C220" s="17" t="s">
        <v>104</v>
      </c>
      <c r="D220" s="18" t="s">
        <v>1969</v>
      </c>
      <c r="E220" s="17" t="s">
        <v>106</v>
      </c>
      <c r="F220" s="17" t="s">
        <v>107</v>
      </c>
      <c r="G220" s="17" t="s">
        <v>108</v>
      </c>
      <c r="H220" s="78">
        <v>52438820</v>
      </c>
      <c r="I220" s="74" t="s">
        <v>1970</v>
      </c>
      <c r="J220" s="16"/>
      <c r="K220" s="16"/>
      <c r="L220" s="20" t="s">
        <v>1971</v>
      </c>
      <c r="M220" s="16" t="s">
        <v>111</v>
      </c>
      <c r="N220" s="22">
        <v>45309</v>
      </c>
      <c r="O220" s="22">
        <v>45313</v>
      </c>
      <c r="P220" s="22">
        <v>45657</v>
      </c>
      <c r="Q220" s="23">
        <f t="shared" si="94"/>
        <v>344</v>
      </c>
      <c r="R220" s="17" t="s">
        <v>242</v>
      </c>
      <c r="S220" s="110" t="s">
        <v>1972</v>
      </c>
      <c r="T220" s="16" t="s">
        <v>1145</v>
      </c>
      <c r="U220" s="67">
        <v>97104180</v>
      </c>
      <c r="V220" s="16" t="s">
        <v>426</v>
      </c>
      <c r="W220" s="224">
        <v>93339267</v>
      </c>
      <c r="X220" s="24">
        <v>8093000</v>
      </c>
      <c r="Y220" s="24"/>
      <c r="Z220" s="24"/>
      <c r="AA220" s="17" t="s">
        <v>116</v>
      </c>
      <c r="AB220" s="23" t="str">
        <f>IFERROR(VLOOKUP(AA220,Listas!$A$1:$C$14,2,FALSE),"")</f>
        <v>FREDY CÉSPEDES VILLA</v>
      </c>
      <c r="AC220" s="23">
        <f>IFERROR(VLOOKUP(AA220,Listas!$A$1:$C$14,3,FALSE),"")</f>
        <v>93363483</v>
      </c>
      <c r="AD220" s="17" t="s">
        <v>427</v>
      </c>
      <c r="AE220" s="17" t="s">
        <v>428</v>
      </c>
      <c r="AF220" s="23" t="str">
        <f>IFERROR(VLOOKUP(AE220,Listas!$AD$1:$AF$66,2,FALSE),"")</f>
        <v>DINORAH PATRICIA ABADIA MURILLO</v>
      </c>
      <c r="AG220" s="23">
        <f>IFERROR(VLOOKUP(AE220,Listas!$AD$1:$AF$65,3,FALSE),"")</f>
        <v>52220857</v>
      </c>
      <c r="AH220" s="17" t="s">
        <v>118</v>
      </c>
      <c r="AI220" s="65" t="s">
        <v>1973</v>
      </c>
      <c r="AJ220" s="25" t="s">
        <v>119</v>
      </c>
      <c r="AK220" s="26" t="s">
        <v>120</v>
      </c>
      <c r="AL220" s="26" t="s">
        <v>120</v>
      </c>
      <c r="AM220" s="90" t="s">
        <v>119</v>
      </c>
      <c r="AN220" s="105">
        <v>28614</v>
      </c>
      <c r="AO220" s="91">
        <f t="shared" ca="1" si="95"/>
        <v>47</v>
      </c>
      <c r="AP220" s="26" t="s">
        <v>121</v>
      </c>
      <c r="AQ220" s="26" t="s">
        <v>515</v>
      </c>
      <c r="AR220" s="89"/>
      <c r="AS220" s="27"/>
      <c r="AT220" s="16"/>
      <c r="AU220" s="27"/>
      <c r="AV220" s="86"/>
      <c r="AW220" s="27"/>
      <c r="AX220" s="27"/>
      <c r="AY220" s="27"/>
      <c r="AZ220" s="27"/>
      <c r="BA220" s="27"/>
      <c r="BB220" s="27"/>
      <c r="BC220" s="97"/>
      <c r="BD220" s="27"/>
      <c r="BE220" s="16"/>
      <c r="BF220" s="28">
        <f t="shared" si="96"/>
        <v>0</v>
      </c>
      <c r="BG220" s="29"/>
      <c r="BH220" s="27"/>
      <c r="BI220" s="30">
        <f t="shared" si="97"/>
        <v>344</v>
      </c>
      <c r="BJ220" s="31">
        <f t="shared" si="98"/>
        <v>45657</v>
      </c>
      <c r="BK220" s="27"/>
      <c r="BL220" s="16"/>
      <c r="BM220" s="27"/>
      <c r="BN220" s="16"/>
      <c r="BO220" s="27"/>
      <c r="BP220" s="16"/>
      <c r="BQ220" s="27"/>
      <c r="BR220" s="24"/>
      <c r="BS220" s="24"/>
      <c r="BT220" s="32"/>
      <c r="BU220" s="27"/>
      <c r="BV220" s="24"/>
      <c r="BW220" s="24"/>
      <c r="BX220" s="16"/>
      <c r="BY220" s="27"/>
      <c r="BZ220" s="24"/>
      <c r="CA220" s="24"/>
      <c r="CB220" s="16"/>
      <c r="CC220" s="49">
        <f t="shared" si="99"/>
        <v>0</v>
      </c>
      <c r="CD220" s="24"/>
      <c r="CE220" s="49">
        <f t="shared" si="100"/>
        <v>93339267</v>
      </c>
      <c r="CF220" s="50"/>
      <c r="CG220" s="49">
        <f t="shared" ca="1" si="101"/>
        <v>93339267</v>
      </c>
      <c r="CH220" s="33">
        <f t="shared" ca="1" si="102"/>
        <v>1</v>
      </c>
      <c r="CI220" s="33">
        <f t="shared" ca="1" si="103"/>
        <v>1</v>
      </c>
      <c r="CJ220" s="36">
        <f t="shared" ca="1" si="104"/>
        <v>100</v>
      </c>
      <c r="CK220" s="34">
        <f t="shared" si="105"/>
        <v>0</v>
      </c>
      <c r="CL220" s="21"/>
      <c r="CM220" s="35" t="str">
        <f t="shared" ca="1" si="106"/>
        <v>TERMINADO</v>
      </c>
      <c r="CN220" s="82"/>
      <c r="CO220" s="145" t="s">
        <v>1974</v>
      </c>
      <c r="CP220" s="26" t="s">
        <v>123</v>
      </c>
    </row>
    <row r="221" spans="1:98" ht="24.75" customHeight="1">
      <c r="A221" s="48" t="s">
        <v>1975</v>
      </c>
      <c r="B221" s="77" t="s">
        <v>1976</v>
      </c>
      <c r="C221" s="17" t="s">
        <v>104</v>
      </c>
      <c r="D221" s="18" t="s">
        <v>1977</v>
      </c>
      <c r="E221" s="17" t="s">
        <v>106</v>
      </c>
      <c r="F221" s="17" t="s">
        <v>107</v>
      </c>
      <c r="G221" s="17" t="s">
        <v>108</v>
      </c>
      <c r="H221" s="78">
        <v>80757660</v>
      </c>
      <c r="I221" s="74" t="s">
        <v>1978</v>
      </c>
      <c r="J221" s="16"/>
      <c r="K221" s="16"/>
      <c r="L221" s="20" t="s">
        <v>1979</v>
      </c>
      <c r="M221" s="16" t="s">
        <v>111</v>
      </c>
      <c r="N221" s="22">
        <v>45309</v>
      </c>
      <c r="O221" s="22">
        <v>45313</v>
      </c>
      <c r="P221" s="22">
        <v>45656</v>
      </c>
      <c r="Q221" s="23">
        <f t="shared" si="94"/>
        <v>343</v>
      </c>
      <c r="R221" s="17" t="s">
        <v>242</v>
      </c>
      <c r="S221" s="110" t="s">
        <v>1980</v>
      </c>
      <c r="T221" s="16" t="s">
        <v>1128</v>
      </c>
      <c r="U221" s="67">
        <v>176000000</v>
      </c>
      <c r="V221" s="16" t="s">
        <v>1239</v>
      </c>
      <c r="W221" s="224">
        <v>176000000</v>
      </c>
      <c r="X221" s="24">
        <v>15000000</v>
      </c>
      <c r="Y221" s="24"/>
      <c r="Z221" s="24"/>
      <c r="AA221" s="17" t="s">
        <v>116</v>
      </c>
      <c r="AB221" s="23" t="str">
        <f>IFERROR(VLOOKUP(AA221,Listas!$A$1:$C$14,2,FALSE),"")</f>
        <v>FREDY CÉSPEDES VILLA</v>
      </c>
      <c r="AC221" s="23">
        <f>IFERROR(VLOOKUP(AA221,Listas!$A$1:$C$14,3,FALSE),"")</f>
        <v>93363483</v>
      </c>
      <c r="AD221" s="17" t="s">
        <v>816</v>
      </c>
      <c r="AE221" s="17" t="s">
        <v>1450</v>
      </c>
      <c r="AF221" s="23" t="str">
        <f>IFERROR(VLOOKUP(AE221,Listas!$AD$1:$AF$66,2,FALSE),"")</f>
        <v>LINA MARIA CRUZ SILVA</v>
      </c>
      <c r="AG221" s="23">
        <f>IFERROR(VLOOKUP(AE221,Listas!$AD$1:$AF$65,3,FALSE),"")</f>
        <v>52423537</v>
      </c>
      <c r="AH221" s="17" t="s">
        <v>118</v>
      </c>
      <c r="AI221" s="65" t="s">
        <v>1981</v>
      </c>
      <c r="AJ221" s="25" t="s">
        <v>119</v>
      </c>
      <c r="AK221" s="26" t="s">
        <v>120</v>
      </c>
      <c r="AL221" s="26" t="s">
        <v>120</v>
      </c>
      <c r="AM221" s="90" t="s">
        <v>119</v>
      </c>
      <c r="AN221" s="105">
        <v>30510</v>
      </c>
      <c r="AO221" s="91">
        <f t="shared" ca="1" si="95"/>
        <v>42</v>
      </c>
      <c r="AP221" s="26" t="s">
        <v>121</v>
      </c>
      <c r="AQ221" s="26" t="s">
        <v>515</v>
      </c>
      <c r="AR221" s="89"/>
      <c r="AS221" s="27"/>
      <c r="AT221" s="16"/>
      <c r="AU221" s="27"/>
      <c r="AV221" s="86"/>
      <c r="AW221" s="27"/>
      <c r="AX221" s="27"/>
      <c r="AY221" s="27"/>
      <c r="AZ221" s="27"/>
      <c r="BA221" s="27"/>
      <c r="BB221" s="27"/>
      <c r="BC221" s="97"/>
      <c r="BD221" s="27"/>
      <c r="BE221" s="16"/>
      <c r="BF221" s="28">
        <f t="shared" si="96"/>
        <v>0</v>
      </c>
      <c r="BG221" s="29"/>
      <c r="BH221" s="27"/>
      <c r="BI221" s="30">
        <f t="shared" si="97"/>
        <v>343</v>
      </c>
      <c r="BJ221" s="31">
        <f t="shared" si="98"/>
        <v>45656</v>
      </c>
      <c r="BK221" s="27"/>
      <c r="BL221" s="16"/>
      <c r="BM221" s="27"/>
      <c r="BN221" s="16"/>
      <c r="BO221" s="27"/>
      <c r="BP221" s="16"/>
      <c r="BQ221" s="27"/>
      <c r="BR221" s="24"/>
      <c r="BS221" s="24"/>
      <c r="BT221" s="32"/>
      <c r="BU221" s="27"/>
      <c r="BV221" s="24"/>
      <c r="BW221" s="24"/>
      <c r="BX221" s="16"/>
      <c r="BY221" s="27"/>
      <c r="BZ221" s="24"/>
      <c r="CA221" s="24"/>
      <c r="CB221" s="16"/>
      <c r="CC221" s="49">
        <f t="shared" si="99"/>
        <v>0</v>
      </c>
      <c r="CD221" s="24"/>
      <c r="CE221" s="49">
        <f t="shared" si="100"/>
        <v>176000000</v>
      </c>
      <c r="CF221" s="50"/>
      <c r="CG221" s="49">
        <f t="shared" ca="1" si="101"/>
        <v>176000000</v>
      </c>
      <c r="CH221" s="33">
        <f t="shared" ca="1" si="102"/>
        <v>1</v>
      </c>
      <c r="CI221" s="33">
        <f t="shared" ca="1" si="103"/>
        <v>1</v>
      </c>
      <c r="CJ221" s="36">
        <f t="shared" ca="1" si="104"/>
        <v>100</v>
      </c>
      <c r="CK221" s="34">
        <f t="shared" si="105"/>
        <v>0</v>
      </c>
      <c r="CL221" s="21"/>
      <c r="CM221" s="35" t="str">
        <f t="shared" ca="1" si="106"/>
        <v>TERMINADO</v>
      </c>
      <c r="CN221" s="82"/>
      <c r="CO221" s="145" t="s">
        <v>1982</v>
      </c>
      <c r="CP221" s="26" t="s">
        <v>142</v>
      </c>
    </row>
    <row r="222" spans="1:98" ht="24.75" customHeight="1">
      <c r="A222" s="48" t="s">
        <v>1983</v>
      </c>
      <c r="B222" s="77" t="s">
        <v>1984</v>
      </c>
      <c r="C222" s="17" t="s">
        <v>104</v>
      </c>
      <c r="D222" s="18" t="s">
        <v>1985</v>
      </c>
      <c r="E222" s="17" t="s">
        <v>106</v>
      </c>
      <c r="F222" s="17" t="s">
        <v>107</v>
      </c>
      <c r="G222" s="17" t="s">
        <v>108</v>
      </c>
      <c r="H222" s="78">
        <v>80545522</v>
      </c>
      <c r="I222" s="74" t="s">
        <v>1986</v>
      </c>
      <c r="J222" s="16"/>
      <c r="K222" s="16"/>
      <c r="L222" s="20" t="s">
        <v>1884</v>
      </c>
      <c r="M222" s="16" t="s">
        <v>111</v>
      </c>
      <c r="N222" s="22">
        <v>45309</v>
      </c>
      <c r="O222" s="22">
        <v>45313</v>
      </c>
      <c r="P222" s="22">
        <v>45656</v>
      </c>
      <c r="Q222" s="23">
        <f t="shared" si="94"/>
        <v>343</v>
      </c>
      <c r="R222" s="17" t="s">
        <v>242</v>
      </c>
      <c r="S222" s="110" t="s">
        <v>1987</v>
      </c>
      <c r="T222" s="16" t="s">
        <v>1128</v>
      </c>
      <c r="U222" s="67">
        <v>74453333</v>
      </c>
      <c r="V222" s="16" t="s">
        <v>815</v>
      </c>
      <c r="W222" s="224">
        <v>74453333</v>
      </c>
      <c r="X222" s="24">
        <v>6400000</v>
      </c>
      <c r="Y222" s="24"/>
      <c r="Z222" s="24"/>
      <c r="AA222" s="17" t="s">
        <v>116</v>
      </c>
      <c r="AB222" s="23" t="str">
        <f>IFERROR(VLOOKUP(AA222,Listas!$A$1:$C$14,2,FALSE),"")</f>
        <v>FREDY CÉSPEDES VILLA</v>
      </c>
      <c r="AC222" s="23">
        <f>IFERROR(VLOOKUP(AA222,Listas!$A$1:$C$14,3,FALSE),"")</f>
        <v>93363483</v>
      </c>
      <c r="AD222" s="17" t="s">
        <v>816</v>
      </c>
      <c r="AE222" s="17" t="s">
        <v>817</v>
      </c>
      <c r="AF222" s="23" t="str">
        <f>IFERROR(VLOOKUP(AE222,Listas!$AD$1:$AF$66,2,FALSE),"")</f>
        <v>JOSÉ EDUARDO PARADA JIMÉNEZ</v>
      </c>
      <c r="AG222" s="23">
        <f>IFERROR(VLOOKUP(AE222,Listas!$AD$1:$AF$65,3,FALSE),"")</f>
        <v>79434805</v>
      </c>
      <c r="AH222" s="17" t="s">
        <v>118</v>
      </c>
      <c r="AI222" s="65" t="s">
        <v>1442</v>
      </c>
      <c r="AJ222" s="25" t="s">
        <v>119</v>
      </c>
      <c r="AK222" s="26" t="s">
        <v>120</v>
      </c>
      <c r="AL222" s="26" t="s">
        <v>120</v>
      </c>
      <c r="AM222" s="90" t="s">
        <v>119</v>
      </c>
      <c r="AN222" s="105">
        <v>29732</v>
      </c>
      <c r="AO222" s="91">
        <f t="shared" ca="1" si="95"/>
        <v>44</v>
      </c>
      <c r="AP222" s="26" t="s">
        <v>121</v>
      </c>
      <c r="AQ222" s="26" t="s">
        <v>819</v>
      </c>
      <c r="AR222" s="89"/>
      <c r="AS222" s="27"/>
      <c r="AT222" s="16"/>
      <c r="AU222" s="27"/>
      <c r="AV222" s="86"/>
      <c r="AW222" s="27"/>
      <c r="AX222" s="27"/>
      <c r="AY222" s="27"/>
      <c r="AZ222" s="27"/>
      <c r="BA222" s="27"/>
      <c r="BB222" s="27"/>
      <c r="BC222" s="97"/>
      <c r="BD222" s="27"/>
      <c r="BE222" s="16"/>
      <c r="BF222" s="28">
        <f t="shared" si="96"/>
        <v>0</v>
      </c>
      <c r="BG222" s="29"/>
      <c r="BH222" s="27"/>
      <c r="BI222" s="30">
        <f t="shared" si="97"/>
        <v>343</v>
      </c>
      <c r="BJ222" s="31">
        <f t="shared" si="98"/>
        <v>45656</v>
      </c>
      <c r="BK222" s="27"/>
      <c r="BL222" s="16"/>
      <c r="BM222" s="27"/>
      <c r="BN222" s="16"/>
      <c r="BO222" s="27"/>
      <c r="BP222" s="16"/>
      <c r="BQ222" s="27"/>
      <c r="BR222" s="24"/>
      <c r="BS222" s="24"/>
      <c r="BT222" s="32"/>
      <c r="BU222" s="27"/>
      <c r="BV222" s="24"/>
      <c r="BW222" s="24"/>
      <c r="BX222" s="16"/>
      <c r="BY222" s="27"/>
      <c r="BZ222" s="24"/>
      <c r="CA222" s="24"/>
      <c r="CB222" s="16"/>
      <c r="CC222" s="49">
        <f t="shared" si="99"/>
        <v>0</v>
      </c>
      <c r="CD222" s="24"/>
      <c r="CE222" s="49">
        <f t="shared" si="100"/>
        <v>74453333</v>
      </c>
      <c r="CF222" s="50"/>
      <c r="CG222" s="49">
        <f t="shared" ca="1" si="101"/>
        <v>74453333</v>
      </c>
      <c r="CH222" s="33">
        <f t="shared" ca="1" si="102"/>
        <v>1</v>
      </c>
      <c r="CI222" s="33">
        <f t="shared" ca="1" si="103"/>
        <v>1</v>
      </c>
      <c r="CJ222" s="36">
        <f t="shared" ca="1" si="104"/>
        <v>100</v>
      </c>
      <c r="CK222" s="34">
        <f t="shared" si="105"/>
        <v>0</v>
      </c>
      <c r="CL222" s="21"/>
      <c r="CM222" s="35" t="str">
        <f t="shared" ca="1" si="106"/>
        <v>TERMINADO</v>
      </c>
      <c r="CN222" s="82"/>
      <c r="CO222" s="145" t="s">
        <v>1988</v>
      </c>
      <c r="CP222" s="26" t="s">
        <v>142</v>
      </c>
    </row>
    <row r="223" spans="1:98" ht="24.75" customHeight="1">
      <c r="A223" s="48" t="s">
        <v>1989</v>
      </c>
      <c r="B223" s="77" t="s">
        <v>1990</v>
      </c>
      <c r="C223" s="17" t="s">
        <v>104</v>
      </c>
      <c r="D223" s="18" t="s">
        <v>1991</v>
      </c>
      <c r="E223" s="17" t="s">
        <v>106</v>
      </c>
      <c r="F223" s="17" t="s">
        <v>107</v>
      </c>
      <c r="G223" s="17" t="s">
        <v>108</v>
      </c>
      <c r="H223" s="78">
        <v>52837818</v>
      </c>
      <c r="I223" s="74" t="s">
        <v>1992</v>
      </c>
      <c r="J223" s="16"/>
      <c r="K223" s="16"/>
      <c r="L223" s="20" t="s">
        <v>1884</v>
      </c>
      <c r="M223" s="16" t="s">
        <v>111</v>
      </c>
      <c r="N223" s="22">
        <v>45309</v>
      </c>
      <c r="O223" s="22">
        <v>45313</v>
      </c>
      <c r="P223" s="22">
        <v>45656</v>
      </c>
      <c r="Q223" s="23">
        <f t="shared" si="94"/>
        <v>343</v>
      </c>
      <c r="R223" s="17" t="s">
        <v>242</v>
      </c>
      <c r="S223" s="110" t="s">
        <v>1993</v>
      </c>
      <c r="T223" s="16" t="s">
        <v>1128</v>
      </c>
      <c r="U223" s="67">
        <v>74453333</v>
      </c>
      <c r="V223" s="16" t="s">
        <v>815</v>
      </c>
      <c r="W223" s="224">
        <v>74453333</v>
      </c>
      <c r="X223" s="24">
        <v>6400000</v>
      </c>
      <c r="Y223" s="24"/>
      <c r="Z223" s="24"/>
      <c r="AA223" s="17" t="s">
        <v>116</v>
      </c>
      <c r="AB223" s="23" t="str">
        <f>IFERROR(VLOOKUP(AA223,Listas!$A$1:$C$14,2,FALSE),"")</f>
        <v>FREDY CÉSPEDES VILLA</v>
      </c>
      <c r="AC223" s="23">
        <f>IFERROR(VLOOKUP(AA223,Listas!$A$1:$C$14,3,FALSE),"")</f>
        <v>93363483</v>
      </c>
      <c r="AD223" s="17" t="s">
        <v>816</v>
      </c>
      <c r="AE223" s="17" t="s">
        <v>817</v>
      </c>
      <c r="AF223" s="23" t="str">
        <f>IFERROR(VLOOKUP(AE223,Listas!$AD$1:$AF$66,2,FALSE),"")</f>
        <v>JOSÉ EDUARDO PARADA JIMÉNEZ</v>
      </c>
      <c r="AG223" s="23">
        <f>IFERROR(VLOOKUP(AE223,Listas!$AD$1:$AF$65,3,FALSE),"")</f>
        <v>79434805</v>
      </c>
      <c r="AH223" s="17" t="s">
        <v>118</v>
      </c>
      <c r="AI223" s="65" t="s">
        <v>1442</v>
      </c>
      <c r="AJ223" s="25" t="s">
        <v>119</v>
      </c>
      <c r="AK223" s="26" t="s">
        <v>120</v>
      </c>
      <c r="AL223" s="26" t="s">
        <v>120</v>
      </c>
      <c r="AM223" s="90" t="s">
        <v>119</v>
      </c>
      <c r="AN223" s="105">
        <v>29930</v>
      </c>
      <c r="AO223" s="91">
        <f t="shared" ca="1" si="95"/>
        <v>44</v>
      </c>
      <c r="AP223" s="26" t="s">
        <v>121</v>
      </c>
      <c r="AQ223" s="26" t="s">
        <v>819</v>
      </c>
      <c r="AR223" s="89"/>
      <c r="AS223" s="27"/>
      <c r="AT223" s="16"/>
      <c r="AU223" s="27"/>
      <c r="AV223" s="86"/>
      <c r="AW223" s="27"/>
      <c r="AX223" s="27"/>
      <c r="AY223" s="27"/>
      <c r="AZ223" s="27"/>
      <c r="BA223" s="27"/>
      <c r="BB223" s="27"/>
      <c r="BC223" s="97"/>
      <c r="BD223" s="27"/>
      <c r="BE223" s="16"/>
      <c r="BF223" s="28">
        <f t="shared" si="96"/>
        <v>0</v>
      </c>
      <c r="BG223" s="29"/>
      <c r="BH223" s="27"/>
      <c r="BI223" s="30">
        <f t="shared" si="97"/>
        <v>343</v>
      </c>
      <c r="BJ223" s="31">
        <f t="shared" si="98"/>
        <v>45656</v>
      </c>
      <c r="BK223" s="27"/>
      <c r="BL223" s="16"/>
      <c r="BM223" s="27"/>
      <c r="BN223" s="16"/>
      <c r="BO223" s="27"/>
      <c r="BP223" s="16"/>
      <c r="BQ223" s="27"/>
      <c r="BR223" s="24"/>
      <c r="BS223" s="24"/>
      <c r="BT223" s="32"/>
      <c r="BU223" s="27"/>
      <c r="BV223" s="24"/>
      <c r="BW223" s="24"/>
      <c r="BX223" s="16"/>
      <c r="BY223" s="27"/>
      <c r="BZ223" s="24"/>
      <c r="CA223" s="24"/>
      <c r="CB223" s="16"/>
      <c r="CC223" s="49">
        <f t="shared" si="99"/>
        <v>0</v>
      </c>
      <c r="CD223" s="24"/>
      <c r="CE223" s="49">
        <f t="shared" si="100"/>
        <v>74453333</v>
      </c>
      <c r="CF223" s="50"/>
      <c r="CG223" s="49">
        <f t="shared" ca="1" si="101"/>
        <v>74453333</v>
      </c>
      <c r="CH223" s="33">
        <f t="shared" ca="1" si="102"/>
        <v>1</v>
      </c>
      <c r="CI223" s="33">
        <f t="shared" ca="1" si="103"/>
        <v>1</v>
      </c>
      <c r="CJ223" s="36">
        <f t="shared" ca="1" si="104"/>
        <v>100</v>
      </c>
      <c r="CK223" s="34">
        <f t="shared" si="105"/>
        <v>0</v>
      </c>
      <c r="CL223" s="21"/>
      <c r="CM223" s="35" t="str">
        <f t="shared" ca="1" si="106"/>
        <v>TERMINADO</v>
      </c>
      <c r="CN223" s="82"/>
      <c r="CO223" s="145" t="s">
        <v>1994</v>
      </c>
      <c r="CP223" s="26" t="s">
        <v>123</v>
      </c>
    </row>
    <row r="224" spans="1:98" ht="24.75" customHeight="1">
      <c r="A224" s="48"/>
      <c r="B224" s="345" t="s">
        <v>1995</v>
      </c>
      <c r="C224" s="345" t="s">
        <v>1583</v>
      </c>
      <c r="D224" s="18"/>
      <c r="E224" s="17"/>
      <c r="F224" s="17"/>
      <c r="G224" s="17"/>
      <c r="H224" s="78"/>
      <c r="I224" s="74"/>
      <c r="J224" s="16"/>
      <c r="K224" s="16"/>
      <c r="L224" s="96"/>
      <c r="M224" s="16"/>
      <c r="N224" s="22"/>
      <c r="O224" s="22"/>
      <c r="P224" s="22"/>
      <c r="Q224" s="23"/>
      <c r="R224" s="17"/>
      <c r="S224" s="16"/>
      <c r="T224" s="16"/>
      <c r="U224" s="67"/>
      <c r="V224" s="16"/>
      <c r="W224" s="24"/>
      <c r="X224" s="24"/>
      <c r="Y224" s="24"/>
      <c r="Z224" s="24"/>
      <c r="AA224" s="17"/>
      <c r="AB224" s="23"/>
      <c r="AC224" s="23"/>
      <c r="AD224" s="17"/>
      <c r="AE224" s="17"/>
      <c r="AF224" s="23"/>
      <c r="AG224" s="23"/>
      <c r="AH224" s="17"/>
      <c r="AI224" s="65"/>
      <c r="AJ224" s="25"/>
      <c r="AK224" s="26"/>
      <c r="AL224" s="26"/>
      <c r="AM224" s="90"/>
      <c r="AN224" s="105"/>
      <c r="AO224" s="91"/>
      <c r="AP224" s="26"/>
      <c r="AQ224" s="26"/>
      <c r="AR224" s="89"/>
      <c r="AS224" s="27"/>
      <c r="AT224" s="16"/>
      <c r="AU224" s="27"/>
      <c r="AV224" s="86"/>
      <c r="AW224" s="27"/>
      <c r="AX224" s="27"/>
      <c r="AY224" s="27"/>
      <c r="AZ224" s="27"/>
      <c r="BA224" s="27"/>
      <c r="BB224" s="27"/>
      <c r="BC224" s="97"/>
      <c r="BD224" s="27"/>
      <c r="BE224" s="16"/>
      <c r="BF224" s="28">
        <f t="shared" si="96"/>
        <v>0</v>
      </c>
      <c r="BG224" s="29"/>
      <c r="BH224" s="27"/>
      <c r="BI224" s="30">
        <f t="shared" si="97"/>
        <v>0</v>
      </c>
      <c r="BJ224" s="31">
        <f t="shared" si="98"/>
        <v>0</v>
      </c>
      <c r="BK224" s="27"/>
      <c r="BL224" s="16"/>
      <c r="BM224" s="27"/>
      <c r="BN224" s="16"/>
      <c r="BO224" s="27"/>
      <c r="BP224" s="16"/>
      <c r="BQ224" s="27"/>
      <c r="BR224" s="24"/>
      <c r="BS224" s="24"/>
      <c r="BT224" s="32"/>
      <c r="BU224" s="27"/>
      <c r="BV224" s="24"/>
      <c r="BW224" s="24"/>
      <c r="BX224" s="16"/>
      <c r="BY224" s="27"/>
      <c r="BZ224" s="24"/>
      <c r="CA224" s="24"/>
      <c r="CB224" s="16"/>
      <c r="CC224" s="49">
        <f t="shared" si="99"/>
        <v>0</v>
      </c>
      <c r="CD224" s="24"/>
      <c r="CE224" s="49">
        <f t="shared" si="100"/>
        <v>0</v>
      </c>
      <c r="CF224" s="50"/>
      <c r="CG224" s="49" t="str">
        <f t="shared" ca="1" si="101"/>
        <v/>
      </c>
      <c r="CH224" s="33">
        <f t="shared" ca="1" si="102"/>
        <v>1</v>
      </c>
      <c r="CI224" s="33">
        <f t="shared" ca="1" si="103"/>
        <v>1</v>
      </c>
      <c r="CJ224" s="36" t="str">
        <f t="shared" ca="1" si="104"/>
        <v/>
      </c>
      <c r="CK224" s="34" t="str">
        <f t="shared" si="105"/>
        <v/>
      </c>
      <c r="CL224" s="21"/>
      <c r="CM224" s="35"/>
      <c r="CN224" s="82"/>
      <c r="CP224" s="26"/>
      <c r="CS224" s="48"/>
      <c r="CT224" s="345"/>
    </row>
    <row r="225" spans="1:94" ht="24.75" customHeight="1">
      <c r="A225" s="48" t="s">
        <v>1996</v>
      </c>
      <c r="B225" s="77" t="s">
        <v>1997</v>
      </c>
      <c r="C225" s="17" t="s">
        <v>104</v>
      </c>
      <c r="D225" s="18" t="s">
        <v>1998</v>
      </c>
      <c r="E225" s="17" t="s">
        <v>106</v>
      </c>
      <c r="F225" s="17" t="s">
        <v>107</v>
      </c>
      <c r="G225" s="17" t="s">
        <v>108</v>
      </c>
      <c r="H225" s="78">
        <v>52533006</v>
      </c>
      <c r="I225" s="74" t="s">
        <v>1999</v>
      </c>
      <c r="J225" s="16"/>
      <c r="K225" s="16"/>
      <c r="L225" s="20" t="s">
        <v>2000</v>
      </c>
      <c r="M225" s="16" t="s">
        <v>111</v>
      </c>
      <c r="N225" s="22">
        <v>45309</v>
      </c>
      <c r="O225" s="22">
        <v>45314</v>
      </c>
      <c r="P225" s="22">
        <v>45656</v>
      </c>
      <c r="Q225" s="23">
        <f t="shared" ref="Q225:Q241" si="107">P225-O225</f>
        <v>342</v>
      </c>
      <c r="R225" s="17" t="s">
        <v>242</v>
      </c>
      <c r="S225" s="110" t="s">
        <v>2001</v>
      </c>
      <c r="T225" s="16" t="s">
        <v>1460</v>
      </c>
      <c r="U225" s="67">
        <v>127041600</v>
      </c>
      <c r="V225" s="16" t="s">
        <v>606</v>
      </c>
      <c r="W225" s="224">
        <v>127041600</v>
      </c>
      <c r="X225" s="24">
        <v>10586800</v>
      </c>
      <c r="Y225" s="24"/>
      <c r="Z225" s="24"/>
      <c r="AA225" s="17" t="s">
        <v>116</v>
      </c>
      <c r="AB225" s="23" t="str">
        <f>IFERROR(VLOOKUP(AA225,Listas!$A$1:$C$14,2,FALSE),"")</f>
        <v>FREDY CÉSPEDES VILLA</v>
      </c>
      <c r="AC225" s="23">
        <f>IFERROR(VLOOKUP(AA225,Listas!$A$1:$C$14,3,FALSE),"")</f>
        <v>93363483</v>
      </c>
      <c r="AD225" s="17" t="s">
        <v>607</v>
      </c>
      <c r="AE225" s="17" t="s">
        <v>1155</v>
      </c>
      <c r="AF225" s="23" t="str">
        <f>IFERROR(VLOOKUP(AE225,Listas!$AD$1:$AF$66,2,FALSE),"")</f>
        <v>MARÍA FRANCISCA CEPEDA QUINTERO</v>
      </c>
      <c r="AG225" s="23">
        <f>IFERROR(VLOOKUP(AE225,Listas!$AD$1:$AF$65,3,FALSE),"")</f>
        <v>53062608</v>
      </c>
      <c r="AH225" s="17" t="s">
        <v>118</v>
      </c>
      <c r="AI225" s="65" t="s">
        <v>2002</v>
      </c>
      <c r="AJ225" s="25" t="s">
        <v>119</v>
      </c>
      <c r="AK225" s="26" t="s">
        <v>120</v>
      </c>
      <c r="AL225" s="26" t="s">
        <v>120</v>
      </c>
      <c r="AM225" s="90" t="s">
        <v>119</v>
      </c>
      <c r="AN225" s="105">
        <v>28936</v>
      </c>
      <c r="AO225" s="91">
        <f t="shared" ref="AO225:AO241" ca="1" si="108">IF(YEAR(TODAY())-YEAR(AN225)&gt;100," ",YEAR(TODAY())-YEAR(AN225))</f>
        <v>46</v>
      </c>
      <c r="AP225" s="26" t="s">
        <v>121</v>
      </c>
      <c r="AQ225" s="26" t="s">
        <v>486</v>
      </c>
      <c r="AR225" s="89"/>
      <c r="AS225" s="27"/>
      <c r="AT225" s="16"/>
      <c r="AU225" s="27"/>
      <c r="AV225" s="86"/>
      <c r="AW225" s="27"/>
      <c r="AX225" s="27"/>
      <c r="AY225" s="27"/>
      <c r="AZ225" s="27"/>
      <c r="BA225" s="27"/>
      <c r="BB225" s="27"/>
      <c r="BC225" s="97"/>
      <c r="BD225" s="27"/>
      <c r="BE225" s="16"/>
      <c r="BF225" s="28">
        <f t="shared" si="96"/>
        <v>0</v>
      </c>
      <c r="BG225" s="29"/>
      <c r="BH225" s="27"/>
      <c r="BI225" s="30">
        <f t="shared" si="97"/>
        <v>342</v>
      </c>
      <c r="BJ225" s="31">
        <f t="shared" si="98"/>
        <v>45656</v>
      </c>
      <c r="BK225" s="27"/>
      <c r="BL225" s="16"/>
      <c r="BM225" s="27"/>
      <c r="BN225" s="16"/>
      <c r="BO225" s="27"/>
      <c r="BP225" s="16"/>
      <c r="BQ225" s="27"/>
      <c r="BR225" s="24"/>
      <c r="BS225" s="24"/>
      <c r="BT225" s="32"/>
      <c r="BU225" s="27"/>
      <c r="BV225" s="24"/>
      <c r="BW225" s="24"/>
      <c r="BX225" s="16"/>
      <c r="BY225" s="27"/>
      <c r="BZ225" s="24"/>
      <c r="CA225" s="24"/>
      <c r="CB225" s="16"/>
      <c r="CC225" s="49">
        <f t="shared" si="99"/>
        <v>0</v>
      </c>
      <c r="CD225" s="24"/>
      <c r="CE225" s="49">
        <f t="shared" si="100"/>
        <v>127041600</v>
      </c>
      <c r="CF225" s="50"/>
      <c r="CG225" s="49">
        <f t="shared" ca="1" si="101"/>
        <v>127041600</v>
      </c>
      <c r="CH225" s="33">
        <f t="shared" ca="1" si="102"/>
        <v>1</v>
      </c>
      <c r="CI225" s="33">
        <f t="shared" ca="1" si="103"/>
        <v>1</v>
      </c>
      <c r="CJ225" s="36">
        <f t="shared" ca="1" si="104"/>
        <v>100</v>
      </c>
      <c r="CK225" s="34">
        <f t="shared" si="105"/>
        <v>0</v>
      </c>
      <c r="CL225" s="21"/>
      <c r="CM225" s="35" t="str">
        <f t="shared" ref="CM225:CM241" ca="1" si="109">IF(CL225&gt;1/1/6,"LIQUIDADO",IF(BJ225=0,"",IF(BJ225&gt;=TODAY(),"VIGENTE",IF(BJ225&lt;TODAY(),"TERMINADO",))))</f>
        <v>TERMINADO</v>
      </c>
      <c r="CN225" s="82"/>
      <c r="CO225" s="146"/>
      <c r="CP225" s="26" t="s">
        <v>123</v>
      </c>
    </row>
    <row r="226" spans="1:94" ht="24.75" customHeight="1">
      <c r="A226" s="48" t="s">
        <v>2003</v>
      </c>
      <c r="B226" s="77" t="s">
        <v>2004</v>
      </c>
      <c r="C226" s="17" t="s">
        <v>104</v>
      </c>
      <c r="D226" s="18" t="s">
        <v>2005</v>
      </c>
      <c r="E226" s="17" t="s">
        <v>106</v>
      </c>
      <c r="F226" s="17" t="s">
        <v>107</v>
      </c>
      <c r="G226" s="17" t="s">
        <v>108</v>
      </c>
      <c r="H226" s="78">
        <v>1033708088</v>
      </c>
      <c r="I226" s="74" t="s">
        <v>2006</v>
      </c>
      <c r="J226" s="16"/>
      <c r="K226" s="16"/>
      <c r="L226" s="20" t="s">
        <v>2007</v>
      </c>
      <c r="M226" s="16" t="s">
        <v>111</v>
      </c>
      <c r="N226" s="22">
        <v>45316</v>
      </c>
      <c r="O226" s="143">
        <v>45320</v>
      </c>
      <c r="P226" s="22">
        <v>45656</v>
      </c>
      <c r="Q226" s="23">
        <f t="shared" si="107"/>
        <v>336</v>
      </c>
      <c r="R226" s="17" t="s">
        <v>242</v>
      </c>
      <c r="S226" s="110" t="s">
        <v>2008</v>
      </c>
      <c r="T226" s="16" t="s">
        <v>1128</v>
      </c>
      <c r="U226" s="67">
        <v>75093333</v>
      </c>
      <c r="V226" s="16" t="s">
        <v>815</v>
      </c>
      <c r="W226" s="224">
        <v>75093333</v>
      </c>
      <c r="X226" s="24">
        <v>6400000</v>
      </c>
      <c r="Y226" s="24"/>
      <c r="Z226" s="24"/>
      <c r="AA226" s="17" t="s">
        <v>116</v>
      </c>
      <c r="AB226" s="23" t="str">
        <f>IFERROR(VLOOKUP(AA226,Listas!$A$1:$C$14,2,FALSE),"")</f>
        <v>FREDY CÉSPEDES VILLA</v>
      </c>
      <c r="AC226" s="23">
        <f>IFERROR(VLOOKUP(AA226,Listas!$A$1:$C$14,3,FALSE),"")</f>
        <v>93363483</v>
      </c>
      <c r="AD226" s="17" t="s">
        <v>816</v>
      </c>
      <c r="AE226" s="17" t="s">
        <v>1450</v>
      </c>
      <c r="AF226" s="23" t="str">
        <f>IFERROR(VLOOKUP(AE226,Listas!$AD$1:$AF$66,2,FALSE),"")</f>
        <v>LINA MARIA CRUZ SILVA</v>
      </c>
      <c r="AG226" s="23">
        <f>IFERROR(VLOOKUP(AE226,Listas!$AD$1:$AF$65,3,FALSE),"")</f>
        <v>52423537</v>
      </c>
      <c r="AH226" s="17" t="s">
        <v>118</v>
      </c>
      <c r="AI226" s="65" t="s">
        <v>2009</v>
      </c>
      <c r="AJ226" s="25" t="s">
        <v>119</v>
      </c>
      <c r="AK226" s="26" t="s">
        <v>120</v>
      </c>
      <c r="AL226" s="26" t="s">
        <v>120</v>
      </c>
      <c r="AM226" s="90" t="s">
        <v>119</v>
      </c>
      <c r="AN226" s="105">
        <v>32577</v>
      </c>
      <c r="AO226" s="91">
        <f t="shared" ca="1" si="108"/>
        <v>36</v>
      </c>
      <c r="AP226" s="26" t="s">
        <v>121</v>
      </c>
      <c r="AQ226" s="26" t="s">
        <v>1641</v>
      </c>
      <c r="AR226" s="89"/>
      <c r="AS226" s="27"/>
      <c r="AT226" s="16"/>
      <c r="AU226" s="27"/>
      <c r="AV226" s="86"/>
      <c r="AW226" s="27"/>
      <c r="AX226" s="27"/>
      <c r="AY226" s="27"/>
      <c r="AZ226" s="27"/>
      <c r="BA226" s="27"/>
      <c r="BB226" s="27"/>
      <c r="BC226" s="97"/>
      <c r="BD226" s="27"/>
      <c r="BE226" s="16"/>
      <c r="BF226" s="28">
        <f t="shared" si="96"/>
        <v>0</v>
      </c>
      <c r="BG226" s="29"/>
      <c r="BH226" s="27"/>
      <c r="BI226" s="30">
        <f t="shared" si="97"/>
        <v>336</v>
      </c>
      <c r="BJ226" s="31">
        <f t="shared" si="98"/>
        <v>45656</v>
      </c>
      <c r="BK226" s="27"/>
      <c r="BL226" s="16"/>
      <c r="BM226" s="27"/>
      <c r="BN226" s="16"/>
      <c r="BO226" s="27"/>
      <c r="BP226" s="16"/>
      <c r="BQ226" s="27"/>
      <c r="BR226" s="24"/>
      <c r="BS226" s="24"/>
      <c r="BT226" s="32"/>
      <c r="BU226" s="27"/>
      <c r="BV226" s="24"/>
      <c r="BW226" s="24"/>
      <c r="BX226" s="16"/>
      <c r="BY226" s="27"/>
      <c r="BZ226" s="24"/>
      <c r="CA226" s="24"/>
      <c r="CB226" s="16"/>
      <c r="CC226" s="49">
        <f t="shared" si="99"/>
        <v>0</v>
      </c>
      <c r="CD226" s="24"/>
      <c r="CE226" s="49">
        <f t="shared" si="100"/>
        <v>75093333</v>
      </c>
      <c r="CF226" s="50"/>
      <c r="CG226" s="49">
        <f t="shared" ca="1" si="101"/>
        <v>75093333</v>
      </c>
      <c r="CH226" s="33">
        <f t="shared" ca="1" si="102"/>
        <v>1</v>
      </c>
      <c r="CI226" s="33">
        <f t="shared" ca="1" si="103"/>
        <v>1</v>
      </c>
      <c r="CJ226" s="36">
        <f t="shared" ca="1" si="104"/>
        <v>100</v>
      </c>
      <c r="CK226" s="34">
        <f t="shared" si="105"/>
        <v>0</v>
      </c>
      <c r="CL226" s="21"/>
      <c r="CM226" s="35" t="str">
        <f t="shared" ca="1" si="109"/>
        <v>TERMINADO</v>
      </c>
      <c r="CN226" s="82"/>
      <c r="CO226" s="145" t="s">
        <v>2010</v>
      </c>
      <c r="CP226" s="26" t="s">
        <v>123</v>
      </c>
    </row>
    <row r="227" spans="1:94" ht="24.75" customHeight="1">
      <c r="A227" s="48" t="s">
        <v>2011</v>
      </c>
      <c r="B227" s="77" t="s">
        <v>2012</v>
      </c>
      <c r="C227" s="17" t="s">
        <v>104</v>
      </c>
      <c r="D227" s="18" t="s">
        <v>2013</v>
      </c>
      <c r="E227" s="17" t="s">
        <v>106</v>
      </c>
      <c r="F227" s="17" t="s">
        <v>107</v>
      </c>
      <c r="G227" s="17" t="s">
        <v>108</v>
      </c>
      <c r="H227" s="78">
        <v>52425023</v>
      </c>
      <c r="I227" s="74" t="s">
        <v>2014</v>
      </c>
      <c r="J227" s="16"/>
      <c r="K227" s="16"/>
      <c r="L227" s="20" t="s">
        <v>2015</v>
      </c>
      <c r="M227" s="16" t="s">
        <v>111</v>
      </c>
      <c r="N227" s="22">
        <v>45310</v>
      </c>
      <c r="O227" s="143">
        <v>45313</v>
      </c>
      <c r="P227" s="22">
        <v>45656</v>
      </c>
      <c r="Q227" s="23">
        <f t="shared" si="107"/>
        <v>343</v>
      </c>
      <c r="R227" s="17" t="s">
        <v>242</v>
      </c>
      <c r="S227" s="110" t="s">
        <v>2016</v>
      </c>
      <c r="T227" s="16" t="s">
        <v>1460</v>
      </c>
      <c r="U227" s="67">
        <v>127041200</v>
      </c>
      <c r="V227" s="16" t="s">
        <v>606</v>
      </c>
      <c r="W227" s="224">
        <v>127041600</v>
      </c>
      <c r="X227" s="24">
        <v>10586800</v>
      </c>
      <c r="Y227" s="24"/>
      <c r="Z227" s="24"/>
      <c r="AA227" s="17" t="s">
        <v>116</v>
      </c>
      <c r="AB227" s="23" t="str">
        <f>IFERROR(VLOOKUP(AA227,Listas!$A$1:$C$14,2,FALSE),"")</f>
        <v>FREDY CÉSPEDES VILLA</v>
      </c>
      <c r="AC227" s="23">
        <f>IFERROR(VLOOKUP(AA227,Listas!$A$1:$C$14,3,FALSE),"")</f>
        <v>93363483</v>
      </c>
      <c r="AD227" s="17" t="s">
        <v>607</v>
      </c>
      <c r="AE227" s="17" t="s">
        <v>1155</v>
      </c>
      <c r="AF227" s="23" t="str">
        <f>IFERROR(VLOOKUP(AE227,Listas!$AD$1:$AF$66,2,FALSE),"")</f>
        <v>MARÍA FRANCISCA CEPEDA QUINTERO</v>
      </c>
      <c r="AG227" s="23">
        <f>IFERROR(VLOOKUP(AE227,Listas!$AD$1:$AF$65,3,FALSE),"")</f>
        <v>53062608</v>
      </c>
      <c r="AH227" s="17" t="s">
        <v>118</v>
      </c>
      <c r="AI227" s="65" t="s">
        <v>2017</v>
      </c>
      <c r="AJ227" s="25" t="s">
        <v>119</v>
      </c>
      <c r="AK227" s="26" t="s">
        <v>120</v>
      </c>
      <c r="AL227" s="26" t="s">
        <v>120</v>
      </c>
      <c r="AM227" s="90" t="s">
        <v>119</v>
      </c>
      <c r="AN227" s="105">
        <v>28551</v>
      </c>
      <c r="AO227" s="91">
        <f t="shared" ca="1" si="108"/>
        <v>47</v>
      </c>
      <c r="AP227" s="26" t="s">
        <v>121</v>
      </c>
      <c r="AQ227" s="26" t="s">
        <v>486</v>
      </c>
      <c r="AR227" s="89"/>
      <c r="AS227" s="27"/>
      <c r="AT227" s="16"/>
      <c r="AU227" s="27"/>
      <c r="AV227" s="86"/>
      <c r="AW227" s="27"/>
      <c r="AX227" s="27"/>
      <c r="AY227" s="27"/>
      <c r="AZ227" s="27"/>
      <c r="BA227" s="27"/>
      <c r="BB227" s="27"/>
      <c r="BC227" s="97"/>
      <c r="BD227" s="27"/>
      <c r="BE227" s="16"/>
      <c r="BF227" s="28">
        <f t="shared" si="96"/>
        <v>0</v>
      </c>
      <c r="BG227" s="29"/>
      <c r="BH227" s="27"/>
      <c r="BI227" s="30">
        <f t="shared" si="97"/>
        <v>343</v>
      </c>
      <c r="BJ227" s="31">
        <f t="shared" si="98"/>
        <v>45656</v>
      </c>
      <c r="BK227" s="27"/>
      <c r="BL227" s="16"/>
      <c r="BM227" s="27"/>
      <c r="BN227" s="16"/>
      <c r="BO227" s="27"/>
      <c r="BP227" s="16"/>
      <c r="BQ227" s="27"/>
      <c r="BR227" s="24"/>
      <c r="BS227" s="24"/>
      <c r="BT227" s="32"/>
      <c r="BU227" s="27"/>
      <c r="BV227" s="24"/>
      <c r="BW227" s="24"/>
      <c r="BX227" s="16"/>
      <c r="BY227" s="27"/>
      <c r="BZ227" s="24"/>
      <c r="CA227" s="24"/>
      <c r="CB227" s="16"/>
      <c r="CC227" s="49">
        <f t="shared" si="99"/>
        <v>0</v>
      </c>
      <c r="CD227" s="24"/>
      <c r="CE227" s="49">
        <f t="shared" si="100"/>
        <v>127041600</v>
      </c>
      <c r="CF227" s="50"/>
      <c r="CG227" s="49">
        <f t="shared" ca="1" si="101"/>
        <v>127041600</v>
      </c>
      <c r="CH227" s="33">
        <f t="shared" ca="1" si="102"/>
        <v>1</v>
      </c>
      <c r="CI227" s="33">
        <f t="shared" ca="1" si="103"/>
        <v>1</v>
      </c>
      <c r="CJ227" s="36">
        <f t="shared" ca="1" si="104"/>
        <v>100</v>
      </c>
      <c r="CK227" s="34">
        <f t="shared" si="105"/>
        <v>0</v>
      </c>
      <c r="CL227" s="21"/>
      <c r="CM227" s="35" t="str">
        <f t="shared" ca="1" si="109"/>
        <v>TERMINADO</v>
      </c>
      <c r="CN227" s="82"/>
      <c r="CO227" s="145" t="s">
        <v>2018</v>
      </c>
      <c r="CP227" s="26" t="s">
        <v>123</v>
      </c>
    </row>
    <row r="228" spans="1:94" ht="24.75" customHeight="1">
      <c r="A228" s="48" t="s">
        <v>2019</v>
      </c>
      <c r="B228" s="77" t="s">
        <v>2020</v>
      </c>
      <c r="C228" s="17" t="s">
        <v>104</v>
      </c>
      <c r="D228" s="18" t="s">
        <v>2021</v>
      </c>
      <c r="E228" s="17" t="s">
        <v>106</v>
      </c>
      <c r="F228" s="17" t="s">
        <v>107</v>
      </c>
      <c r="G228" s="17" t="s">
        <v>108</v>
      </c>
      <c r="H228" s="78">
        <v>1072655747</v>
      </c>
      <c r="I228" s="74" t="s">
        <v>2022</v>
      </c>
      <c r="J228" s="16"/>
      <c r="K228" s="16"/>
      <c r="L228" s="20" t="s">
        <v>2023</v>
      </c>
      <c r="M228" s="16" t="s">
        <v>111</v>
      </c>
      <c r="N228" s="22">
        <v>45310</v>
      </c>
      <c r="O228" s="143">
        <v>45316</v>
      </c>
      <c r="P228" s="22">
        <v>45656</v>
      </c>
      <c r="Q228" s="23">
        <f t="shared" si="107"/>
        <v>340</v>
      </c>
      <c r="R228" s="17" t="s">
        <v>112</v>
      </c>
      <c r="S228" s="110" t="s">
        <v>2024</v>
      </c>
      <c r="T228" s="16" t="s">
        <v>2025</v>
      </c>
      <c r="U228" s="67">
        <v>73800000</v>
      </c>
      <c r="V228" s="16" t="s">
        <v>1418</v>
      </c>
      <c r="W228" s="224">
        <v>73800000</v>
      </c>
      <c r="X228" s="24">
        <v>6150000</v>
      </c>
      <c r="Y228" s="24"/>
      <c r="Z228" s="24"/>
      <c r="AA228" s="17" t="s">
        <v>116</v>
      </c>
      <c r="AB228" s="23" t="str">
        <f>IFERROR(VLOOKUP(AA228,Listas!$A$1:$C$14,2,FALSE),"")</f>
        <v>FREDY CÉSPEDES VILLA</v>
      </c>
      <c r="AC228" s="23">
        <f>IFERROR(VLOOKUP(AA228,Listas!$A$1:$C$14,3,FALSE),"")</f>
        <v>93363483</v>
      </c>
      <c r="AD228" s="17" t="s">
        <v>116</v>
      </c>
      <c r="AE228" s="17" t="s">
        <v>484</v>
      </c>
      <c r="AF228" s="23" t="str">
        <f>IFERROR(VLOOKUP(AE228,Listas!$AD$1:$AF$66,2,FALSE),"")</f>
        <v>JAIME ANDRES GIL ACOSTA</v>
      </c>
      <c r="AG228" s="23">
        <f>IFERROR(VLOOKUP(AE228,Listas!$AD$1:$AF$65,3,FALSE),"")</f>
        <v>98622827</v>
      </c>
      <c r="AH228" s="17" t="s">
        <v>118</v>
      </c>
      <c r="AI228" s="65" t="s">
        <v>2026</v>
      </c>
      <c r="AJ228" s="25" t="s">
        <v>119</v>
      </c>
      <c r="AK228" s="26" t="s">
        <v>120</v>
      </c>
      <c r="AL228" s="26" t="s">
        <v>120</v>
      </c>
      <c r="AM228" s="90" t="s">
        <v>119</v>
      </c>
      <c r="AN228" s="105">
        <v>33639</v>
      </c>
      <c r="AO228" s="91">
        <f t="shared" ca="1" si="108"/>
        <v>33</v>
      </c>
      <c r="AP228" s="26" t="s">
        <v>121</v>
      </c>
      <c r="AQ228" s="26" t="s">
        <v>486</v>
      </c>
      <c r="AR228" s="89"/>
      <c r="AS228" s="27"/>
      <c r="AT228" s="16"/>
      <c r="AU228" s="27"/>
      <c r="AV228" s="86"/>
      <c r="AW228" s="27"/>
      <c r="AX228" s="27"/>
      <c r="AY228" s="27"/>
      <c r="AZ228" s="27"/>
      <c r="BA228" s="27"/>
      <c r="BB228" s="27"/>
      <c r="BC228" s="97"/>
      <c r="BD228" s="27"/>
      <c r="BE228" s="16"/>
      <c r="BF228" s="28">
        <f t="shared" si="96"/>
        <v>0</v>
      </c>
      <c r="BG228" s="29"/>
      <c r="BH228" s="27"/>
      <c r="BI228" s="30">
        <f t="shared" si="97"/>
        <v>340</v>
      </c>
      <c r="BJ228" s="31">
        <f t="shared" si="98"/>
        <v>45656</v>
      </c>
      <c r="BK228" s="27"/>
      <c r="BL228" s="16"/>
      <c r="BM228" s="27"/>
      <c r="BN228" s="16"/>
      <c r="BO228" s="27"/>
      <c r="BP228" s="16"/>
      <c r="BQ228" s="27"/>
      <c r="BR228" s="24"/>
      <c r="BS228" s="24"/>
      <c r="BT228" s="32"/>
      <c r="BU228" s="27"/>
      <c r="BV228" s="24"/>
      <c r="BW228" s="24"/>
      <c r="BX228" s="16"/>
      <c r="BY228" s="27"/>
      <c r="BZ228" s="24"/>
      <c r="CA228" s="24"/>
      <c r="CB228" s="16"/>
      <c r="CC228" s="49">
        <f t="shared" si="99"/>
        <v>0</v>
      </c>
      <c r="CD228" s="24"/>
      <c r="CE228" s="49">
        <f t="shared" si="100"/>
        <v>73800000</v>
      </c>
      <c r="CF228" s="50"/>
      <c r="CG228" s="49">
        <f t="shared" ca="1" si="101"/>
        <v>73800000</v>
      </c>
      <c r="CH228" s="33">
        <f t="shared" ca="1" si="102"/>
        <v>1</v>
      </c>
      <c r="CI228" s="33">
        <f t="shared" ca="1" si="103"/>
        <v>1</v>
      </c>
      <c r="CJ228" s="36">
        <f t="shared" ca="1" si="104"/>
        <v>100</v>
      </c>
      <c r="CK228" s="34">
        <f t="shared" si="105"/>
        <v>0</v>
      </c>
      <c r="CL228" s="21"/>
      <c r="CM228" s="35" t="str">
        <f t="shared" ca="1" si="109"/>
        <v>TERMINADO</v>
      </c>
      <c r="CN228" s="82"/>
      <c r="CO228" s="145" t="s">
        <v>2027</v>
      </c>
      <c r="CP228" s="26" t="s">
        <v>142</v>
      </c>
    </row>
    <row r="229" spans="1:94" ht="24.75" customHeight="1">
      <c r="A229" s="48" t="s">
        <v>2028</v>
      </c>
      <c r="B229" s="77" t="s">
        <v>2029</v>
      </c>
      <c r="C229" s="17" t="s">
        <v>104</v>
      </c>
      <c r="D229" s="18" t="s">
        <v>2030</v>
      </c>
      <c r="E229" s="17" t="s">
        <v>106</v>
      </c>
      <c r="F229" s="17" t="s">
        <v>107</v>
      </c>
      <c r="G229" s="17" t="s">
        <v>108</v>
      </c>
      <c r="H229" s="78">
        <v>51910760</v>
      </c>
      <c r="I229" s="74" t="s">
        <v>2031</v>
      </c>
      <c r="J229" s="16"/>
      <c r="K229" s="16"/>
      <c r="L229" s="20" t="s">
        <v>2032</v>
      </c>
      <c r="M229" s="16" t="s">
        <v>111</v>
      </c>
      <c r="N229" s="22">
        <v>45310</v>
      </c>
      <c r="O229" s="22">
        <v>45315</v>
      </c>
      <c r="P229" s="22">
        <v>45657</v>
      </c>
      <c r="Q229" s="23">
        <f t="shared" si="107"/>
        <v>342</v>
      </c>
      <c r="R229" s="17" t="s">
        <v>242</v>
      </c>
      <c r="S229" s="110" t="s">
        <v>2033</v>
      </c>
      <c r="T229" s="16" t="s">
        <v>2034</v>
      </c>
      <c r="U229" s="67">
        <v>84876372</v>
      </c>
      <c r="V229" s="16" t="s">
        <v>245</v>
      </c>
      <c r="W229" s="224">
        <v>84876372</v>
      </c>
      <c r="X229" s="24">
        <v>7073031</v>
      </c>
      <c r="Y229" s="24"/>
      <c r="Z229" s="24"/>
      <c r="AA229" s="17" t="s">
        <v>116</v>
      </c>
      <c r="AB229" s="23" t="str">
        <f>IFERROR(VLOOKUP(AA229,Listas!$A$1:$C$14,2,FALSE),"")</f>
        <v>FREDY CÉSPEDES VILLA</v>
      </c>
      <c r="AC229" s="23">
        <f>IFERROR(VLOOKUP(AA229,Listas!$A$1:$C$14,3,FALSE),"")</f>
        <v>93363483</v>
      </c>
      <c r="AD229" s="17" t="s">
        <v>217</v>
      </c>
      <c r="AE229" s="17" t="s">
        <v>381</v>
      </c>
      <c r="AF229" s="23" t="str">
        <f>IFERROR(VLOOKUP(AE229,Listas!$AD$1:$AF$66,2,FALSE),"")</f>
        <v>MARINA AZUCENA MEDINA SANDOVAL</v>
      </c>
      <c r="AG229" s="23">
        <f>IFERROR(VLOOKUP(AE229,Listas!$AD$1:$AF$65,3,FALSE),"")</f>
        <v>51842510</v>
      </c>
      <c r="AH229" s="17" t="s">
        <v>118</v>
      </c>
      <c r="AI229" s="65" t="s">
        <v>2035</v>
      </c>
      <c r="AJ229" s="25" t="s">
        <v>119</v>
      </c>
      <c r="AK229" s="26" t="s">
        <v>120</v>
      </c>
      <c r="AL229" s="26" t="s">
        <v>120</v>
      </c>
      <c r="AM229" s="90" t="s">
        <v>119</v>
      </c>
      <c r="AN229" s="105">
        <v>24428</v>
      </c>
      <c r="AO229" s="91">
        <f t="shared" ca="1" si="108"/>
        <v>59</v>
      </c>
      <c r="AP229" s="26" t="s">
        <v>121</v>
      </c>
      <c r="AQ229" s="26" t="s">
        <v>220</v>
      </c>
      <c r="AR229" s="89"/>
      <c r="AS229" s="27"/>
      <c r="AT229" s="16"/>
      <c r="AU229" s="27"/>
      <c r="AV229" s="86"/>
      <c r="AW229" s="27"/>
      <c r="AX229" s="27"/>
      <c r="AY229" s="27"/>
      <c r="AZ229" s="27"/>
      <c r="BA229" s="27"/>
      <c r="BB229" s="27"/>
      <c r="BC229" s="97"/>
      <c r="BD229" s="27"/>
      <c r="BE229" s="16"/>
      <c r="BF229" s="28">
        <f t="shared" si="96"/>
        <v>0</v>
      </c>
      <c r="BG229" s="29"/>
      <c r="BH229" s="27"/>
      <c r="BI229" s="30">
        <f t="shared" si="97"/>
        <v>342</v>
      </c>
      <c r="BJ229" s="31">
        <f t="shared" si="98"/>
        <v>45657</v>
      </c>
      <c r="BK229" s="27"/>
      <c r="BL229" s="16"/>
      <c r="BM229" s="27"/>
      <c r="BN229" s="16"/>
      <c r="BO229" s="27"/>
      <c r="BP229" s="16"/>
      <c r="BQ229" s="27"/>
      <c r="BR229" s="24"/>
      <c r="BS229" s="24"/>
      <c r="BT229" s="32"/>
      <c r="BU229" s="27"/>
      <c r="BV229" s="24"/>
      <c r="BW229" s="24"/>
      <c r="BX229" s="16"/>
      <c r="BY229" s="27"/>
      <c r="BZ229" s="24"/>
      <c r="CA229" s="24"/>
      <c r="CB229" s="16"/>
      <c r="CC229" s="49">
        <f t="shared" si="99"/>
        <v>0</v>
      </c>
      <c r="CD229" s="24"/>
      <c r="CE229" s="49">
        <f t="shared" si="100"/>
        <v>84876372</v>
      </c>
      <c r="CF229" s="50"/>
      <c r="CG229" s="49">
        <f t="shared" ca="1" si="101"/>
        <v>84876372</v>
      </c>
      <c r="CH229" s="33">
        <f t="shared" ca="1" si="102"/>
        <v>1</v>
      </c>
      <c r="CI229" s="33">
        <f t="shared" ca="1" si="103"/>
        <v>1</v>
      </c>
      <c r="CJ229" s="36">
        <f t="shared" ca="1" si="104"/>
        <v>100</v>
      </c>
      <c r="CK229" s="34">
        <f t="shared" si="105"/>
        <v>0</v>
      </c>
      <c r="CL229" s="21"/>
      <c r="CM229" s="35" t="str">
        <f t="shared" ca="1" si="109"/>
        <v>TERMINADO</v>
      </c>
      <c r="CN229" s="82"/>
      <c r="CO229" s="145" t="s">
        <v>2036</v>
      </c>
      <c r="CP229" s="26" t="s">
        <v>123</v>
      </c>
    </row>
    <row r="230" spans="1:94" ht="24.75" customHeight="1">
      <c r="A230" s="48" t="s">
        <v>2037</v>
      </c>
      <c r="B230" s="77" t="s">
        <v>2038</v>
      </c>
      <c r="C230" s="17" t="s">
        <v>104</v>
      </c>
      <c r="D230" s="18" t="s">
        <v>2039</v>
      </c>
      <c r="E230" s="17" t="s">
        <v>106</v>
      </c>
      <c r="F230" s="17" t="s">
        <v>107</v>
      </c>
      <c r="G230" s="17" t="s">
        <v>108</v>
      </c>
      <c r="H230" s="78">
        <v>52694358</v>
      </c>
      <c r="I230" s="74" t="s">
        <v>2040</v>
      </c>
      <c r="J230" s="16"/>
      <c r="K230" s="16"/>
      <c r="L230" s="20" t="s">
        <v>2041</v>
      </c>
      <c r="M230" s="16" t="s">
        <v>111</v>
      </c>
      <c r="N230" s="22">
        <v>45310</v>
      </c>
      <c r="O230" s="143">
        <v>45316</v>
      </c>
      <c r="P230" s="22">
        <v>45656</v>
      </c>
      <c r="Q230" s="23">
        <f t="shared" si="107"/>
        <v>340</v>
      </c>
      <c r="R230" s="17" t="s">
        <v>242</v>
      </c>
      <c r="S230" s="110" t="s">
        <v>2042</v>
      </c>
      <c r="T230" s="16" t="s">
        <v>1128</v>
      </c>
      <c r="U230" s="67">
        <v>167533333</v>
      </c>
      <c r="V230" s="16" t="s">
        <v>815</v>
      </c>
      <c r="W230" s="224">
        <v>168000000</v>
      </c>
      <c r="X230" s="24">
        <v>14000000</v>
      </c>
      <c r="Y230" s="24"/>
      <c r="Z230" s="24"/>
      <c r="AA230" s="17" t="s">
        <v>116</v>
      </c>
      <c r="AB230" s="23" t="str">
        <f>IFERROR(VLOOKUP(AA230,Listas!$A$1:$C$14,2,FALSE),"")</f>
        <v>FREDY CÉSPEDES VILLA</v>
      </c>
      <c r="AC230" s="23">
        <f>IFERROR(VLOOKUP(AA230,Listas!$A$1:$C$14,3,FALSE),"")</f>
        <v>93363483</v>
      </c>
      <c r="AD230" s="17" t="s">
        <v>816</v>
      </c>
      <c r="AE230" s="17" t="s">
        <v>1450</v>
      </c>
      <c r="AF230" s="23" t="str">
        <f>IFERROR(VLOOKUP(AE230,Listas!$AD$1:$AF$66,2,FALSE),"")</f>
        <v>LINA MARIA CRUZ SILVA</v>
      </c>
      <c r="AG230" s="23">
        <f>IFERROR(VLOOKUP(AE230,Listas!$AD$1:$AF$65,3,FALSE),"")</f>
        <v>52423537</v>
      </c>
      <c r="AH230" s="17" t="s">
        <v>118</v>
      </c>
      <c r="AI230" s="65" t="s">
        <v>2043</v>
      </c>
      <c r="AJ230" s="25" t="s">
        <v>119</v>
      </c>
      <c r="AK230" s="26" t="s">
        <v>120</v>
      </c>
      <c r="AL230" s="26" t="s">
        <v>120</v>
      </c>
      <c r="AM230" s="90" t="s">
        <v>119</v>
      </c>
      <c r="AN230" s="105">
        <v>29160</v>
      </c>
      <c r="AO230" s="91">
        <f t="shared" ca="1" si="108"/>
        <v>46</v>
      </c>
      <c r="AP230" s="26" t="s">
        <v>121</v>
      </c>
      <c r="AQ230" s="26" t="s">
        <v>515</v>
      </c>
      <c r="AR230" s="89"/>
      <c r="AS230" s="27"/>
      <c r="AT230" s="16"/>
      <c r="AU230" s="27"/>
      <c r="AV230" s="86"/>
      <c r="AW230" s="27"/>
      <c r="AX230" s="27"/>
      <c r="AY230" s="27"/>
      <c r="AZ230" s="27"/>
      <c r="BA230" s="27"/>
      <c r="BB230" s="27"/>
      <c r="BC230" s="97"/>
      <c r="BD230" s="27"/>
      <c r="BE230" s="16"/>
      <c r="BF230" s="28">
        <f t="shared" si="96"/>
        <v>0</v>
      </c>
      <c r="BG230" s="29"/>
      <c r="BH230" s="27"/>
      <c r="BI230" s="30">
        <f t="shared" si="97"/>
        <v>340</v>
      </c>
      <c r="BJ230" s="31">
        <f t="shared" si="98"/>
        <v>45656</v>
      </c>
      <c r="BK230" s="27"/>
      <c r="BL230" s="16"/>
      <c r="BM230" s="27"/>
      <c r="BN230" s="16"/>
      <c r="BO230" s="27"/>
      <c r="BP230" s="16"/>
      <c r="BQ230" s="27"/>
      <c r="BR230" s="24"/>
      <c r="BS230" s="24"/>
      <c r="BT230" s="32"/>
      <c r="BU230" s="27"/>
      <c r="BV230" s="24"/>
      <c r="BW230" s="24"/>
      <c r="BX230" s="16"/>
      <c r="BY230" s="27"/>
      <c r="BZ230" s="24"/>
      <c r="CA230" s="24"/>
      <c r="CB230" s="16"/>
      <c r="CC230" s="49">
        <f t="shared" si="99"/>
        <v>0</v>
      </c>
      <c r="CD230" s="24"/>
      <c r="CE230" s="49">
        <f t="shared" si="100"/>
        <v>168000000</v>
      </c>
      <c r="CF230" s="50"/>
      <c r="CG230" s="49">
        <f t="shared" ca="1" si="101"/>
        <v>168000000</v>
      </c>
      <c r="CH230" s="33">
        <f t="shared" ca="1" si="102"/>
        <v>1</v>
      </c>
      <c r="CI230" s="33">
        <f t="shared" ca="1" si="103"/>
        <v>1</v>
      </c>
      <c r="CJ230" s="36">
        <f t="shared" ca="1" si="104"/>
        <v>100</v>
      </c>
      <c r="CK230" s="34">
        <f t="shared" si="105"/>
        <v>0</v>
      </c>
      <c r="CL230" s="21"/>
      <c r="CM230" s="35" t="str">
        <f t="shared" ca="1" si="109"/>
        <v>TERMINADO</v>
      </c>
      <c r="CN230" s="82"/>
      <c r="CO230" s="145" t="s">
        <v>2044</v>
      </c>
      <c r="CP230" s="26" t="s">
        <v>123</v>
      </c>
    </row>
    <row r="231" spans="1:94" ht="24.75" customHeight="1">
      <c r="A231" s="48" t="s">
        <v>2045</v>
      </c>
      <c r="B231" s="77" t="s">
        <v>2046</v>
      </c>
      <c r="C231" s="17" t="s">
        <v>104</v>
      </c>
      <c r="D231" s="18" t="s">
        <v>2047</v>
      </c>
      <c r="E231" s="17" t="s">
        <v>106</v>
      </c>
      <c r="F231" s="17" t="s">
        <v>107</v>
      </c>
      <c r="G231" s="17" t="s">
        <v>108</v>
      </c>
      <c r="H231" s="78">
        <v>52737362</v>
      </c>
      <c r="I231" s="234" t="s">
        <v>2048</v>
      </c>
      <c r="J231" s="16"/>
      <c r="K231" s="16"/>
      <c r="L231" s="20" t="s">
        <v>2049</v>
      </c>
      <c r="M231" s="16" t="s">
        <v>111</v>
      </c>
      <c r="N231" s="22">
        <v>45310</v>
      </c>
      <c r="O231" s="143">
        <v>45313</v>
      </c>
      <c r="P231" s="22">
        <v>45656</v>
      </c>
      <c r="Q231" s="23">
        <f t="shared" si="107"/>
        <v>343</v>
      </c>
      <c r="R231" s="17" t="s">
        <v>242</v>
      </c>
      <c r="S231" s="110" t="s">
        <v>2050</v>
      </c>
      <c r="T231" s="16" t="s">
        <v>2051</v>
      </c>
      <c r="U231" s="67">
        <v>97104180</v>
      </c>
      <c r="V231" s="16" t="s">
        <v>753</v>
      </c>
      <c r="W231" s="224">
        <v>168000000</v>
      </c>
      <c r="X231" s="24">
        <v>8092015</v>
      </c>
      <c r="Y231" s="24"/>
      <c r="Z231" s="24"/>
      <c r="AA231" s="17" t="s">
        <v>116</v>
      </c>
      <c r="AB231" s="23" t="str">
        <f>IFERROR(VLOOKUP(AA231,Listas!$A$1:$C$14,2,FALSE),"")</f>
        <v>FREDY CÉSPEDES VILLA</v>
      </c>
      <c r="AC231" s="23">
        <f>IFERROR(VLOOKUP(AA231,Listas!$A$1:$C$14,3,FALSE),"")</f>
        <v>93363483</v>
      </c>
      <c r="AD231" s="17" t="s">
        <v>406</v>
      </c>
      <c r="AE231" s="17" t="s">
        <v>407</v>
      </c>
      <c r="AF231" s="23" t="str">
        <f>IFERROR(VLOOKUP(AE231,Listas!$AD$1:$AF$66,2,FALSE),"")</f>
        <v>MARÍA VICTORIA CAMARGO CORTÉS</v>
      </c>
      <c r="AG231" s="23">
        <f>IFERROR(VLOOKUP(AE231,Listas!$AD$1:$AF$65,3,FALSE),"")</f>
        <v>52496497</v>
      </c>
      <c r="AH231" s="17" t="s">
        <v>118</v>
      </c>
      <c r="AI231" s="65" t="s">
        <v>2052</v>
      </c>
      <c r="AJ231" s="25" t="s">
        <v>119</v>
      </c>
      <c r="AK231" s="26" t="s">
        <v>120</v>
      </c>
      <c r="AL231" s="26" t="s">
        <v>120</v>
      </c>
      <c r="AM231" s="90" t="s">
        <v>119</v>
      </c>
      <c r="AN231" s="105">
        <v>29935</v>
      </c>
      <c r="AO231" s="91">
        <f t="shared" ca="1" si="108"/>
        <v>44</v>
      </c>
      <c r="AP231" s="26" t="s">
        <v>121</v>
      </c>
      <c r="AQ231" s="26" t="s">
        <v>409</v>
      </c>
      <c r="AR231" s="89"/>
      <c r="AS231" s="27"/>
      <c r="AT231" s="16"/>
      <c r="AU231" s="27"/>
      <c r="AV231" s="86"/>
      <c r="AW231" s="27"/>
      <c r="AX231" s="27"/>
      <c r="AY231" s="27"/>
      <c r="AZ231" s="27"/>
      <c r="BA231" s="27"/>
      <c r="BB231" s="27"/>
      <c r="BC231" s="97"/>
      <c r="BD231" s="27"/>
      <c r="BE231" s="16"/>
      <c r="BF231" s="28">
        <f t="shared" si="96"/>
        <v>0</v>
      </c>
      <c r="BG231" s="29"/>
      <c r="BH231" s="27"/>
      <c r="BI231" s="30">
        <f t="shared" si="97"/>
        <v>343</v>
      </c>
      <c r="BJ231" s="31">
        <f t="shared" si="98"/>
        <v>45656</v>
      </c>
      <c r="BK231" s="27"/>
      <c r="BL231" s="16"/>
      <c r="BM231" s="27"/>
      <c r="BN231" s="16"/>
      <c r="BO231" s="27"/>
      <c r="BP231" s="16"/>
      <c r="BQ231" s="27"/>
      <c r="BR231" s="24"/>
      <c r="BS231" s="24"/>
      <c r="BT231" s="32"/>
      <c r="BU231" s="27"/>
      <c r="BV231" s="24"/>
      <c r="BW231" s="24"/>
      <c r="BX231" s="16"/>
      <c r="BY231" s="27"/>
      <c r="BZ231" s="24"/>
      <c r="CA231" s="24"/>
      <c r="CB231" s="16"/>
      <c r="CC231" s="49">
        <f t="shared" si="99"/>
        <v>0</v>
      </c>
      <c r="CD231" s="24"/>
      <c r="CE231" s="49">
        <f t="shared" si="100"/>
        <v>168000000</v>
      </c>
      <c r="CF231" s="50"/>
      <c r="CG231" s="49">
        <f t="shared" ca="1" si="101"/>
        <v>168000000</v>
      </c>
      <c r="CH231" s="33">
        <f t="shared" ca="1" si="102"/>
        <v>1</v>
      </c>
      <c r="CI231" s="33">
        <f t="shared" ca="1" si="103"/>
        <v>1</v>
      </c>
      <c r="CJ231" s="36">
        <f t="shared" ca="1" si="104"/>
        <v>100</v>
      </c>
      <c r="CK231" s="34">
        <f t="shared" si="105"/>
        <v>0</v>
      </c>
      <c r="CL231" s="21"/>
      <c r="CM231" s="35" t="str">
        <f t="shared" ca="1" si="109"/>
        <v>TERMINADO</v>
      </c>
      <c r="CN231" s="82"/>
      <c r="CO231" s="145" t="s">
        <v>2053</v>
      </c>
      <c r="CP231" s="26" t="s">
        <v>123</v>
      </c>
    </row>
    <row r="232" spans="1:94" ht="24.75" customHeight="1">
      <c r="A232" s="48" t="s">
        <v>2054</v>
      </c>
      <c r="B232" s="77" t="s">
        <v>2055</v>
      </c>
      <c r="C232" s="17" t="s">
        <v>104</v>
      </c>
      <c r="D232" s="18" t="s">
        <v>2056</v>
      </c>
      <c r="E232" s="17" t="s">
        <v>106</v>
      </c>
      <c r="F232" s="17" t="s">
        <v>107</v>
      </c>
      <c r="G232" s="17" t="s">
        <v>108</v>
      </c>
      <c r="H232" s="78">
        <v>52331348</v>
      </c>
      <c r="I232" s="233" t="s">
        <v>2057</v>
      </c>
      <c r="J232" s="16"/>
      <c r="K232" s="16"/>
      <c r="L232" s="20" t="s">
        <v>2049</v>
      </c>
      <c r="M232" s="16" t="s">
        <v>111</v>
      </c>
      <c r="N232" s="22">
        <v>45310</v>
      </c>
      <c r="O232" s="143">
        <v>45313</v>
      </c>
      <c r="P232" s="22">
        <v>45656</v>
      </c>
      <c r="Q232" s="23">
        <f t="shared" si="107"/>
        <v>343</v>
      </c>
      <c r="R232" s="17" t="s">
        <v>242</v>
      </c>
      <c r="S232" s="110" t="s">
        <v>2058</v>
      </c>
      <c r="T232" s="16" t="s">
        <v>2051</v>
      </c>
      <c r="U232" s="67">
        <v>97104180</v>
      </c>
      <c r="V232" s="16" t="s">
        <v>753</v>
      </c>
      <c r="W232" s="224">
        <v>168000000</v>
      </c>
      <c r="X232" s="24">
        <v>8092015</v>
      </c>
      <c r="Y232" s="24"/>
      <c r="Z232" s="24"/>
      <c r="AA232" s="17" t="s">
        <v>116</v>
      </c>
      <c r="AB232" s="23" t="str">
        <f>IFERROR(VLOOKUP(AA232,Listas!$A$1:$C$14,2,FALSE),"")</f>
        <v>FREDY CÉSPEDES VILLA</v>
      </c>
      <c r="AC232" s="23">
        <f>IFERROR(VLOOKUP(AA232,Listas!$A$1:$C$14,3,FALSE),"")</f>
        <v>93363483</v>
      </c>
      <c r="AD232" s="17" t="s">
        <v>406</v>
      </c>
      <c r="AE232" s="17" t="s">
        <v>407</v>
      </c>
      <c r="AF232" s="23" t="str">
        <f>IFERROR(VLOOKUP(AE232,Listas!$AD$1:$AF$66,2,FALSE),"")</f>
        <v>MARÍA VICTORIA CAMARGO CORTÉS</v>
      </c>
      <c r="AG232" s="23">
        <f>IFERROR(VLOOKUP(AE232,Listas!$AD$1:$AF$65,3,FALSE),"")</f>
        <v>52496497</v>
      </c>
      <c r="AH232" s="17" t="s">
        <v>118</v>
      </c>
      <c r="AI232" s="65" t="s">
        <v>2052</v>
      </c>
      <c r="AJ232" s="25" t="s">
        <v>119</v>
      </c>
      <c r="AK232" s="26" t="s">
        <v>120</v>
      </c>
      <c r="AL232" s="26" t="s">
        <v>120</v>
      </c>
      <c r="AM232" s="90" t="s">
        <v>119</v>
      </c>
      <c r="AN232" s="105">
        <v>27528</v>
      </c>
      <c r="AO232" s="91">
        <f t="shared" ca="1" si="108"/>
        <v>50</v>
      </c>
      <c r="AP232" s="26" t="s">
        <v>121</v>
      </c>
      <c r="AQ232" s="26" t="s">
        <v>409</v>
      </c>
      <c r="AR232" s="89"/>
      <c r="AS232" s="27"/>
      <c r="AT232" s="16"/>
      <c r="AU232" s="27"/>
      <c r="AV232" s="86"/>
      <c r="AW232" s="27"/>
      <c r="AX232" s="27"/>
      <c r="AY232" s="27"/>
      <c r="AZ232" s="27"/>
      <c r="BA232" s="27"/>
      <c r="BB232" s="27"/>
      <c r="BC232" s="97"/>
      <c r="BD232" s="27"/>
      <c r="BE232" s="16"/>
      <c r="BF232" s="28">
        <f t="shared" si="96"/>
        <v>0</v>
      </c>
      <c r="BG232" s="29"/>
      <c r="BH232" s="27"/>
      <c r="BI232" s="30">
        <f t="shared" si="97"/>
        <v>343</v>
      </c>
      <c r="BJ232" s="31">
        <f t="shared" si="98"/>
        <v>45656</v>
      </c>
      <c r="BK232" s="27"/>
      <c r="BL232" s="16"/>
      <c r="BM232" s="27"/>
      <c r="BN232" s="16"/>
      <c r="BO232" s="27"/>
      <c r="BP232" s="16"/>
      <c r="BQ232" s="27"/>
      <c r="BR232" s="24"/>
      <c r="BS232" s="24"/>
      <c r="BT232" s="32"/>
      <c r="BU232" s="27"/>
      <c r="BV232" s="24"/>
      <c r="BW232" s="24"/>
      <c r="BX232" s="16"/>
      <c r="BY232" s="27"/>
      <c r="BZ232" s="24"/>
      <c r="CA232" s="24"/>
      <c r="CB232" s="16"/>
      <c r="CC232" s="49">
        <f t="shared" si="99"/>
        <v>0</v>
      </c>
      <c r="CD232" s="24"/>
      <c r="CE232" s="49">
        <f t="shared" si="100"/>
        <v>168000000</v>
      </c>
      <c r="CF232" s="50"/>
      <c r="CG232" s="49">
        <f t="shared" ca="1" si="101"/>
        <v>168000000</v>
      </c>
      <c r="CH232" s="33">
        <f t="shared" ca="1" si="102"/>
        <v>1</v>
      </c>
      <c r="CI232" s="33">
        <f t="shared" ca="1" si="103"/>
        <v>1</v>
      </c>
      <c r="CJ232" s="36">
        <f t="shared" ca="1" si="104"/>
        <v>100</v>
      </c>
      <c r="CK232" s="34">
        <f t="shared" si="105"/>
        <v>0</v>
      </c>
      <c r="CL232" s="21"/>
      <c r="CM232" s="35" t="str">
        <f t="shared" ca="1" si="109"/>
        <v>TERMINADO</v>
      </c>
      <c r="CN232" s="82"/>
      <c r="CO232" s="145" t="s">
        <v>2059</v>
      </c>
      <c r="CP232" s="26" t="s">
        <v>123</v>
      </c>
    </row>
    <row r="233" spans="1:94" ht="24.75" customHeight="1">
      <c r="A233" s="148" t="s">
        <v>2060</v>
      </c>
      <c r="B233" s="77" t="s">
        <v>2061</v>
      </c>
      <c r="C233" s="17" t="s">
        <v>104</v>
      </c>
      <c r="D233" s="18" t="s">
        <v>2062</v>
      </c>
      <c r="E233" s="17" t="s">
        <v>2063</v>
      </c>
      <c r="F233" s="17" t="s">
        <v>1426</v>
      </c>
      <c r="G233" s="17" t="s">
        <v>1427</v>
      </c>
      <c r="H233" s="78" t="s">
        <v>2064</v>
      </c>
      <c r="I233" s="74" t="s">
        <v>2065</v>
      </c>
      <c r="J233" s="16" t="s">
        <v>2066</v>
      </c>
      <c r="K233" s="16">
        <v>17122481</v>
      </c>
      <c r="L233" s="20" t="s">
        <v>2067</v>
      </c>
      <c r="M233" s="16" t="s">
        <v>111</v>
      </c>
      <c r="N233" s="22">
        <v>45310</v>
      </c>
      <c r="O233" s="22">
        <v>45320</v>
      </c>
      <c r="P233" s="22">
        <v>45656</v>
      </c>
      <c r="Q233" s="23">
        <f t="shared" si="107"/>
        <v>336</v>
      </c>
      <c r="R233" s="17" t="s">
        <v>242</v>
      </c>
      <c r="S233" s="110" t="s">
        <v>2068</v>
      </c>
      <c r="T233" s="16" t="s">
        <v>2069</v>
      </c>
      <c r="U233" s="67">
        <v>77620306</v>
      </c>
      <c r="V233" s="16" t="s">
        <v>2070</v>
      </c>
      <c r="W233" s="224">
        <v>77620306</v>
      </c>
      <c r="X233" s="24">
        <v>6318544</v>
      </c>
      <c r="Y233" s="24"/>
      <c r="Z233" s="24"/>
      <c r="AA233" s="17" t="s">
        <v>116</v>
      </c>
      <c r="AB233" s="23" t="str">
        <f>IFERROR(VLOOKUP(AA233,Listas!$A$1:$C$14,2,FALSE),"")</f>
        <v>FREDY CÉSPEDES VILLA</v>
      </c>
      <c r="AC233" s="23">
        <f>IFERROR(VLOOKUP(AA233,Listas!$A$1:$C$14,3,FALSE),"")</f>
        <v>93363483</v>
      </c>
      <c r="AD233" s="17" t="s">
        <v>116</v>
      </c>
      <c r="AE233" s="17" t="s">
        <v>659</v>
      </c>
      <c r="AF233" s="23" t="str">
        <f>IFERROR(VLOOKUP(AE233,Listas!$AD$1:$AF$66,2,FALSE),"")</f>
        <v>TATIANA FORERO TORRES</v>
      </c>
      <c r="AG233" s="23">
        <f>IFERROR(VLOOKUP(AE233,Listas!$AD$1:$AF$65,3,FALSE),"")</f>
        <v>1072446921</v>
      </c>
      <c r="AH233" s="17" t="s">
        <v>118</v>
      </c>
      <c r="AI233" s="65"/>
      <c r="AJ233" s="25" t="s">
        <v>1435</v>
      </c>
      <c r="AK233" s="26" t="s">
        <v>2071</v>
      </c>
      <c r="AL233" s="26" t="s">
        <v>2071</v>
      </c>
      <c r="AM233" s="90" t="s">
        <v>1435</v>
      </c>
      <c r="AN233" s="105" t="s">
        <v>1424</v>
      </c>
      <c r="AO233" s="91" t="e">
        <f t="shared" ca="1" si="108"/>
        <v>#VALUE!</v>
      </c>
      <c r="AP233" s="26" t="s">
        <v>121</v>
      </c>
      <c r="AQ233" s="26" t="s">
        <v>327</v>
      </c>
      <c r="AR233" s="89"/>
      <c r="AS233" s="27"/>
      <c r="AT233" s="16"/>
      <c r="AU233" s="27"/>
      <c r="AV233" s="86"/>
      <c r="AW233" s="27"/>
      <c r="AX233" s="27"/>
      <c r="AY233" s="27"/>
      <c r="AZ233" s="27"/>
      <c r="BA233" s="27"/>
      <c r="BB233" s="27"/>
      <c r="BC233" s="97"/>
      <c r="BD233" s="27"/>
      <c r="BE233" s="16"/>
      <c r="BF233" s="28">
        <f t="shared" si="96"/>
        <v>0</v>
      </c>
      <c r="BG233" s="29"/>
      <c r="BH233" s="27"/>
      <c r="BI233" s="30">
        <f t="shared" si="97"/>
        <v>336</v>
      </c>
      <c r="BJ233" s="31">
        <f t="shared" si="98"/>
        <v>45656</v>
      </c>
      <c r="BK233" s="27"/>
      <c r="BL233" s="16"/>
      <c r="BM233" s="27"/>
      <c r="BN233" s="16"/>
      <c r="BO233" s="27"/>
      <c r="BP233" s="16"/>
      <c r="BQ233" s="27"/>
      <c r="BR233" s="24"/>
      <c r="BS233" s="24"/>
      <c r="BT233" s="32"/>
      <c r="BU233" s="27"/>
      <c r="BV233" s="24"/>
      <c r="BW233" s="24"/>
      <c r="BX233" s="16"/>
      <c r="BY233" s="27"/>
      <c r="BZ233" s="24"/>
      <c r="CA233" s="24"/>
      <c r="CB233" s="16"/>
      <c r="CC233" s="49">
        <f t="shared" si="99"/>
        <v>0</v>
      </c>
      <c r="CD233" s="24"/>
      <c r="CE233" s="49">
        <f t="shared" si="100"/>
        <v>77620306</v>
      </c>
      <c r="CF233" s="50"/>
      <c r="CG233" s="49">
        <f t="shared" ca="1" si="101"/>
        <v>77620306</v>
      </c>
      <c r="CH233" s="33">
        <f t="shared" ca="1" si="102"/>
        <v>1</v>
      </c>
      <c r="CI233" s="33">
        <f t="shared" ca="1" si="103"/>
        <v>1</v>
      </c>
      <c r="CJ233" s="36">
        <f t="shared" ca="1" si="104"/>
        <v>100</v>
      </c>
      <c r="CK233" s="34">
        <f t="shared" si="105"/>
        <v>0</v>
      </c>
      <c r="CL233" s="21"/>
      <c r="CM233" s="35" t="str">
        <f t="shared" ca="1" si="109"/>
        <v>TERMINADO</v>
      </c>
      <c r="CN233" s="82"/>
      <c r="CO233" s="145" t="s">
        <v>2072</v>
      </c>
      <c r="CP233" s="83" t="s">
        <v>1424</v>
      </c>
    </row>
    <row r="234" spans="1:94" ht="24.75" customHeight="1">
      <c r="A234" s="48" t="s">
        <v>2073</v>
      </c>
      <c r="B234" s="77" t="s">
        <v>2074</v>
      </c>
      <c r="C234" s="17" t="s">
        <v>104</v>
      </c>
      <c r="D234" s="18" t="s">
        <v>2075</v>
      </c>
      <c r="E234" s="17" t="s">
        <v>106</v>
      </c>
      <c r="F234" s="17" t="s">
        <v>107</v>
      </c>
      <c r="G234" s="17" t="s">
        <v>108</v>
      </c>
      <c r="H234" s="78">
        <v>80191654</v>
      </c>
      <c r="I234" s="234" t="s">
        <v>2076</v>
      </c>
      <c r="J234" s="16"/>
      <c r="K234" s="16"/>
      <c r="L234" s="20" t="s">
        <v>2077</v>
      </c>
      <c r="M234" s="16" t="s">
        <v>111</v>
      </c>
      <c r="N234" s="22">
        <v>45310</v>
      </c>
      <c r="O234" s="143">
        <v>45314</v>
      </c>
      <c r="P234" s="22">
        <v>45656</v>
      </c>
      <c r="Q234" s="23">
        <f t="shared" si="107"/>
        <v>342</v>
      </c>
      <c r="R234" s="17" t="s">
        <v>242</v>
      </c>
      <c r="S234" s="110" t="s">
        <v>2078</v>
      </c>
      <c r="T234" s="16" t="s">
        <v>2051</v>
      </c>
      <c r="U234" s="67">
        <v>97104180</v>
      </c>
      <c r="V234" s="16" t="s">
        <v>753</v>
      </c>
      <c r="W234" s="224">
        <v>97104180</v>
      </c>
      <c r="X234" s="24">
        <v>8092015</v>
      </c>
      <c r="Y234" s="24"/>
      <c r="Z234" s="24"/>
      <c r="AA234" s="17" t="s">
        <v>116</v>
      </c>
      <c r="AB234" s="23" t="str">
        <f>IFERROR(VLOOKUP(AA234,Listas!$A$1:$C$14,2,FALSE),"")</f>
        <v>FREDY CÉSPEDES VILLA</v>
      </c>
      <c r="AC234" s="23">
        <f>IFERROR(VLOOKUP(AA234,Listas!$A$1:$C$14,3,FALSE),"")</f>
        <v>93363483</v>
      </c>
      <c r="AD234" s="17" t="s">
        <v>406</v>
      </c>
      <c r="AE234" s="17" t="s">
        <v>407</v>
      </c>
      <c r="AF234" s="23" t="str">
        <f>IFERROR(VLOOKUP(AE234,Listas!$AD$1:$AF$66,2,FALSE),"")</f>
        <v>MARÍA VICTORIA CAMARGO CORTÉS</v>
      </c>
      <c r="AG234" s="23">
        <f>IFERROR(VLOOKUP(AE234,Listas!$AD$1:$AF$65,3,FALSE),"")</f>
        <v>52496497</v>
      </c>
      <c r="AH234" s="17" t="s">
        <v>118</v>
      </c>
      <c r="AI234" s="65" t="s">
        <v>2079</v>
      </c>
      <c r="AJ234" s="25" t="s">
        <v>119</v>
      </c>
      <c r="AK234" s="26" t="s">
        <v>120</v>
      </c>
      <c r="AL234" s="26" t="s">
        <v>120</v>
      </c>
      <c r="AM234" s="90" t="s">
        <v>119</v>
      </c>
      <c r="AN234" s="105">
        <v>30942</v>
      </c>
      <c r="AO234" s="91">
        <f t="shared" ca="1" si="108"/>
        <v>41</v>
      </c>
      <c r="AP234" s="26" t="s">
        <v>121</v>
      </c>
      <c r="AQ234" s="26" t="s">
        <v>409</v>
      </c>
      <c r="AR234" s="89"/>
      <c r="AS234" s="27"/>
      <c r="AT234" s="16"/>
      <c r="AU234" s="27"/>
      <c r="AV234" s="86"/>
      <c r="AW234" s="27"/>
      <c r="AX234" s="27"/>
      <c r="AY234" s="27"/>
      <c r="AZ234" s="27"/>
      <c r="BA234" s="27"/>
      <c r="BB234" s="27"/>
      <c r="BC234" s="97"/>
      <c r="BD234" s="27"/>
      <c r="BE234" s="16"/>
      <c r="BF234" s="28">
        <f t="shared" si="96"/>
        <v>0</v>
      </c>
      <c r="BG234" s="29"/>
      <c r="BH234" s="27"/>
      <c r="BI234" s="30">
        <f t="shared" si="97"/>
        <v>342</v>
      </c>
      <c r="BJ234" s="31">
        <f t="shared" si="98"/>
        <v>45656</v>
      </c>
      <c r="BK234" s="27"/>
      <c r="BL234" s="16"/>
      <c r="BM234" s="27"/>
      <c r="BN234" s="16"/>
      <c r="BO234" s="27"/>
      <c r="BP234" s="16"/>
      <c r="BQ234" s="27"/>
      <c r="BR234" s="24"/>
      <c r="BS234" s="24"/>
      <c r="BT234" s="32"/>
      <c r="BU234" s="27"/>
      <c r="BV234" s="24"/>
      <c r="BW234" s="24"/>
      <c r="BX234" s="16"/>
      <c r="BY234" s="27"/>
      <c r="BZ234" s="24"/>
      <c r="CA234" s="24"/>
      <c r="CB234" s="16"/>
      <c r="CC234" s="49">
        <f t="shared" si="99"/>
        <v>0</v>
      </c>
      <c r="CD234" s="24"/>
      <c r="CE234" s="49">
        <f t="shared" si="100"/>
        <v>97104180</v>
      </c>
      <c r="CF234" s="50"/>
      <c r="CG234" s="49">
        <f t="shared" ca="1" si="101"/>
        <v>97104180</v>
      </c>
      <c r="CH234" s="33">
        <f t="shared" ca="1" si="102"/>
        <v>1</v>
      </c>
      <c r="CI234" s="33">
        <f t="shared" ca="1" si="103"/>
        <v>1</v>
      </c>
      <c r="CJ234" s="36">
        <f t="shared" ca="1" si="104"/>
        <v>100</v>
      </c>
      <c r="CK234" s="34">
        <f t="shared" si="105"/>
        <v>0</v>
      </c>
      <c r="CL234" s="21"/>
      <c r="CM234" s="35" t="str">
        <f t="shared" ca="1" si="109"/>
        <v>TERMINADO</v>
      </c>
      <c r="CN234" s="82"/>
      <c r="CO234" s="145" t="s">
        <v>2080</v>
      </c>
      <c r="CP234" s="26" t="s">
        <v>142</v>
      </c>
    </row>
    <row r="235" spans="1:94" ht="24.75" customHeight="1">
      <c r="A235" s="48" t="s">
        <v>2081</v>
      </c>
      <c r="B235" s="77" t="s">
        <v>2082</v>
      </c>
      <c r="C235" s="17" t="s">
        <v>104</v>
      </c>
      <c r="D235" s="18" t="s">
        <v>2083</v>
      </c>
      <c r="E235" s="17" t="s">
        <v>106</v>
      </c>
      <c r="F235" s="17" t="s">
        <v>107</v>
      </c>
      <c r="G235" s="17" t="s">
        <v>108</v>
      </c>
      <c r="H235" s="78">
        <v>79554497</v>
      </c>
      <c r="I235" s="233" t="s">
        <v>2084</v>
      </c>
      <c r="J235" s="16"/>
      <c r="K235" s="16"/>
      <c r="L235" s="20" t="s">
        <v>2049</v>
      </c>
      <c r="M235" s="16" t="s">
        <v>111</v>
      </c>
      <c r="N235" s="22">
        <v>45310</v>
      </c>
      <c r="O235" s="143">
        <v>45314</v>
      </c>
      <c r="P235" s="22">
        <v>45656</v>
      </c>
      <c r="Q235" s="23">
        <f t="shared" si="107"/>
        <v>342</v>
      </c>
      <c r="R235" s="17" t="s">
        <v>242</v>
      </c>
      <c r="S235" s="110" t="s">
        <v>2085</v>
      </c>
      <c r="T235" s="16" t="s">
        <v>2051</v>
      </c>
      <c r="U235" s="67">
        <v>97104180</v>
      </c>
      <c r="V235" s="16" t="s">
        <v>753</v>
      </c>
      <c r="W235" s="224">
        <v>97104180</v>
      </c>
      <c r="X235" s="24">
        <v>8092015</v>
      </c>
      <c r="Y235" s="24"/>
      <c r="Z235" s="24"/>
      <c r="AA235" s="17" t="s">
        <v>116</v>
      </c>
      <c r="AB235" s="23" t="str">
        <f>IFERROR(VLOOKUP(AA235,Listas!$A$1:$C$14,2,FALSE),"")</f>
        <v>FREDY CÉSPEDES VILLA</v>
      </c>
      <c r="AC235" s="23">
        <f>IFERROR(VLOOKUP(AA235,Listas!$A$1:$C$14,3,FALSE),"")</f>
        <v>93363483</v>
      </c>
      <c r="AD235" s="17" t="s">
        <v>406</v>
      </c>
      <c r="AE235" s="17" t="s">
        <v>407</v>
      </c>
      <c r="AF235" s="23" t="str">
        <f>IFERROR(VLOOKUP(AE235,Listas!$AD$1:$AF$66,2,FALSE),"")</f>
        <v>MARÍA VICTORIA CAMARGO CORTÉS</v>
      </c>
      <c r="AG235" s="23">
        <f>IFERROR(VLOOKUP(AE235,Listas!$AD$1:$AF$65,3,FALSE),"")</f>
        <v>52496497</v>
      </c>
      <c r="AH235" s="17" t="s">
        <v>118</v>
      </c>
      <c r="AI235" s="65" t="s">
        <v>2052</v>
      </c>
      <c r="AJ235" s="25" t="s">
        <v>119</v>
      </c>
      <c r="AK235" s="26" t="s">
        <v>120</v>
      </c>
      <c r="AL235" s="26" t="s">
        <v>120</v>
      </c>
      <c r="AM235" s="90" t="s">
        <v>119</v>
      </c>
      <c r="AN235" s="105">
        <v>25955</v>
      </c>
      <c r="AO235" s="91">
        <f t="shared" ca="1" si="108"/>
        <v>54</v>
      </c>
      <c r="AP235" s="26" t="s">
        <v>121</v>
      </c>
      <c r="AQ235" s="26" t="s">
        <v>409</v>
      </c>
      <c r="AR235" s="89"/>
      <c r="AS235" s="27"/>
      <c r="AT235" s="16"/>
      <c r="AU235" s="27"/>
      <c r="AV235" s="86"/>
      <c r="AW235" s="27"/>
      <c r="AX235" s="27"/>
      <c r="AY235" s="27"/>
      <c r="AZ235" s="27"/>
      <c r="BA235" s="27"/>
      <c r="BB235" s="27"/>
      <c r="BC235" s="97"/>
      <c r="BD235" s="27"/>
      <c r="BE235" s="16"/>
      <c r="BF235" s="28">
        <f t="shared" si="96"/>
        <v>0</v>
      </c>
      <c r="BG235" s="29"/>
      <c r="BH235" s="27"/>
      <c r="BI235" s="30">
        <f t="shared" si="97"/>
        <v>342</v>
      </c>
      <c r="BJ235" s="31">
        <f t="shared" si="98"/>
        <v>45656</v>
      </c>
      <c r="BK235" s="27"/>
      <c r="BL235" s="16"/>
      <c r="BM235" s="27"/>
      <c r="BN235" s="16"/>
      <c r="BO235" s="27"/>
      <c r="BP235" s="16"/>
      <c r="BQ235" s="27"/>
      <c r="BR235" s="24"/>
      <c r="BS235" s="24"/>
      <c r="BT235" s="32"/>
      <c r="BU235" s="27"/>
      <c r="BV235" s="24"/>
      <c r="BW235" s="24"/>
      <c r="BX235" s="16"/>
      <c r="BY235" s="27"/>
      <c r="BZ235" s="24"/>
      <c r="CA235" s="24"/>
      <c r="CB235" s="16"/>
      <c r="CC235" s="49">
        <f t="shared" si="99"/>
        <v>0</v>
      </c>
      <c r="CD235" s="24"/>
      <c r="CE235" s="49">
        <f t="shared" si="100"/>
        <v>97104180</v>
      </c>
      <c r="CF235" s="50"/>
      <c r="CG235" s="49">
        <f t="shared" ca="1" si="101"/>
        <v>97104180</v>
      </c>
      <c r="CH235" s="33">
        <f t="shared" ca="1" si="102"/>
        <v>1</v>
      </c>
      <c r="CI235" s="33">
        <f t="shared" ca="1" si="103"/>
        <v>1</v>
      </c>
      <c r="CJ235" s="36">
        <f t="shared" ca="1" si="104"/>
        <v>100</v>
      </c>
      <c r="CK235" s="34">
        <f t="shared" si="105"/>
        <v>0</v>
      </c>
      <c r="CL235" s="21"/>
      <c r="CM235" s="35" t="str">
        <f t="shared" ca="1" si="109"/>
        <v>TERMINADO</v>
      </c>
      <c r="CN235" s="82"/>
      <c r="CO235" s="145" t="s">
        <v>2086</v>
      </c>
      <c r="CP235" s="26" t="s">
        <v>142</v>
      </c>
    </row>
    <row r="236" spans="1:94" ht="24.75" customHeight="1">
      <c r="A236" s="48" t="s">
        <v>2087</v>
      </c>
      <c r="B236" s="77" t="s">
        <v>2088</v>
      </c>
      <c r="C236" s="17" t="s">
        <v>104</v>
      </c>
      <c r="D236" s="18" t="s">
        <v>2089</v>
      </c>
      <c r="E236" s="17" t="s">
        <v>106</v>
      </c>
      <c r="F236" s="17" t="s">
        <v>107</v>
      </c>
      <c r="G236" s="17" t="s">
        <v>108</v>
      </c>
      <c r="H236" s="78">
        <v>1012444760</v>
      </c>
      <c r="I236" s="74" t="s">
        <v>2090</v>
      </c>
      <c r="J236" s="16"/>
      <c r="K236" s="16"/>
      <c r="L236" s="20" t="s">
        <v>2091</v>
      </c>
      <c r="M236" s="16" t="s">
        <v>111</v>
      </c>
      <c r="N236" s="22">
        <v>45313</v>
      </c>
      <c r="O236" s="22">
        <v>45314</v>
      </c>
      <c r="P236" s="22">
        <v>45657</v>
      </c>
      <c r="Q236" s="23">
        <f t="shared" si="107"/>
        <v>343</v>
      </c>
      <c r="R236" s="17" t="s">
        <v>112</v>
      </c>
      <c r="S236" s="110" t="s">
        <v>2092</v>
      </c>
      <c r="T236" s="16" t="s">
        <v>254</v>
      </c>
      <c r="U236" s="67">
        <v>52847532</v>
      </c>
      <c r="V236" s="16" t="s">
        <v>1336</v>
      </c>
      <c r="W236" s="224">
        <v>52847532</v>
      </c>
      <c r="X236" s="24">
        <v>4659900</v>
      </c>
      <c r="Y236" s="24"/>
      <c r="Z236" s="24"/>
      <c r="AA236" s="17" t="s">
        <v>116</v>
      </c>
      <c r="AB236" s="23" t="str">
        <f>IFERROR(VLOOKUP(AA236,Listas!$A$1:$C$14,2,FALSE),"")</f>
        <v>FREDY CÉSPEDES VILLA</v>
      </c>
      <c r="AC236" s="23">
        <f>IFERROR(VLOOKUP(AA236,Listas!$A$1:$C$14,3,FALSE),"")</f>
        <v>93363483</v>
      </c>
      <c r="AD236" s="17" t="s">
        <v>217</v>
      </c>
      <c r="AE236" s="17" t="s">
        <v>539</v>
      </c>
      <c r="AF236" s="23" t="str">
        <f>IFERROR(VLOOKUP(AE236,Listas!$AD$1:$AF$66,2,FALSE),"")</f>
        <v>DORIS POVEDA BELTRÁN</v>
      </c>
      <c r="AG236" s="23">
        <f>IFERROR(VLOOKUP(AE236,Listas!$AD$1:$AF$65,3,FALSE),"")</f>
        <v>52049845</v>
      </c>
      <c r="AH236" s="17" t="s">
        <v>118</v>
      </c>
      <c r="AI236" s="65" t="s">
        <v>2093</v>
      </c>
      <c r="AJ236" s="25" t="s">
        <v>119</v>
      </c>
      <c r="AK236" s="26" t="s">
        <v>120</v>
      </c>
      <c r="AL236" s="26" t="s">
        <v>120</v>
      </c>
      <c r="AM236" s="90" t="s">
        <v>119</v>
      </c>
      <c r="AN236" s="105">
        <v>35614</v>
      </c>
      <c r="AO236" s="91">
        <f t="shared" ca="1" si="108"/>
        <v>28</v>
      </c>
      <c r="AP236" s="26" t="s">
        <v>121</v>
      </c>
      <c r="AQ236" s="26" t="s">
        <v>220</v>
      </c>
      <c r="AR236" s="89"/>
      <c r="AS236" s="27"/>
      <c r="AT236" s="16"/>
      <c r="AU236" s="27"/>
      <c r="AV236" s="86"/>
      <c r="AW236" s="27"/>
      <c r="AX236" s="27"/>
      <c r="AY236" s="27"/>
      <c r="AZ236" s="27"/>
      <c r="BA236" s="27"/>
      <c r="BB236" s="27"/>
      <c r="BC236" s="97"/>
      <c r="BD236" s="27"/>
      <c r="BE236" s="16"/>
      <c r="BF236" s="28">
        <f t="shared" si="96"/>
        <v>0</v>
      </c>
      <c r="BG236" s="29"/>
      <c r="BH236" s="27"/>
      <c r="BI236" s="30">
        <f t="shared" si="97"/>
        <v>343</v>
      </c>
      <c r="BJ236" s="31">
        <f t="shared" si="98"/>
        <v>45657</v>
      </c>
      <c r="BK236" s="27"/>
      <c r="BL236" s="16"/>
      <c r="BM236" s="27"/>
      <c r="BN236" s="16"/>
      <c r="BO236" s="27"/>
      <c r="BP236" s="16"/>
      <c r="BQ236" s="27"/>
      <c r="BR236" s="24"/>
      <c r="BS236" s="24"/>
      <c r="BT236" s="32"/>
      <c r="BU236" s="27"/>
      <c r="BV236" s="24"/>
      <c r="BW236" s="24"/>
      <c r="BX236" s="16"/>
      <c r="BY236" s="27"/>
      <c r="BZ236" s="24"/>
      <c r="CA236" s="24"/>
      <c r="CB236" s="16"/>
      <c r="CC236" s="49">
        <f t="shared" si="99"/>
        <v>0</v>
      </c>
      <c r="CD236" s="24"/>
      <c r="CE236" s="49">
        <f t="shared" si="100"/>
        <v>52847532</v>
      </c>
      <c r="CF236" s="50"/>
      <c r="CG236" s="49">
        <f t="shared" ca="1" si="101"/>
        <v>52847532</v>
      </c>
      <c r="CH236" s="33">
        <f t="shared" ca="1" si="102"/>
        <v>1</v>
      </c>
      <c r="CI236" s="33">
        <f t="shared" ca="1" si="103"/>
        <v>1</v>
      </c>
      <c r="CJ236" s="36">
        <f t="shared" ca="1" si="104"/>
        <v>100</v>
      </c>
      <c r="CK236" s="34">
        <f t="shared" si="105"/>
        <v>0</v>
      </c>
      <c r="CL236" s="21"/>
      <c r="CM236" s="35" t="str">
        <f t="shared" ca="1" si="109"/>
        <v>TERMINADO</v>
      </c>
      <c r="CN236" s="82"/>
      <c r="CO236" s="145" t="s">
        <v>2094</v>
      </c>
      <c r="CP236" s="26" t="s">
        <v>123</v>
      </c>
    </row>
    <row r="237" spans="1:94" ht="24.75" customHeight="1">
      <c r="A237" s="48" t="s">
        <v>2095</v>
      </c>
      <c r="B237" s="77" t="s">
        <v>2096</v>
      </c>
      <c r="C237" s="17" t="s">
        <v>104</v>
      </c>
      <c r="D237" s="18" t="s">
        <v>2097</v>
      </c>
      <c r="E237" s="17" t="s">
        <v>106</v>
      </c>
      <c r="F237" s="17" t="s">
        <v>107</v>
      </c>
      <c r="G237" s="17" t="s">
        <v>108</v>
      </c>
      <c r="H237" s="78">
        <v>1101175059</v>
      </c>
      <c r="I237" s="74" t="s">
        <v>2098</v>
      </c>
      <c r="J237" s="16"/>
      <c r="K237" s="16"/>
      <c r="L237" s="20" t="s">
        <v>2099</v>
      </c>
      <c r="M237" s="16" t="s">
        <v>111</v>
      </c>
      <c r="N237" s="22">
        <v>45310</v>
      </c>
      <c r="O237" s="22">
        <v>45314</v>
      </c>
      <c r="P237" s="22">
        <v>45565</v>
      </c>
      <c r="Q237" s="23">
        <f t="shared" si="107"/>
        <v>251</v>
      </c>
      <c r="R237" s="17" t="s">
        <v>112</v>
      </c>
      <c r="S237" s="110" t="s">
        <v>184</v>
      </c>
      <c r="T237" s="16" t="s">
        <v>254</v>
      </c>
      <c r="U237" s="67">
        <v>118164552</v>
      </c>
      <c r="V237" s="16" t="s">
        <v>1336</v>
      </c>
      <c r="W237" s="224">
        <v>88623414</v>
      </c>
      <c r="X237" s="24">
        <v>9847046</v>
      </c>
      <c r="Y237" s="24"/>
      <c r="Z237" s="24"/>
      <c r="AA237" s="17" t="s">
        <v>116</v>
      </c>
      <c r="AB237" s="23" t="str">
        <f>IFERROR(VLOOKUP(AA237,Listas!$A$1:$C$14,2,FALSE),"")</f>
        <v>FREDY CÉSPEDES VILLA</v>
      </c>
      <c r="AC237" s="23">
        <f>IFERROR(VLOOKUP(AA237,Listas!$A$1:$C$14,3,FALSE),"")</f>
        <v>93363483</v>
      </c>
      <c r="AD237" s="17" t="s">
        <v>217</v>
      </c>
      <c r="AE237" s="17" t="s">
        <v>381</v>
      </c>
      <c r="AF237" s="23" t="str">
        <f>IFERROR(VLOOKUP(AE237,Listas!$AD$1:$AF$66,2,FALSE),"")</f>
        <v>MARINA AZUCENA MEDINA SANDOVAL</v>
      </c>
      <c r="AG237" s="23">
        <f>IFERROR(VLOOKUP(AE237,Listas!$AD$1:$AF$65,3,FALSE),"")</f>
        <v>51842510</v>
      </c>
      <c r="AH237" s="17" t="s">
        <v>118</v>
      </c>
      <c r="AI237" s="65" t="s">
        <v>2093</v>
      </c>
      <c r="AJ237" s="25" t="s">
        <v>119</v>
      </c>
      <c r="AK237" s="26" t="s">
        <v>120</v>
      </c>
      <c r="AL237" s="26" t="s">
        <v>120</v>
      </c>
      <c r="AM237" s="90" t="s">
        <v>119</v>
      </c>
      <c r="AN237" s="105">
        <v>32186</v>
      </c>
      <c r="AO237" s="91">
        <f t="shared" ca="1" si="108"/>
        <v>37</v>
      </c>
      <c r="AP237" s="26" t="s">
        <v>121</v>
      </c>
      <c r="AQ237" s="26" t="s">
        <v>220</v>
      </c>
      <c r="AR237" s="186">
        <v>45449</v>
      </c>
      <c r="AS237" s="183" t="s">
        <v>2100</v>
      </c>
      <c r="AT237" s="183">
        <v>63493908</v>
      </c>
      <c r="AU237" s="187" t="s">
        <v>2099</v>
      </c>
      <c r="AV237" s="86">
        <v>44968177</v>
      </c>
      <c r="AW237" s="27"/>
      <c r="AX237" s="27"/>
      <c r="AY237" s="27"/>
      <c r="AZ237" s="27"/>
      <c r="BA237" s="27"/>
      <c r="BB237" s="27">
        <v>45565</v>
      </c>
      <c r="BC237" s="97">
        <v>92</v>
      </c>
      <c r="BD237" s="27"/>
      <c r="BE237" s="16"/>
      <c r="BF237" s="28">
        <f t="shared" si="96"/>
        <v>92</v>
      </c>
      <c r="BG237" s="29"/>
      <c r="BH237" s="27"/>
      <c r="BI237" s="30">
        <f t="shared" si="97"/>
        <v>343</v>
      </c>
      <c r="BJ237" s="31">
        <f t="shared" si="98"/>
        <v>45657</v>
      </c>
      <c r="BK237" s="27"/>
      <c r="BL237" s="16"/>
      <c r="BM237" s="27"/>
      <c r="BN237" s="16"/>
      <c r="BO237" s="27"/>
      <c r="BP237" s="16" t="s">
        <v>2101</v>
      </c>
      <c r="BQ237" s="27">
        <v>45565</v>
      </c>
      <c r="BR237" s="24">
        <v>22319970</v>
      </c>
      <c r="BS237" s="24" t="s">
        <v>2102</v>
      </c>
      <c r="BT237" s="32" t="s">
        <v>2103</v>
      </c>
      <c r="BU237" s="27"/>
      <c r="BV237" s="24"/>
      <c r="BW237" s="24"/>
      <c r="BX237" s="16"/>
      <c r="BY237" s="27"/>
      <c r="BZ237" s="24"/>
      <c r="CA237" s="24"/>
      <c r="CB237" s="16"/>
      <c r="CC237" s="49">
        <f t="shared" si="99"/>
        <v>22319970</v>
      </c>
      <c r="CD237" s="24"/>
      <c r="CE237" s="49">
        <f t="shared" si="100"/>
        <v>110943384</v>
      </c>
      <c r="CF237" s="50"/>
      <c r="CG237" s="49">
        <f t="shared" ca="1" si="101"/>
        <v>110943384</v>
      </c>
      <c r="CH237" s="33">
        <f t="shared" ca="1" si="102"/>
        <v>1</v>
      </c>
      <c r="CI237" s="33">
        <f t="shared" ca="1" si="103"/>
        <v>1</v>
      </c>
      <c r="CJ237" s="36">
        <f t="shared" ca="1" si="104"/>
        <v>100</v>
      </c>
      <c r="CK237" s="34">
        <f t="shared" si="105"/>
        <v>0</v>
      </c>
      <c r="CL237" s="21"/>
      <c r="CM237" s="35" t="str">
        <f t="shared" ca="1" si="109"/>
        <v>TERMINADO</v>
      </c>
      <c r="CN237" s="82"/>
      <c r="CO237" s="145" t="s">
        <v>2104</v>
      </c>
      <c r="CP237" s="26" t="s">
        <v>123</v>
      </c>
    </row>
    <row r="238" spans="1:94" ht="24.75" customHeight="1">
      <c r="A238" s="48" t="s">
        <v>2105</v>
      </c>
      <c r="B238" s="77" t="s">
        <v>2106</v>
      </c>
      <c r="C238" s="17" t="s">
        <v>104</v>
      </c>
      <c r="D238" s="18" t="s">
        <v>2107</v>
      </c>
      <c r="E238" s="17" t="s">
        <v>106</v>
      </c>
      <c r="F238" s="17" t="s">
        <v>107</v>
      </c>
      <c r="G238" s="17" t="s">
        <v>108</v>
      </c>
      <c r="H238" s="78">
        <v>52745510</v>
      </c>
      <c r="I238" s="74" t="s">
        <v>2108</v>
      </c>
      <c r="J238" s="16"/>
      <c r="K238" s="16"/>
      <c r="L238" s="20" t="s">
        <v>1440</v>
      </c>
      <c r="M238" s="16" t="s">
        <v>111</v>
      </c>
      <c r="N238" s="22">
        <v>45310</v>
      </c>
      <c r="O238" s="143">
        <v>45316</v>
      </c>
      <c r="P238" s="22">
        <v>45656</v>
      </c>
      <c r="Q238" s="23">
        <f t="shared" si="107"/>
        <v>340</v>
      </c>
      <c r="R238" s="17" t="s">
        <v>242</v>
      </c>
      <c r="S238" s="110" t="s">
        <v>2109</v>
      </c>
      <c r="T238" s="16" t="s">
        <v>1128</v>
      </c>
      <c r="U238" s="67">
        <v>73813333</v>
      </c>
      <c r="V238" s="16" t="s">
        <v>2110</v>
      </c>
      <c r="W238" s="224">
        <v>73813333</v>
      </c>
      <c r="X238" s="24">
        <v>6400000</v>
      </c>
      <c r="Y238" s="24"/>
      <c r="Z238" s="24"/>
      <c r="AA238" s="17" t="s">
        <v>116</v>
      </c>
      <c r="AB238" s="23" t="str">
        <f>IFERROR(VLOOKUP(AA238,Listas!$A$1:$C$14,2,FALSE),"")</f>
        <v>FREDY CÉSPEDES VILLA</v>
      </c>
      <c r="AC238" s="23">
        <f>IFERROR(VLOOKUP(AA238,Listas!$A$1:$C$14,3,FALSE),"")</f>
        <v>93363483</v>
      </c>
      <c r="AD238" s="17" t="s">
        <v>816</v>
      </c>
      <c r="AE238" s="17" t="s">
        <v>817</v>
      </c>
      <c r="AF238" s="23" t="str">
        <f>IFERROR(VLOOKUP(AE238,Listas!$AD$1:$AF$66,2,FALSE),"")</f>
        <v>JOSÉ EDUARDO PARADA JIMÉNEZ</v>
      </c>
      <c r="AG238" s="23">
        <f>IFERROR(VLOOKUP(AE238,Listas!$AD$1:$AF$65,3,FALSE),"")</f>
        <v>79434805</v>
      </c>
      <c r="AH238" s="17" t="s">
        <v>118</v>
      </c>
      <c r="AI238" s="65" t="s">
        <v>1442</v>
      </c>
      <c r="AJ238" s="25" t="s">
        <v>119</v>
      </c>
      <c r="AK238" s="26" t="s">
        <v>120</v>
      </c>
      <c r="AL238" s="26" t="s">
        <v>120</v>
      </c>
      <c r="AM238" s="90" t="s">
        <v>119</v>
      </c>
      <c r="AN238" s="105">
        <v>30231</v>
      </c>
      <c r="AO238" s="91">
        <f t="shared" ca="1" si="108"/>
        <v>43</v>
      </c>
      <c r="AP238" s="26" t="s">
        <v>121</v>
      </c>
      <c r="AQ238" s="26" t="s">
        <v>819</v>
      </c>
      <c r="AR238" s="89"/>
      <c r="AS238" s="27"/>
      <c r="AT238" s="16"/>
      <c r="AU238" s="27"/>
      <c r="AV238" s="86"/>
      <c r="AW238" s="27"/>
      <c r="AX238" s="27"/>
      <c r="AY238" s="27"/>
      <c r="AZ238" s="27"/>
      <c r="BA238" s="27"/>
      <c r="BB238" s="27"/>
      <c r="BC238" s="97"/>
      <c r="BD238" s="27"/>
      <c r="BE238" s="16"/>
      <c r="BF238" s="28">
        <f t="shared" si="96"/>
        <v>0</v>
      </c>
      <c r="BG238" s="29"/>
      <c r="BH238" s="27"/>
      <c r="BI238" s="30">
        <f t="shared" si="97"/>
        <v>340</v>
      </c>
      <c r="BJ238" s="31">
        <f t="shared" si="98"/>
        <v>45656</v>
      </c>
      <c r="BK238" s="27"/>
      <c r="BL238" s="16"/>
      <c r="BM238" s="27"/>
      <c r="BN238" s="16"/>
      <c r="BO238" s="27"/>
      <c r="BP238" s="16"/>
      <c r="BQ238" s="27"/>
      <c r="BR238" s="24"/>
      <c r="BS238" s="24"/>
      <c r="BT238" s="32"/>
      <c r="BU238" s="27"/>
      <c r="BV238" s="24"/>
      <c r="BW238" s="24"/>
      <c r="BX238" s="16"/>
      <c r="BY238" s="27"/>
      <c r="BZ238" s="24"/>
      <c r="CA238" s="24"/>
      <c r="CB238" s="16"/>
      <c r="CC238" s="49">
        <f t="shared" si="99"/>
        <v>0</v>
      </c>
      <c r="CD238" s="24"/>
      <c r="CE238" s="49">
        <f t="shared" si="100"/>
        <v>73813333</v>
      </c>
      <c r="CF238" s="50"/>
      <c r="CG238" s="49">
        <f t="shared" ca="1" si="101"/>
        <v>73813333</v>
      </c>
      <c r="CH238" s="33">
        <f t="shared" ca="1" si="102"/>
        <v>1</v>
      </c>
      <c r="CI238" s="33">
        <f t="shared" ca="1" si="103"/>
        <v>1</v>
      </c>
      <c r="CJ238" s="36">
        <f t="shared" ca="1" si="104"/>
        <v>100</v>
      </c>
      <c r="CK238" s="34">
        <f t="shared" si="105"/>
        <v>0</v>
      </c>
      <c r="CL238" s="21"/>
      <c r="CM238" s="35" t="str">
        <f t="shared" ca="1" si="109"/>
        <v>TERMINADO</v>
      </c>
      <c r="CN238" s="82"/>
      <c r="CO238" s="145" t="s">
        <v>2111</v>
      </c>
      <c r="CP238" s="26" t="s">
        <v>123</v>
      </c>
    </row>
    <row r="239" spans="1:94" ht="24.75" customHeight="1">
      <c r="A239" s="48" t="s">
        <v>2112</v>
      </c>
      <c r="B239" s="77" t="s">
        <v>2113</v>
      </c>
      <c r="C239" s="17" t="s">
        <v>104</v>
      </c>
      <c r="D239" s="18" t="s">
        <v>2114</v>
      </c>
      <c r="E239" s="17" t="s">
        <v>106</v>
      </c>
      <c r="F239" s="17" t="s">
        <v>107</v>
      </c>
      <c r="G239" s="17" t="s">
        <v>108</v>
      </c>
      <c r="H239" s="78">
        <v>1023930722</v>
      </c>
      <c r="I239" s="74" t="s">
        <v>2115</v>
      </c>
      <c r="J239" s="16"/>
      <c r="K239" s="16"/>
      <c r="L239" s="20" t="s">
        <v>1134</v>
      </c>
      <c r="M239" s="16" t="s">
        <v>111</v>
      </c>
      <c r="N239" s="22">
        <v>45310</v>
      </c>
      <c r="O239" s="143">
        <v>45314</v>
      </c>
      <c r="P239" s="22">
        <v>45656</v>
      </c>
      <c r="Q239" s="23">
        <f t="shared" si="107"/>
        <v>342</v>
      </c>
      <c r="R239" s="17" t="s">
        <v>242</v>
      </c>
      <c r="S239" s="110" t="s">
        <v>2116</v>
      </c>
      <c r="T239" s="16" t="s">
        <v>1128</v>
      </c>
      <c r="U239" s="67">
        <v>57500000</v>
      </c>
      <c r="V239" s="16" t="s">
        <v>2110</v>
      </c>
      <c r="W239" s="224">
        <v>57500000</v>
      </c>
      <c r="X239" s="24">
        <v>5000000</v>
      </c>
      <c r="Y239" s="24"/>
      <c r="Z239" s="24"/>
      <c r="AA239" s="17" t="s">
        <v>116</v>
      </c>
      <c r="AB239" s="23" t="str">
        <f>IFERROR(VLOOKUP(AA239,Listas!$A$1:$C$14,2,FALSE),"")</f>
        <v>FREDY CÉSPEDES VILLA</v>
      </c>
      <c r="AC239" s="23">
        <f>IFERROR(VLOOKUP(AA239,Listas!$A$1:$C$14,3,FALSE),"")</f>
        <v>93363483</v>
      </c>
      <c r="AD239" s="17" t="s">
        <v>816</v>
      </c>
      <c r="AE239" s="17" t="s">
        <v>817</v>
      </c>
      <c r="AF239" s="23" t="str">
        <f>IFERROR(VLOOKUP(AE239,Listas!$AD$1:$AF$66,2,FALSE),"")</f>
        <v>JOSÉ EDUARDO PARADA JIMÉNEZ</v>
      </c>
      <c r="AG239" s="23">
        <f>IFERROR(VLOOKUP(AE239,Listas!$AD$1:$AF$65,3,FALSE),"")</f>
        <v>79434805</v>
      </c>
      <c r="AH239" s="17" t="s">
        <v>118</v>
      </c>
      <c r="AI239" s="65" t="s">
        <v>1137</v>
      </c>
      <c r="AJ239" s="25" t="s">
        <v>119</v>
      </c>
      <c r="AK239" s="26" t="s">
        <v>120</v>
      </c>
      <c r="AL239" s="26" t="s">
        <v>120</v>
      </c>
      <c r="AM239" s="90" t="s">
        <v>119</v>
      </c>
      <c r="AN239" s="105">
        <v>34354</v>
      </c>
      <c r="AO239" s="91">
        <f t="shared" ca="1" si="108"/>
        <v>31</v>
      </c>
      <c r="AP239" s="26" t="s">
        <v>121</v>
      </c>
      <c r="AQ239" s="26" t="s">
        <v>819</v>
      </c>
      <c r="AR239" s="89"/>
      <c r="AS239" s="27"/>
      <c r="AT239" s="16"/>
      <c r="AU239" s="27"/>
      <c r="AV239" s="86"/>
      <c r="AW239" s="27"/>
      <c r="AX239" s="27"/>
      <c r="AY239" s="27"/>
      <c r="AZ239" s="27"/>
      <c r="BA239" s="27"/>
      <c r="BB239" s="27"/>
      <c r="BC239" s="97"/>
      <c r="BD239" s="27"/>
      <c r="BE239" s="16"/>
      <c r="BF239" s="28">
        <f t="shared" si="96"/>
        <v>0</v>
      </c>
      <c r="BG239" s="29"/>
      <c r="BH239" s="27"/>
      <c r="BI239" s="30">
        <f t="shared" si="97"/>
        <v>342</v>
      </c>
      <c r="BJ239" s="31">
        <f t="shared" si="98"/>
        <v>45656</v>
      </c>
      <c r="BK239" s="27"/>
      <c r="BL239" s="16"/>
      <c r="BM239" s="27"/>
      <c r="BN239" s="16"/>
      <c r="BO239" s="27"/>
      <c r="BP239" s="16"/>
      <c r="BQ239" s="27"/>
      <c r="BR239" s="24"/>
      <c r="BS239" s="24"/>
      <c r="BT239" s="32"/>
      <c r="BU239" s="27"/>
      <c r="BV239" s="24"/>
      <c r="BW239" s="24"/>
      <c r="BX239" s="16"/>
      <c r="BY239" s="27"/>
      <c r="BZ239" s="24"/>
      <c r="CA239" s="24"/>
      <c r="CB239" s="16"/>
      <c r="CC239" s="49">
        <f t="shared" si="99"/>
        <v>0</v>
      </c>
      <c r="CD239" s="24"/>
      <c r="CE239" s="49">
        <f t="shared" si="100"/>
        <v>57500000</v>
      </c>
      <c r="CF239" s="50"/>
      <c r="CG239" s="49">
        <f t="shared" ca="1" si="101"/>
        <v>57500000</v>
      </c>
      <c r="CH239" s="33">
        <f t="shared" ca="1" si="102"/>
        <v>1</v>
      </c>
      <c r="CI239" s="33">
        <f t="shared" ca="1" si="103"/>
        <v>1</v>
      </c>
      <c r="CJ239" s="36">
        <f t="shared" ca="1" si="104"/>
        <v>100</v>
      </c>
      <c r="CK239" s="34">
        <f t="shared" si="105"/>
        <v>0</v>
      </c>
      <c r="CL239" s="21"/>
      <c r="CM239" s="35" t="str">
        <f t="shared" ca="1" si="109"/>
        <v>TERMINADO</v>
      </c>
      <c r="CN239" s="82"/>
      <c r="CO239" s="145" t="s">
        <v>2117</v>
      </c>
      <c r="CP239" s="26" t="s">
        <v>123</v>
      </c>
    </row>
    <row r="240" spans="1:94" ht="24.75" customHeight="1">
      <c r="A240" s="48" t="s">
        <v>2118</v>
      </c>
      <c r="B240" s="77" t="s">
        <v>2119</v>
      </c>
      <c r="C240" s="17" t="s">
        <v>104</v>
      </c>
      <c r="D240" s="18" t="s">
        <v>2120</v>
      </c>
      <c r="E240" s="17" t="s">
        <v>106</v>
      </c>
      <c r="F240" s="17" t="s">
        <v>107</v>
      </c>
      <c r="G240" s="17" t="s">
        <v>108</v>
      </c>
      <c r="H240" s="78">
        <v>86088156</v>
      </c>
      <c r="I240" s="74" t="s">
        <v>2121</v>
      </c>
      <c r="J240" s="16"/>
      <c r="K240" s="16"/>
      <c r="L240" s="20" t="s">
        <v>2122</v>
      </c>
      <c r="M240" s="16" t="s">
        <v>111</v>
      </c>
      <c r="N240" s="22">
        <v>45310</v>
      </c>
      <c r="O240" s="22">
        <v>45315</v>
      </c>
      <c r="P240" s="22">
        <v>45657</v>
      </c>
      <c r="Q240" s="23">
        <f t="shared" si="107"/>
        <v>342</v>
      </c>
      <c r="R240" s="17" t="s">
        <v>112</v>
      </c>
      <c r="S240" s="110" t="s">
        <v>2123</v>
      </c>
      <c r="T240" s="16" t="s">
        <v>254</v>
      </c>
      <c r="U240" s="67">
        <v>72855204</v>
      </c>
      <c r="V240" s="16" t="s">
        <v>1336</v>
      </c>
      <c r="W240" s="224">
        <v>72855204</v>
      </c>
      <c r="X240" s="24">
        <v>6071277</v>
      </c>
      <c r="Y240" s="24"/>
      <c r="Z240" s="24"/>
      <c r="AA240" s="17" t="s">
        <v>116</v>
      </c>
      <c r="AB240" s="23" t="str">
        <f>IFERROR(VLOOKUP(AA240,Listas!$A$1:$C$14,2,FALSE),"")</f>
        <v>FREDY CÉSPEDES VILLA</v>
      </c>
      <c r="AC240" s="23">
        <f>IFERROR(VLOOKUP(AA240,Listas!$A$1:$C$14,3,FALSE),"")</f>
        <v>93363483</v>
      </c>
      <c r="AD240" s="17" t="s">
        <v>217</v>
      </c>
      <c r="AE240" s="17" t="s">
        <v>381</v>
      </c>
      <c r="AF240" s="23" t="str">
        <f>IFERROR(VLOOKUP(AE240,Listas!$AD$1:$AF$66,2,FALSE),"")</f>
        <v>MARINA AZUCENA MEDINA SANDOVAL</v>
      </c>
      <c r="AG240" s="23">
        <f>IFERROR(VLOOKUP(AE240,Listas!$AD$1:$AF$65,3,FALSE),"")</f>
        <v>51842510</v>
      </c>
      <c r="AH240" s="17" t="s">
        <v>118</v>
      </c>
      <c r="AI240" s="65" t="s">
        <v>2124</v>
      </c>
      <c r="AJ240" s="25" t="s">
        <v>119</v>
      </c>
      <c r="AK240" s="26" t="s">
        <v>120</v>
      </c>
      <c r="AL240" s="26" t="s">
        <v>120</v>
      </c>
      <c r="AM240" s="90" t="s">
        <v>119</v>
      </c>
      <c r="AN240" s="105">
        <v>31250</v>
      </c>
      <c r="AO240" s="91">
        <f t="shared" ca="1" si="108"/>
        <v>40</v>
      </c>
      <c r="AP240" s="26" t="s">
        <v>121</v>
      </c>
      <c r="AQ240" s="26" t="s">
        <v>220</v>
      </c>
      <c r="AR240" s="89"/>
      <c r="AS240" s="27"/>
      <c r="AT240" s="16"/>
      <c r="AU240" s="27"/>
      <c r="AV240" s="86"/>
      <c r="AW240" s="27"/>
      <c r="AX240" s="27"/>
      <c r="AY240" s="27"/>
      <c r="AZ240" s="27"/>
      <c r="BA240" s="27"/>
      <c r="BB240" s="27"/>
      <c r="BC240" s="97"/>
      <c r="BD240" s="27"/>
      <c r="BE240" s="16"/>
      <c r="BF240" s="28">
        <f t="shared" si="96"/>
        <v>0</v>
      </c>
      <c r="BG240" s="29"/>
      <c r="BH240" s="27"/>
      <c r="BI240" s="30">
        <f t="shared" si="97"/>
        <v>342</v>
      </c>
      <c r="BJ240" s="31">
        <f t="shared" si="98"/>
        <v>45657</v>
      </c>
      <c r="BK240" s="27"/>
      <c r="BL240" s="16"/>
      <c r="BM240" s="27"/>
      <c r="BN240" s="16"/>
      <c r="BO240" s="27"/>
      <c r="BP240" s="16"/>
      <c r="BQ240" s="27"/>
      <c r="BR240" s="24"/>
      <c r="BS240" s="24"/>
      <c r="BT240" s="32"/>
      <c r="BU240" s="27"/>
      <c r="BV240" s="24"/>
      <c r="BW240" s="24"/>
      <c r="BX240" s="16"/>
      <c r="BY240" s="27"/>
      <c r="BZ240" s="24"/>
      <c r="CA240" s="24"/>
      <c r="CB240" s="16"/>
      <c r="CC240" s="49">
        <f t="shared" si="99"/>
        <v>0</v>
      </c>
      <c r="CD240" s="24"/>
      <c r="CE240" s="49">
        <f t="shared" si="100"/>
        <v>72855204</v>
      </c>
      <c r="CF240" s="50"/>
      <c r="CG240" s="49">
        <f t="shared" ca="1" si="101"/>
        <v>72855204</v>
      </c>
      <c r="CH240" s="33">
        <f t="shared" ca="1" si="102"/>
        <v>1</v>
      </c>
      <c r="CI240" s="33">
        <f t="shared" ca="1" si="103"/>
        <v>1</v>
      </c>
      <c r="CJ240" s="36">
        <f t="shared" ca="1" si="104"/>
        <v>100</v>
      </c>
      <c r="CK240" s="34">
        <f t="shared" si="105"/>
        <v>0</v>
      </c>
      <c r="CL240" s="21"/>
      <c r="CM240" s="35" t="str">
        <f t="shared" ca="1" si="109"/>
        <v>TERMINADO</v>
      </c>
      <c r="CN240" s="82"/>
      <c r="CO240" s="145" t="s">
        <v>2125</v>
      </c>
      <c r="CP240" s="26" t="s">
        <v>142</v>
      </c>
    </row>
    <row r="241" spans="1:98" ht="24.75" customHeight="1">
      <c r="A241" s="48" t="s">
        <v>2126</v>
      </c>
      <c r="B241" s="77" t="s">
        <v>2127</v>
      </c>
      <c r="C241" s="17" t="s">
        <v>104</v>
      </c>
      <c r="D241" s="18" t="s">
        <v>2128</v>
      </c>
      <c r="E241" s="17" t="s">
        <v>106</v>
      </c>
      <c r="F241" s="17" t="s">
        <v>107</v>
      </c>
      <c r="G241" s="17" t="s">
        <v>108</v>
      </c>
      <c r="H241" s="78">
        <v>28978719</v>
      </c>
      <c r="I241" s="74" t="s">
        <v>2129</v>
      </c>
      <c r="J241" s="16"/>
      <c r="K241" s="16"/>
      <c r="L241" s="20" t="s">
        <v>2130</v>
      </c>
      <c r="M241" s="16" t="s">
        <v>111</v>
      </c>
      <c r="N241" s="22">
        <v>45310</v>
      </c>
      <c r="O241" s="22">
        <v>45315</v>
      </c>
      <c r="P241" s="22">
        <v>45657</v>
      </c>
      <c r="Q241" s="23">
        <f t="shared" si="107"/>
        <v>342</v>
      </c>
      <c r="R241" s="17" t="s">
        <v>242</v>
      </c>
      <c r="S241" s="110" t="s">
        <v>2131</v>
      </c>
      <c r="T241" s="16" t="s">
        <v>2034</v>
      </c>
      <c r="U241" s="67">
        <v>84876372</v>
      </c>
      <c r="V241" s="16" t="s">
        <v>245</v>
      </c>
      <c r="W241" s="224">
        <v>84876372</v>
      </c>
      <c r="X241" s="24">
        <v>7073031</v>
      </c>
      <c r="Y241" s="24"/>
      <c r="Z241" s="24"/>
      <c r="AA241" s="17" t="s">
        <v>116</v>
      </c>
      <c r="AB241" s="23" t="str">
        <f>IFERROR(VLOOKUP(AA241,Listas!$A$1:$C$14,2,FALSE),"")</f>
        <v>FREDY CÉSPEDES VILLA</v>
      </c>
      <c r="AC241" s="23">
        <f>IFERROR(VLOOKUP(AA241,Listas!$A$1:$C$14,3,FALSE),"")</f>
        <v>93363483</v>
      </c>
      <c r="AD241" s="17" t="s">
        <v>217</v>
      </c>
      <c r="AE241" s="17" t="s">
        <v>381</v>
      </c>
      <c r="AF241" s="23" t="str">
        <f>IFERROR(VLOOKUP(AE241,Listas!$AD$1:$AF$66,2,FALSE),"")</f>
        <v>MARINA AZUCENA MEDINA SANDOVAL</v>
      </c>
      <c r="AG241" s="23">
        <f>IFERROR(VLOOKUP(AE241,Listas!$AD$1:$AF$65,3,FALSE),"")</f>
        <v>51842510</v>
      </c>
      <c r="AH241" s="17" t="s">
        <v>118</v>
      </c>
      <c r="AI241" s="65" t="s">
        <v>2132</v>
      </c>
      <c r="AJ241" s="25" t="s">
        <v>119</v>
      </c>
      <c r="AK241" s="26" t="s">
        <v>120</v>
      </c>
      <c r="AL241" s="26" t="s">
        <v>120</v>
      </c>
      <c r="AM241" s="90" t="s">
        <v>119</v>
      </c>
      <c r="AN241" s="105">
        <v>28230</v>
      </c>
      <c r="AO241" s="91">
        <f t="shared" ca="1" si="108"/>
        <v>48</v>
      </c>
      <c r="AP241" s="26" t="s">
        <v>121</v>
      </c>
      <c r="AQ241" s="26" t="s">
        <v>220</v>
      </c>
      <c r="AR241" s="89"/>
      <c r="AS241" s="27"/>
      <c r="AT241" s="16"/>
      <c r="AU241" s="27"/>
      <c r="AV241" s="86"/>
      <c r="AW241" s="27"/>
      <c r="AX241" s="27"/>
      <c r="AY241" s="27"/>
      <c r="AZ241" s="27"/>
      <c r="BA241" s="27"/>
      <c r="BB241" s="27"/>
      <c r="BC241" s="97"/>
      <c r="BD241" s="27"/>
      <c r="BE241" s="16"/>
      <c r="BF241" s="28">
        <f t="shared" ref="BF241:BF272" si="110">BC241+BE241</f>
        <v>0</v>
      </c>
      <c r="BG241" s="29"/>
      <c r="BH241" s="27"/>
      <c r="BI241" s="30">
        <f t="shared" ref="BI241:BI272" si="111">BF241+Q241</f>
        <v>342</v>
      </c>
      <c r="BJ241" s="31">
        <f t="shared" ref="BJ241:BJ272" si="112">IF(BH241="",P241+BF241,BH241)</f>
        <v>45657</v>
      </c>
      <c r="BK241" s="27"/>
      <c r="BL241" s="16"/>
      <c r="BM241" s="27"/>
      <c r="BN241" s="16"/>
      <c r="BO241" s="27"/>
      <c r="BP241" s="16"/>
      <c r="BQ241" s="27"/>
      <c r="BR241" s="24"/>
      <c r="BS241" s="24"/>
      <c r="BT241" s="32"/>
      <c r="BU241" s="27"/>
      <c r="BV241" s="24"/>
      <c r="BW241" s="24"/>
      <c r="BX241" s="16"/>
      <c r="BY241" s="27"/>
      <c r="BZ241" s="24"/>
      <c r="CA241" s="24"/>
      <c r="CB241" s="16"/>
      <c r="CC241" s="49">
        <f t="shared" ref="CC241:CC272" si="113">BR241+BV241+BZ241</f>
        <v>0</v>
      </c>
      <c r="CD241" s="24"/>
      <c r="CE241" s="49">
        <f t="shared" ref="CE241:CE272" si="114">IF(Y241=0,(W241+CC241)-CD241,IF(Y241&gt;0,(Y241+CC241)-CD241))</f>
        <v>84876372</v>
      </c>
      <c r="CF241" s="50"/>
      <c r="CG241" s="49">
        <f t="shared" ref="CG241:CG272" ca="1" si="115">IFERROR(IF(((CE241/BI241)*(TODAY()-N241))&gt;CE241,CE241,((CE241/BI241)*(TODAY()-N241))),"")</f>
        <v>84876372</v>
      </c>
      <c r="CH241" s="33">
        <f t="shared" ref="CH241:CH272" ca="1" si="116">IF(TODAY()&gt;BJ241,1,+(DAYS360(O241,TODAY())/DAYS360(O241,BJ241)))</f>
        <v>1</v>
      </c>
      <c r="CI241" s="33">
        <f t="shared" ref="CI241:CI272" ca="1" si="117">+IF(CL241&gt;0,DAYS360(O241,CL241)/DAYS360(O241,BJ241),CH241)</f>
        <v>1</v>
      </c>
      <c r="CJ241" s="36">
        <f t="shared" ref="CJ241:CJ272" ca="1" si="118">IFERROR(IF(((CG241/CE241)*100)&gt;100,100,((CG241/CE241)*100)),"")</f>
        <v>100</v>
      </c>
      <c r="CK241" s="34">
        <f t="shared" ref="CK241:CK272" si="119">IFERROR((CF241/CE241)*100,"")</f>
        <v>0</v>
      </c>
      <c r="CL241" s="21"/>
      <c r="CM241" s="35" t="str">
        <f t="shared" ca="1" si="109"/>
        <v>TERMINADO</v>
      </c>
      <c r="CN241" s="82"/>
      <c r="CO241" s="145" t="s">
        <v>2133</v>
      </c>
      <c r="CP241" s="26" t="s">
        <v>123</v>
      </c>
    </row>
    <row r="242" spans="1:98" ht="24.75" customHeight="1">
      <c r="A242" s="48"/>
      <c r="B242" s="345" t="s">
        <v>2134</v>
      </c>
      <c r="C242" s="345" t="s">
        <v>1583</v>
      </c>
      <c r="D242" s="18"/>
      <c r="E242" s="17"/>
      <c r="F242" s="17"/>
      <c r="G242" s="17"/>
      <c r="H242" s="78"/>
      <c r="I242" s="74"/>
      <c r="J242" s="16"/>
      <c r="K242" s="16"/>
      <c r="L242" s="96"/>
      <c r="M242" s="16"/>
      <c r="N242" s="22"/>
      <c r="O242" s="22"/>
      <c r="P242" s="22"/>
      <c r="Q242" s="23"/>
      <c r="R242" s="17"/>
      <c r="S242" s="16"/>
      <c r="T242" s="16"/>
      <c r="U242" s="67"/>
      <c r="V242" s="16"/>
      <c r="W242" s="24"/>
      <c r="X242" s="24"/>
      <c r="Y242" s="24"/>
      <c r="Z242" s="24"/>
      <c r="AA242" s="17"/>
      <c r="AB242" s="23"/>
      <c r="AC242" s="23"/>
      <c r="AD242" s="17"/>
      <c r="AE242" s="17"/>
      <c r="AF242" s="23"/>
      <c r="AG242" s="23"/>
      <c r="AH242" s="17"/>
      <c r="AI242" s="65"/>
      <c r="AJ242" s="25"/>
      <c r="AK242" s="26"/>
      <c r="AL242" s="26"/>
      <c r="AM242" s="90"/>
      <c r="AN242" s="105"/>
      <c r="AO242" s="91"/>
      <c r="AP242" s="26"/>
      <c r="AQ242" s="26"/>
      <c r="AR242" s="89"/>
      <c r="AS242" s="27"/>
      <c r="AT242" s="16"/>
      <c r="AU242" s="27"/>
      <c r="AV242" s="86"/>
      <c r="AW242" s="27"/>
      <c r="AX242" s="27"/>
      <c r="AY242" s="27"/>
      <c r="AZ242" s="27"/>
      <c r="BA242" s="27"/>
      <c r="BB242" s="27"/>
      <c r="BC242" s="97"/>
      <c r="BD242" s="27"/>
      <c r="BE242" s="16"/>
      <c r="BF242" s="28">
        <f t="shared" si="110"/>
        <v>0</v>
      </c>
      <c r="BG242" s="29"/>
      <c r="BH242" s="27"/>
      <c r="BI242" s="30">
        <f t="shared" si="111"/>
        <v>0</v>
      </c>
      <c r="BJ242" s="31">
        <f t="shared" si="112"/>
        <v>0</v>
      </c>
      <c r="BK242" s="27"/>
      <c r="BL242" s="16"/>
      <c r="BM242" s="27"/>
      <c r="BN242" s="16"/>
      <c r="BO242" s="27"/>
      <c r="BP242" s="16"/>
      <c r="BQ242" s="27"/>
      <c r="BR242" s="24"/>
      <c r="BS242" s="24"/>
      <c r="BT242" s="32"/>
      <c r="BU242" s="27"/>
      <c r="BV242" s="24"/>
      <c r="BW242" s="24"/>
      <c r="BX242" s="16"/>
      <c r="BY242" s="27"/>
      <c r="BZ242" s="24"/>
      <c r="CA242" s="24"/>
      <c r="CB242" s="16"/>
      <c r="CC242" s="49">
        <f t="shared" si="113"/>
        <v>0</v>
      </c>
      <c r="CD242" s="24"/>
      <c r="CE242" s="49">
        <f t="shared" si="114"/>
        <v>0</v>
      </c>
      <c r="CF242" s="50"/>
      <c r="CG242" s="49" t="str">
        <f t="shared" ca="1" si="115"/>
        <v/>
      </c>
      <c r="CH242" s="33">
        <f t="shared" ca="1" si="116"/>
        <v>1</v>
      </c>
      <c r="CI242" s="33">
        <f t="shared" ca="1" si="117"/>
        <v>1</v>
      </c>
      <c r="CJ242" s="36" t="str">
        <f t="shared" ca="1" si="118"/>
        <v/>
      </c>
      <c r="CK242" s="34" t="str">
        <f t="shared" si="119"/>
        <v/>
      </c>
      <c r="CL242" s="21"/>
      <c r="CM242" s="35"/>
      <c r="CN242" s="82"/>
      <c r="CP242" s="26"/>
      <c r="CS242" s="48"/>
      <c r="CT242" s="345"/>
    </row>
    <row r="243" spans="1:98" ht="24.75" customHeight="1">
      <c r="A243" s="48" t="s">
        <v>2135</v>
      </c>
      <c r="B243" s="77" t="s">
        <v>2136</v>
      </c>
      <c r="C243" s="17" t="s">
        <v>104</v>
      </c>
      <c r="D243" s="18" t="s">
        <v>2137</v>
      </c>
      <c r="E243" s="17" t="s">
        <v>106</v>
      </c>
      <c r="F243" s="17" t="s">
        <v>107</v>
      </c>
      <c r="G243" s="17" t="s">
        <v>108</v>
      </c>
      <c r="H243" s="78">
        <v>79163299</v>
      </c>
      <c r="I243" s="74" t="s">
        <v>2138</v>
      </c>
      <c r="J243" s="16"/>
      <c r="K243" s="16"/>
      <c r="L243" s="20" t="s">
        <v>2139</v>
      </c>
      <c r="M243" s="16" t="s">
        <v>111</v>
      </c>
      <c r="N243" s="22">
        <v>45310</v>
      </c>
      <c r="O243" s="22">
        <v>45316</v>
      </c>
      <c r="P243" s="22">
        <v>45656</v>
      </c>
      <c r="Q243" s="23">
        <f t="shared" ref="Q243:Q306" si="120">P243-O243</f>
        <v>340</v>
      </c>
      <c r="R243" s="17" t="s">
        <v>242</v>
      </c>
      <c r="S243" s="110" t="s">
        <v>2140</v>
      </c>
      <c r="T243" s="16" t="s">
        <v>949</v>
      </c>
      <c r="U243" s="67">
        <v>139771164</v>
      </c>
      <c r="V243" s="16" t="s">
        <v>1071</v>
      </c>
      <c r="W243" s="224">
        <v>139771164</v>
      </c>
      <c r="X243" s="24">
        <v>11647597</v>
      </c>
      <c r="Y243" s="24"/>
      <c r="Z243" s="24"/>
      <c r="AA243" s="17" t="s">
        <v>116</v>
      </c>
      <c r="AB243" s="23" t="str">
        <f>IFERROR(VLOOKUP(AA243,Listas!$A$1:$C$14,2,FALSE),"")</f>
        <v>FREDY CÉSPEDES VILLA</v>
      </c>
      <c r="AC243" s="23">
        <f>IFERROR(VLOOKUP(AA243,Listas!$A$1:$C$14,3,FALSE),"")</f>
        <v>93363483</v>
      </c>
      <c r="AD243" s="17" t="s">
        <v>951</v>
      </c>
      <c r="AE243" s="17" t="s">
        <v>952</v>
      </c>
      <c r="AF243" s="23" t="str">
        <f>IFERROR(VLOOKUP(AE243,Listas!$AD$1:$AF$66,2,FALSE),"")</f>
        <v>ANDRES MAURICIO LUQUE AYALA</v>
      </c>
      <c r="AG243" s="23">
        <f>IFERROR(VLOOKUP(AE243,Listas!$AD$1:$AF$65,3,FALSE),"")</f>
        <v>11443937</v>
      </c>
      <c r="AH243" s="17" t="s">
        <v>118</v>
      </c>
      <c r="AI243" s="65" t="s">
        <v>2141</v>
      </c>
      <c r="AJ243" s="25" t="s">
        <v>119</v>
      </c>
      <c r="AK243" s="26" t="s">
        <v>120</v>
      </c>
      <c r="AL243" s="26" t="s">
        <v>120</v>
      </c>
      <c r="AM243" s="90" t="s">
        <v>119</v>
      </c>
      <c r="AN243" s="105">
        <v>34770</v>
      </c>
      <c r="AO243" s="91">
        <f t="shared" ref="AO243:AO306" ca="1" si="121">IF(YEAR(TODAY())-YEAR(AN243)&gt;100," ",YEAR(TODAY())-YEAR(AN243))</f>
        <v>30</v>
      </c>
      <c r="AP243" s="26" t="s">
        <v>121</v>
      </c>
      <c r="AQ243" s="26" t="s">
        <v>886</v>
      </c>
      <c r="AR243" s="89"/>
      <c r="AS243" s="27"/>
      <c r="AT243" s="16"/>
      <c r="AU243" s="27"/>
      <c r="AV243" s="86"/>
      <c r="AW243" s="27"/>
      <c r="AX243" s="27"/>
      <c r="AY243" s="27"/>
      <c r="AZ243" s="27"/>
      <c r="BA243" s="27"/>
      <c r="BB243" s="27"/>
      <c r="BC243" s="97"/>
      <c r="BD243" s="27"/>
      <c r="BE243" s="16"/>
      <c r="BF243" s="28">
        <f t="shared" si="110"/>
        <v>0</v>
      </c>
      <c r="BG243" s="29"/>
      <c r="BH243" s="27"/>
      <c r="BI243" s="30">
        <f t="shared" si="111"/>
        <v>340</v>
      </c>
      <c r="BJ243" s="31">
        <f t="shared" si="112"/>
        <v>45656</v>
      </c>
      <c r="BK243" s="27"/>
      <c r="BL243" s="16"/>
      <c r="BM243" s="27"/>
      <c r="BN243" s="16"/>
      <c r="BO243" s="27"/>
      <c r="BP243" s="16"/>
      <c r="BQ243" s="27"/>
      <c r="BR243" s="24"/>
      <c r="BS243" s="24"/>
      <c r="BT243" s="32"/>
      <c r="BU243" s="27"/>
      <c r="BV243" s="24"/>
      <c r="BW243" s="24"/>
      <c r="BX243" s="16"/>
      <c r="BY243" s="27"/>
      <c r="BZ243" s="24"/>
      <c r="CA243" s="24"/>
      <c r="CB243" s="16"/>
      <c r="CC243" s="49">
        <f t="shared" si="113"/>
        <v>0</v>
      </c>
      <c r="CD243" s="24"/>
      <c r="CE243" s="49">
        <f t="shared" si="114"/>
        <v>139771164</v>
      </c>
      <c r="CF243" s="50"/>
      <c r="CG243" s="49">
        <f t="shared" ca="1" si="115"/>
        <v>139771164</v>
      </c>
      <c r="CH243" s="33">
        <f t="shared" ca="1" si="116"/>
        <v>1</v>
      </c>
      <c r="CI243" s="33">
        <f t="shared" ca="1" si="117"/>
        <v>1</v>
      </c>
      <c r="CJ243" s="36">
        <f t="shared" ca="1" si="118"/>
        <v>100</v>
      </c>
      <c r="CK243" s="34">
        <f t="shared" si="119"/>
        <v>0</v>
      </c>
      <c r="CL243" s="21"/>
      <c r="CM243" s="35" t="str">
        <f t="shared" ref="CM243:CM274" ca="1" si="122">IF(CL243&gt;1/1/6,"LIQUIDADO",IF(BJ243=0,"",IF(BJ243&gt;=TODAY(),"VIGENTE",IF(BJ243&lt;TODAY(),"TERMINADO",))))</f>
        <v>TERMINADO</v>
      </c>
      <c r="CN243" s="82"/>
      <c r="CO243" s="145" t="s">
        <v>2142</v>
      </c>
      <c r="CP243" s="26" t="s">
        <v>142</v>
      </c>
    </row>
    <row r="244" spans="1:98" ht="24.75" customHeight="1">
      <c r="A244" s="48" t="s">
        <v>2143</v>
      </c>
      <c r="B244" s="77" t="s">
        <v>2144</v>
      </c>
      <c r="C244" s="17" t="s">
        <v>104</v>
      </c>
      <c r="D244" s="18" t="s">
        <v>2145</v>
      </c>
      <c r="E244" s="17" t="s">
        <v>106</v>
      </c>
      <c r="F244" s="17" t="s">
        <v>107</v>
      </c>
      <c r="G244" s="17" t="s">
        <v>108</v>
      </c>
      <c r="H244" s="78">
        <v>1085248038</v>
      </c>
      <c r="I244" s="74" t="s">
        <v>2146</v>
      </c>
      <c r="J244" s="16"/>
      <c r="K244" s="16"/>
      <c r="L244" s="20" t="s">
        <v>2147</v>
      </c>
      <c r="M244" s="16" t="s">
        <v>1519</v>
      </c>
      <c r="N244" s="22">
        <v>45310</v>
      </c>
      <c r="O244" s="22">
        <v>45315</v>
      </c>
      <c r="P244" s="22">
        <v>45656</v>
      </c>
      <c r="Q244" s="23">
        <f t="shared" si="120"/>
        <v>341</v>
      </c>
      <c r="R244" s="17" t="s">
        <v>242</v>
      </c>
      <c r="S244" s="110" t="s">
        <v>2148</v>
      </c>
      <c r="T244" s="16" t="s">
        <v>343</v>
      </c>
      <c r="U244" s="67">
        <v>83437669</v>
      </c>
      <c r="V244" s="16" t="s">
        <v>2149</v>
      </c>
      <c r="W244" s="224">
        <v>83437669</v>
      </c>
      <c r="X244" s="24">
        <v>7111165</v>
      </c>
      <c r="Y244" s="24"/>
      <c r="Z244" s="24"/>
      <c r="AA244" s="17" t="s">
        <v>116</v>
      </c>
      <c r="AB244" s="23" t="str">
        <f>IFERROR(VLOOKUP(AA244,Listas!$A$1:$C$14,2,FALSE),"")</f>
        <v>FREDY CÉSPEDES VILLA</v>
      </c>
      <c r="AC244" s="23">
        <f>IFERROR(VLOOKUP(AA244,Listas!$A$1:$C$14,3,FALSE),"")</f>
        <v>93363483</v>
      </c>
      <c r="AD244" s="17" t="s">
        <v>1523</v>
      </c>
      <c r="AE244" s="17" t="s">
        <v>1524</v>
      </c>
      <c r="AF244" s="23" t="str">
        <f>IFERROR(VLOOKUP(AE244,Listas!$AD$1:$AF$66,2,FALSE),"")</f>
        <v>IVETTE FRASSER SÁNCHEZ</v>
      </c>
      <c r="AG244" s="23">
        <f>IFERROR(VLOOKUP(AE244,Listas!$AD$1:$AF$65,3,FALSE),"")</f>
        <v>38285903</v>
      </c>
      <c r="AH244" s="17" t="s">
        <v>118</v>
      </c>
      <c r="AI244" s="65" t="s">
        <v>2150</v>
      </c>
      <c r="AJ244" s="25" t="s">
        <v>119</v>
      </c>
      <c r="AK244" s="26" t="s">
        <v>120</v>
      </c>
      <c r="AL244" s="26" t="s">
        <v>120</v>
      </c>
      <c r="AM244" s="90" t="s">
        <v>119</v>
      </c>
      <c r="AN244" s="105">
        <v>31491</v>
      </c>
      <c r="AO244" s="91">
        <f t="shared" ca="1" si="121"/>
        <v>39</v>
      </c>
      <c r="AP244" s="26" t="s">
        <v>121</v>
      </c>
      <c r="AQ244" s="26" t="s">
        <v>327</v>
      </c>
      <c r="AR244" s="89"/>
      <c r="AS244" s="27"/>
      <c r="AT244" s="16"/>
      <c r="AU244" s="27"/>
      <c r="AV244" s="86"/>
      <c r="AW244" s="27"/>
      <c r="AX244" s="27"/>
      <c r="AY244" s="27"/>
      <c r="AZ244" s="27"/>
      <c r="BA244" s="27"/>
      <c r="BB244" s="27"/>
      <c r="BC244" s="97"/>
      <c r="BD244" s="27"/>
      <c r="BE244" s="16"/>
      <c r="BF244" s="28">
        <f t="shared" si="110"/>
        <v>0</v>
      </c>
      <c r="BG244" s="29"/>
      <c r="BH244" s="27"/>
      <c r="BI244" s="30">
        <f t="shared" si="111"/>
        <v>341</v>
      </c>
      <c r="BJ244" s="31">
        <f t="shared" si="112"/>
        <v>45656</v>
      </c>
      <c r="BK244" s="27"/>
      <c r="BL244" s="16"/>
      <c r="BM244" s="27"/>
      <c r="BN244" s="16"/>
      <c r="BO244" s="27"/>
      <c r="BP244" s="16"/>
      <c r="BQ244" s="27"/>
      <c r="BR244" s="24"/>
      <c r="BS244" s="24"/>
      <c r="BT244" s="32"/>
      <c r="BU244" s="27"/>
      <c r="BV244" s="24"/>
      <c r="BW244" s="24"/>
      <c r="BX244" s="16"/>
      <c r="BY244" s="27"/>
      <c r="BZ244" s="24"/>
      <c r="CA244" s="24"/>
      <c r="CB244" s="16"/>
      <c r="CC244" s="49">
        <f t="shared" si="113"/>
        <v>0</v>
      </c>
      <c r="CD244" s="24"/>
      <c r="CE244" s="49">
        <f t="shared" si="114"/>
        <v>83437669</v>
      </c>
      <c r="CF244" s="50"/>
      <c r="CG244" s="49">
        <f t="shared" ca="1" si="115"/>
        <v>83437669</v>
      </c>
      <c r="CH244" s="33">
        <f t="shared" ca="1" si="116"/>
        <v>1</v>
      </c>
      <c r="CI244" s="33">
        <f t="shared" ca="1" si="117"/>
        <v>1</v>
      </c>
      <c r="CJ244" s="36">
        <f t="shared" ca="1" si="118"/>
        <v>100</v>
      </c>
      <c r="CK244" s="34">
        <f t="shared" si="119"/>
        <v>0</v>
      </c>
      <c r="CL244" s="21"/>
      <c r="CM244" s="35" t="str">
        <f t="shared" ca="1" si="122"/>
        <v>TERMINADO</v>
      </c>
      <c r="CN244" s="82"/>
      <c r="CO244" s="145" t="s">
        <v>2151</v>
      </c>
      <c r="CP244" s="26" t="s">
        <v>123</v>
      </c>
    </row>
    <row r="245" spans="1:98" ht="24.75" customHeight="1">
      <c r="A245" s="48" t="s">
        <v>2152</v>
      </c>
      <c r="B245" s="77" t="s">
        <v>2153</v>
      </c>
      <c r="C245" s="17" t="s">
        <v>104</v>
      </c>
      <c r="D245" s="18" t="s">
        <v>2154</v>
      </c>
      <c r="E245" s="17" t="s">
        <v>106</v>
      </c>
      <c r="F245" s="17" t="s">
        <v>107</v>
      </c>
      <c r="G245" s="17" t="s">
        <v>108</v>
      </c>
      <c r="H245" s="78">
        <v>1014197024</v>
      </c>
      <c r="I245" s="74" t="s">
        <v>2155</v>
      </c>
      <c r="J245" s="16"/>
      <c r="K245" s="16"/>
      <c r="L245" s="20" t="s">
        <v>2156</v>
      </c>
      <c r="M245" s="16" t="s">
        <v>111</v>
      </c>
      <c r="N245" s="22">
        <v>45310</v>
      </c>
      <c r="O245" s="22">
        <v>45314</v>
      </c>
      <c r="P245" s="22">
        <v>45656</v>
      </c>
      <c r="Q245" s="23">
        <f t="shared" si="120"/>
        <v>342</v>
      </c>
      <c r="R245" s="17" t="s">
        <v>242</v>
      </c>
      <c r="S245" s="110" t="s">
        <v>2157</v>
      </c>
      <c r="T245" s="16" t="s">
        <v>343</v>
      </c>
      <c r="U245" s="67">
        <v>67613286</v>
      </c>
      <c r="V245" s="16" t="s">
        <v>2149</v>
      </c>
      <c r="W245" s="224">
        <v>67613286</v>
      </c>
      <c r="X245" s="24">
        <v>5762495</v>
      </c>
      <c r="Y245" s="24"/>
      <c r="Z245" s="24"/>
      <c r="AA245" s="17" t="s">
        <v>116</v>
      </c>
      <c r="AB245" s="23" t="str">
        <f>IFERROR(VLOOKUP(AA245,Listas!$A$1:$C$14,2,FALSE),"")</f>
        <v>FREDY CÉSPEDES VILLA</v>
      </c>
      <c r="AC245" s="23">
        <f>IFERROR(VLOOKUP(AA245,Listas!$A$1:$C$14,3,FALSE),"")</f>
        <v>93363483</v>
      </c>
      <c r="AD245" s="17" t="s">
        <v>1533</v>
      </c>
      <c r="AE245" s="17" t="s">
        <v>1534</v>
      </c>
      <c r="AF245" s="23" t="str">
        <f>IFERROR(VLOOKUP(AE245,Listas!$AD$1:$AF$66,2,FALSE),"")</f>
        <v>ESTEBAN GUERRERO ALVAREZ</v>
      </c>
      <c r="AG245" s="23">
        <f>IFERROR(VLOOKUP(AE245,Listas!$AD$1:$AF$65,3,FALSE),"")</f>
        <v>1032460552</v>
      </c>
      <c r="AH245" s="17" t="s">
        <v>118</v>
      </c>
      <c r="AI245" s="65" t="s">
        <v>2158</v>
      </c>
      <c r="AJ245" s="25" t="s">
        <v>119</v>
      </c>
      <c r="AK245" s="26" t="s">
        <v>120</v>
      </c>
      <c r="AL245" s="26" t="s">
        <v>120</v>
      </c>
      <c r="AM245" s="90" t="s">
        <v>119</v>
      </c>
      <c r="AN245" s="105">
        <v>32491</v>
      </c>
      <c r="AO245" s="91">
        <f t="shared" ca="1" si="121"/>
        <v>37</v>
      </c>
      <c r="AP245" s="26" t="s">
        <v>121</v>
      </c>
      <c r="AQ245" s="26" t="s">
        <v>327</v>
      </c>
      <c r="AR245" s="89"/>
      <c r="AS245" s="27"/>
      <c r="AT245" s="16"/>
      <c r="AU245" s="27"/>
      <c r="AV245" s="86"/>
      <c r="AW245" s="27"/>
      <c r="AX245" s="27"/>
      <c r="AY245" s="27"/>
      <c r="AZ245" s="27"/>
      <c r="BA245" s="27"/>
      <c r="BB245" s="27"/>
      <c r="BC245" s="97"/>
      <c r="BD245" s="27"/>
      <c r="BE245" s="16"/>
      <c r="BF245" s="28">
        <f t="shared" si="110"/>
        <v>0</v>
      </c>
      <c r="BG245" s="29"/>
      <c r="BH245" s="27"/>
      <c r="BI245" s="30">
        <f t="shared" si="111"/>
        <v>342</v>
      </c>
      <c r="BJ245" s="31">
        <f t="shared" si="112"/>
        <v>45656</v>
      </c>
      <c r="BK245" s="27"/>
      <c r="BL245" s="16"/>
      <c r="BM245" s="27"/>
      <c r="BN245" s="16"/>
      <c r="BO245" s="27"/>
      <c r="BP245" s="16"/>
      <c r="BQ245" s="27"/>
      <c r="BR245" s="24"/>
      <c r="BS245" s="24"/>
      <c r="BT245" s="32"/>
      <c r="BU245" s="27"/>
      <c r="BV245" s="24"/>
      <c r="BW245" s="24"/>
      <c r="BX245" s="16"/>
      <c r="BY245" s="27"/>
      <c r="BZ245" s="24"/>
      <c r="CA245" s="24"/>
      <c r="CB245" s="16"/>
      <c r="CC245" s="49">
        <f t="shared" si="113"/>
        <v>0</v>
      </c>
      <c r="CD245" s="24"/>
      <c r="CE245" s="49">
        <f t="shared" si="114"/>
        <v>67613286</v>
      </c>
      <c r="CF245" s="50"/>
      <c r="CG245" s="49">
        <f t="shared" ca="1" si="115"/>
        <v>67613286</v>
      </c>
      <c r="CH245" s="33">
        <f t="shared" ca="1" si="116"/>
        <v>1</v>
      </c>
      <c r="CI245" s="33">
        <f t="shared" ca="1" si="117"/>
        <v>1</v>
      </c>
      <c r="CJ245" s="36">
        <f t="shared" ca="1" si="118"/>
        <v>100</v>
      </c>
      <c r="CK245" s="34">
        <f t="shared" si="119"/>
        <v>0</v>
      </c>
      <c r="CL245" s="21"/>
      <c r="CM245" s="35" t="str">
        <f t="shared" ca="1" si="122"/>
        <v>TERMINADO</v>
      </c>
      <c r="CN245" s="82"/>
      <c r="CO245" s="145" t="s">
        <v>2159</v>
      </c>
      <c r="CP245" s="26" t="s">
        <v>123</v>
      </c>
    </row>
    <row r="246" spans="1:98" ht="24.75" customHeight="1">
      <c r="A246" s="48" t="s">
        <v>2160</v>
      </c>
      <c r="B246" s="77" t="s">
        <v>2161</v>
      </c>
      <c r="C246" s="17" t="s">
        <v>104</v>
      </c>
      <c r="D246" s="18" t="s">
        <v>2162</v>
      </c>
      <c r="E246" s="17" t="s">
        <v>106</v>
      </c>
      <c r="F246" s="17" t="s">
        <v>107</v>
      </c>
      <c r="G246" s="17" t="s">
        <v>108</v>
      </c>
      <c r="H246" s="78">
        <v>51752145</v>
      </c>
      <c r="I246" s="74" t="s">
        <v>2163</v>
      </c>
      <c r="J246" s="16"/>
      <c r="K246" s="16"/>
      <c r="L246" s="20" t="s">
        <v>968</v>
      </c>
      <c r="M246" s="16" t="s">
        <v>111</v>
      </c>
      <c r="N246" s="22">
        <v>45310</v>
      </c>
      <c r="O246" s="22">
        <v>45315</v>
      </c>
      <c r="P246" s="22">
        <v>45657</v>
      </c>
      <c r="Q246" s="23">
        <f t="shared" si="120"/>
        <v>342</v>
      </c>
      <c r="R246" s="17" t="s">
        <v>242</v>
      </c>
      <c r="S246" s="110" t="s">
        <v>2164</v>
      </c>
      <c r="T246" s="16" t="s">
        <v>970</v>
      </c>
      <c r="U246" s="67">
        <v>35862336</v>
      </c>
      <c r="V246" s="16" t="s">
        <v>2165</v>
      </c>
      <c r="W246" s="224">
        <v>35862336</v>
      </c>
      <c r="X246" s="24">
        <v>3065157</v>
      </c>
      <c r="Y246" s="24"/>
      <c r="Z246" s="24"/>
      <c r="AA246" s="17" t="s">
        <v>116</v>
      </c>
      <c r="AB246" s="23" t="str">
        <f>IFERROR(VLOOKUP(AA246,Listas!$A$1:$C$14,2,FALSE),"")</f>
        <v>FREDY CÉSPEDES VILLA</v>
      </c>
      <c r="AC246" s="23">
        <f>IFERROR(VLOOKUP(AA246,Listas!$A$1:$C$14,3,FALSE),"")</f>
        <v>93363483</v>
      </c>
      <c r="AD246" s="17" t="s">
        <v>116</v>
      </c>
      <c r="AE246" s="17" t="s">
        <v>972</v>
      </c>
      <c r="AF246" s="23" t="str">
        <f>IFERROR(VLOOKUP(AE246,Listas!$AD$1:$AF$66,2,FALSE),"")</f>
        <v>LUZ MARIELLY MORALES MARTÍNEZ</v>
      </c>
      <c r="AG246" s="23">
        <f>IFERROR(VLOOKUP(AE246,Listas!$AD$1:$AF$65,3,FALSE),"")</f>
        <v>24497384</v>
      </c>
      <c r="AH246" s="17" t="s">
        <v>118</v>
      </c>
      <c r="AI246" s="65" t="s">
        <v>2166</v>
      </c>
      <c r="AJ246" s="25" t="s">
        <v>119</v>
      </c>
      <c r="AK246" s="26" t="s">
        <v>120</v>
      </c>
      <c r="AL246" s="26" t="s">
        <v>120</v>
      </c>
      <c r="AM246" s="90" t="s">
        <v>119</v>
      </c>
      <c r="AN246" s="105">
        <v>22794</v>
      </c>
      <c r="AO246" s="91">
        <f t="shared" ca="1" si="121"/>
        <v>63</v>
      </c>
      <c r="AP246" s="26" t="s">
        <v>121</v>
      </c>
      <c r="AQ246" s="26" t="s">
        <v>285</v>
      </c>
      <c r="AR246" s="89"/>
      <c r="AS246" s="27"/>
      <c r="AT246" s="16"/>
      <c r="AU246" s="27"/>
      <c r="AV246" s="86"/>
      <c r="AW246" s="27"/>
      <c r="AX246" s="27"/>
      <c r="AY246" s="27"/>
      <c r="AZ246" s="27"/>
      <c r="BA246" s="27"/>
      <c r="BB246" s="27"/>
      <c r="BC246" s="97"/>
      <c r="BD246" s="27"/>
      <c r="BE246" s="16"/>
      <c r="BF246" s="28">
        <f t="shared" si="110"/>
        <v>0</v>
      </c>
      <c r="BG246" s="29"/>
      <c r="BH246" s="27"/>
      <c r="BI246" s="30">
        <f t="shared" si="111"/>
        <v>342</v>
      </c>
      <c r="BJ246" s="31">
        <f t="shared" si="112"/>
        <v>45657</v>
      </c>
      <c r="BK246" s="27"/>
      <c r="BL246" s="16"/>
      <c r="BM246" s="27"/>
      <c r="BN246" s="16"/>
      <c r="BO246" s="27"/>
      <c r="BP246" s="16"/>
      <c r="BQ246" s="27"/>
      <c r="BR246" s="24"/>
      <c r="BS246" s="24"/>
      <c r="BT246" s="32"/>
      <c r="BU246" s="27"/>
      <c r="BV246" s="24"/>
      <c r="BW246" s="24"/>
      <c r="BX246" s="16"/>
      <c r="BY246" s="27"/>
      <c r="BZ246" s="24"/>
      <c r="CA246" s="24"/>
      <c r="CB246" s="16"/>
      <c r="CC246" s="49">
        <f t="shared" si="113"/>
        <v>0</v>
      </c>
      <c r="CD246" s="24"/>
      <c r="CE246" s="49">
        <f t="shared" si="114"/>
        <v>35862336</v>
      </c>
      <c r="CF246" s="50"/>
      <c r="CG246" s="49">
        <f t="shared" ca="1" si="115"/>
        <v>35862336</v>
      </c>
      <c r="CH246" s="33">
        <f t="shared" ca="1" si="116"/>
        <v>1</v>
      </c>
      <c r="CI246" s="33">
        <f t="shared" ca="1" si="117"/>
        <v>1</v>
      </c>
      <c r="CJ246" s="36">
        <f t="shared" ca="1" si="118"/>
        <v>100</v>
      </c>
      <c r="CK246" s="34">
        <f t="shared" si="119"/>
        <v>0</v>
      </c>
      <c r="CL246" s="21"/>
      <c r="CM246" s="35" t="str">
        <f t="shared" ca="1" si="122"/>
        <v>TERMINADO</v>
      </c>
      <c r="CN246" s="82"/>
      <c r="CO246" s="145" t="s">
        <v>2167</v>
      </c>
      <c r="CP246" s="26" t="s">
        <v>123</v>
      </c>
    </row>
    <row r="247" spans="1:98" ht="24.75" customHeight="1">
      <c r="A247" s="48" t="s">
        <v>2168</v>
      </c>
      <c r="B247" s="77" t="s">
        <v>2169</v>
      </c>
      <c r="C247" s="17" t="s">
        <v>104</v>
      </c>
      <c r="D247" s="18" t="s">
        <v>2170</v>
      </c>
      <c r="E247" s="17" t="s">
        <v>106</v>
      </c>
      <c r="F247" s="17" t="s">
        <v>107</v>
      </c>
      <c r="G247" s="17" t="s">
        <v>108</v>
      </c>
      <c r="H247" s="78">
        <v>51859407</v>
      </c>
      <c r="I247" s="74" t="s">
        <v>2171</v>
      </c>
      <c r="J247" s="16"/>
      <c r="K247" s="16"/>
      <c r="L247" s="20" t="s">
        <v>2172</v>
      </c>
      <c r="M247" s="16" t="s">
        <v>111</v>
      </c>
      <c r="N247" s="22">
        <v>45313</v>
      </c>
      <c r="O247" s="22">
        <v>45315</v>
      </c>
      <c r="P247" s="22">
        <v>45657</v>
      </c>
      <c r="Q247" s="23">
        <f t="shared" si="120"/>
        <v>342</v>
      </c>
      <c r="R247" s="17" t="s">
        <v>242</v>
      </c>
      <c r="S247" s="110" t="s">
        <v>2157</v>
      </c>
      <c r="T247" s="16" t="s">
        <v>938</v>
      </c>
      <c r="U247" s="67">
        <v>48552090</v>
      </c>
      <c r="V247" s="16" t="s">
        <v>939</v>
      </c>
      <c r="W247" s="224">
        <v>48552090</v>
      </c>
      <c r="X247" s="24">
        <v>4046007</v>
      </c>
      <c r="Y247" s="24"/>
      <c r="Z247" s="24"/>
      <c r="AA247" s="17" t="s">
        <v>116</v>
      </c>
      <c r="AB247" s="23" t="str">
        <f>IFERROR(VLOOKUP(AA247,Listas!$A$1:$C$14,2,FALSE),"")</f>
        <v>FREDY CÉSPEDES VILLA</v>
      </c>
      <c r="AC247" s="23">
        <f>IFERROR(VLOOKUP(AA247,Listas!$A$1:$C$14,3,FALSE),"")</f>
        <v>93363483</v>
      </c>
      <c r="AD247" s="17" t="s">
        <v>116</v>
      </c>
      <c r="AE247" s="17" t="s">
        <v>940</v>
      </c>
      <c r="AF247" s="23" t="str">
        <f>IFERROR(VLOOKUP(AE247,Listas!$AD$1:$AF$66,2,FALSE),"")</f>
        <v>GERARDO ALONSO RODRÍGUEZ PINEDA</v>
      </c>
      <c r="AG247" s="23">
        <f>IFERROR(VLOOKUP(AE247,Listas!$AD$1:$AF$65,3,FALSE),"")</f>
        <v>79466595</v>
      </c>
      <c r="AH247" s="17" t="s">
        <v>118</v>
      </c>
      <c r="AI247" s="65" t="s">
        <v>2173</v>
      </c>
      <c r="AJ247" s="25" t="s">
        <v>119</v>
      </c>
      <c r="AK247" s="26" t="s">
        <v>120</v>
      </c>
      <c r="AL247" s="26" t="s">
        <v>120</v>
      </c>
      <c r="AM247" s="90" t="s">
        <v>119</v>
      </c>
      <c r="AN247" s="105">
        <v>24038</v>
      </c>
      <c r="AO247" s="91">
        <f t="shared" ca="1" si="121"/>
        <v>60</v>
      </c>
      <c r="AP247" s="26" t="s">
        <v>121</v>
      </c>
      <c r="AQ247" s="26" t="s">
        <v>285</v>
      </c>
      <c r="AR247" s="89"/>
      <c r="AS247" s="27"/>
      <c r="AT247" s="16"/>
      <c r="AU247" s="27"/>
      <c r="AV247" s="86"/>
      <c r="AW247" s="27"/>
      <c r="AX247" s="27"/>
      <c r="AY247" s="27"/>
      <c r="AZ247" s="27"/>
      <c r="BA247" s="27"/>
      <c r="BB247" s="27"/>
      <c r="BC247" s="97"/>
      <c r="BD247" s="27"/>
      <c r="BE247" s="16"/>
      <c r="BF247" s="28">
        <f t="shared" si="110"/>
        <v>0</v>
      </c>
      <c r="BG247" s="29"/>
      <c r="BH247" s="27"/>
      <c r="BI247" s="30">
        <f t="shared" si="111"/>
        <v>342</v>
      </c>
      <c r="BJ247" s="31">
        <f t="shared" si="112"/>
        <v>45657</v>
      </c>
      <c r="BK247" s="27"/>
      <c r="BL247" s="16"/>
      <c r="BM247" s="27"/>
      <c r="BN247" s="16"/>
      <c r="BO247" s="27"/>
      <c r="BP247" s="16"/>
      <c r="BQ247" s="27"/>
      <c r="BR247" s="24"/>
      <c r="BS247" s="24"/>
      <c r="BT247" s="32"/>
      <c r="BU247" s="27"/>
      <c r="BV247" s="24"/>
      <c r="BW247" s="24"/>
      <c r="BX247" s="16"/>
      <c r="BY247" s="27"/>
      <c r="BZ247" s="24"/>
      <c r="CA247" s="24"/>
      <c r="CB247" s="16"/>
      <c r="CC247" s="49">
        <f t="shared" si="113"/>
        <v>0</v>
      </c>
      <c r="CD247" s="24"/>
      <c r="CE247" s="49">
        <f t="shared" si="114"/>
        <v>48552090</v>
      </c>
      <c r="CF247" s="50"/>
      <c r="CG247" s="49">
        <f t="shared" ca="1" si="115"/>
        <v>48552090</v>
      </c>
      <c r="CH247" s="33">
        <f t="shared" ca="1" si="116"/>
        <v>1</v>
      </c>
      <c r="CI247" s="33">
        <f t="shared" ca="1" si="117"/>
        <v>1</v>
      </c>
      <c r="CJ247" s="36">
        <f t="shared" ca="1" si="118"/>
        <v>100</v>
      </c>
      <c r="CK247" s="34">
        <f t="shared" si="119"/>
        <v>0</v>
      </c>
      <c r="CL247" s="21"/>
      <c r="CM247" s="35" t="str">
        <f t="shared" ca="1" si="122"/>
        <v>TERMINADO</v>
      </c>
      <c r="CN247" s="82"/>
      <c r="CO247" s="145" t="s">
        <v>2174</v>
      </c>
      <c r="CP247" s="26" t="s">
        <v>123</v>
      </c>
    </row>
    <row r="248" spans="1:98" ht="24.75" customHeight="1">
      <c r="A248" s="48" t="s">
        <v>2175</v>
      </c>
      <c r="B248" s="77" t="s">
        <v>2176</v>
      </c>
      <c r="C248" s="17" t="s">
        <v>104</v>
      </c>
      <c r="D248" s="18" t="s">
        <v>2177</v>
      </c>
      <c r="E248" s="17" t="s">
        <v>106</v>
      </c>
      <c r="F248" s="17" t="s">
        <v>107</v>
      </c>
      <c r="G248" s="17" t="s">
        <v>108</v>
      </c>
      <c r="H248" s="78">
        <v>1022942824</v>
      </c>
      <c r="I248" s="74" t="s">
        <v>2178</v>
      </c>
      <c r="J248" s="16"/>
      <c r="K248" s="16"/>
      <c r="L248" s="20" t="s">
        <v>2179</v>
      </c>
      <c r="M248" s="16" t="s">
        <v>111</v>
      </c>
      <c r="N248" s="22">
        <v>45310</v>
      </c>
      <c r="O248" s="22">
        <v>45316</v>
      </c>
      <c r="P248" s="22">
        <v>45657</v>
      </c>
      <c r="Q248" s="23">
        <f t="shared" si="120"/>
        <v>341</v>
      </c>
      <c r="R248" s="17" t="s">
        <v>242</v>
      </c>
      <c r="S248" s="110" t="s">
        <v>2180</v>
      </c>
      <c r="T248" s="16" t="s">
        <v>1145</v>
      </c>
      <c r="U248" s="67">
        <v>157821300</v>
      </c>
      <c r="V248" s="16" t="s">
        <v>426</v>
      </c>
      <c r="W248" s="224">
        <v>157821300</v>
      </c>
      <c r="X248" s="24">
        <v>13489000</v>
      </c>
      <c r="Y248" s="24"/>
      <c r="Z248" s="24"/>
      <c r="AA248" s="17" t="s">
        <v>116</v>
      </c>
      <c r="AB248" s="23" t="str">
        <f>IFERROR(VLOOKUP(AA248,Listas!$A$1:$C$14,2,FALSE),"")</f>
        <v>FREDY CÉSPEDES VILLA</v>
      </c>
      <c r="AC248" s="23">
        <f>IFERROR(VLOOKUP(AA248,Listas!$A$1:$C$14,3,FALSE),"")</f>
        <v>93363483</v>
      </c>
      <c r="AD248" s="17" t="s">
        <v>427</v>
      </c>
      <c r="AE248" s="17" t="s">
        <v>428</v>
      </c>
      <c r="AF248" s="23" t="str">
        <f>IFERROR(VLOOKUP(AE248,Listas!$AD$1:$AF$66,2,FALSE),"")</f>
        <v>DINORAH PATRICIA ABADIA MURILLO</v>
      </c>
      <c r="AG248" s="23">
        <f>IFERROR(VLOOKUP(AE248,Listas!$AD$1:$AF$65,3,FALSE),"")</f>
        <v>52220857</v>
      </c>
      <c r="AH248" s="17" t="s">
        <v>118</v>
      </c>
      <c r="AI248" s="65" t="s">
        <v>2181</v>
      </c>
      <c r="AJ248" s="25" t="s">
        <v>119</v>
      </c>
      <c r="AK248" s="26" t="s">
        <v>120</v>
      </c>
      <c r="AL248" s="26" t="s">
        <v>120</v>
      </c>
      <c r="AM248" s="90" t="s">
        <v>119</v>
      </c>
      <c r="AN248" s="105">
        <v>32278</v>
      </c>
      <c r="AO248" s="91">
        <f t="shared" ca="1" si="121"/>
        <v>37</v>
      </c>
      <c r="AP248" s="26" t="s">
        <v>121</v>
      </c>
      <c r="AQ248" s="26" t="s">
        <v>1272</v>
      </c>
      <c r="AR248" s="89"/>
      <c r="AS248" s="27"/>
      <c r="AT248" s="16"/>
      <c r="AU248" s="27"/>
      <c r="AV248" s="86"/>
      <c r="AW248" s="27"/>
      <c r="AX248" s="27"/>
      <c r="AY248" s="27"/>
      <c r="AZ248" s="27"/>
      <c r="BA248" s="27"/>
      <c r="BB248" s="27"/>
      <c r="BC248" s="97"/>
      <c r="BD248" s="27"/>
      <c r="BE248" s="16"/>
      <c r="BF248" s="28">
        <f t="shared" si="110"/>
        <v>0</v>
      </c>
      <c r="BG248" s="29"/>
      <c r="BH248" s="27"/>
      <c r="BI248" s="30">
        <f t="shared" si="111"/>
        <v>341</v>
      </c>
      <c r="BJ248" s="31">
        <f t="shared" si="112"/>
        <v>45657</v>
      </c>
      <c r="BK248" s="27"/>
      <c r="BL248" s="16"/>
      <c r="BM248" s="27"/>
      <c r="BN248" s="16"/>
      <c r="BO248" s="27"/>
      <c r="BP248" s="16"/>
      <c r="BQ248" s="27"/>
      <c r="BR248" s="24"/>
      <c r="BS248" s="24"/>
      <c r="BT248" s="32"/>
      <c r="BU248" s="27"/>
      <c r="BV248" s="24"/>
      <c r="BW248" s="24"/>
      <c r="BX248" s="16"/>
      <c r="BY248" s="27"/>
      <c r="BZ248" s="24"/>
      <c r="CA248" s="24"/>
      <c r="CB248" s="16"/>
      <c r="CC248" s="49">
        <f t="shared" si="113"/>
        <v>0</v>
      </c>
      <c r="CD248" s="24"/>
      <c r="CE248" s="49">
        <f t="shared" si="114"/>
        <v>157821300</v>
      </c>
      <c r="CF248" s="50"/>
      <c r="CG248" s="49">
        <f t="shared" ca="1" si="115"/>
        <v>157821300</v>
      </c>
      <c r="CH248" s="33">
        <f t="shared" ca="1" si="116"/>
        <v>1</v>
      </c>
      <c r="CI248" s="33">
        <f t="shared" ca="1" si="117"/>
        <v>1</v>
      </c>
      <c r="CJ248" s="36">
        <f t="shared" ca="1" si="118"/>
        <v>100</v>
      </c>
      <c r="CK248" s="34">
        <f t="shared" si="119"/>
        <v>0</v>
      </c>
      <c r="CL248" s="21"/>
      <c r="CM248" s="35" t="str">
        <f t="shared" ca="1" si="122"/>
        <v>TERMINADO</v>
      </c>
      <c r="CN248" s="82"/>
      <c r="CO248" s="145" t="s">
        <v>2182</v>
      </c>
      <c r="CP248" s="26" t="s">
        <v>123</v>
      </c>
    </row>
    <row r="249" spans="1:98" ht="24.75" customHeight="1">
      <c r="A249" s="48" t="s">
        <v>2183</v>
      </c>
      <c r="B249" s="77" t="s">
        <v>2184</v>
      </c>
      <c r="C249" s="17" t="s">
        <v>104</v>
      </c>
      <c r="D249" s="18" t="s">
        <v>2185</v>
      </c>
      <c r="E249" s="17" t="s">
        <v>106</v>
      </c>
      <c r="F249" s="17" t="s">
        <v>107</v>
      </c>
      <c r="G249" s="17" t="s">
        <v>108</v>
      </c>
      <c r="H249" s="78">
        <v>1019018443</v>
      </c>
      <c r="I249" s="74" t="s">
        <v>2186</v>
      </c>
      <c r="J249" s="16"/>
      <c r="K249" s="16"/>
      <c r="L249" s="20" t="s">
        <v>2187</v>
      </c>
      <c r="M249" s="16" t="s">
        <v>111</v>
      </c>
      <c r="N249" s="22">
        <v>45314</v>
      </c>
      <c r="O249" s="22">
        <v>45316</v>
      </c>
      <c r="P249" s="22">
        <v>45657</v>
      </c>
      <c r="Q249" s="23">
        <f t="shared" si="120"/>
        <v>341</v>
      </c>
      <c r="R249" s="17" t="s">
        <v>242</v>
      </c>
      <c r="S249" s="110" t="s">
        <v>2188</v>
      </c>
      <c r="T249" s="16" t="s">
        <v>1145</v>
      </c>
      <c r="U249" s="67">
        <v>71738550</v>
      </c>
      <c r="V249" s="16" t="s">
        <v>426</v>
      </c>
      <c r="W249" s="224">
        <v>71738550</v>
      </c>
      <c r="X249" s="24">
        <v>6131500</v>
      </c>
      <c r="Y249" s="24"/>
      <c r="Z249" s="24"/>
      <c r="AA249" s="17" t="s">
        <v>116</v>
      </c>
      <c r="AB249" s="23" t="str">
        <f>IFERROR(VLOOKUP(AA249,Listas!$A$1:$C$14,2,FALSE),"")</f>
        <v>FREDY CÉSPEDES VILLA</v>
      </c>
      <c r="AC249" s="23">
        <f>IFERROR(VLOOKUP(AA249,Listas!$A$1:$C$14,3,FALSE),"")</f>
        <v>93363483</v>
      </c>
      <c r="AD249" s="17" t="s">
        <v>427</v>
      </c>
      <c r="AE249" s="17" t="s">
        <v>1802</v>
      </c>
      <c r="AF249" s="23" t="str">
        <f>IFERROR(VLOOKUP(AE249,Listas!$AD$1:$AF$66,2,FALSE),"")</f>
        <v>YULI ANDREA RIVEROS PINEDA</v>
      </c>
      <c r="AG249" s="23">
        <f>IFERROR(VLOOKUP(AE249,Listas!$AD$1:$AF$65,3,FALSE),"")</f>
        <v>53036984</v>
      </c>
      <c r="AH249" s="17" t="s">
        <v>118</v>
      </c>
      <c r="AI249" s="65" t="s">
        <v>2189</v>
      </c>
      <c r="AJ249" s="25" t="s">
        <v>119</v>
      </c>
      <c r="AK249" s="26" t="s">
        <v>120</v>
      </c>
      <c r="AL249" s="26" t="s">
        <v>120</v>
      </c>
      <c r="AM249" s="90" t="s">
        <v>119</v>
      </c>
      <c r="AN249" s="105">
        <v>31961</v>
      </c>
      <c r="AO249" s="91">
        <f t="shared" ca="1" si="121"/>
        <v>38</v>
      </c>
      <c r="AP249" s="26" t="s">
        <v>121</v>
      </c>
      <c r="AQ249" s="26" t="s">
        <v>1272</v>
      </c>
      <c r="AR249" s="89">
        <v>45408</v>
      </c>
      <c r="AS249" s="27" t="s">
        <v>2190</v>
      </c>
      <c r="AT249" s="16">
        <v>1032417351</v>
      </c>
      <c r="AU249" s="20" t="s">
        <v>2187</v>
      </c>
      <c r="AV249" s="86">
        <v>53139666</v>
      </c>
      <c r="AW249" s="27">
        <v>45561</v>
      </c>
      <c r="AX249" s="27" t="s">
        <v>2191</v>
      </c>
      <c r="AY249" s="241">
        <v>1018411988</v>
      </c>
      <c r="AZ249" s="27"/>
      <c r="BA249" s="86">
        <v>19212034</v>
      </c>
      <c r="BB249" s="27"/>
      <c r="BC249" s="97"/>
      <c r="BD249" s="27"/>
      <c r="BE249" s="16"/>
      <c r="BF249" s="28">
        <f t="shared" si="110"/>
        <v>0</v>
      </c>
      <c r="BG249" s="29"/>
      <c r="BH249" s="27"/>
      <c r="BI249" s="30">
        <f t="shared" si="111"/>
        <v>341</v>
      </c>
      <c r="BJ249" s="31">
        <f t="shared" si="112"/>
        <v>45657</v>
      </c>
      <c r="BK249" s="27"/>
      <c r="BL249" s="16"/>
      <c r="BM249" s="27"/>
      <c r="BN249" s="16"/>
      <c r="BO249" s="27"/>
      <c r="BP249" s="16"/>
      <c r="BQ249" s="27"/>
      <c r="BR249" s="24"/>
      <c r="BS249" s="24"/>
      <c r="BT249" s="32"/>
      <c r="BU249" s="27"/>
      <c r="BV249" s="24"/>
      <c r="BW249" s="24"/>
      <c r="BX249" s="16"/>
      <c r="BY249" s="27"/>
      <c r="BZ249" s="24"/>
      <c r="CA249" s="24"/>
      <c r="CB249" s="16"/>
      <c r="CC249" s="49">
        <f t="shared" si="113"/>
        <v>0</v>
      </c>
      <c r="CD249" s="24"/>
      <c r="CE249" s="49">
        <f t="shared" si="114"/>
        <v>71738550</v>
      </c>
      <c r="CF249" s="50"/>
      <c r="CG249" s="49">
        <f t="shared" ca="1" si="115"/>
        <v>71738550</v>
      </c>
      <c r="CH249" s="33">
        <f t="shared" ca="1" si="116"/>
        <v>1</v>
      </c>
      <c r="CI249" s="33">
        <f t="shared" ca="1" si="117"/>
        <v>1</v>
      </c>
      <c r="CJ249" s="36">
        <f t="shared" ca="1" si="118"/>
        <v>100</v>
      </c>
      <c r="CK249" s="34">
        <f t="shared" si="119"/>
        <v>0</v>
      </c>
      <c r="CL249" s="21"/>
      <c r="CM249" s="35" t="str">
        <f t="shared" ca="1" si="122"/>
        <v>TERMINADO</v>
      </c>
      <c r="CN249" s="82"/>
      <c r="CO249" s="145" t="s">
        <v>2192</v>
      </c>
      <c r="CP249" s="26" t="s">
        <v>123</v>
      </c>
    </row>
    <row r="250" spans="1:98" ht="24.75" customHeight="1">
      <c r="A250" s="48" t="s">
        <v>2193</v>
      </c>
      <c r="B250" s="77" t="s">
        <v>2194</v>
      </c>
      <c r="C250" s="17" t="s">
        <v>104</v>
      </c>
      <c r="D250" s="18" t="s">
        <v>2195</v>
      </c>
      <c r="E250" s="17" t="s">
        <v>106</v>
      </c>
      <c r="F250" s="17" t="s">
        <v>107</v>
      </c>
      <c r="G250" s="17" t="s">
        <v>108</v>
      </c>
      <c r="H250" s="78">
        <v>71399583</v>
      </c>
      <c r="I250" s="74" t="s">
        <v>2196</v>
      </c>
      <c r="J250" s="16"/>
      <c r="K250" s="16"/>
      <c r="L250" s="20" t="s">
        <v>2187</v>
      </c>
      <c r="M250" s="16" t="s">
        <v>468</v>
      </c>
      <c r="N250" s="22">
        <v>45311</v>
      </c>
      <c r="O250" s="22">
        <v>45316</v>
      </c>
      <c r="P250" s="22">
        <v>45657</v>
      </c>
      <c r="Q250" s="23">
        <f t="shared" si="120"/>
        <v>341</v>
      </c>
      <c r="R250" s="17" t="s">
        <v>242</v>
      </c>
      <c r="S250" s="110" t="s">
        <v>2197</v>
      </c>
      <c r="T250" s="16" t="s">
        <v>1145</v>
      </c>
      <c r="U250" s="67">
        <v>71738550</v>
      </c>
      <c r="V250" s="16" t="s">
        <v>426</v>
      </c>
      <c r="W250" s="224">
        <v>71738550</v>
      </c>
      <c r="X250" s="24">
        <v>6131500</v>
      </c>
      <c r="Y250" s="24"/>
      <c r="Z250" s="24"/>
      <c r="AA250" s="17" t="s">
        <v>116</v>
      </c>
      <c r="AB250" s="23" t="str">
        <f>IFERROR(VLOOKUP(AA250,Listas!$A$1:$C$14,2,FALSE),"")</f>
        <v>FREDY CÉSPEDES VILLA</v>
      </c>
      <c r="AC250" s="23">
        <f>IFERROR(VLOOKUP(AA250,Listas!$A$1:$C$14,3,FALSE),"")</f>
        <v>93363483</v>
      </c>
      <c r="AD250" s="17" t="s">
        <v>427</v>
      </c>
      <c r="AE250" s="17" t="s">
        <v>2198</v>
      </c>
      <c r="AF250" s="23" t="str">
        <f>IFERROR(VLOOKUP(AE250,Listas!$AD$1:$AF$66,2,FALSE),"")</f>
        <v>ELIANA ROCÍO OCHOA BLANCO</v>
      </c>
      <c r="AG250" s="23">
        <f>IFERROR(VLOOKUP(AE250,Listas!$AD$1:$AF$65,3,FALSE),"")</f>
        <v>1018418424</v>
      </c>
      <c r="AH250" s="17" t="s">
        <v>118</v>
      </c>
      <c r="AI250" s="65" t="s">
        <v>2199</v>
      </c>
      <c r="AJ250" s="25" t="s">
        <v>119</v>
      </c>
      <c r="AK250" s="26" t="s">
        <v>120</v>
      </c>
      <c r="AL250" s="26" t="s">
        <v>120</v>
      </c>
      <c r="AM250" s="90" t="s">
        <v>119</v>
      </c>
      <c r="AN250" s="105">
        <v>29959</v>
      </c>
      <c r="AO250" s="91">
        <f t="shared" ca="1" si="121"/>
        <v>43</v>
      </c>
      <c r="AP250" s="26" t="s">
        <v>121</v>
      </c>
      <c r="AQ250" s="26" t="s">
        <v>1272</v>
      </c>
      <c r="AR250" s="89"/>
      <c r="AS250" s="27"/>
      <c r="AT250" s="16"/>
      <c r="AU250" s="27"/>
      <c r="AV250" s="86"/>
      <c r="AW250" s="27"/>
      <c r="AX250" s="27"/>
      <c r="AY250" s="27"/>
      <c r="AZ250" s="27"/>
      <c r="BA250" s="27"/>
      <c r="BB250" s="27"/>
      <c r="BC250" s="97"/>
      <c r="BD250" s="27"/>
      <c r="BE250" s="16"/>
      <c r="BF250" s="28">
        <f t="shared" si="110"/>
        <v>0</v>
      </c>
      <c r="BG250" s="29"/>
      <c r="BH250" s="27"/>
      <c r="BI250" s="30">
        <f t="shared" si="111"/>
        <v>341</v>
      </c>
      <c r="BJ250" s="31">
        <f t="shared" si="112"/>
        <v>45657</v>
      </c>
      <c r="BK250" s="27"/>
      <c r="BL250" s="16"/>
      <c r="BM250" s="27"/>
      <c r="BN250" s="16"/>
      <c r="BO250" s="27"/>
      <c r="BP250" s="16"/>
      <c r="BQ250" s="27"/>
      <c r="BR250" s="24"/>
      <c r="BS250" s="24"/>
      <c r="BT250" s="32"/>
      <c r="BU250" s="27"/>
      <c r="BV250" s="24"/>
      <c r="BW250" s="24"/>
      <c r="BX250" s="16"/>
      <c r="BY250" s="27"/>
      <c r="BZ250" s="24"/>
      <c r="CA250" s="24"/>
      <c r="CB250" s="16"/>
      <c r="CC250" s="49">
        <f t="shared" si="113"/>
        <v>0</v>
      </c>
      <c r="CD250" s="24"/>
      <c r="CE250" s="49">
        <f t="shared" si="114"/>
        <v>71738550</v>
      </c>
      <c r="CF250" s="50"/>
      <c r="CG250" s="49">
        <f t="shared" ca="1" si="115"/>
        <v>71738550</v>
      </c>
      <c r="CH250" s="33">
        <f t="shared" ca="1" si="116"/>
        <v>1</v>
      </c>
      <c r="CI250" s="33">
        <f t="shared" ca="1" si="117"/>
        <v>1</v>
      </c>
      <c r="CJ250" s="36">
        <f t="shared" ca="1" si="118"/>
        <v>100</v>
      </c>
      <c r="CK250" s="34">
        <f t="shared" si="119"/>
        <v>0</v>
      </c>
      <c r="CL250" s="21"/>
      <c r="CM250" s="35" t="str">
        <f t="shared" ca="1" si="122"/>
        <v>TERMINADO</v>
      </c>
      <c r="CN250" s="82"/>
      <c r="CO250" s="145" t="s">
        <v>2200</v>
      </c>
      <c r="CP250" s="26" t="s">
        <v>142</v>
      </c>
    </row>
    <row r="251" spans="1:98" ht="24.75" customHeight="1">
      <c r="A251" s="48" t="s">
        <v>2201</v>
      </c>
      <c r="B251" s="77" t="s">
        <v>2202</v>
      </c>
      <c r="C251" s="17" t="s">
        <v>104</v>
      </c>
      <c r="D251" s="18" t="s">
        <v>2203</v>
      </c>
      <c r="E251" s="17" t="s">
        <v>106</v>
      </c>
      <c r="F251" s="17" t="s">
        <v>107</v>
      </c>
      <c r="G251" s="17" t="s">
        <v>108</v>
      </c>
      <c r="H251" s="78">
        <v>1020743604</v>
      </c>
      <c r="I251" s="74" t="s">
        <v>2204</v>
      </c>
      <c r="J251" s="16"/>
      <c r="K251" s="16"/>
      <c r="L251" s="20" t="s">
        <v>2205</v>
      </c>
      <c r="M251" s="16" t="s">
        <v>111</v>
      </c>
      <c r="N251" s="22">
        <v>45310</v>
      </c>
      <c r="O251" s="22">
        <v>45314</v>
      </c>
      <c r="P251" s="22">
        <v>45656</v>
      </c>
      <c r="Q251" s="23">
        <f t="shared" si="120"/>
        <v>342</v>
      </c>
      <c r="R251" s="17" t="s">
        <v>242</v>
      </c>
      <c r="S251" s="110" t="s">
        <v>2206</v>
      </c>
      <c r="T251" s="16" t="s">
        <v>343</v>
      </c>
      <c r="U251" s="67">
        <v>70498611</v>
      </c>
      <c r="V251" s="16" t="s">
        <v>2149</v>
      </c>
      <c r="W251" s="224">
        <v>70498611</v>
      </c>
      <c r="X251" s="24">
        <v>7111165</v>
      </c>
      <c r="Y251" s="24"/>
      <c r="Z251" s="24"/>
      <c r="AA251" s="17" t="s">
        <v>116</v>
      </c>
      <c r="AB251" s="23" t="str">
        <f>IFERROR(VLOOKUP(AA251,Listas!$A$1:$C$14,2,FALSE),"")</f>
        <v>FREDY CÉSPEDES VILLA</v>
      </c>
      <c r="AC251" s="23">
        <f>IFERROR(VLOOKUP(AA251,Listas!$A$1:$C$14,3,FALSE),"")</f>
        <v>93363483</v>
      </c>
      <c r="AD251" s="17" t="s">
        <v>345</v>
      </c>
      <c r="AE251" s="17" t="s">
        <v>1062</v>
      </c>
      <c r="AF251" s="23" t="str">
        <f>IFERROR(VLOOKUP(AE251,Listas!$AD$1:$AF$66,2,FALSE),"")</f>
        <v>LIBIA ESPERANZA FONSECA MARÍN</v>
      </c>
      <c r="AG251" s="23">
        <f>IFERROR(VLOOKUP(AE251,Listas!$AD$1:$AF$65,3,FALSE),"")</f>
        <v>52207089</v>
      </c>
      <c r="AH251" s="17" t="s">
        <v>118</v>
      </c>
      <c r="AI251" s="65" t="s">
        <v>2207</v>
      </c>
      <c r="AJ251" s="25" t="s">
        <v>119</v>
      </c>
      <c r="AK251" s="26" t="s">
        <v>120</v>
      </c>
      <c r="AL251" s="26" t="s">
        <v>120</v>
      </c>
      <c r="AM251" s="90" t="s">
        <v>119</v>
      </c>
      <c r="AN251" s="105">
        <v>32527</v>
      </c>
      <c r="AO251" s="91">
        <f t="shared" ca="1" si="121"/>
        <v>36</v>
      </c>
      <c r="AP251" s="26" t="s">
        <v>121</v>
      </c>
      <c r="AQ251" s="26" t="s">
        <v>367</v>
      </c>
      <c r="AR251" s="89"/>
      <c r="AS251" s="27"/>
      <c r="AT251" s="16"/>
      <c r="AU251" s="27"/>
      <c r="AV251" s="86"/>
      <c r="AW251" s="27"/>
      <c r="AX251" s="27"/>
      <c r="AY251" s="27"/>
      <c r="AZ251" s="27"/>
      <c r="BA251" s="27"/>
      <c r="BB251" s="27"/>
      <c r="BC251" s="97"/>
      <c r="BD251" s="27"/>
      <c r="BE251" s="16"/>
      <c r="BF251" s="28">
        <f t="shared" si="110"/>
        <v>0</v>
      </c>
      <c r="BG251" s="29"/>
      <c r="BH251" s="27"/>
      <c r="BI251" s="30">
        <f t="shared" si="111"/>
        <v>342</v>
      </c>
      <c r="BJ251" s="31">
        <f t="shared" si="112"/>
        <v>45656</v>
      </c>
      <c r="BK251" s="27"/>
      <c r="BL251" s="16"/>
      <c r="BM251" s="27"/>
      <c r="BN251" s="16"/>
      <c r="BO251" s="27"/>
      <c r="BP251" s="16"/>
      <c r="BQ251" s="27"/>
      <c r="BR251" s="24"/>
      <c r="BS251" s="24"/>
      <c r="BT251" s="32"/>
      <c r="BU251" s="27"/>
      <c r="BV251" s="24"/>
      <c r="BW251" s="24"/>
      <c r="BX251" s="16"/>
      <c r="BY251" s="27"/>
      <c r="BZ251" s="24"/>
      <c r="CA251" s="24"/>
      <c r="CB251" s="16"/>
      <c r="CC251" s="49">
        <f t="shared" si="113"/>
        <v>0</v>
      </c>
      <c r="CD251" s="24"/>
      <c r="CE251" s="49">
        <f t="shared" si="114"/>
        <v>70498611</v>
      </c>
      <c r="CF251" s="50"/>
      <c r="CG251" s="49">
        <f t="shared" ca="1" si="115"/>
        <v>70498611</v>
      </c>
      <c r="CH251" s="33">
        <f t="shared" ca="1" si="116"/>
        <v>1</v>
      </c>
      <c r="CI251" s="33">
        <f t="shared" ca="1" si="117"/>
        <v>1</v>
      </c>
      <c r="CJ251" s="36">
        <f t="shared" ca="1" si="118"/>
        <v>100</v>
      </c>
      <c r="CK251" s="34">
        <f t="shared" si="119"/>
        <v>0</v>
      </c>
      <c r="CL251" s="21"/>
      <c r="CM251" s="35" t="str">
        <f t="shared" ca="1" si="122"/>
        <v>TERMINADO</v>
      </c>
      <c r="CN251" s="82"/>
      <c r="CO251" s="145" t="s">
        <v>2208</v>
      </c>
      <c r="CP251" s="26" t="s">
        <v>123</v>
      </c>
    </row>
    <row r="252" spans="1:98" ht="24.75" customHeight="1">
      <c r="A252" s="48" t="s">
        <v>2209</v>
      </c>
      <c r="B252" s="77" t="s">
        <v>2210</v>
      </c>
      <c r="C252" s="17" t="s">
        <v>104</v>
      </c>
      <c r="D252" s="18" t="s">
        <v>2211</v>
      </c>
      <c r="E252" s="17" t="s">
        <v>106</v>
      </c>
      <c r="F252" s="17" t="s">
        <v>107</v>
      </c>
      <c r="G252" s="17" t="s">
        <v>108</v>
      </c>
      <c r="H252" s="78">
        <v>1070586838</v>
      </c>
      <c r="I252" s="74" t="s">
        <v>2212</v>
      </c>
      <c r="J252" s="16"/>
      <c r="K252" s="16"/>
      <c r="L252" s="20" t="s">
        <v>2172</v>
      </c>
      <c r="M252" s="16" t="s">
        <v>111</v>
      </c>
      <c r="N252" s="22">
        <v>45313</v>
      </c>
      <c r="O252" s="22">
        <v>45315</v>
      </c>
      <c r="P252" s="22">
        <v>45657</v>
      </c>
      <c r="Q252" s="23">
        <f t="shared" si="120"/>
        <v>342</v>
      </c>
      <c r="R252" s="17" t="s">
        <v>242</v>
      </c>
      <c r="S252" s="110" t="s">
        <v>2213</v>
      </c>
      <c r="T252" s="16" t="s">
        <v>938</v>
      </c>
      <c r="U252" s="67">
        <v>48552090</v>
      </c>
      <c r="V252" s="16" t="s">
        <v>939</v>
      </c>
      <c r="W252" s="224">
        <v>48552090</v>
      </c>
      <c r="X252" s="24">
        <v>4046007</v>
      </c>
      <c r="Y252" s="24"/>
      <c r="Z252" s="24"/>
      <c r="AA252" s="17" t="s">
        <v>116</v>
      </c>
      <c r="AB252" s="23" t="str">
        <f>IFERROR(VLOOKUP(AA252,Listas!$A$1:$C$14,2,FALSE),"")</f>
        <v>FREDY CÉSPEDES VILLA</v>
      </c>
      <c r="AC252" s="23">
        <f>IFERROR(VLOOKUP(AA252,Listas!$A$1:$C$14,3,FALSE),"")</f>
        <v>93363483</v>
      </c>
      <c r="AD252" s="17" t="s">
        <v>116</v>
      </c>
      <c r="AE252" s="17" t="s">
        <v>972</v>
      </c>
      <c r="AF252" s="23" t="str">
        <f>IFERROR(VLOOKUP(AE252,Listas!$AD$1:$AF$66,2,FALSE),"")</f>
        <v>LUZ MARIELLY MORALES MARTÍNEZ</v>
      </c>
      <c r="AG252" s="23">
        <f>IFERROR(VLOOKUP(AE252,Listas!$AD$1:$AF$65,3,FALSE),"")</f>
        <v>24497384</v>
      </c>
      <c r="AH252" s="17" t="s">
        <v>118</v>
      </c>
      <c r="AI252" s="65" t="s">
        <v>2214</v>
      </c>
      <c r="AJ252" s="25" t="s">
        <v>119</v>
      </c>
      <c r="AK252" s="26" t="s">
        <v>120</v>
      </c>
      <c r="AL252" s="26" t="s">
        <v>120</v>
      </c>
      <c r="AM252" s="90" t="s">
        <v>119</v>
      </c>
      <c r="AN252" s="105">
        <v>31499</v>
      </c>
      <c r="AO252" s="91">
        <f t="shared" ca="1" si="121"/>
        <v>39</v>
      </c>
      <c r="AP252" s="26" t="s">
        <v>121</v>
      </c>
      <c r="AQ252" s="26" t="s">
        <v>285</v>
      </c>
      <c r="AR252" s="89"/>
      <c r="AS252" s="27"/>
      <c r="AT252" s="16"/>
      <c r="AU252" s="27"/>
      <c r="AV252" s="86"/>
      <c r="AW252" s="27"/>
      <c r="AX252" s="27"/>
      <c r="AY252" s="27"/>
      <c r="AZ252" s="27"/>
      <c r="BA252" s="27"/>
      <c r="BB252" s="27"/>
      <c r="BC252" s="97"/>
      <c r="BD252" s="27"/>
      <c r="BE252" s="16"/>
      <c r="BF252" s="28">
        <f t="shared" si="110"/>
        <v>0</v>
      </c>
      <c r="BG252" s="29"/>
      <c r="BH252" s="27"/>
      <c r="BI252" s="30">
        <f t="shared" si="111"/>
        <v>342</v>
      </c>
      <c r="BJ252" s="31">
        <f t="shared" si="112"/>
        <v>45657</v>
      </c>
      <c r="BK252" s="27"/>
      <c r="BL252" s="16"/>
      <c r="BM252" s="27"/>
      <c r="BN252" s="16"/>
      <c r="BO252" s="27"/>
      <c r="BP252" s="16"/>
      <c r="BQ252" s="27"/>
      <c r="BR252" s="24"/>
      <c r="BS252" s="24"/>
      <c r="BT252" s="32"/>
      <c r="BU252" s="27"/>
      <c r="BV252" s="24"/>
      <c r="BW252" s="24"/>
      <c r="BX252" s="16"/>
      <c r="BY252" s="27"/>
      <c r="BZ252" s="24"/>
      <c r="CA252" s="24"/>
      <c r="CB252" s="16"/>
      <c r="CC252" s="49">
        <f t="shared" si="113"/>
        <v>0</v>
      </c>
      <c r="CD252" s="24"/>
      <c r="CE252" s="49">
        <f t="shared" si="114"/>
        <v>48552090</v>
      </c>
      <c r="CF252" s="50"/>
      <c r="CG252" s="49">
        <f t="shared" ca="1" si="115"/>
        <v>48552090</v>
      </c>
      <c r="CH252" s="33">
        <f t="shared" ca="1" si="116"/>
        <v>1</v>
      </c>
      <c r="CI252" s="33">
        <f t="shared" ca="1" si="117"/>
        <v>1</v>
      </c>
      <c r="CJ252" s="36">
        <f t="shared" ca="1" si="118"/>
        <v>100</v>
      </c>
      <c r="CK252" s="34">
        <f t="shared" si="119"/>
        <v>0</v>
      </c>
      <c r="CL252" s="21"/>
      <c r="CM252" s="35" t="str">
        <f t="shared" ca="1" si="122"/>
        <v>TERMINADO</v>
      </c>
      <c r="CN252" s="82"/>
      <c r="CO252" s="145" t="s">
        <v>2215</v>
      </c>
      <c r="CP252" s="26" t="s">
        <v>123</v>
      </c>
    </row>
    <row r="253" spans="1:98" ht="24.75" customHeight="1">
      <c r="A253" s="48" t="s">
        <v>2216</v>
      </c>
      <c r="B253" s="77" t="s">
        <v>2217</v>
      </c>
      <c r="C253" s="17" t="s">
        <v>104</v>
      </c>
      <c r="D253" s="18" t="s">
        <v>2218</v>
      </c>
      <c r="E253" s="17" t="s">
        <v>106</v>
      </c>
      <c r="F253" s="17" t="s">
        <v>107</v>
      </c>
      <c r="G253" s="17" t="s">
        <v>108</v>
      </c>
      <c r="H253" s="78">
        <v>1101694919</v>
      </c>
      <c r="I253" s="74" t="s">
        <v>2219</v>
      </c>
      <c r="J253" s="16"/>
      <c r="K253" s="16"/>
      <c r="L253" s="20" t="s">
        <v>1012</v>
      </c>
      <c r="M253" s="16" t="s">
        <v>111</v>
      </c>
      <c r="N253" s="22">
        <v>45315</v>
      </c>
      <c r="O253" s="22">
        <v>45322</v>
      </c>
      <c r="P253" s="22">
        <v>45656</v>
      </c>
      <c r="Q253" s="23">
        <f t="shared" si="120"/>
        <v>334</v>
      </c>
      <c r="R253" s="17" t="s">
        <v>242</v>
      </c>
      <c r="S253" s="110" t="s">
        <v>2220</v>
      </c>
      <c r="T253" s="16" t="s">
        <v>949</v>
      </c>
      <c r="U253" s="67">
        <v>73562004</v>
      </c>
      <c r="V253" s="16" t="s">
        <v>1071</v>
      </c>
      <c r="W253" s="224">
        <v>73562004</v>
      </c>
      <c r="X253" s="24">
        <v>6130167</v>
      </c>
      <c r="Y253" s="24"/>
      <c r="Z253" s="24"/>
      <c r="AA253" s="17" t="s">
        <v>116</v>
      </c>
      <c r="AB253" s="23" t="str">
        <f>IFERROR(VLOOKUP(AA253,Listas!$A$1:$C$14,2,FALSE),"")</f>
        <v>FREDY CÉSPEDES VILLA</v>
      </c>
      <c r="AC253" s="23">
        <f>IFERROR(VLOOKUP(AA253,Listas!$A$1:$C$14,3,FALSE),"")</f>
        <v>93363483</v>
      </c>
      <c r="AD253" s="17" t="s">
        <v>951</v>
      </c>
      <c r="AE253" s="17" t="s">
        <v>952</v>
      </c>
      <c r="AF253" s="23" t="str">
        <f>IFERROR(VLOOKUP(AE253,Listas!$AD$1:$AF$66,2,FALSE),"")</f>
        <v>ANDRES MAURICIO LUQUE AYALA</v>
      </c>
      <c r="AG253" s="23">
        <f>IFERROR(VLOOKUP(AE253,Listas!$AD$1:$AF$65,3,FALSE),"")</f>
        <v>11443937</v>
      </c>
      <c r="AH253" s="17" t="s">
        <v>118</v>
      </c>
      <c r="AI253" s="65" t="s">
        <v>2221</v>
      </c>
      <c r="AJ253" s="25" t="s">
        <v>119</v>
      </c>
      <c r="AK253" s="26" t="s">
        <v>120</v>
      </c>
      <c r="AL253" s="26" t="s">
        <v>120</v>
      </c>
      <c r="AM253" s="90" t="s">
        <v>119</v>
      </c>
      <c r="AN253" s="105">
        <v>35214</v>
      </c>
      <c r="AO253" s="91">
        <f t="shared" ca="1" si="121"/>
        <v>29</v>
      </c>
      <c r="AP253" s="26" t="s">
        <v>121</v>
      </c>
      <c r="AQ253" s="26" t="s">
        <v>886</v>
      </c>
      <c r="AR253" s="89"/>
      <c r="AS253" s="27"/>
      <c r="AT253" s="16"/>
      <c r="AU253" s="27"/>
      <c r="AV253" s="86"/>
      <c r="AW253" s="27"/>
      <c r="AX253" s="27"/>
      <c r="AY253" s="27"/>
      <c r="AZ253" s="27"/>
      <c r="BA253" s="27"/>
      <c r="BB253" s="27"/>
      <c r="BC253" s="97"/>
      <c r="BD253" s="27"/>
      <c r="BE253" s="16"/>
      <c r="BF253" s="28">
        <f t="shared" si="110"/>
        <v>0</v>
      </c>
      <c r="BG253" s="29"/>
      <c r="BH253" s="27"/>
      <c r="BI253" s="30">
        <f t="shared" si="111"/>
        <v>334</v>
      </c>
      <c r="BJ253" s="31">
        <f t="shared" si="112"/>
        <v>45656</v>
      </c>
      <c r="BK253" s="27"/>
      <c r="BL253" s="16"/>
      <c r="BM253" s="27"/>
      <c r="BN253" s="16"/>
      <c r="BO253" s="27"/>
      <c r="BP253" s="16"/>
      <c r="BQ253" s="27"/>
      <c r="BR253" s="24"/>
      <c r="BS253" s="24"/>
      <c r="BT253" s="32"/>
      <c r="BU253" s="27"/>
      <c r="BV253" s="24"/>
      <c r="BW253" s="24"/>
      <c r="BX253" s="16"/>
      <c r="BY253" s="27"/>
      <c r="BZ253" s="24"/>
      <c r="CA253" s="24"/>
      <c r="CB253" s="16"/>
      <c r="CC253" s="49">
        <f t="shared" si="113"/>
        <v>0</v>
      </c>
      <c r="CD253" s="24"/>
      <c r="CE253" s="49">
        <f t="shared" si="114"/>
        <v>73562004</v>
      </c>
      <c r="CF253" s="50"/>
      <c r="CG253" s="49">
        <f t="shared" ca="1" si="115"/>
        <v>73562004</v>
      </c>
      <c r="CH253" s="33">
        <f t="shared" ca="1" si="116"/>
        <v>1</v>
      </c>
      <c r="CI253" s="33">
        <f t="shared" ca="1" si="117"/>
        <v>1</v>
      </c>
      <c r="CJ253" s="36">
        <f t="shared" ca="1" si="118"/>
        <v>100</v>
      </c>
      <c r="CK253" s="34">
        <f t="shared" si="119"/>
        <v>0</v>
      </c>
      <c r="CL253" s="21"/>
      <c r="CM253" s="35" t="str">
        <f t="shared" ca="1" si="122"/>
        <v>TERMINADO</v>
      </c>
      <c r="CN253" s="82"/>
      <c r="CO253" s="145" t="s">
        <v>2222</v>
      </c>
      <c r="CP253" s="26" t="s">
        <v>142</v>
      </c>
    </row>
    <row r="254" spans="1:98" ht="24.75" customHeight="1">
      <c r="A254" s="48" t="s">
        <v>2223</v>
      </c>
      <c r="B254" s="77" t="s">
        <v>2224</v>
      </c>
      <c r="C254" s="17" t="s">
        <v>104</v>
      </c>
      <c r="D254" s="18" t="s">
        <v>2225</v>
      </c>
      <c r="E254" s="17" t="s">
        <v>106</v>
      </c>
      <c r="F254" s="17" t="s">
        <v>107</v>
      </c>
      <c r="G254" s="17" t="s">
        <v>108</v>
      </c>
      <c r="H254" s="78">
        <v>1032507486</v>
      </c>
      <c r="I254" s="74" t="s">
        <v>2226</v>
      </c>
      <c r="J254" s="16"/>
      <c r="K254" s="16"/>
      <c r="L254" s="20" t="s">
        <v>2227</v>
      </c>
      <c r="M254" s="16" t="s">
        <v>111</v>
      </c>
      <c r="N254" s="22">
        <v>45310</v>
      </c>
      <c r="O254" s="22">
        <v>45316</v>
      </c>
      <c r="P254" s="22">
        <v>45656</v>
      </c>
      <c r="Q254" s="23">
        <f t="shared" si="120"/>
        <v>340</v>
      </c>
      <c r="R254" s="17" t="s">
        <v>242</v>
      </c>
      <c r="S254" s="110" t="s">
        <v>2228</v>
      </c>
      <c r="T254" s="16" t="s">
        <v>1249</v>
      </c>
      <c r="U254" s="67">
        <v>64736124</v>
      </c>
      <c r="V254" s="16" t="s">
        <v>1212</v>
      </c>
      <c r="W254" s="224">
        <v>64736124</v>
      </c>
      <c r="X254" s="24">
        <v>5394677</v>
      </c>
      <c r="Y254" s="24"/>
      <c r="Z254" s="24"/>
      <c r="AA254" s="17" t="s">
        <v>116</v>
      </c>
      <c r="AB254" s="23" t="str">
        <f>IFERROR(VLOOKUP(AA254,Listas!$A$1:$C$14,2,FALSE),"")</f>
        <v>FREDY CÉSPEDES VILLA</v>
      </c>
      <c r="AC254" s="23">
        <f>IFERROR(VLOOKUP(AA254,Listas!$A$1:$C$14,3,FALSE),"")</f>
        <v>93363483</v>
      </c>
      <c r="AD254" s="17" t="s">
        <v>951</v>
      </c>
      <c r="AE254" s="17" t="s">
        <v>952</v>
      </c>
      <c r="AF254" s="23" t="str">
        <f>IFERROR(VLOOKUP(AE254,Listas!$AD$1:$AF$66,2,FALSE),"")</f>
        <v>ANDRES MAURICIO LUQUE AYALA</v>
      </c>
      <c r="AG254" s="23">
        <f>IFERROR(VLOOKUP(AE254,Listas!$AD$1:$AF$65,3,FALSE),"")</f>
        <v>11443937</v>
      </c>
      <c r="AH254" s="17" t="s">
        <v>118</v>
      </c>
      <c r="AI254" s="65" t="s">
        <v>2229</v>
      </c>
      <c r="AJ254" s="25" t="s">
        <v>119</v>
      </c>
      <c r="AK254" s="26" t="s">
        <v>120</v>
      </c>
      <c r="AL254" s="26" t="s">
        <v>120</v>
      </c>
      <c r="AM254" s="90" t="s">
        <v>119</v>
      </c>
      <c r="AN254" s="105">
        <v>36432</v>
      </c>
      <c r="AO254" s="91">
        <f t="shared" ca="1" si="121"/>
        <v>26</v>
      </c>
      <c r="AP254" s="26" t="s">
        <v>121</v>
      </c>
      <c r="AQ254" s="26" t="s">
        <v>886</v>
      </c>
      <c r="AR254" s="89"/>
      <c r="AS254" s="27"/>
      <c r="AT254" s="16"/>
      <c r="AU254" s="27"/>
      <c r="AV254" s="86"/>
      <c r="AW254" s="27"/>
      <c r="AX254" s="27"/>
      <c r="AY254" s="27"/>
      <c r="AZ254" s="27"/>
      <c r="BA254" s="27"/>
      <c r="BB254" s="27"/>
      <c r="BC254" s="97"/>
      <c r="BD254" s="27"/>
      <c r="BE254" s="16"/>
      <c r="BF254" s="28">
        <f t="shared" si="110"/>
        <v>0</v>
      </c>
      <c r="BG254" s="29"/>
      <c r="BH254" s="27"/>
      <c r="BI254" s="30">
        <f t="shared" si="111"/>
        <v>340</v>
      </c>
      <c r="BJ254" s="31">
        <f t="shared" si="112"/>
        <v>45656</v>
      </c>
      <c r="BK254" s="27"/>
      <c r="BL254" s="16"/>
      <c r="BM254" s="27"/>
      <c r="BN254" s="16"/>
      <c r="BO254" s="27"/>
      <c r="BP254" s="16"/>
      <c r="BQ254" s="27"/>
      <c r="BR254" s="24"/>
      <c r="BS254" s="24"/>
      <c r="BT254" s="32"/>
      <c r="BU254" s="27"/>
      <c r="BV254" s="24"/>
      <c r="BW254" s="24"/>
      <c r="BX254" s="16"/>
      <c r="BY254" s="27"/>
      <c r="BZ254" s="24"/>
      <c r="CA254" s="24"/>
      <c r="CB254" s="16"/>
      <c r="CC254" s="49">
        <f t="shared" si="113"/>
        <v>0</v>
      </c>
      <c r="CD254" s="24"/>
      <c r="CE254" s="49">
        <f t="shared" si="114"/>
        <v>64736124</v>
      </c>
      <c r="CF254" s="50"/>
      <c r="CG254" s="49">
        <f t="shared" ca="1" si="115"/>
        <v>64736124</v>
      </c>
      <c r="CH254" s="33">
        <f t="shared" ca="1" si="116"/>
        <v>1</v>
      </c>
      <c r="CI254" s="33">
        <f t="shared" ca="1" si="117"/>
        <v>1</v>
      </c>
      <c r="CJ254" s="36">
        <f t="shared" ca="1" si="118"/>
        <v>100</v>
      </c>
      <c r="CK254" s="34">
        <f t="shared" si="119"/>
        <v>0</v>
      </c>
      <c r="CL254" s="21"/>
      <c r="CM254" s="35" t="str">
        <f t="shared" ca="1" si="122"/>
        <v>TERMINADO</v>
      </c>
      <c r="CN254" s="82"/>
      <c r="CO254" s="145" t="s">
        <v>2230</v>
      </c>
      <c r="CP254" s="26" t="s">
        <v>142</v>
      </c>
    </row>
    <row r="255" spans="1:98" ht="24.75" customHeight="1">
      <c r="A255" s="48" t="s">
        <v>2231</v>
      </c>
      <c r="B255" s="77" t="s">
        <v>2232</v>
      </c>
      <c r="C255" s="17" t="s">
        <v>104</v>
      </c>
      <c r="D255" s="18" t="s">
        <v>2233</v>
      </c>
      <c r="E255" s="17" t="s">
        <v>106</v>
      </c>
      <c r="F255" s="17" t="s">
        <v>107</v>
      </c>
      <c r="G255" s="17" t="s">
        <v>108</v>
      </c>
      <c r="H255" s="78">
        <v>1020718629</v>
      </c>
      <c r="I255" s="74" t="s">
        <v>2234</v>
      </c>
      <c r="J255" s="16"/>
      <c r="K255" s="16"/>
      <c r="L255" s="20" t="s">
        <v>2235</v>
      </c>
      <c r="M255" s="16" t="s">
        <v>111</v>
      </c>
      <c r="N255" s="22">
        <v>45314</v>
      </c>
      <c r="O255" s="22">
        <v>45316</v>
      </c>
      <c r="P255" s="22">
        <v>45656</v>
      </c>
      <c r="Q255" s="23">
        <f t="shared" si="120"/>
        <v>340</v>
      </c>
      <c r="R255" s="17" t="s">
        <v>242</v>
      </c>
      <c r="S255" s="110" t="s">
        <v>2236</v>
      </c>
      <c r="T255" s="16" t="s">
        <v>949</v>
      </c>
      <c r="U255" s="67">
        <v>84000000</v>
      </c>
      <c r="V255" s="16" t="s">
        <v>1071</v>
      </c>
      <c r="W255" s="224">
        <v>84000000</v>
      </c>
      <c r="X255" s="24">
        <v>7000000</v>
      </c>
      <c r="Y255" s="24"/>
      <c r="Z255" s="24"/>
      <c r="AA255" s="17" t="s">
        <v>116</v>
      </c>
      <c r="AB255" s="23" t="str">
        <f>IFERROR(VLOOKUP(AA255,Listas!$A$1:$C$14,2,FALSE),"")</f>
        <v>FREDY CÉSPEDES VILLA</v>
      </c>
      <c r="AC255" s="23">
        <f>IFERROR(VLOOKUP(AA255,Listas!$A$1:$C$14,3,FALSE),"")</f>
        <v>93363483</v>
      </c>
      <c r="AD255" s="17" t="s">
        <v>951</v>
      </c>
      <c r="AE255" s="17" t="s">
        <v>952</v>
      </c>
      <c r="AF255" s="23" t="str">
        <f>IFERROR(VLOOKUP(AE255,Listas!$AD$1:$AF$66,2,FALSE),"")</f>
        <v>ANDRES MAURICIO LUQUE AYALA</v>
      </c>
      <c r="AG255" s="23">
        <f>IFERROR(VLOOKUP(AE255,Listas!$AD$1:$AF$65,3,FALSE),"")</f>
        <v>11443937</v>
      </c>
      <c r="AH255" s="17" t="s">
        <v>118</v>
      </c>
      <c r="AI255" s="65" t="s">
        <v>2237</v>
      </c>
      <c r="AJ255" s="25" t="s">
        <v>119</v>
      </c>
      <c r="AK255" s="26" t="s">
        <v>120</v>
      </c>
      <c r="AL255" s="26" t="s">
        <v>120</v>
      </c>
      <c r="AM255" s="90" t="s">
        <v>119</v>
      </c>
      <c r="AN255" s="105">
        <v>31660</v>
      </c>
      <c r="AO255" s="91">
        <f t="shared" ca="1" si="121"/>
        <v>39</v>
      </c>
      <c r="AP255" s="26" t="s">
        <v>121</v>
      </c>
      <c r="AQ255" s="26" t="s">
        <v>886</v>
      </c>
      <c r="AR255" s="89"/>
      <c r="AS255" s="27"/>
      <c r="AT255" s="16"/>
      <c r="AU255" s="27"/>
      <c r="AV255" s="86"/>
      <c r="AW255" s="27"/>
      <c r="AX255" s="27"/>
      <c r="AY255" s="27"/>
      <c r="AZ255" s="27"/>
      <c r="BA255" s="27"/>
      <c r="BB255" s="27"/>
      <c r="BC255" s="97"/>
      <c r="BD255" s="27"/>
      <c r="BE255" s="16"/>
      <c r="BF255" s="28">
        <f t="shared" si="110"/>
        <v>0</v>
      </c>
      <c r="BG255" s="29"/>
      <c r="BH255" s="27"/>
      <c r="BI255" s="30">
        <f t="shared" si="111"/>
        <v>340</v>
      </c>
      <c r="BJ255" s="31">
        <f t="shared" si="112"/>
        <v>45656</v>
      </c>
      <c r="BK255" s="27"/>
      <c r="BL255" s="16"/>
      <c r="BM255" s="27"/>
      <c r="BN255" s="16"/>
      <c r="BO255" s="27"/>
      <c r="BP255" s="16"/>
      <c r="BQ255" s="27"/>
      <c r="BR255" s="24"/>
      <c r="BS255" s="24"/>
      <c r="BT255" s="32"/>
      <c r="BU255" s="27"/>
      <c r="BV255" s="24"/>
      <c r="BW255" s="24"/>
      <c r="BX255" s="16"/>
      <c r="BY255" s="27"/>
      <c r="BZ255" s="24"/>
      <c r="CA255" s="24"/>
      <c r="CB255" s="16"/>
      <c r="CC255" s="49">
        <f t="shared" si="113"/>
        <v>0</v>
      </c>
      <c r="CD255" s="24"/>
      <c r="CE255" s="49">
        <f t="shared" si="114"/>
        <v>84000000</v>
      </c>
      <c r="CF255" s="50"/>
      <c r="CG255" s="49">
        <f t="shared" ca="1" si="115"/>
        <v>84000000</v>
      </c>
      <c r="CH255" s="33">
        <f t="shared" ca="1" si="116"/>
        <v>1</v>
      </c>
      <c r="CI255" s="33">
        <f t="shared" ca="1" si="117"/>
        <v>1</v>
      </c>
      <c r="CJ255" s="36">
        <f t="shared" ca="1" si="118"/>
        <v>100</v>
      </c>
      <c r="CK255" s="34">
        <f t="shared" si="119"/>
        <v>0</v>
      </c>
      <c r="CL255" s="21"/>
      <c r="CM255" s="35" t="str">
        <f t="shared" ca="1" si="122"/>
        <v>TERMINADO</v>
      </c>
      <c r="CN255" s="82"/>
      <c r="CO255" s="145" t="s">
        <v>2238</v>
      </c>
      <c r="CP255" s="26" t="s">
        <v>142</v>
      </c>
    </row>
    <row r="256" spans="1:98" ht="24.75" customHeight="1">
      <c r="A256" s="48" t="s">
        <v>2239</v>
      </c>
      <c r="B256" s="77" t="s">
        <v>2240</v>
      </c>
      <c r="C256" s="17" t="s">
        <v>104</v>
      </c>
      <c r="D256" s="18" t="s">
        <v>2241</v>
      </c>
      <c r="E256" s="17" t="s">
        <v>106</v>
      </c>
      <c r="F256" s="17" t="s">
        <v>107</v>
      </c>
      <c r="G256" s="17" t="s">
        <v>108</v>
      </c>
      <c r="H256" s="78">
        <v>52966032</v>
      </c>
      <c r="I256" s="74" t="s">
        <v>2242</v>
      </c>
      <c r="J256" s="16"/>
      <c r="K256" s="16"/>
      <c r="L256" s="20" t="s">
        <v>2243</v>
      </c>
      <c r="M256" s="16" t="s">
        <v>111</v>
      </c>
      <c r="N256" s="22">
        <v>45310</v>
      </c>
      <c r="O256" s="22">
        <v>45316</v>
      </c>
      <c r="P256" s="22">
        <v>45657</v>
      </c>
      <c r="Q256" s="23">
        <f t="shared" si="120"/>
        <v>341</v>
      </c>
      <c r="R256" s="17" t="s">
        <v>242</v>
      </c>
      <c r="S256" s="110" t="s">
        <v>2244</v>
      </c>
      <c r="T256" s="16" t="s">
        <v>1145</v>
      </c>
      <c r="U256" s="67">
        <v>94418334</v>
      </c>
      <c r="V256" s="16" t="s">
        <v>426</v>
      </c>
      <c r="W256" s="224">
        <v>94418334</v>
      </c>
      <c r="X256" s="24">
        <v>8093000</v>
      </c>
      <c r="Y256" s="24"/>
      <c r="Z256" s="24"/>
      <c r="AA256" s="17" t="s">
        <v>116</v>
      </c>
      <c r="AB256" s="23" t="str">
        <f>IFERROR(VLOOKUP(AA256,Listas!$A$1:$C$14,2,FALSE),"")</f>
        <v>FREDY CÉSPEDES VILLA</v>
      </c>
      <c r="AC256" s="23">
        <f>IFERROR(VLOOKUP(AA256,Listas!$A$1:$C$14,3,FALSE),"")</f>
        <v>93363483</v>
      </c>
      <c r="AD256" s="17" t="s">
        <v>427</v>
      </c>
      <c r="AE256" s="17" t="s">
        <v>1802</v>
      </c>
      <c r="AF256" s="23" t="str">
        <f>IFERROR(VLOOKUP(AE256,Listas!$AD$1:$AF$66,2,FALSE),"")</f>
        <v>YULI ANDREA RIVEROS PINEDA</v>
      </c>
      <c r="AG256" s="23">
        <f>IFERROR(VLOOKUP(AE256,Listas!$AD$1:$AF$65,3,FALSE),"")</f>
        <v>53036984</v>
      </c>
      <c r="AH256" s="17" t="s">
        <v>118</v>
      </c>
      <c r="AI256" s="65" t="s">
        <v>2245</v>
      </c>
      <c r="AJ256" s="25" t="s">
        <v>119</v>
      </c>
      <c r="AK256" s="26" t="s">
        <v>120</v>
      </c>
      <c r="AL256" s="26" t="s">
        <v>120</v>
      </c>
      <c r="AM256" s="90" t="s">
        <v>119</v>
      </c>
      <c r="AN256" s="105">
        <v>30615</v>
      </c>
      <c r="AO256" s="91">
        <f t="shared" ca="1" si="121"/>
        <v>42</v>
      </c>
      <c r="AP256" s="26" t="s">
        <v>121</v>
      </c>
      <c r="AQ256" s="26" t="s">
        <v>1272</v>
      </c>
      <c r="AR256" s="89"/>
      <c r="AS256" s="27"/>
      <c r="AT256" s="16"/>
      <c r="AU256" s="27"/>
      <c r="AV256" s="86"/>
      <c r="AW256" s="27"/>
      <c r="AX256" s="27"/>
      <c r="AY256" s="27"/>
      <c r="AZ256" s="27"/>
      <c r="BA256" s="27"/>
      <c r="BB256" s="27"/>
      <c r="BC256" s="97"/>
      <c r="BD256" s="27"/>
      <c r="BE256" s="16"/>
      <c r="BF256" s="28">
        <f t="shared" si="110"/>
        <v>0</v>
      </c>
      <c r="BG256" s="29"/>
      <c r="BH256" s="27"/>
      <c r="BI256" s="30">
        <f t="shared" si="111"/>
        <v>341</v>
      </c>
      <c r="BJ256" s="31">
        <f t="shared" si="112"/>
        <v>45657</v>
      </c>
      <c r="BK256" s="27"/>
      <c r="BL256" s="16"/>
      <c r="BM256" s="27"/>
      <c r="BN256" s="16"/>
      <c r="BO256" s="27"/>
      <c r="BP256" s="16"/>
      <c r="BQ256" s="27"/>
      <c r="BR256" s="24"/>
      <c r="BS256" s="24"/>
      <c r="BT256" s="32"/>
      <c r="BU256" s="27"/>
      <c r="BV256" s="24"/>
      <c r="BW256" s="24"/>
      <c r="BX256" s="16"/>
      <c r="BY256" s="27"/>
      <c r="BZ256" s="24"/>
      <c r="CA256" s="24"/>
      <c r="CB256" s="16"/>
      <c r="CC256" s="49">
        <f t="shared" si="113"/>
        <v>0</v>
      </c>
      <c r="CD256" s="24"/>
      <c r="CE256" s="49">
        <f t="shared" si="114"/>
        <v>94418334</v>
      </c>
      <c r="CF256" s="50"/>
      <c r="CG256" s="49">
        <f t="shared" ca="1" si="115"/>
        <v>94418334</v>
      </c>
      <c r="CH256" s="33">
        <f t="shared" ca="1" si="116"/>
        <v>1</v>
      </c>
      <c r="CI256" s="33">
        <f t="shared" ca="1" si="117"/>
        <v>1</v>
      </c>
      <c r="CJ256" s="36">
        <f t="shared" ca="1" si="118"/>
        <v>100</v>
      </c>
      <c r="CK256" s="34">
        <f t="shared" si="119"/>
        <v>0</v>
      </c>
      <c r="CL256" s="21"/>
      <c r="CM256" s="35" t="str">
        <f t="shared" ca="1" si="122"/>
        <v>TERMINADO</v>
      </c>
      <c r="CN256" s="82"/>
      <c r="CO256" s="145" t="s">
        <v>2246</v>
      </c>
      <c r="CP256" s="26" t="s">
        <v>123</v>
      </c>
    </row>
    <row r="257" spans="1:94" ht="24.75" customHeight="1">
      <c r="A257" s="48" t="s">
        <v>2247</v>
      </c>
      <c r="B257" s="77" t="s">
        <v>2248</v>
      </c>
      <c r="C257" s="17" t="s">
        <v>104</v>
      </c>
      <c r="D257" s="18" t="s">
        <v>2249</v>
      </c>
      <c r="E257" s="17" t="s">
        <v>106</v>
      </c>
      <c r="F257" s="17" t="s">
        <v>107</v>
      </c>
      <c r="G257" s="17" t="s">
        <v>108</v>
      </c>
      <c r="H257" s="78">
        <v>79331453</v>
      </c>
      <c r="I257" s="74" t="s">
        <v>2250</v>
      </c>
      <c r="J257" s="16"/>
      <c r="K257" s="16"/>
      <c r="L257" s="20" t="s">
        <v>1387</v>
      </c>
      <c r="M257" s="16" t="s">
        <v>111</v>
      </c>
      <c r="N257" s="22">
        <v>45313</v>
      </c>
      <c r="O257" s="22">
        <v>45321</v>
      </c>
      <c r="P257" s="22">
        <v>45657</v>
      </c>
      <c r="Q257" s="23">
        <f t="shared" si="120"/>
        <v>336</v>
      </c>
      <c r="R257" s="17" t="s">
        <v>242</v>
      </c>
      <c r="S257" s="110" t="s">
        <v>2251</v>
      </c>
      <c r="T257" s="16" t="s">
        <v>1145</v>
      </c>
      <c r="U257" s="67">
        <v>106165800</v>
      </c>
      <c r="V257" s="16" t="s">
        <v>426</v>
      </c>
      <c r="W257" s="224">
        <v>106165800</v>
      </c>
      <c r="X257" s="24">
        <v>9074000</v>
      </c>
      <c r="Y257" s="24"/>
      <c r="Z257" s="24"/>
      <c r="AA257" s="17" t="s">
        <v>116</v>
      </c>
      <c r="AB257" s="23" t="str">
        <f>IFERROR(VLOOKUP(AA257,Listas!$A$1:$C$14,2,FALSE),"")</f>
        <v>FREDY CÉSPEDES VILLA</v>
      </c>
      <c r="AC257" s="23">
        <f>IFERROR(VLOOKUP(AA257,Listas!$A$1:$C$14,3,FALSE),"")</f>
        <v>93363483</v>
      </c>
      <c r="AD257" s="17" t="s">
        <v>427</v>
      </c>
      <c r="AE257" s="17" t="s">
        <v>1390</v>
      </c>
      <c r="AF257" s="23" t="str">
        <f>IFERROR(VLOOKUP(AE257,Listas!$AD$1:$AF$66,2,FALSE),"")</f>
        <v>BLANCA FLOR AMÉZQUITA RODRÍGUEZ</v>
      </c>
      <c r="AG257" s="23">
        <f>IFERROR(VLOOKUP(AE257,Listas!$AD$1:$AF$65,3,FALSE),"")</f>
        <v>51613966</v>
      </c>
      <c r="AH257" s="17" t="s">
        <v>118</v>
      </c>
      <c r="AI257" s="65" t="s">
        <v>2252</v>
      </c>
      <c r="AJ257" s="25" t="s">
        <v>119</v>
      </c>
      <c r="AK257" s="26" t="s">
        <v>120</v>
      </c>
      <c r="AL257" s="26" t="s">
        <v>120</v>
      </c>
      <c r="AM257" s="90" t="s">
        <v>119</v>
      </c>
      <c r="AN257" s="105">
        <v>23604</v>
      </c>
      <c r="AO257" s="91">
        <f t="shared" ca="1" si="121"/>
        <v>61</v>
      </c>
      <c r="AP257" s="26" t="s">
        <v>121</v>
      </c>
      <c r="AQ257" s="26" t="s">
        <v>1272</v>
      </c>
      <c r="AR257" s="89"/>
      <c r="AS257" s="27"/>
      <c r="AT257" s="16"/>
      <c r="AU257" s="27"/>
      <c r="AV257" s="86"/>
      <c r="AW257" s="27"/>
      <c r="AX257" s="27"/>
      <c r="AY257" s="27"/>
      <c r="AZ257" s="27"/>
      <c r="BA257" s="27"/>
      <c r="BB257" s="27"/>
      <c r="BC257" s="97"/>
      <c r="BD257" s="27"/>
      <c r="BE257" s="16"/>
      <c r="BF257" s="28">
        <f t="shared" si="110"/>
        <v>0</v>
      </c>
      <c r="BG257" s="29"/>
      <c r="BH257" s="27"/>
      <c r="BI257" s="30">
        <f t="shared" si="111"/>
        <v>336</v>
      </c>
      <c r="BJ257" s="31">
        <f t="shared" si="112"/>
        <v>45657</v>
      </c>
      <c r="BK257" s="27"/>
      <c r="BL257" s="16"/>
      <c r="BM257" s="27"/>
      <c r="BN257" s="16"/>
      <c r="BO257" s="27"/>
      <c r="BP257" s="16"/>
      <c r="BQ257" s="27"/>
      <c r="BR257" s="24"/>
      <c r="BS257" s="24"/>
      <c r="BT257" s="32"/>
      <c r="BU257" s="27"/>
      <c r="BV257" s="24"/>
      <c r="BW257" s="24"/>
      <c r="BX257" s="16"/>
      <c r="BY257" s="27"/>
      <c r="BZ257" s="24"/>
      <c r="CA257" s="24"/>
      <c r="CB257" s="16"/>
      <c r="CC257" s="49">
        <f t="shared" si="113"/>
        <v>0</v>
      </c>
      <c r="CD257" s="24"/>
      <c r="CE257" s="49">
        <f t="shared" si="114"/>
        <v>106165800</v>
      </c>
      <c r="CF257" s="50"/>
      <c r="CG257" s="49">
        <f t="shared" ca="1" si="115"/>
        <v>106165800</v>
      </c>
      <c r="CH257" s="33">
        <f t="shared" ca="1" si="116"/>
        <v>1</v>
      </c>
      <c r="CI257" s="33">
        <f t="shared" ca="1" si="117"/>
        <v>1</v>
      </c>
      <c r="CJ257" s="36">
        <f t="shared" ca="1" si="118"/>
        <v>100</v>
      </c>
      <c r="CK257" s="34">
        <f t="shared" si="119"/>
        <v>0</v>
      </c>
      <c r="CL257" s="21"/>
      <c r="CM257" s="35" t="str">
        <f t="shared" ca="1" si="122"/>
        <v>TERMINADO</v>
      </c>
      <c r="CN257" s="82"/>
      <c r="CO257" s="145" t="s">
        <v>2253</v>
      </c>
      <c r="CP257" s="26" t="s">
        <v>142</v>
      </c>
    </row>
    <row r="258" spans="1:94" ht="24.75" customHeight="1">
      <c r="A258" s="48" t="s">
        <v>2254</v>
      </c>
      <c r="B258" s="77" t="s">
        <v>2255</v>
      </c>
      <c r="C258" s="17" t="s">
        <v>104</v>
      </c>
      <c r="D258" s="18" t="s">
        <v>2256</v>
      </c>
      <c r="E258" s="17" t="s">
        <v>106</v>
      </c>
      <c r="F258" s="17" t="s">
        <v>107</v>
      </c>
      <c r="G258" s="17" t="s">
        <v>108</v>
      </c>
      <c r="H258" s="78">
        <v>1019079774</v>
      </c>
      <c r="I258" s="74" t="s">
        <v>2257</v>
      </c>
      <c r="J258" s="16"/>
      <c r="K258" s="16"/>
      <c r="L258" s="20" t="s">
        <v>2258</v>
      </c>
      <c r="M258" s="16" t="s">
        <v>111</v>
      </c>
      <c r="N258" s="22">
        <v>45311</v>
      </c>
      <c r="O258" s="22">
        <v>45316</v>
      </c>
      <c r="P258" s="22">
        <v>45657</v>
      </c>
      <c r="Q258" s="23">
        <f t="shared" si="120"/>
        <v>341</v>
      </c>
      <c r="R258" s="17" t="s">
        <v>242</v>
      </c>
      <c r="S258" s="110" t="s">
        <v>2259</v>
      </c>
      <c r="T258" s="16" t="s">
        <v>1145</v>
      </c>
      <c r="U258" s="67">
        <v>71329784</v>
      </c>
      <c r="V258" s="16" t="s">
        <v>426</v>
      </c>
      <c r="W258" s="224">
        <v>71329784</v>
      </c>
      <c r="X258" s="24">
        <v>6131500</v>
      </c>
      <c r="Y258" s="24"/>
      <c r="Z258" s="24"/>
      <c r="AA258" s="17" t="s">
        <v>116</v>
      </c>
      <c r="AB258" s="23" t="str">
        <f>IFERROR(VLOOKUP(AA258,Listas!$A$1:$C$14,2,FALSE),"")</f>
        <v>FREDY CÉSPEDES VILLA</v>
      </c>
      <c r="AC258" s="23">
        <f>IFERROR(VLOOKUP(AA258,Listas!$A$1:$C$14,3,FALSE),"")</f>
        <v>93363483</v>
      </c>
      <c r="AD258" s="17" t="s">
        <v>427</v>
      </c>
      <c r="AE258" s="17" t="s">
        <v>2198</v>
      </c>
      <c r="AF258" s="23" t="str">
        <f>IFERROR(VLOOKUP(AE258,Listas!$AD$1:$AF$66,2,FALSE),"")</f>
        <v>ELIANA ROCÍO OCHOA BLANCO</v>
      </c>
      <c r="AG258" s="23">
        <f>IFERROR(VLOOKUP(AE258,Listas!$AD$1:$AF$65,3,FALSE),"")</f>
        <v>1018418424</v>
      </c>
      <c r="AH258" s="17" t="s">
        <v>118</v>
      </c>
      <c r="AI258" s="65" t="s">
        <v>2260</v>
      </c>
      <c r="AJ258" s="25" t="s">
        <v>119</v>
      </c>
      <c r="AK258" s="26" t="s">
        <v>120</v>
      </c>
      <c r="AL258" s="26" t="s">
        <v>120</v>
      </c>
      <c r="AM258" s="90" t="s">
        <v>119</v>
      </c>
      <c r="AN258" s="105">
        <v>33992</v>
      </c>
      <c r="AO258" s="91">
        <f t="shared" ca="1" si="121"/>
        <v>32</v>
      </c>
      <c r="AP258" s="26" t="s">
        <v>121</v>
      </c>
      <c r="AQ258" s="26" t="s">
        <v>1272</v>
      </c>
      <c r="AR258" s="89"/>
      <c r="AS258" s="27"/>
      <c r="AT258" s="16"/>
      <c r="AU258" s="27"/>
      <c r="AV258" s="86"/>
      <c r="AW258" s="27"/>
      <c r="AX258" s="27"/>
      <c r="AY258" s="27"/>
      <c r="AZ258" s="27"/>
      <c r="BA258" s="27"/>
      <c r="BB258" s="27"/>
      <c r="BC258" s="97"/>
      <c r="BD258" s="27"/>
      <c r="BE258" s="16"/>
      <c r="BF258" s="28">
        <f t="shared" si="110"/>
        <v>0</v>
      </c>
      <c r="BG258" s="29"/>
      <c r="BH258" s="27"/>
      <c r="BI258" s="30">
        <f t="shared" si="111"/>
        <v>341</v>
      </c>
      <c r="BJ258" s="31">
        <f t="shared" si="112"/>
        <v>45657</v>
      </c>
      <c r="BK258" s="27"/>
      <c r="BL258" s="16"/>
      <c r="BM258" s="27"/>
      <c r="BN258" s="16"/>
      <c r="BO258" s="27"/>
      <c r="BP258" s="16"/>
      <c r="BQ258" s="27"/>
      <c r="BR258" s="24"/>
      <c r="BS258" s="24"/>
      <c r="BT258" s="32"/>
      <c r="BU258" s="27"/>
      <c r="BV258" s="24"/>
      <c r="BW258" s="24"/>
      <c r="BX258" s="16"/>
      <c r="BY258" s="27"/>
      <c r="BZ258" s="24"/>
      <c r="CA258" s="24"/>
      <c r="CB258" s="16"/>
      <c r="CC258" s="49">
        <f t="shared" si="113"/>
        <v>0</v>
      </c>
      <c r="CD258" s="24"/>
      <c r="CE258" s="49">
        <f t="shared" si="114"/>
        <v>71329784</v>
      </c>
      <c r="CF258" s="50"/>
      <c r="CG258" s="49">
        <f t="shared" ca="1" si="115"/>
        <v>71329784</v>
      </c>
      <c r="CH258" s="33">
        <f t="shared" ca="1" si="116"/>
        <v>1</v>
      </c>
      <c r="CI258" s="33">
        <f t="shared" ca="1" si="117"/>
        <v>1</v>
      </c>
      <c r="CJ258" s="36">
        <f t="shared" ca="1" si="118"/>
        <v>100</v>
      </c>
      <c r="CK258" s="34">
        <f t="shared" si="119"/>
        <v>0</v>
      </c>
      <c r="CL258" s="21"/>
      <c r="CM258" s="35" t="str">
        <f t="shared" ca="1" si="122"/>
        <v>TERMINADO</v>
      </c>
      <c r="CN258" s="82"/>
      <c r="CO258" s="145" t="s">
        <v>2261</v>
      </c>
      <c r="CP258" s="26" t="s">
        <v>123</v>
      </c>
    </row>
    <row r="259" spans="1:94" ht="24.75" customHeight="1">
      <c r="A259" s="48" t="s">
        <v>2262</v>
      </c>
      <c r="B259" s="77" t="s">
        <v>2263</v>
      </c>
      <c r="C259" s="17" t="s">
        <v>104</v>
      </c>
      <c r="D259" s="18" t="s">
        <v>2264</v>
      </c>
      <c r="E259" s="17" t="s">
        <v>106</v>
      </c>
      <c r="F259" s="17" t="s">
        <v>107</v>
      </c>
      <c r="G259" s="17" t="s">
        <v>108</v>
      </c>
      <c r="H259" s="78">
        <v>79967028</v>
      </c>
      <c r="I259" s="74" t="s">
        <v>2265</v>
      </c>
      <c r="J259" s="16"/>
      <c r="K259" s="16"/>
      <c r="L259" s="20" t="s">
        <v>2266</v>
      </c>
      <c r="M259" s="16" t="s">
        <v>111</v>
      </c>
      <c r="N259" s="22">
        <v>45313</v>
      </c>
      <c r="O259" s="22">
        <v>45315</v>
      </c>
      <c r="P259" s="22">
        <v>45657</v>
      </c>
      <c r="Q259" s="23">
        <f t="shared" si="120"/>
        <v>342</v>
      </c>
      <c r="R259" s="17" t="s">
        <v>242</v>
      </c>
      <c r="S259" s="110" t="s">
        <v>2267</v>
      </c>
      <c r="T259" s="16" t="s">
        <v>732</v>
      </c>
      <c r="U259" s="67">
        <v>125058413</v>
      </c>
      <c r="V259" s="16" t="s">
        <v>894</v>
      </c>
      <c r="W259" s="224">
        <v>125058413</v>
      </c>
      <c r="X259" s="24">
        <v>10421534</v>
      </c>
      <c r="Y259" s="24"/>
      <c r="Z259" s="24"/>
      <c r="AA259" s="17" t="s">
        <v>116</v>
      </c>
      <c r="AB259" s="23" t="str">
        <f>IFERROR(VLOOKUP(AA259,Listas!$A$1:$C$14,2,FALSE),"")</f>
        <v>FREDY CÉSPEDES VILLA</v>
      </c>
      <c r="AC259" s="23">
        <f>IFERROR(VLOOKUP(AA259,Listas!$A$1:$C$14,3,FALSE),"")</f>
        <v>93363483</v>
      </c>
      <c r="AD259" s="17" t="s">
        <v>588</v>
      </c>
      <c r="AE259" s="17" t="s">
        <v>589</v>
      </c>
      <c r="AF259" s="23" t="str">
        <f>IFERROR(VLOOKUP(AE259,Listas!$AD$1:$AF$66,2,FALSE),"")</f>
        <v>ANA LUCY CASTRO CASTRO</v>
      </c>
      <c r="AG259" s="23">
        <f>IFERROR(VLOOKUP(AE259,Listas!$AD$1:$AF$65,3,FALSE),"")</f>
        <v>51743499</v>
      </c>
      <c r="AH259" s="17" t="s">
        <v>118</v>
      </c>
      <c r="AI259" s="65" t="s">
        <v>2268</v>
      </c>
      <c r="AJ259" s="25" t="s">
        <v>119</v>
      </c>
      <c r="AK259" s="26" t="s">
        <v>120</v>
      </c>
      <c r="AL259" s="26" t="s">
        <v>120</v>
      </c>
      <c r="AM259" s="90" t="s">
        <v>119</v>
      </c>
      <c r="AN259" s="105">
        <v>28568</v>
      </c>
      <c r="AO259" s="91">
        <f t="shared" ca="1" si="121"/>
        <v>47</v>
      </c>
      <c r="AP259" s="26" t="s">
        <v>121</v>
      </c>
      <c r="AQ259" s="26" t="s">
        <v>486</v>
      </c>
      <c r="AR259" s="89"/>
      <c r="AS259" s="27"/>
      <c r="AT259" s="16"/>
      <c r="AU259" s="27"/>
      <c r="AV259" s="86"/>
      <c r="AW259" s="27"/>
      <c r="AX259" s="27"/>
      <c r="AY259" s="27"/>
      <c r="AZ259" s="27"/>
      <c r="BA259" s="27"/>
      <c r="BB259" s="27"/>
      <c r="BC259" s="97"/>
      <c r="BD259" s="27"/>
      <c r="BE259" s="16"/>
      <c r="BF259" s="28">
        <f t="shared" si="110"/>
        <v>0</v>
      </c>
      <c r="BG259" s="29"/>
      <c r="BH259" s="27"/>
      <c r="BI259" s="30">
        <f t="shared" si="111"/>
        <v>342</v>
      </c>
      <c r="BJ259" s="31">
        <f t="shared" si="112"/>
        <v>45657</v>
      </c>
      <c r="BK259" s="27"/>
      <c r="BL259" s="16"/>
      <c r="BM259" s="27"/>
      <c r="BN259" s="16"/>
      <c r="BO259" s="27"/>
      <c r="BP259" s="16"/>
      <c r="BQ259" s="27"/>
      <c r="BR259" s="24"/>
      <c r="BS259" s="24"/>
      <c r="BT259" s="32"/>
      <c r="BU259" s="27"/>
      <c r="BV259" s="24"/>
      <c r="BW259" s="24"/>
      <c r="BX259" s="16"/>
      <c r="BY259" s="27"/>
      <c r="BZ259" s="24"/>
      <c r="CA259" s="24"/>
      <c r="CB259" s="16"/>
      <c r="CC259" s="49">
        <f t="shared" si="113"/>
        <v>0</v>
      </c>
      <c r="CD259" s="24"/>
      <c r="CE259" s="49">
        <f t="shared" si="114"/>
        <v>125058413</v>
      </c>
      <c r="CF259" s="50"/>
      <c r="CG259" s="49">
        <f t="shared" ca="1" si="115"/>
        <v>125058413</v>
      </c>
      <c r="CH259" s="33">
        <f t="shared" ca="1" si="116"/>
        <v>1</v>
      </c>
      <c r="CI259" s="33">
        <f t="shared" ca="1" si="117"/>
        <v>1</v>
      </c>
      <c r="CJ259" s="36">
        <f t="shared" ca="1" si="118"/>
        <v>100</v>
      </c>
      <c r="CK259" s="34">
        <f t="shared" si="119"/>
        <v>0</v>
      </c>
      <c r="CL259" s="21"/>
      <c r="CM259" s="35" t="str">
        <f t="shared" ca="1" si="122"/>
        <v>TERMINADO</v>
      </c>
      <c r="CN259" s="82"/>
      <c r="CO259" s="145" t="s">
        <v>2269</v>
      </c>
      <c r="CP259" s="26" t="s">
        <v>142</v>
      </c>
    </row>
    <row r="260" spans="1:94" ht="24.75" customHeight="1">
      <c r="A260" s="48" t="s">
        <v>2270</v>
      </c>
      <c r="B260" s="77" t="s">
        <v>2271</v>
      </c>
      <c r="C260" s="17" t="s">
        <v>104</v>
      </c>
      <c r="D260" s="18" t="s">
        <v>2272</v>
      </c>
      <c r="E260" s="17" t="s">
        <v>106</v>
      </c>
      <c r="F260" s="17" t="s">
        <v>107</v>
      </c>
      <c r="G260" s="17" t="s">
        <v>108</v>
      </c>
      <c r="H260" s="78">
        <v>53045094</v>
      </c>
      <c r="I260" s="74" t="s">
        <v>2273</v>
      </c>
      <c r="J260" s="16"/>
      <c r="K260" s="16"/>
      <c r="L260" s="20" t="s">
        <v>1884</v>
      </c>
      <c r="M260" s="16" t="s">
        <v>111</v>
      </c>
      <c r="N260" s="22">
        <v>45313</v>
      </c>
      <c r="O260" s="22">
        <v>45314</v>
      </c>
      <c r="P260" s="22">
        <v>45656</v>
      </c>
      <c r="Q260" s="23">
        <f t="shared" si="120"/>
        <v>342</v>
      </c>
      <c r="R260" s="17" t="s">
        <v>242</v>
      </c>
      <c r="S260" s="110" t="s">
        <v>2228</v>
      </c>
      <c r="T260" s="16" t="s">
        <v>1128</v>
      </c>
      <c r="U260" s="67">
        <v>73173333</v>
      </c>
      <c r="V260" s="16" t="s">
        <v>815</v>
      </c>
      <c r="W260" s="224">
        <v>73173333</v>
      </c>
      <c r="X260" s="24">
        <v>6400000</v>
      </c>
      <c r="Y260" s="24"/>
      <c r="Z260" s="24"/>
      <c r="AA260" s="17" t="s">
        <v>116</v>
      </c>
      <c r="AB260" s="23" t="str">
        <f>IFERROR(VLOOKUP(AA260,Listas!$A$1:$C$14,2,FALSE),"")</f>
        <v>FREDY CÉSPEDES VILLA</v>
      </c>
      <c r="AC260" s="23">
        <f>IFERROR(VLOOKUP(AA260,Listas!$A$1:$C$14,3,FALSE),"")</f>
        <v>93363483</v>
      </c>
      <c r="AD260" s="17" t="s">
        <v>816</v>
      </c>
      <c r="AE260" s="17" t="s">
        <v>817</v>
      </c>
      <c r="AF260" s="23" t="str">
        <f>IFERROR(VLOOKUP(AE260,Listas!$AD$1:$AF$66,2,FALSE),"")</f>
        <v>JOSÉ EDUARDO PARADA JIMÉNEZ</v>
      </c>
      <c r="AG260" s="23">
        <f>IFERROR(VLOOKUP(AE260,Listas!$AD$1:$AF$65,3,FALSE),"")</f>
        <v>79434805</v>
      </c>
      <c r="AH260" s="17" t="s">
        <v>118</v>
      </c>
      <c r="AI260" s="65" t="s">
        <v>2274</v>
      </c>
      <c r="AJ260" s="25" t="s">
        <v>119</v>
      </c>
      <c r="AK260" s="26" t="s">
        <v>120</v>
      </c>
      <c r="AL260" s="26" t="s">
        <v>120</v>
      </c>
      <c r="AM260" s="90" t="s">
        <v>119</v>
      </c>
      <c r="AN260" s="105">
        <v>30825</v>
      </c>
      <c r="AO260" s="91">
        <f t="shared" ca="1" si="121"/>
        <v>41</v>
      </c>
      <c r="AP260" s="26" t="s">
        <v>121</v>
      </c>
      <c r="AQ260" s="26" t="s">
        <v>819</v>
      </c>
      <c r="AR260" s="89"/>
      <c r="AS260" s="27"/>
      <c r="AT260" s="16"/>
      <c r="AU260" s="27"/>
      <c r="AV260" s="86"/>
      <c r="AW260" s="27"/>
      <c r="AX260" s="27"/>
      <c r="AY260" s="27"/>
      <c r="AZ260" s="27"/>
      <c r="BA260" s="27"/>
      <c r="BB260" s="27"/>
      <c r="BC260" s="97"/>
      <c r="BD260" s="27"/>
      <c r="BE260" s="16"/>
      <c r="BF260" s="28">
        <f t="shared" si="110"/>
        <v>0</v>
      </c>
      <c r="BG260" s="29"/>
      <c r="BH260" s="27"/>
      <c r="BI260" s="30">
        <f t="shared" si="111"/>
        <v>342</v>
      </c>
      <c r="BJ260" s="31">
        <f t="shared" si="112"/>
        <v>45656</v>
      </c>
      <c r="BK260" s="27"/>
      <c r="BL260" s="16"/>
      <c r="BM260" s="27"/>
      <c r="BN260" s="16"/>
      <c r="BO260" s="27"/>
      <c r="BP260" s="16"/>
      <c r="BQ260" s="27"/>
      <c r="BR260" s="24"/>
      <c r="BS260" s="24"/>
      <c r="BT260" s="32"/>
      <c r="BU260" s="27"/>
      <c r="BV260" s="24"/>
      <c r="BW260" s="24"/>
      <c r="BX260" s="16"/>
      <c r="BY260" s="27"/>
      <c r="BZ260" s="24"/>
      <c r="CA260" s="24"/>
      <c r="CB260" s="16"/>
      <c r="CC260" s="49">
        <f t="shared" si="113"/>
        <v>0</v>
      </c>
      <c r="CD260" s="24"/>
      <c r="CE260" s="49">
        <f t="shared" si="114"/>
        <v>73173333</v>
      </c>
      <c r="CF260" s="50"/>
      <c r="CG260" s="49">
        <f t="shared" ca="1" si="115"/>
        <v>73173333</v>
      </c>
      <c r="CH260" s="33">
        <f t="shared" ca="1" si="116"/>
        <v>1</v>
      </c>
      <c r="CI260" s="33">
        <f t="shared" ca="1" si="117"/>
        <v>1</v>
      </c>
      <c r="CJ260" s="36">
        <f t="shared" ca="1" si="118"/>
        <v>100</v>
      </c>
      <c r="CK260" s="34">
        <f t="shared" si="119"/>
        <v>0</v>
      </c>
      <c r="CL260" s="21"/>
      <c r="CM260" s="35" t="str">
        <f t="shared" ca="1" si="122"/>
        <v>TERMINADO</v>
      </c>
      <c r="CN260" s="82"/>
      <c r="CO260" s="145" t="s">
        <v>2275</v>
      </c>
      <c r="CP260" s="26" t="s">
        <v>123</v>
      </c>
    </row>
    <row r="261" spans="1:94" ht="24.75" customHeight="1">
      <c r="A261" s="48" t="s">
        <v>2276</v>
      </c>
      <c r="B261" s="77" t="s">
        <v>2277</v>
      </c>
      <c r="C261" s="17" t="s">
        <v>104</v>
      </c>
      <c r="D261" s="18" t="s">
        <v>2278</v>
      </c>
      <c r="E261" s="17" t="s">
        <v>106</v>
      </c>
      <c r="F261" s="17" t="s">
        <v>107</v>
      </c>
      <c r="G261" s="17" t="s">
        <v>108</v>
      </c>
      <c r="H261" s="78">
        <v>1082947568</v>
      </c>
      <c r="I261" s="74" t="s">
        <v>2279</v>
      </c>
      <c r="J261" s="16"/>
      <c r="K261" s="16"/>
      <c r="L261" s="20" t="s">
        <v>2280</v>
      </c>
      <c r="M261" s="16" t="s">
        <v>2281</v>
      </c>
      <c r="N261" s="22">
        <v>45313</v>
      </c>
      <c r="O261" s="22">
        <v>45314</v>
      </c>
      <c r="P261" s="22">
        <v>45656</v>
      </c>
      <c r="Q261" s="23">
        <f t="shared" si="120"/>
        <v>342</v>
      </c>
      <c r="R261" s="17" t="s">
        <v>112</v>
      </c>
      <c r="S261" s="110" t="s">
        <v>2282</v>
      </c>
      <c r="T261" s="16" t="s">
        <v>364</v>
      </c>
      <c r="U261" s="67">
        <v>57306179</v>
      </c>
      <c r="V261" s="16" t="s">
        <v>365</v>
      </c>
      <c r="W261" s="224">
        <v>57306179</v>
      </c>
      <c r="X261" s="24">
        <v>5026858</v>
      </c>
      <c r="Y261" s="24"/>
      <c r="Z261" s="24"/>
      <c r="AA261" s="17" t="s">
        <v>116</v>
      </c>
      <c r="AB261" s="23" t="str">
        <f>IFERROR(VLOOKUP(AA261,Listas!$A$1:$C$14,2,FALSE),"")</f>
        <v>FREDY CÉSPEDES VILLA</v>
      </c>
      <c r="AC261" s="23">
        <f>IFERROR(VLOOKUP(AA261,Listas!$A$1:$C$14,3,FALSE),"")</f>
        <v>93363483</v>
      </c>
      <c r="AD261" s="17" t="s">
        <v>345</v>
      </c>
      <c r="AE261" s="17" t="s">
        <v>346</v>
      </c>
      <c r="AF261" s="23" t="str">
        <f>IFERROR(VLOOKUP(AE261,Listas!$AD$1:$AF$66,2,FALSE),"")</f>
        <v>RODOLFO GIOVANNI CANCHILA SUÁREZ</v>
      </c>
      <c r="AG261" s="23">
        <f>IFERROR(VLOOKUP(AE261,Listas!$AD$1:$AF$65,3,FALSE),"")</f>
        <v>79672493</v>
      </c>
      <c r="AH261" s="17" t="s">
        <v>118</v>
      </c>
      <c r="AI261" s="65" t="s">
        <v>2283</v>
      </c>
      <c r="AJ261" s="25" t="s">
        <v>119</v>
      </c>
      <c r="AK261" s="26" t="s">
        <v>120</v>
      </c>
      <c r="AL261" s="26" t="s">
        <v>120</v>
      </c>
      <c r="AM261" s="90" t="s">
        <v>119</v>
      </c>
      <c r="AN261" s="105">
        <v>33606</v>
      </c>
      <c r="AO261" s="91">
        <f t="shared" ca="1" si="121"/>
        <v>33</v>
      </c>
      <c r="AP261" s="26" t="s">
        <v>121</v>
      </c>
      <c r="AQ261" s="26" t="s">
        <v>367</v>
      </c>
      <c r="AR261" s="89"/>
      <c r="AS261" s="27"/>
      <c r="AT261" s="16"/>
      <c r="AU261" s="27"/>
      <c r="AV261" s="86"/>
      <c r="AW261" s="27"/>
      <c r="AX261" s="27"/>
      <c r="AY261" s="27"/>
      <c r="AZ261" s="27"/>
      <c r="BA261" s="27"/>
      <c r="BB261" s="27"/>
      <c r="BC261" s="97"/>
      <c r="BD261" s="27"/>
      <c r="BE261" s="16"/>
      <c r="BF261" s="28">
        <f t="shared" si="110"/>
        <v>0</v>
      </c>
      <c r="BG261" s="29"/>
      <c r="BH261" s="27"/>
      <c r="BI261" s="30">
        <f t="shared" si="111"/>
        <v>342</v>
      </c>
      <c r="BJ261" s="31">
        <f t="shared" si="112"/>
        <v>45656</v>
      </c>
      <c r="BK261" s="27"/>
      <c r="BL261" s="16"/>
      <c r="BM261" s="27"/>
      <c r="BN261" s="16"/>
      <c r="BO261" s="27"/>
      <c r="BP261" s="16"/>
      <c r="BQ261" s="27"/>
      <c r="BR261" s="24"/>
      <c r="BS261" s="24"/>
      <c r="BT261" s="32"/>
      <c r="BU261" s="27"/>
      <c r="BV261" s="24"/>
      <c r="BW261" s="24"/>
      <c r="BX261" s="16"/>
      <c r="BY261" s="27"/>
      <c r="BZ261" s="24"/>
      <c r="CA261" s="24"/>
      <c r="CB261" s="16"/>
      <c r="CC261" s="49">
        <f t="shared" si="113"/>
        <v>0</v>
      </c>
      <c r="CD261" s="24"/>
      <c r="CE261" s="49">
        <f t="shared" si="114"/>
        <v>57306179</v>
      </c>
      <c r="CF261" s="50"/>
      <c r="CG261" s="49">
        <f t="shared" ca="1" si="115"/>
        <v>57306179</v>
      </c>
      <c r="CH261" s="33">
        <f t="shared" ca="1" si="116"/>
        <v>1</v>
      </c>
      <c r="CI261" s="33">
        <f t="shared" ca="1" si="117"/>
        <v>1</v>
      </c>
      <c r="CJ261" s="36">
        <f t="shared" ca="1" si="118"/>
        <v>100</v>
      </c>
      <c r="CK261" s="34">
        <f t="shared" si="119"/>
        <v>0</v>
      </c>
      <c r="CL261" s="21"/>
      <c r="CM261" s="35" t="str">
        <f t="shared" ca="1" si="122"/>
        <v>TERMINADO</v>
      </c>
      <c r="CN261" s="82"/>
      <c r="CO261" s="145" t="s">
        <v>2284</v>
      </c>
      <c r="CP261" s="26" t="s">
        <v>142</v>
      </c>
    </row>
    <row r="262" spans="1:94" ht="24.75" customHeight="1">
      <c r="A262" s="48" t="s">
        <v>2285</v>
      </c>
      <c r="B262" s="77" t="s">
        <v>2286</v>
      </c>
      <c r="C262" s="17" t="s">
        <v>104</v>
      </c>
      <c r="D262" s="18" t="s">
        <v>2287</v>
      </c>
      <c r="E262" s="17" t="s">
        <v>106</v>
      </c>
      <c r="F262" s="17" t="s">
        <v>107</v>
      </c>
      <c r="G262" s="17" t="s">
        <v>108</v>
      </c>
      <c r="H262" s="78">
        <v>80084991</v>
      </c>
      <c r="I262" s="74" t="s">
        <v>2288</v>
      </c>
      <c r="J262" s="16"/>
      <c r="K262" s="16"/>
      <c r="L262" s="20" t="s">
        <v>2289</v>
      </c>
      <c r="M262" s="16" t="s">
        <v>111</v>
      </c>
      <c r="N262" s="22">
        <v>45313</v>
      </c>
      <c r="O262" s="22">
        <v>45316</v>
      </c>
      <c r="P262" s="22">
        <v>45656</v>
      </c>
      <c r="Q262" s="23">
        <f t="shared" si="120"/>
        <v>340</v>
      </c>
      <c r="R262" s="17" t="s">
        <v>112</v>
      </c>
      <c r="S262" s="110" t="s">
        <v>2290</v>
      </c>
      <c r="T262" s="16" t="s">
        <v>114</v>
      </c>
      <c r="U262" s="67">
        <v>103145762</v>
      </c>
      <c r="V262" s="16" t="s">
        <v>1938</v>
      </c>
      <c r="W262" s="224">
        <v>103145762</v>
      </c>
      <c r="X262" s="24">
        <v>8595480</v>
      </c>
      <c r="Y262" s="24"/>
      <c r="Z262" s="24"/>
      <c r="AA262" s="17" t="s">
        <v>116</v>
      </c>
      <c r="AB262" s="23" t="str">
        <f>IFERROR(VLOOKUP(AA262,Listas!$A$1:$C$14,2,FALSE),"")</f>
        <v>FREDY CÉSPEDES VILLA</v>
      </c>
      <c r="AC262" s="23">
        <f>IFERROR(VLOOKUP(AA262,Listas!$A$1:$C$14,3,FALSE),"")</f>
        <v>93363483</v>
      </c>
      <c r="AD262" s="17" t="s">
        <v>116</v>
      </c>
      <c r="AE262" s="17" t="s">
        <v>743</v>
      </c>
      <c r="AF262" s="23" t="str">
        <f>IFERROR(VLOOKUP(AE262,Listas!$AD$1:$AF$66,2,FALSE),"")</f>
        <v>FREDY CÉSPEDES VILLA</v>
      </c>
      <c r="AG262" s="23">
        <f>IFERROR(VLOOKUP(AE262,Listas!$AD$1:$AF$65,3,FALSE),"")</f>
        <v>93363483</v>
      </c>
      <c r="AH262" s="17" t="s">
        <v>118</v>
      </c>
      <c r="AI262" s="65" t="s">
        <v>2291</v>
      </c>
      <c r="AJ262" s="25" t="s">
        <v>119</v>
      </c>
      <c r="AK262" s="26" t="s">
        <v>120</v>
      </c>
      <c r="AL262" s="26" t="s">
        <v>120</v>
      </c>
      <c r="AM262" s="90" t="s">
        <v>119</v>
      </c>
      <c r="AN262" s="105">
        <v>29367</v>
      </c>
      <c r="AO262" s="91">
        <f t="shared" ca="1" si="121"/>
        <v>45</v>
      </c>
      <c r="AP262" s="26" t="s">
        <v>121</v>
      </c>
      <c r="AQ262" s="26" t="s">
        <v>122</v>
      </c>
      <c r="AR262" s="89"/>
      <c r="AS262" s="27"/>
      <c r="AT262" s="16"/>
      <c r="AU262" s="27"/>
      <c r="AV262" s="86"/>
      <c r="AW262" s="27"/>
      <c r="AX262" s="27"/>
      <c r="AY262" s="27"/>
      <c r="AZ262" s="27"/>
      <c r="BA262" s="27"/>
      <c r="BB262" s="27"/>
      <c r="BC262" s="97"/>
      <c r="BD262" s="27"/>
      <c r="BE262" s="16"/>
      <c r="BF262" s="28">
        <f t="shared" si="110"/>
        <v>0</v>
      </c>
      <c r="BG262" s="29"/>
      <c r="BH262" s="27"/>
      <c r="BI262" s="30">
        <f t="shared" si="111"/>
        <v>340</v>
      </c>
      <c r="BJ262" s="31">
        <f t="shared" si="112"/>
        <v>45656</v>
      </c>
      <c r="BK262" s="27"/>
      <c r="BL262" s="16"/>
      <c r="BM262" s="27"/>
      <c r="BN262" s="16"/>
      <c r="BO262" s="27"/>
      <c r="BP262" s="16"/>
      <c r="BQ262" s="27"/>
      <c r="BR262" s="24"/>
      <c r="BS262" s="24"/>
      <c r="BT262" s="32"/>
      <c r="BU262" s="27"/>
      <c r="BV262" s="24"/>
      <c r="BW262" s="24"/>
      <c r="BX262" s="16"/>
      <c r="BY262" s="27"/>
      <c r="BZ262" s="24"/>
      <c r="CA262" s="24"/>
      <c r="CB262" s="16"/>
      <c r="CC262" s="49">
        <f t="shared" si="113"/>
        <v>0</v>
      </c>
      <c r="CD262" s="24"/>
      <c r="CE262" s="49">
        <f t="shared" si="114"/>
        <v>103145762</v>
      </c>
      <c r="CF262" s="50"/>
      <c r="CG262" s="49">
        <f t="shared" ca="1" si="115"/>
        <v>103145762</v>
      </c>
      <c r="CH262" s="33">
        <f t="shared" ca="1" si="116"/>
        <v>1</v>
      </c>
      <c r="CI262" s="33">
        <f t="shared" ca="1" si="117"/>
        <v>1</v>
      </c>
      <c r="CJ262" s="36">
        <f t="shared" ca="1" si="118"/>
        <v>100</v>
      </c>
      <c r="CK262" s="34">
        <f t="shared" si="119"/>
        <v>0</v>
      </c>
      <c r="CL262" s="21"/>
      <c r="CM262" s="35" t="str">
        <f t="shared" ca="1" si="122"/>
        <v>TERMINADO</v>
      </c>
      <c r="CN262" s="82"/>
      <c r="CO262" s="145" t="s">
        <v>2292</v>
      </c>
      <c r="CP262" s="26" t="s">
        <v>142</v>
      </c>
    </row>
    <row r="263" spans="1:94" ht="24.75" customHeight="1">
      <c r="A263" s="48" t="s">
        <v>2293</v>
      </c>
      <c r="B263" s="77" t="s">
        <v>2294</v>
      </c>
      <c r="C263" s="17" t="s">
        <v>104</v>
      </c>
      <c r="D263" s="18" t="s">
        <v>2295</v>
      </c>
      <c r="E263" s="17" t="s">
        <v>106</v>
      </c>
      <c r="F263" s="17" t="s">
        <v>107</v>
      </c>
      <c r="G263" s="17" t="s">
        <v>108</v>
      </c>
      <c r="H263" s="78">
        <v>79642752</v>
      </c>
      <c r="I263" s="74" t="s">
        <v>2296</v>
      </c>
      <c r="J263" s="16"/>
      <c r="K263" s="16"/>
      <c r="L263" s="20" t="s">
        <v>2297</v>
      </c>
      <c r="M263" s="16" t="s">
        <v>111</v>
      </c>
      <c r="N263" s="22">
        <v>45313</v>
      </c>
      <c r="O263" s="22">
        <v>45316</v>
      </c>
      <c r="P263" s="22">
        <v>45656</v>
      </c>
      <c r="Q263" s="23">
        <f t="shared" si="120"/>
        <v>340</v>
      </c>
      <c r="R263" s="17" t="s">
        <v>112</v>
      </c>
      <c r="S263" s="110" t="s">
        <v>2298</v>
      </c>
      <c r="T263" s="16" t="s">
        <v>114</v>
      </c>
      <c r="U263" s="67">
        <v>125856000</v>
      </c>
      <c r="V263" s="16" t="s">
        <v>1938</v>
      </c>
      <c r="W263" s="224">
        <v>125856000</v>
      </c>
      <c r="X263" s="24">
        <v>10488000</v>
      </c>
      <c r="Y263" s="24"/>
      <c r="Z263" s="24"/>
      <c r="AA263" s="17" t="s">
        <v>116</v>
      </c>
      <c r="AB263" s="23" t="str">
        <f>IFERROR(VLOOKUP(AA263,Listas!$A$1:$C$14,2,FALSE),"")</f>
        <v>FREDY CÉSPEDES VILLA</v>
      </c>
      <c r="AC263" s="23">
        <f>IFERROR(VLOOKUP(AA263,Listas!$A$1:$C$14,3,FALSE),"")</f>
        <v>93363483</v>
      </c>
      <c r="AD263" s="17" t="s">
        <v>116</v>
      </c>
      <c r="AE263" s="17" t="s">
        <v>743</v>
      </c>
      <c r="AF263" s="23" t="str">
        <f>IFERROR(VLOOKUP(AE263,Listas!$AD$1:$AF$66,2,FALSE),"")</f>
        <v>FREDY CÉSPEDES VILLA</v>
      </c>
      <c r="AG263" s="23">
        <f>IFERROR(VLOOKUP(AE263,Listas!$AD$1:$AF$65,3,FALSE),"")</f>
        <v>93363483</v>
      </c>
      <c r="AH263" s="17" t="s">
        <v>118</v>
      </c>
      <c r="AI263" s="65" t="s">
        <v>2299</v>
      </c>
      <c r="AJ263" s="25" t="s">
        <v>119</v>
      </c>
      <c r="AK263" s="26" t="s">
        <v>120</v>
      </c>
      <c r="AL263" s="26" t="s">
        <v>120</v>
      </c>
      <c r="AM263" s="90" t="s">
        <v>119</v>
      </c>
      <c r="AN263" s="105">
        <v>26626</v>
      </c>
      <c r="AO263" s="91">
        <f t="shared" ca="1" si="121"/>
        <v>53</v>
      </c>
      <c r="AP263" s="26" t="s">
        <v>121</v>
      </c>
      <c r="AQ263" s="26" t="s">
        <v>122</v>
      </c>
      <c r="AR263" s="89"/>
      <c r="AS263" s="27"/>
      <c r="AT263" s="16"/>
      <c r="AU263" s="27"/>
      <c r="AV263" s="86"/>
      <c r="AW263" s="27"/>
      <c r="AX263" s="27"/>
      <c r="AY263" s="27"/>
      <c r="AZ263" s="27"/>
      <c r="BA263" s="27"/>
      <c r="BB263" s="27"/>
      <c r="BC263" s="97"/>
      <c r="BD263" s="27"/>
      <c r="BE263" s="16"/>
      <c r="BF263" s="28">
        <f t="shared" si="110"/>
        <v>0</v>
      </c>
      <c r="BG263" s="29"/>
      <c r="BH263" s="27"/>
      <c r="BI263" s="30">
        <f t="shared" si="111"/>
        <v>340</v>
      </c>
      <c r="BJ263" s="31">
        <f t="shared" si="112"/>
        <v>45656</v>
      </c>
      <c r="BK263" s="27"/>
      <c r="BL263" s="16"/>
      <c r="BM263" s="27"/>
      <c r="BN263" s="16"/>
      <c r="BO263" s="27"/>
      <c r="BP263" s="16"/>
      <c r="BQ263" s="27"/>
      <c r="BR263" s="24"/>
      <c r="BS263" s="24"/>
      <c r="BT263" s="32"/>
      <c r="BU263" s="27"/>
      <c r="BV263" s="24"/>
      <c r="BW263" s="24"/>
      <c r="BX263" s="16"/>
      <c r="BY263" s="27"/>
      <c r="BZ263" s="24"/>
      <c r="CA263" s="24"/>
      <c r="CB263" s="16"/>
      <c r="CC263" s="49">
        <f t="shared" si="113"/>
        <v>0</v>
      </c>
      <c r="CD263" s="24"/>
      <c r="CE263" s="49">
        <f t="shared" si="114"/>
        <v>125856000</v>
      </c>
      <c r="CF263" s="50"/>
      <c r="CG263" s="49">
        <f t="shared" ca="1" si="115"/>
        <v>125856000</v>
      </c>
      <c r="CH263" s="33">
        <f t="shared" ca="1" si="116"/>
        <v>1</v>
      </c>
      <c r="CI263" s="33">
        <f t="shared" ca="1" si="117"/>
        <v>1</v>
      </c>
      <c r="CJ263" s="36">
        <f t="shared" ca="1" si="118"/>
        <v>100</v>
      </c>
      <c r="CK263" s="34">
        <f t="shared" si="119"/>
        <v>0</v>
      </c>
      <c r="CL263" s="21"/>
      <c r="CM263" s="35" t="str">
        <f t="shared" ca="1" si="122"/>
        <v>TERMINADO</v>
      </c>
      <c r="CN263" s="82"/>
      <c r="CO263" s="145" t="s">
        <v>2300</v>
      </c>
      <c r="CP263" s="26" t="s">
        <v>142</v>
      </c>
    </row>
    <row r="264" spans="1:94" ht="24.75" customHeight="1">
      <c r="A264" s="48" t="s">
        <v>2301</v>
      </c>
      <c r="B264" s="77" t="s">
        <v>2302</v>
      </c>
      <c r="C264" s="17" t="s">
        <v>104</v>
      </c>
      <c r="D264" s="18" t="s">
        <v>2303</v>
      </c>
      <c r="E264" s="17" t="s">
        <v>106</v>
      </c>
      <c r="F264" s="17" t="s">
        <v>107</v>
      </c>
      <c r="G264" s="17" t="s">
        <v>108</v>
      </c>
      <c r="H264" s="78">
        <v>76322880</v>
      </c>
      <c r="I264" s="74" t="s">
        <v>2304</v>
      </c>
      <c r="J264" s="16"/>
      <c r="K264" s="16"/>
      <c r="L264" s="20" t="s">
        <v>2305</v>
      </c>
      <c r="M264" s="16" t="s">
        <v>111</v>
      </c>
      <c r="N264" s="22">
        <v>45313</v>
      </c>
      <c r="O264" s="22">
        <v>45315</v>
      </c>
      <c r="P264" s="115">
        <v>45657</v>
      </c>
      <c r="Q264" s="23">
        <f t="shared" si="120"/>
        <v>342</v>
      </c>
      <c r="R264" s="17" t="s">
        <v>242</v>
      </c>
      <c r="S264" s="110" t="s">
        <v>2306</v>
      </c>
      <c r="T264" s="16" t="s">
        <v>2307</v>
      </c>
      <c r="U264" s="67">
        <v>85340316</v>
      </c>
      <c r="V264" s="16" t="s">
        <v>2308</v>
      </c>
      <c r="W264" s="224">
        <v>85340316</v>
      </c>
      <c r="X264" s="24">
        <v>7111693</v>
      </c>
      <c r="Y264" s="24"/>
      <c r="Z264" s="24"/>
      <c r="AA264" s="17" t="s">
        <v>116</v>
      </c>
      <c r="AB264" s="23" t="str">
        <f>IFERROR(VLOOKUP(AA264,Listas!$A$1:$C$14,2,FALSE),"")</f>
        <v>FREDY CÉSPEDES VILLA</v>
      </c>
      <c r="AC264" s="23">
        <f>IFERROR(VLOOKUP(AA264,Listas!$A$1:$C$14,3,FALSE),"")</f>
        <v>93363483</v>
      </c>
      <c r="AD264" s="17" t="s">
        <v>116</v>
      </c>
      <c r="AE264" s="17" t="s">
        <v>2309</v>
      </c>
      <c r="AF264" s="23" t="str">
        <f>IFERROR(VLOOKUP(AE264,Listas!$AD$1:$AF$66,2,FALSE),"")</f>
        <v>YURY NAYIBE LADINO</v>
      </c>
      <c r="AG264" s="23">
        <f>IFERROR(VLOOKUP(AE264,Listas!$AD$1:$AF$65,3,FALSE),"")</f>
        <v>1013587191</v>
      </c>
      <c r="AH264" s="17" t="s">
        <v>118</v>
      </c>
      <c r="AI264" s="65" t="s">
        <v>2310</v>
      </c>
      <c r="AJ264" s="25" t="s">
        <v>119</v>
      </c>
      <c r="AK264" s="26" t="s">
        <v>120</v>
      </c>
      <c r="AL264" s="26" t="s">
        <v>120</v>
      </c>
      <c r="AM264" s="90" t="s">
        <v>119</v>
      </c>
      <c r="AN264" s="105">
        <v>27671</v>
      </c>
      <c r="AO264" s="91">
        <f t="shared" ca="1" si="121"/>
        <v>50</v>
      </c>
      <c r="AP264" s="26" t="s">
        <v>121</v>
      </c>
      <c r="AQ264" s="26" t="s">
        <v>285</v>
      </c>
      <c r="AR264" s="89"/>
      <c r="AS264" s="27"/>
      <c r="AT264" s="16"/>
      <c r="AU264" s="27"/>
      <c r="AV264" s="86"/>
      <c r="AW264" s="27"/>
      <c r="AX264" s="27"/>
      <c r="AY264" s="27"/>
      <c r="AZ264" s="27"/>
      <c r="BA264" s="27"/>
      <c r="BB264" s="27"/>
      <c r="BC264" s="97"/>
      <c r="BD264" s="27"/>
      <c r="BE264" s="16"/>
      <c r="BF264" s="28">
        <f t="shared" si="110"/>
        <v>0</v>
      </c>
      <c r="BG264" s="29"/>
      <c r="BH264" s="27"/>
      <c r="BI264" s="30">
        <f t="shared" si="111"/>
        <v>342</v>
      </c>
      <c r="BJ264" s="31">
        <f t="shared" si="112"/>
        <v>45657</v>
      </c>
      <c r="BK264" s="27"/>
      <c r="BL264" s="16"/>
      <c r="BM264" s="27"/>
      <c r="BN264" s="16"/>
      <c r="BO264" s="27"/>
      <c r="BP264" s="16"/>
      <c r="BQ264" s="27"/>
      <c r="BR264" s="24"/>
      <c r="BS264" s="24"/>
      <c r="BT264" s="32"/>
      <c r="BU264" s="27"/>
      <c r="BV264" s="24"/>
      <c r="BW264" s="24"/>
      <c r="BX264" s="16"/>
      <c r="BY264" s="27"/>
      <c r="BZ264" s="24"/>
      <c r="CA264" s="24"/>
      <c r="CB264" s="16"/>
      <c r="CC264" s="49">
        <f t="shared" si="113"/>
        <v>0</v>
      </c>
      <c r="CD264" s="24"/>
      <c r="CE264" s="49">
        <f t="shared" si="114"/>
        <v>85340316</v>
      </c>
      <c r="CF264" s="50"/>
      <c r="CG264" s="49">
        <f t="shared" ca="1" si="115"/>
        <v>85340316</v>
      </c>
      <c r="CH264" s="33">
        <f t="shared" ca="1" si="116"/>
        <v>1</v>
      </c>
      <c r="CI264" s="33">
        <f t="shared" ca="1" si="117"/>
        <v>1</v>
      </c>
      <c r="CJ264" s="36">
        <f t="shared" ca="1" si="118"/>
        <v>100</v>
      </c>
      <c r="CK264" s="34">
        <f t="shared" si="119"/>
        <v>0</v>
      </c>
      <c r="CL264" s="21"/>
      <c r="CM264" s="35" t="str">
        <f t="shared" ca="1" si="122"/>
        <v>TERMINADO</v>
      </c>
      <c r="CN264" s="82"/>
      <c r="CO264" s="145" t="s">
        <v>2311</v>
      </c>
      <c r="CP264" s="26" t="s">
        <v>142</v>
      </c>
    </row>
    <row r="265" spans="1:94" ht="24.75" customHeight="1">
      <c r="A265" s="48" t="s">
        <v>2312</v>
      </c>
      <c r="B265" s="77" t="s">
        <v>2313</v>
      </c>
      <c r="C265" s="17" t="s">
        <v>104</v>
      </c>
      <c r="D265" s="18" t="s">
        <v>2314</v>
      </c>
      <c r="E265" s="17" t="s">
        <v>106</v>
      </c>
      <c r="F265" s="17" t="s">
        <v>107</v>
      </c>
      <c r="G265" s="17" t="s">
        <v>108</v>
      </c>
      <c r="H265" s="78">
        <v>1013646371</v>
      </c>
      <c r="I265" s="74" t="s">
        <v>2315</v>
      </c>
      <c r="J265" s="16"/>
      <c r="K265" s="16"/>
      <c r="L265" s="20" t="s">
        <v>2316</v>
      </c>
      <c r="M265" s="16" t="s">
        <v>111</v>
      </c>
      <c r="N265" s="22">
        <v>45313</v>
      </c>
      <c r="O265" s="22">
        <v>45316</v>
      </c>
      <c r="P265" s="115">
        <v>45657</v>
      </c>
      <c r="Q265" s="23">
        <f t="shared" si="120"/>
        <v>341</v>
      </c>
      <c r="R265" s="17" t="s">
        <v>242</v>
      </c>
      <c r="S265" s="110" t="s">
        <v>2317</v>
      </c>
      <c r="T265" s="16" t="s">
        <v>2307</v>
      </c>
      <c r="U265" s="67">
        <v>85333980</v>
      </c>
      <c r="V265" s="16" t="s">
        <v>2308</v>
      </c>
      <c r="W265" s="224">
        <v>85340316</v>
      </c>
      <c r="X265" s="24">
        <v>7111693</v>
      </c>
      <c r="Y265" s="24"/>
      <c r="Z265" s="24"/>
      <c r="AA265" s="17" t="s">
        <v>116</v>
      </c>
      <c r="AB265" s="23" t="str">
        <f>IFERROR(VLOOKUP(AA265,Listas!$A$1:$C$14,2,FALSE),"")</f>
        <v>FREDY CÉSPEDES VILLA</v>
      </c>
      <c r="AC265" s="23">
        <f>IFERROR(VLOOKUP(AA265,Listas!$A$1:$C$14,3,FALSE),"")</f>
        <v>93363483</v>
      </c>
      <c r="AD265" s="17" t="s">
        <v>116</v>
      </c>
      <c r="AE265" s="17" t="s">
        <v>2309</v>
      </c>
      <c r="AF265" s="23" t="str">
        <f>IFERROR(VLOOKUP(AE265,Listas!$AD$1:$AF$66,2,FALSE),"")</f>
        <v>YURY NAYIBE LADINO</v>
      </c>
      <c r="AG265" s="23">
        <f>IFERROR(VLOOKUP(AE265,Listas!$AD$1:$AF$65,3,FALSE),"")</f>
        <v>1013587191</v>
      </c>
      <c r="AH265" s="17" t="s">
        <v>118</v>
      </c>
      <c r="AI265" s="65" t="s">
        <v>2318</v>
      </c>
      <c r="AJ265" s="25" t="s">
        <v>119</v>
      </c>
      <c r="AK265" s="26" t="s">
        <v>120</v>
      </c>
      <c r="AL265" s="26" t="s">
        <v>120</v>
      </c>
      <c r="AM265" s="90" t="s">
        <v>119</v>
      </c>
      <c r="AN265" s="105">
        <v>34341</v>
      </c>
      <c r="AO265" s="91">
        <f t="shared" ca="1" si="121"/>
        <v>31</v>
      </c>
      <c r="AP265" s="26" t="s">
        <v>121</v>
      </c>
      <c r="AQ265" s="26" t="s">
        <v>285</v>
      </c>
      <c r="AR265" s="89"/>
      <c r="AS265" s="27"/>
      <c r="AT265" s="16"/>
      <c r="AU265" s="27"/>
      <c r="AV265" s="86"/>
      <c r="AW265" s="27"/>
      <c r="AX265" s="27"/>
      <c r="AY265" s="27"/>
      <c r="AZ265" s="27"/>
      <c r="BA265" s="27"/>
      <c r="BB265" s="27"/>
      <c r="BC265" s="97"/>
      <c r="BD265" s="27"/>
      <c r="BE265" s="16"/>
      <c r="BF265" s="28">
        <f t="shared" si="110"/>
        <v>0</v>
      </c>
      <c r="BG265" s="29"/>
      <c r="BH265" s="27"/>
      <c r="BI265" s="30">
        <f t="shared" si="111"/>
        <v>341</v>
      </c>
      <c r="BJ265" s="31">
        <f t="shared" si="112"/>
        <v>45657</v>
      </c>
      <c r="BK265" s="27"/>
      <c r="BL265" s="16"/>
      <c r="BM265" s="27"/>
      <c r="BN265" s="16"/>
      <c r="BO265" s="27"/>
      <c r="BP265" s="16"/>
      <c r="BQ265" s="27"/>
      <c r="BR265" s="24"/>
      <c r="BS265" s="24"/>
      <c r="BT265" s="32"/>
      <c r="BU265" s="27"/>
      <c r="BV265" s="24"/>
      <c r="BW265" s="24"/>
      <c r="BX265" s="16"/>
      <c r="BY265" s="27"/>
      <c r="BZ265" s="24"/>
      <c r="CA265" s="24"/>
      <c r="CB265" s="16"/>
      <c r="CC265" s="49">
        <f t="shared" si="113"/>
        <v>0</v>
      </c>
      <c r="CD265" s="24"/>
      <c r="CE265" s="49">
        <f t="shared" si="114"/>
        <v>85340316</v>
      </c>
      <c r="CF265" s="50"/>
      <c r="CG265" s="49">
        <f t="shared" ca="1" si="115"/>
        <v>85340316</v>
      </c>
      <c r="CH265" s="33">
        <f t="shared" ca="1" si="116"/>
        <v>1</v>
      </c>
      <c r="CI265" s="33">
        <f t="shared" ca="1" si="117"/>
        <v>1</v>
      </c>
      <c r="CJ265" s="36">
        <f t="shared" ca="1" si="118"/>
        <v>100</v>
      </c>
      <c r="CK265" s="34">
        <f t="shared" si="119"/>
        <v>0</v>
      </c>
      <c r="CL265" s="21"/>
      <c r="CM265" s="35" t="str">
        <f t="shared" ca="1" si="122"/>
        <v>TERMINADO</v>
      </c>
      <c r="CN265" s="82"/>
      <c r="CO265" s="145" t="s">
        <v>2319</v>
      </c>
      <c r="CP265" s="26" t="s">
        <v>123</v>
      </c>
    </row>
    <row r="266" spans="1:94" ht="24.75" customHeight="1">
      <c r="A266" s="48" t="s">
        <v>2320</v>
      </c>
      <c r="B266" s="77" t="s">
        <v>2321</v>
      </c>
      <c r="C266" s="17" t="s">
        <v>104</v>
      </c>
      <c r="D266" s="18" t="s">
        <v>2322</v>
      </c>
      <c r="E266" s="17" t="s">
        <v>106</v>
      </c>
      <c r="F266" s="17" t="s">
        <v>107</v>
      </c>
      <c r="G266" s="17" t="s">
        <v>108</v>
      </c>
      <c r="H266" s="78">
        <v>1018414039</v>
      </c>
      <c r="I266" s="74" t="s">
        <v>2323</v>
      </c>
      <c r="J266" s="16"/>
      <c r="K266" s="16"/>
      <c r="L266" s="20" t="s">
        <v>2187</v>
      </c>
      <c r="M266" s="16" t="s">
        <v>111</v>
      </c>
      <c r="N266" s="22">
        <v>45313</v>
      </c>
      <c r="O266" s="22">
        <v>45315</v>
      </c>
      <c r="P266" s="115">
        <v>45657</v>
      </c>
      <c r="Q266" s="23">
        <f t="shared" si="120"/>
        <v>342</v>
      </c>
      <c r="R266" s="17" t="s">
        <v>242</v>
      </c>
      <c r="S266" s="110" t="s">
        <v>2324</v>
      </c>
      <c r="T266" s="16" t="s">
        <v>1145</v>
      </c>
      <c r="U266" s="67">
        <v>71329784</v>
      </c>
      <c r="V266" s="16" t="s">
        <v>426</v>
      </c>
      <c r="W266" s="224">
        <v>71329784</v>
      </c>
      <c r="X266" s="24">
        <v>6131500</v>
      </c>
      <c r="Y266" s="24"/>
      <c r="Z266" s="24"/>
      <c r="AA266" s="17" t="s">
        <v>116</v>
      </c>
      <c r="AB266" s="23" t="str">
        <f>IFERROR(VLOOKUP(AA266,Listas!$A$1:$C$14,2,FALSE),"")</f>
        <v>FREDY CÉSPEDES VILLA</v>
      </c>
      <c r="AC266" s="23">
        <f>IFERROR(VLOOKUP(AA266,Listas!$A$1:$C$14,3,FALSE),"")</f>
        <v>93363483</v>
      </c>
      <c r="AD266" s="17" t="s">
        <v>427</v>
      </c>
      <c r="AE266" s="17" t="s">
        <v>2198</v>
      </c>
      <c r="AF266" s="23" t="str">
        <f>IFERROR(VLOOKUP(AE266,Listas!$AD$1:$AF$66,2,FALSE),"")</f>
        <v>ELIANA ROCÍO OCHOA BLANCO</v>
      </c>
      <c r="AG266" s="23">
        <f>IFERROR(VLOOKUP(AE266,Listas!$AD$1:$AF$65,3,FALSE),"")</f>
        <v>1018418424</v>
      </c>
      <c r="AH266" s="17" t="s">
        <v>118</v>
      </c>
      <c r="AI266" s="65" t="s">
        <v>2189</v>
      </c>
      <c r="AJ266" s="25" t="s">
        <v>119</v>
      </c>
      <c r="AK266" s="26" t="s">
        <v>120</v>
      </c>
      <c r="AL266" s="26" t="s">
        <v>120</v>
      </c>
      <c r="AM266" s="90" t="s">
        <v>119</v>
      </c>
      <c r="AN266" s="105">
        <v>32039</v>
      </c>
      <c r="AO266" s="91">
        <f t="shared" ca="1" si="121"/>
        <v>38</v>
      </c>
      <c r="AP266" s="26" t="s">
        <v>121</v>
      </c>
      <c r="AQ266" s="26" t="s">
        <v>1272</v>
      </c>
      <c r="AR266" s="89">
        <v>45540</v>
      </c>
      <c r="AS266" s="27" t="s">
        <v>2325</v>
      </c>
      <c r="AT266" s="104">
        <v>1018410307</v>
      </c>
      <c r="AU266" s="27" t="s">
        <v>2326</v>
      </c>
      <c r="AV266" s="232"/>
      <c r="AW266" s="27"/>
      <c r="AX266" s="27"/>
      <c r="AY266" s="27"/>
      <c r="AZ266" s="27"/>
      <c r="BA266" s="27"/>
      <c r="BB266" s="27"/>
      <c r="BC266" s="97"/>
      <c r="BD266" s="27"/>
      <c r="BE266" s="16"/>
      <c r="BF266" s="28">
        <f t="shared" si="110"/>
        <v>0</v>
      </c>
      <c r="BG266" s="29"/>
      <c r="BH266" s="27"/>
      <c r="BI266" s="30">
        <f t="shared" si="111"/>
        <v>342</v>
      </c>
      <c r="BJ266" s="31">
        <f t="shared" si="112"/>
        <v>45657</v>
      </c>
      <c r="BK266" s="27"/>
      <c r="BL266" s="16"/>
      <c r="BM266" s="27"/>
      <c r="BN266" s="16"/>
      <c r="BO266" s="27"/>
      <c r="BP266" s="16"/>
      <c r="BQ266" s="27"/>
      <c r="BR266" s="24"/>
      <c r="BS266" s="24"/>
      <c r="BT266" s="32"/>
      <c r="BU266" s="27"/>
      <c r="BV266" s="24"/>
      <c r="BW266" s="24"/>
      <c r="BX266" s="16"/>
      <c r="BY266" s="27"/>
      <c r="BZ266" s="24"/>
      <c r="CA266" s="24"/>
      <c r="CB266" s="16"/>
      <c r="CC266" s="49">
        <f t="shared" si="113"/>
        <v>0</v>
      </c>
      <c r="CD266" s="24"/>
      <c r="CE266" s="49">
        <f t="shared" si="114"/>
        <v>71329784</v>
      </c>
      <c r="CF266" s="50"/>
      <c r="CG266" s="49">
        <f t="shared" ca="1" si="115"/>
        <v>71329784</v>
      </c>
      <c r="CH266" s="33">
        <f t="shared" ca="1" si="116"/>
        <v>1</v>
      </c>
      <c r="CI266" s="33">
        <f t="shared" ca="1" si="117"/>
        <v>1</v>
      </c>
      <c r="CJ266" s="36">
        <f t="shared" ca="1" si="118"/>
        <v>100</v>
      </c>
      <c r="CK266" s="34">
        <f t="shared" si="119"/>
        <v>0</v>
      </c>
      <c r="CL266" s="21"/>
      <c r="CM266" s="35" t="str">
        <f t="shared" ca="1" si="122"/>
        <v>TERMINADO</v>
      </c>
      <c r="CN266" s="82"/>
      <c r="CO266" s="145" t="s">
        <v>2327</v>
      </c>
      <c r="CP266" s="26" t="s">
        <v>123</v>
      </c>
    </row>
    <row r="267" spans="1:94" ht="24.75" customHeight="1">
      <c r="A267" s="48" t="s">
        <v>2328</v>
      </c>
      <c r="B267" s="77" t="s">
        <v>2329</v>
      </c>
      <c r="C267" s="17" t="s">
        <v>104</v>
      </c>
      <c r="D267" s="18" t="s">
        <v>2330</v>
      </c>
      <c r="E267" s="17" t="s">
        <v>106</v>
      </c>
      <c r="F267" s="17" t="s">
        <v>107</v>
      </c>
      <c r="G267" s="17" t="s">
        <v>108</v>
      </c>
      <c r="H267" s="78">
        <v>32784706</v>
      </c>
      <c r="I267" s="74" t="s">
        <v>2331</v>
      </c>
      <c r="J267" s="16"/>
      <c r="K267" s="16"/>
      <c r="L267" s="20" t="s">
        <v>2332</v>
      </c>
      <c r="M267" s="16" t="s">
        <v>111</v>
      </c>
      <c r="N267" s="22">
        <v>45313</v>
      </c>
      <c r="O267" s="22">
        <v>45317</v>
      </c>
      <c r="P267" s="115">
        <v>45657</v>
      </c>
      <c r="Q267" s="23">
        <f t="shared" si="120"/>
        <v>340</v>
      </c>
      <c r="R267" s="17" t="s">
        <v>242</v>
      </c>
      <c r="S267" s="110" t="s">
        <v>2333</v>
      </c>
      <c r="T267" s="16" t="s">
        <v>1145</v>
      </c>
      <c r="U267" s="67">
        <v>47346390</v>
      </c>
      <c r="V267" s="16" t="s">
        <v>1721</v>
      </c>
      <c r="W267" s="224">
        <v>47346390</v>
      </c>
      <c r="X267" s="24">
        <v>4046700</v>
      </c>
      <c r="Y267" s="24"/>
      <c r="Z267" s="24"/>
      <c r="AA267" s="17" t="s">
        <v>116</v>
      </c>
      <c r="AB267" s="23" t="str">
        <f>IFERROR(VLOOKUP(AA267,Listas!$A$1:$C$14,2,FALSE),"")</f>
        <v>FREDY CÉSPEDES VILLA</v>
      </c>
      <c r="AC267" s="23">
        <f>IFERROR(VLOOKUP(AA267,Listas!$A$1:$C$14,3,FALSE),"")</f>
        <v>93363483</v>
      </c>
      <c r="AD267" s="17" t="s">
        <v>427</v>
      </c>
      <c r="AE267" s="17" t="s">
        <v>1390</v>
      </c>
      <c r="AF267" s="23" t="str">
        <f>IFERROR(VLOOKUP(AE267,Listas!$AD$1:$AF$66,2,FALSE),"")</f>
        <v>BLANCA FLOR AMÉZQUITA RODRÍGUEZ</v>
      </c>
      <c r="AG267" s="23">
        <f>IFERROR(VLOOKUP(AE267,Listas!$AD$1:$AF$65,3,FALSE),"")</f>
        <v>51613966</v>
      </c>
      <c r="AH267" s="17" t="s">
        <v>118</v>
      </c>
      <c r="AI267" s="65" t="s">
        <v>2334</v>
      </c>
      <c r="AJ267" s="25" t="s">
        <v>119</v>
      </c>
      <c r="AK267" s="26" t="s">
        <v>120</v>
      </c>
      <c r="AL267" s="26" t="s">
        <v>120</v>
      </c>
      <c r="AM267" s="90" t="s">
        <v>119</v>
      </c>
      <c r="AN267" s="105">
        <v>27582</v>
      </c>
      <c r="AO267" s="91">
        <f t="shared" ca="1" si="121"/>
        <v>50</v>
      </c>
      <c r="AP267" s="26" t="s">
        <v>121</v>
      </c>
      <c r="AQ267" s="26" t="s">
        <v>1272</v>
      </c>
      <c r="AR267" s="89"/>
      <c r="AS267" s="27"/>
      <c r="AT267" s="16"/>
      <c r="AU267" s="27"/>
      <c r="AV267" s="86"/>
      <c r="AW267" s="27"/>
      <c r="AX267" s="27"/>
      <c r="AY267" s="27"/>
      <c r="AZ267" s="27"/>
      <c r="BA267" s="27"/>
      <c r="BB267" s="27"/>
      <c r="BC267" s="97"/>
      <c r="BD267" s="27"/>
      <c r="BE267" s="16"/>
      <c r="BF267" s="28">
        <f t="shared" si="110"/>
        <v>0</v>
      </c>
      <c r="BG267" s="29"/>
      <c r="BH267" s="27"/>
      <c r="BI267" s="30">
        <f t="shared" si="111"/>
        <v>340</v>
      </c>
      <c r="BJ267" s="31">
        <f t="shared" si="112"/>
        <v>45657</v>
      </c>
      <c r="BK267" s="27"/>
      <c r="BL267" s="16"/>
      <c r="BM267" s="27"/>
      <c r="BN267" s="16"/>
      <c r="BO267" s="27"/>
      <c r="BP267" s="16"/>
      <c r="BQ267" s="27"/>
      <c r="BR267" s="24"/>
      <c r="BS267" s="24"/>
      <c r="BT267" s="32"/>
      <c r="BU267" s="27"/>
      <c r="BV267" s="24"/>
      <c r="BW267" s="24"/>
      <c r="BX267" s="16"/>
      <c r="BY267" s="27"/>
      <c r="BZ267" s="24"/>
      <c r="CA267" s="24"/>
      <c r="CB267" s="16"/>
      <c r="CC267" s="49">
        <f t="shared" si="113"/>
        <v>0</v>
      </c>
      <c r="CD267" s="24"/>
      <c r="CE267" s="49">
        <f t="shared" si="114"/>
        <v>47346390</v>
      </c>
      <c r="CF267" s="50"/>
      <c r="CG267" s="49">
        <f t="shared" ca="1" si="115"/>
        <v>47346390</v>
      </c>
      <c r="CH267" s="33">
        <f t="shared" ca="1" si="116"/>
        <v>1</v>
      </c>
      <c r="CI267" s="33">
        <f t="shared" ca="1" si="117"/>
        <v>1</v>
      </c>
      <c r="CJ267" s="36">
        <f t="shared" ca="1" si="118"/>
        <v>100</v>
      </c>
      <c r="CK267" s="34">
        <f t="shared" si="119"/>
        <v>0</v>
      </c>
      <c r="CL267" s="21"/>
      <c r="CM267" s="35" t="str">
        <f t="shared" ca="1" si="122"/>
        <v>TERMINADO</v>
      </c>
      <c r="CN267" s="82"/>
      <c r="CO267" s="145" t="s">
        <v>2335</v>
      </c>
      <c r="CP267" s="26" t="s">
        <v>123</v>
      </c>
    </row>
    <row r="268" spans="1:94" ht="24.75" customHeight="1">
      <c r="A268" s="48" t="s">
        <v>2336</v>
      </c>
      <c r="B268" s="77" t="s">
        <v>2337</v>
      </c>
      <c r="C268" s="17" t="s">
        <v>104</v>
      </c>
      <c r="D268" s="18" t="s">
        <v>2338</v>
      </c>
      <c r="E268" s="17" t="s">
        <v>106</v>
      </c>
      <c r="F268" s="17" t="s">
        <v>107</v>
      </c>
      <c r="G268" s="17" t="s">
        <v>108</v>
      </c>
      <c r="H268" s="78">
        <v>1065618020</v>
      </c>
      <c r="I268" s="74" t="s">
        <v>2339</v>
      </c>
      <c r="J268" s="16"/>
      <c r="K268" s="16"/>
      <c r="L268" s="20" t="s">
        <v>1866</v>
      </c>
      <c r="M268" s="16" t="s">
        <v>111</v>
      </c>
      <c r="N268" s="22">
        <v>45314</v>
      </c>
      <c r="O268" s="22">
        <v>45316</v>
      </c>
      <c r="P268" s="115">
        <v>45656</v>
      </c>
      <c r="Q268" s="23">
        <f t="shared" si="120"/>
        <v>340</v>
      </c>
      <c r="R268" s="17" t="s">
        <v>242</v>
      </c>
      <c r="S268" s="110" t="s">
        <v>2340</v>
      </c>
      <c r="T268" s="16" t="s">
        <v>1145</v>
      </c>
      <c r="U268" s="67">
        <v>70716634</v>
      </c>
      <c r="V268" s="16" t="s">
        <v>1389</v>
      </c>
      <c r="W268" s="224">
        <v>70716634</v>
      </c>
      <c r="X268" s="24">
        <v>6131500</v>
      </c>
      <c r="Y268" s="24"/>
      <c r="Z268" s="24"/>
      <c r="AA268" s="17" t="s">
        <v>116</v>
      </c>
      <c r="AB268" s="23" t="str">
        <f>IFERROR(VLOOKUP(AA268,Listas!$A$1:$C$14,2,FALSE),"")</f>
        <v>FREDY CÉSPEDES VILLA</v>
      </c>
      <c r="AC268" s="23">
        <f>IFERROR(VLOOKUP(AA268,Listas!$A$1:$C$14,3,FALSE),"")</f>
        <v>93363483</v>
      </c>
      <c r="AD268" s="17" t="s">
        <v>427</v>
      </c>
      <c r="AE268" s="17" t="s">
        <v>2341</v>
      </c>
      <c r="AF268" s="23" t="str">
        <f>IFERROR(VLOOKUP(AE268,Listas!$AD$1:$AF$66,2,FALSE),"")</f>
        <v>LUIS ALFONSO NIÑO MANCILLA</v>
      </c>
      <c r="AG268" s="23">
        <f>IFERROR(VLOOKUP(AE268,Listas!$AD$1:$AF$65,3,FALSE),"")</f>
        <v>79719453</v>
      </c>
      <c r="AH268" s="17" t="s">
        <v>118</v>
      </c>
      <c r="AI268" s="65" t="s">
        <v>1867</v>
      </c>
      <c r="AJ268" s="25" t="s">
        <v>119</v>
      </c>
      <c r="AK268" s="26" t="s">
        <v>120</v>
      </c>
      <c r="AL268" s="26" t="s">
        <v>120</v>
      </c>
      <c r="AM268" s="90" t="s">
        <v>119</v>
      </c>
      <c r="AN268" s="105">
        <v>32894</v>
      </c>
      <c r="AO268" s="91">
        <f t="shared" ca="1" si="121"/>
        <v>35</v>
      </c>
      <c r="AP268" s="26" t="s">
        <v>121</v>
      </c>
      <c r="AQ268" s="26" t="s">
        <v>1272</v>
      </c>
      <c r="AR268" s="89"/>
      <c r="AS268" s="27"/>
      <c r="AT268" s="16"/>
      <c r="AU268" s="27"/>
      <c r="AV268" s="86"/>
      <c r="AW268" s="27"/>
      <c r="AX268" s="27"/>
      <c r="AY268" s="27"/>
      <c r="AZ268" s="27"/>
      <c r="BA268" s="27"/>
      <c r="BB268" s="27"/>
      <c r="BC268" s="97"/>
      <c r="BD268" s="27"/>
      <c r="BE268" s="16"/>
      <c r="BF268" s="28">
        <f t="shared" si="110"/>
        <v>0</v>
      </c>
      <c r="BG268" s="29"/>
      <c r="BH268" s="27"/>
      <c r="BI268" s="30">
        <f t="shared" si="111"/>
        <v>340</v>
      </c>
      <c r="BJ268" s="31">
        <f t="shared" si="112"/>
        <v>45656</v>
      </c>
      <c r="BK268" s="27"/>
      <c r="BL268" s="16"/>
      <c r="BM268" s="27"/>
      <c r="BN268" s="16"/>
      <c r="BO268" s="27"/>
      <c r="BP268" s="16"/>
      <c r="BQ268" s="27"/>
      <c r="BR268" s="24"/>
      <c r="BS268" s="24"/>
      <c r="BT268" s="32"/>
      <c r="BU268" s="27"/>
      <c r="BV268" s="24"/>
      <c r="BW268" s="24"/>
      <c r="BX268" s="16"/>
      <c r="BY268" s="27"/>
      <c r="BZ268" s="24"/>
      <c r="CA268" s="24"/>
      <c r="CB268" s="16"/>
      <c r="CC268" s="49">
        <f t="shared" si="113"/>
        <v>0</v>
      </c>
      <c r="CD268" s="24"/>
      <c r="CE268" s="49">
        <f t="shared" si="114"/>
        <v>70716634</v>
      </c>
      <c r="CF268" s="50"/>
      <c r="CG268" s="49">
        <f t="shared" ca="1" si="115"/>
        <v>70716634</v>
      </c>
      <c r="CH268" s="33">
        <f t="shared" ca="1" si="116"/>
        <v>1</v>
      </c>
      <c r="CI268" s="33">
        <f t="shared" ca="1" si="117"/>
        <v>1</v>
      </c>
      <c r="CJ268" s="36">
        <f t="shared" ca="1" si="118"/>
        <v>100</v>
      </c>
      <c r="CK268" s="34">
        <f t="shared" si="119"/>
        <v>0</v>
      </c>
      <c r="CL268" s="21"/>
      <c r="CM268" s="35" t="str">
        <f t="shared" ca="1" si="122"/>
        <v>TERMINADO</v>
      </c>
      <c r="CN268" s="82"/>
      <c r="CO268" s="145" t="s">
        <v>2342</v>
      </c>
      <c r="CP268" s="26" t="s">
        <v>123</v>
      </c>
    </row>
    <row r="269" spans="1:94" ht="24.75" customHeight="1">
      <c r="A269" s="48" t="s">
        <v>2343</v>
      </c>
      <c r="B269" s="77" t="s">
        <v>2344</v>
      </c>
      <c r="C269" s="17" t="s">
        <v>104</v>
      </c>
      <c r="D269" s="18" t="s">
        <v>2345</v>
      </c>
      <c r="E269" s="17" t="s">
        <v>106</v>
      </c>
      <c r="F269" s="17" t="s">
        <v>107</v>
      </c>
      <c r="G269" s="17" t="s">
        <v>108</v>
      </c>
      <c r="H269" s="78">
        <v>79846501</v>
      </c>
      <c r="I269" s="74" t="s">
        <v>2346</v>
      </c>
      <c r="J269" s="16"/>
      <c r="K269" s="16"/>
      <c r="L269" s="20" t="s">
        <v>2347</v>
      </c>
      <c r="M269" s="16" t="s">
        <v>111</v>
      </c>
      <c r="N269" s="22">
        <v>45313</v>
      </c>
      <c r="O269" s="22">
        <v>45315</v>
      </c>
      <c r="P269" s="115">
        <v>45656</v>
      </c>
      <c r="Q269" s="23">
        <f t="shared" si="120"/>
        <v>341</v>
      </c>
      <c r="R269" s="17" t="s">
        <v>242</v>
      </c>
      <c r="S269" s="110" t="s">
        <v>2348</v>
      </c>
      <c r="T269" s="16" t="s">
        <v>343</v>
      </c>
      <c r="U269" s="67">
        <v>84337792</v>
      </c>
      <c r="V269" s="16" t="s">
        <v>437</v>
      </c>
      <c r="W269" s="224">
        <v>84337792</v>
      </c>
      <c r="X269" s="24">
        <v>7355040</v>
      </c>
      <c r="Y269" s="24"/>
      <c r="Z269" s="24"/>
      <c r="AA269" s="17" t="s">
        <v>116</v>
      </c>
      <c r="AB269" s="23" t="str">
        <f>IFERROR(VLOOKUP(AA269,Listas!$A$1:$C$14,2,FALSE),"")</f>
        <v>FREDY CÉSPEDES VILLA</v>
      </c>
      <c r="AC269" s="23">
        <f>IFERROR(VLOOKUP(AA269,Listas!$A$1:$C$14,3,FALSE),"")</f>
        <v>93363483</v>
      </c>
      <c r="AD269" s="17" t="s">
        <v>345</v>
      </c>
      <c r="AE269" s="17" t="s">
        <v>632</v>
      </c>
      <c r="AF269" s="23" t="str">
        <f>IFERROR(VLOOKUP(AE269,Listas!$AD$1:$AF$66,2,FALSE),"")</f>
        <v>MANUEL ALBERTO LOZANO CARDONA</v>
      </c>
      <c r="AG269" s="23">
        <f>IFERROR(VLOOKUP(AE269,Listas!$AD$1:$AF$65,3,FALSE),"")</f>
        <v>79940034</v>
      </c>
      <c r="AH269" s="17" t="s">
        <v>118</v>
      </c>
      <c r="AI269" s="65" t="s">
        <v>2349</v>
      </c>
      <c r="AJ269" s="25" t="s">
        <v>119</v>
      </c>
      <c r="AK269" s="26" t="s">
        <v>120</v>
      </c>
      <c r="AL269" s="26" t="s">
        <v>120</v>
      </c>
      <c r="AM269" s="90" t="s">
        <v>119</v>
      </c>
      <c r="AN269" s="105">
        <v>27133</v>
      </c>
      <c r="AO269" s="91">
        <f t="shared" ca="1" si="121"/>
        <v>51</v>
      </c>
      <c r="AP269" s="26" t="s">
        <v>121</v>
      </c>
      <c r="AQ269" s="26" t="s">
        <v>347</v>
      </c>
      <c r="AR269" s="89"/>
      <c r="AS269" s="27"/>
      <c r="AT269" s="16"/>
      <c r="AU269" s="27"/>
      <c r="AV269" s="86"/>
      <c r="AW269" s="27"/>
      <c r="AX269" s="27"/>
      <c r="AY269" s="27"/>
      <c r="AZ269" s="27"/>
      <c r="BA269" s="27"/>
      <c r="BB269" s="27"/>
      <c r="BC269" s="97"/>
      <c r="BD269" s="27"/>
      <c r="BE269" s="16"/>
      <c r="BF269" s="28">
        <f t="shared" si="110"/>
        <v>0</v>
      </c>
      <c r="BG269" s="29"/>
      <c r="BH269" s="27"/>
      <c r="BI269" s="30">
        <f t="shared" si="111"/>
        <v>341</v>
      </c>
      <c r="BJ269" s="31">
        <f t="shared" si="112"/>
        <v>45656</v>
      </c>
      <c r="BK269" s="27"/>
      <c r="BL269" s="16"/>
      <c r="BM269" s="27"/>
      <c r="BN269" s="16"/>
      <c r="BO269" s="27"/>
      <c r="BP269" s="16"/>
      <c r="BQ269" s="27"/>
      <c r="BR269" s="24"/>
      <c r="BS269" s="24"/>
      <c r="BT269" s="32"/>
      <c r="BU269" s="27"/>
      <c r="BV269" s="24"/>
      <c r="BW269" s="24"/>
      <c r="BX269" s="16"/>
      <c r="BY269" s="27"/>
      <c r="BZ269" s="24"/>
      <c r="CA269" s="24"/>
      <c r="CB269" s="16"/>
      <c r="CC269" s="49">
        <f t="shared" si="113"/>
        <v>0</v>
      </c>
      <c r="CD269" s="24"/>
      <c r="CE269" s="49">
        <f t="shared" si="114"/>
        <v>84337792</v>
      </c>
      <c r="CF269" s="50"/>
      <c r="CG269" s="49">
        <f t="shared" ca="1" si="115"/>
        <v>84337792</v>
      </c>
      <c r="CH269" s="33">
        <f t="shared" ca="1" si="116"/>
        <v>1</v>
      </c>
      <c r="CI269" s="33">
        <f t="shared" ca="1" si="117"/>
        <v>1</v>
      </c>
      <c r="CJ269" s="36">
        <f t="shared" ca="1" si="118"/>
        <v>100</v>
      </c>
      <c r="CK269" s="34">
        <f t="shared" si="119"/>
        <v>0</v>
      </c>
      <c r="CL269" s="21"/>
      <c r="CM269" s="35" t="str">
        <f t="shared" ca="1" si="122"/>
        <v>TERMINADO</v>
      </c>
      <c r="CN269" s="82"/>
      <c r="CO269" s="145" t="s">
        <v>2350</v>
      </c>
      <c r="CP269" s="26" t="s">
        <v>142</v>
      </c>
    </row>
    <row r="270" spans="1:94" ht="24.75" customHeight="1">
      <c r="A270" s="48" t="s">
        <v>2351</v>
      </c>
      <c r="B270" s="77" t="s">
        <v>2352</v>
      </c>
      <c r="C270" s="17" t="s">
        <v>104</v>
      </c>
      <c r="D270" s="18" t="s">
        <v>2353</v>
      </c>
      <c r="E270" s="17" t="s">
        <v>106</v>
      </c>
      <c r="F270" s="17" t="s">
        <v>107</v>
      </c>
      <c r="G270" s="17" t="s">
        <v>108</v>
      </c>
      <c r="H270" s="78">
        <v>1022930038</v>
      </c>
      <c r="I270" s="74" t="s">
        <v>2354</v>
      </c>
      <c r="J270" s="16"/>
      <c r="K270" s="16"/>
      <c r="L270" s="20" t="s">
        <v>2355</v>
      </c>
      <c r="M270" s="16" t="s">
        <v>111</v>
      </c>
      <c r="N270" s="22">
        <v>45313</v>
      </c>
      <c r="O270" s="22">
        <v>45315</v>
      </c>
      <c r="P270" s="115">
        <v>45656</v>
      </c>
      <c r="Q270" s="23">
        <f t="shared" si="120"/>
        <v>341</v>
      </c>
      <c r="R270" s="17" t="s">
        <v>242</v>
      </c>
      <c r="S270" s="110" t="s">
        <v>2356</v>
      </c>
      <c r="T270" s="16" t="s">
        <v>343</v>
      </c>
      <c r="U270" s="67">
        <v>66076615</v>
      </c>
      <c r="V270" s="16" t="s">
        <v>437</v>
      </c>
      <c r="W270" s="224">
        <v>66076615</v>
      </c>
      <c r="X270" s="24">
        <v>5762496</v>
      </c>
      <c r="Y270" s="24"/>
      <c r="Z270" s="24"/>
      <c r="AA270" s="17" t="s">
        <v>116</v>
      </c>
      <c r="AB270" s="23" t="str">
        <f>IFERROR(VLOOKUP(AA270,Listas!$A$1:$C$14,2,FALSE),"")</f>
        <v>FREDY CÉSPEDES VILLA</v>
      </c>
      <c r="AC270" s="23">
        <f>IFERROR(VLOOKUP(AA270,Listas!$A$1:$C$14,3,FALSE),"")</f>
        <v>93363483</v>
      </c>
      <c r="AD270" s="17" t="s">
        <v>345</v>
      </c>
      <c r="AE270" s="17" t="s">
        <v>632</v>
      </c>
      <c r="AF270" s="23" t="str">
        <f>IFERROR(VLOOKUP(AE270,Listas!$AD$1:$AF$66,2,FALSE),"")</f>
        <v>MANUEL ALBERTO LOZANO CARDONA</v>
      </c>
      <c r="AG270" s="23">
        <f>IFERROR(VLOOKUP(AE270,Listas!$AD$1:$AF$65,3,FALSE),"")</f>
        <v>79940034</v>
      </c>
      <c r="AH270" s="17" t="s">
        <v>118</v>
      </c>
      <c r="AI270" s="65" t="s">
        <v>2357</v>
      </c>
      <c r="AJ270" s="25" t="s">
        <v>119</v>
      </c>
      <c r="AK270" s="26" t="s">
        <v>120</v>
      </c>
      <c r="AL270" s="26" t="s">
        <v>120</v>
      </c>
      <c r="AM270" s="90" t="s">
        <v>119</v>
      </c>
      <c r="AN270" s="105">
        <v>31548</v>
      </c>
      <c r="AO270" s="91">
        <f t="shared" ca="1" si="121"/>
        <v>39</v>
      </c>
      <c r="AP270" s="26" t="s">
        <v>121</v>
      </c>
      <c r="AQ270" s="26" t="s">
        <v>347</v>
      </c>
      <c r="AR270" s="89"/>
      <c r="AS270" s="27"/>
      <c r="AT270" s="16"/>
      <c r="AU270" s="27"/>
      <c r="AV270" s="86"/>
      <c r="AW270" s="27"/>
      <c r="AX270" s="27"/>
      <c r="AY270" s="27"/>
      <c r="AZ270" s="27"/>
      <c r="BA270" s="27"/>
      <c r="BB270" s="27"/>
      <c r="BC270" s="97"/>
      <c r="BD270" s="27"/>
      <c r="BE270" s="16"/>
      <c r="BF270" s="28">
        <f t="shared" si="110"/>
        <v>0</v>
      </c>
      <c r="BG270" s="29"/>
      <c r="BH270" s="27"/>
      <c r="BI270" s="30">
        <f t="shared" si="111"/>
        <v>341</v>
      </c>
      <c r="BJ270" s="31">
        <f t="shared" si="112"/>
        <v>45656</v>
      </c>
      <c r="BK270" s="27"/>
      <c r="BL270" s="16"/>
      <c r="BM270" s="27"/>
      <c r="BN270" s="16"/>
      <c r="BO270" s="27"/>
      <c r="BP270" s="16"/>
      <c r="BQ270" s="27"/>
      <c r="BR270" s="24"/>
      <c r="BS270" s="24"/>
      <c r="BT270" s="32"/>
      <c r="BU270" s="27"/>
      <c r="BV270" s="24"/>
      <c r="BW270" s="24"/>
      <c r="BX270" s="16"/>
      <c r="BY270" s="27"/>
      <c r="BZ270" s="24"/>
      <c r="CA270" s="24"/>
      <c r="CB270" s="16"/>
      <c r="CC270" s="49">
        <f t="shared" si="113"/>
        <v>0</v>
      </c>
      <c r="CD270" s="24"/>
      <c r="CE270" s="49">
        <f t="shared" si="114"/>
        <v>66076615</v>
      </c>
      <c r="CF270" s="50"/>
      <c r="CG270" s="49">
        <f t="shared" ca="1" si="115"/>
        <v>66076615</v>
      </c>
      <c r="CH270" s="33">
        <f t="shared" ca="1" si="116"/>
        <v>1</v>
      </c>
      <c r="CI270" s="33">
        <f t="shared" ca="1" si="117"/>
        <v>1</v>
      </c>
      <c r="CJ270" s="36">
        <f t="shared" ca="1" si="118"/>
        <v>100</v>
      </c>
      <c r="CK270" s="34">
        <f t="shared" si="119"/>
        <v>0</v>
      </c>
      <c r="CL270" s="21"/>
      <c r="CM270" s="35" t="str">
        <f t="shared" ca="1" si="122"/>
        <v>TERMINADO</v>
      </c>
      <c r="CN270" s="82"/>
      <c r="CO270" s="145" t="s">
        <v>2358</v>
      </c>
      <c r="CP270" s="26" t="s">
        <v>142</v>
      </c>
    </row>
    <row r="271" spans="1:94" ht="24.75" customHeight="1">
      <c r="A271" s="48" t="s">
        <v>2359</v>
      </c>
      <c r="B271" s="77" t="s">
        <v>2360</v>
      </c>
      <c r="C271" s="17" t="s">
        <v>104</v>
      </c>
      <c r="D271" s="18" t="s">
        <v>2361</v>
      </c>
      <c r="E271" s="17" t="s">
        <v>106</v>
      </c>
      <c r="F271" s="17" t="s">
        <v>107</v>
      </c>
      <c r="G271" s="17" t="s">
        <v>108</v>
      </c>
      <c r="H271" s="78">
        <v>53161598</v>
      </c>
      <c r="I271" s="74" t="s">
        <v>2362</v>
      </c>
      <c r="J271" s="16"/>
      <c r="K271" s="16"/>
      <c r="L271" s="20" t="s">
        <v>2355</v>
      </c>
      <c r="M271" s="16" t="s">
        <v>111</v>
      </c>
      <c r="N271" s="22">
        <v>45313</v>
      </c>
      <c r="O271" s="22">
        <v>45317</v>
      </c>
      <c r="P271" s="115">
        <v>45656</v>
      </c>
      <c r="Q271" s="23">
        <f t="shared" si="120"/>
        <v>339</v>
      </c>
      <c r="R271" s="17" t="s">
        <v>242</v>
      </c>
      <c r="S271" s="110" t="s">
        <v>2363</v>
      </c>
      <c r="T271" s="16" t="s">
        <v>343</v>
      </c>
      <c r="U271" s="67">
        <v>65692449</v>
      </c>
      <c r="V271" s="16" t="s">
        <v>437</v>
      </c>
      <c r="W271" s="224">
        <v>65692449</v>
      </c>
      <c r="X271" s="24">
        <v>5762496</v>
      </c>
      <c r="Y271" s="24"/>
      <c r="Z271" s="24"/>
      <c r="AA271" s="17" t="s">
        <v>116</v>
      </c>
      <c r="AB271" s="23" t="str">
        <f>IFERROR(VLOOKUP(AA271,Listas!$A$1:$C$14,2,FALSE),"")</f>
        <v>FREDY CÉSPEDES VILLA</v>
      </c>
      <c r="AC271" s="23">
        <f>IFERROR(VLOOKUP(AA271,Listas!$A$1:$C$14,3,FALSE),"")</f>
        <v>93363483</v>
      </c>
      <c r="AD271" s="17" t="s">
        <v>345</v>
      </c>
      <c r="AE271" s="17" t="s">
        <v>632</v>
      </c>
      <c r="AF271" s="23" t="str">
        <f>IFERROR(VLOOKUP(AE271,Listas!$AD$1:$AF$66,2,FALSE),"")</f>
        <v>MANUEL ALBERTO LOZANO CARDONA</v>
      </c>
      <c r="AG271" s="23">
        <f>IFERROR(VLOOKUP(AE271,Listas!$AD$1:$AF$65,3,FALSE),"")</f>
        <v>79940034</v>
      </c>
      <c r="AH271" s="17" t="s">
        <v>118</v>
      </c>
      <c r="AI271" s="65" t="s">
        <v>2364</v>
      </c>
      <c r="AJ271" s="25" t="s">
        <v>119</v>
      </c>
      <c r="AK271" s="26" t="s">
        <v>120</v>
      </c>
      <c r="AL271" s="26" t="s">
        <v>120</v>
      </c>
      <c r="AM271" s="90" t="s">
        <v>119</v>
      </c>
      <c r="AN271" s="105">
        <v>31425</v>
      </c>
      <c r="AO271" s="91">
        <f t="shared" ca="1" si="121"/>
        <v>39</v>
      </c>
      <c r="AP271" s="26" t="s">
        <v>121</v>
      </c>
      <c r="AQ271" s="26" t="s">
        <v>347</v>
      </c>
      <c r="AR271" s="89"/>
      <c r="AS271" s="27"/>
      <c r="AT271" s="16"/>
      <c r="AU271" s="27"/>
      <c r="AV271" s="86"/>
      <c r="AW271" s="27"/>
      <c r="AX271" s="27"/>
      <c r="AY271" s="27"/>
      <c r="AZ271" s="27"/>
      <c r="BA271" s="27"/>
      <c r="BB271" s="27"/>
      <c r="BC271" s="97"/>
      <c r="BD271" s="27"/>
      <c r="BE271" s="16"/>
      <c r="BF271" s="28">
        <f t="shared" si="110"/>
        <v>0</v>
      </c>
      <c r="BG271" s="29"/>
      <c r="BH271" s="27"/>
      <c r="BI271" s="30">
        <f t="shared" si="111"/>
        <v>339</v>
      </c>
      <c r="BJ271" s="31">
        <f t="shared" si="112"/>
        <v>45656</v>
      </c>
      <c r="BK271" s="27"/>
      <c r="BL271" s="16"/>
      <c r="BM271" s="27"/>
      <c r="BN271" s="16"/>
      <c r="BO271" s="27"/>
      <c r="BP271" s="16"/>
      <c r="BQ271" s="27"/>
      <c r="BR271" s="24"/>
      <c r="BS271" s="24"/>
      <c r="BT271" s="32"/>
      <c r="BU271" s="27"/>
      <c r="BV271" s="24"/>
      <c r="BW271" s="24"/>
      <c r="BX271" s="16"/>
      <c r="BY271" s="27"/>
      <c r="BZ271" s="24"/>
      <c r="CA271" s="24"/>
      <c r="CB271" s="16"/>
      <c r="CC271" s="49">
        <f t="shared" si="113"/>
        <v>0</v>
      </c>
      <c r="CD271" s="24"/>
      <c r="CE271" s="49">
        <f t="shared" si="114"/>
        <v>65692449</v>
      </c>
      <c r="CF271" s="50"/>
      <c r="CG271" s="49">
        <f t="shared" ca="1" si="115"/>
        <v>65692449</v>
      </c>
      <c r="CH271" s="33">
        <f t="shared" ca="1" si="116"/>
        <v>1</v>
      </c>
      <c r="CI271" s="33">
        <f t="shared" ca="1" si="117"/>
        <v>1</v>
      </c>
      <c r="CJ271" s="36">
        <f t="shared" ca="1" si="118"/>
        <v>100</v>
      </c>
      <c r="CK271" s="34">
        <f t="shared" si="119"/>
        <v>0</v>
      </c>
      <c r="CL271" s="21"/>
      <c r="CM271" s="35" t="str">
        <f t="shared" ca="1" si="122"/>
        <v>TERMINADO</v>
      </c>
      <c r="CN271" s="82"/>
      <c r="CO271" s="145" t="s">
        <v>2365</v>
      </c>
      <c r="CP271" s="26" t="s">
        <v>123</v>
      </c>
    </row>
    <row r="272" spans="1:94" ht="24.75" customHeight="1">
      <c r="A272" s="48" t="s">
        <v>2366</v>
      </c>
      <c r="B272" s="77" t="s">
        <v>2367</v>
      </c>
      <c r="C272" s="17" t="s">
        <v>104</v>
      </c>
      <c r="D272" s="18" t="s">
        <v>2368</v>
      </c>
      <c r="E272" s="17" t="s">
        <v>106</v>
      </c>
      <c r="F272" s="17" t="s">
        <v>107</v>
      </c>
      <c r="G272" s="17" t="s">
        <v>108</v>
      </c>
      <c r="H272" s="78">
        <v>1030555424</v>
      </c>
      <c r="I272" s="74" t="s">
        <v>2369</v>
      </c>
      <c r="J272" s="16"/>
      <c r="K272" s="16"/>
      <c r="L272" s="20" t="s">
        <v>2370</v>
      </c>
      <c r="M272" s="16" t="s">
        <v>111</v>
      </c>
      <c r="N272" s="22">
        <v>45314</v>
      </c>
      <c r="O272" s="22">
        <v>45321</v>
      </c>
      <c r="P272" s="115">
        <v>45656</v>
      </c>
      <c r="Q272" s="23">
        <f t="shared" si="120"/>
        <v>335</v>
      </c>
      <c r="R272" s="17" t="s">
        <v>242</v>
      </c>
      <c r="S272" s="110" t="s">
        <v>2371</v>
      </c>
      <c r="T272" s="16" t="s">
        <v>2372</v>
      </c>
      <c r="U272" s="67">
        <v>51641771</v>
      </c>
      <c r="V272" s="16" t="s">
        <v>2373</v>
      </c>
      <c r="W272" s="224">
        <v>51641771</v>
      </c>
      <c r="X272" s="24">
        <v>4413826</v>
      </c>
      <c r="Y272" s="24"/>
      <c r="Z272" s="24"/>
      <c r="AA272" s="17" t="s">
        <v>116</v>
      </c>
      <c r="AB272" s="23" t="str">
        <f>IFERROR(VLOOKUP(AA272,Listas!$A$1:$C$14,2,FALSE),"")</f>
        <v>FREDY CÉSPEDES VILLA</v>
      </c>
      <c r="AC272" s="23">
        <f>IFERROR(VLOOKUP(AA272,Listas!$A$1:$C$14,3,FALSE),"")</f>
        <v>93363483</v>
      </c>
      <c r="AD272" s="17" t="s">
        <v>588</v>
      </c>
      <c r="AE272" s="17" t="s">
        <v>589</v>
      </c>
      <c r="AF272" s="23" t="str">
        <f>IFERROR(VLOOKUP(AE272,Listas!$AD$1:$AF$66,2,FALSE),"")</f>
        <v>ANA LUCY CASTRO CASTRO</v>
      </c>
      <c r="AG272" s="23">
        <f>IFERROR(VLOOKUP(AE272,Listas!$AD$1:$AF$65,3,FALSE),"")</f>
        <v>51743499</v>
      </c>
      <c r="AH272" s="17" t="s">
        <v>118</v>
      </c>
      <c r="AI272" s="65" t="s">
        <v>2374</v>
      </c>
      <c r="AJ272" s="25" t="s">
        <v>119</v>
      </c>
      <c r="AK272" s="26" t="s">
        <v>120</v>
      </c>
      <c r="AL272" s="26" t="s">
        <v>120</v>
      </c>
      <c r="AM272" s="90" t="s">
        <v>119</v>
      </c>
      <c r="AN272" s="105">
        <v>32596</v>
      </c>
      <c r="AO272" s="91">
        <f t="shared" ca="1" si="121"/>
        <v>36</v>
      </c>
      <c r="AP272" s="26" t="s">
        <v>121</v>
      </c>
      <c r="AQ272" s="26" t="s">
        <v>486</v>
      </c>
      <c r="AR272" s="89"/>
      <c r="AS272" s="27"/>
      <c r="AT272" s="16"/>
      <c r="AU272" s="27"/>
      <c r="AV272" s="86"/>
      <c r="AW272" s="27"/>
      <c r="AX272" s="27"/>
      <c r="AY272" s="27"/>
      <c r="AZ272" s="27"/>
      <c r="BA272" s="27"/>
      <c r="BB272" s="27"/>
      <c r="BC272" s="97"/>
      <c r="BD272" s="27"/>
      <c r="BE272" s="16"/>
      <c r="BF272" s="28">
        <f t="shared" si="110"/>
        <v>0</v>
      </c>
      <c r="BG272" s="29"/>
      <c r="BH272" s="27"/>
      <c r="BI272" s="30">
        <f t="shared" si="111"/>
        <v>335</v>
      </c>
      <c r="BJ272" s="31">
        <f t="shared" si="112"/>
        <v>45656</v>
      </c>
      <c r="BK272" s="27"/>
      <c r="BL272" s="16"/>
      <c r="BM272" s="27"/>
      <c r="BN272" s="16"/>
      <c r="BO272" s="27"/>
      <c r="BP272" s="16"/>
      <c r="BQ272" s="27"/>
      <c r="BR272" s="24"/>
      <c r="BS272" s="24"/>
      <c r="BT272" s="32"/>
      <c r="BU272" s="27"/>
      <c r="BV272" s="24"/>
      <c r="BW272" s="24"/>
      <c r="BX272" s="16"/>
      <c r="BY272" s="27"/>
      <c r="BZ272" s="24"/>
      <c r="CA272" s="24"/>
      <c r="CB272" s="16"/>
      <c r="CC272" s="49">
        <f t="shared" si="113"/>
        <v>0</v>
      </c>
      <c r="CD272" s="24"/>
      <c r="CE272" s="49">
        <f t="shared" si="114"/>
        <v>51641771</v>
      </c>
      <c r="CF272" s="50"/>
      <c r="CG272" s="49">
        <f t="shared" ca="1" si="115"/>
        <v>51641771</v>
      </c>
      <c r="CH272" s="33">
        <f t="shared" ca="1" si="116"/>
        <v>1</v>
      </c>
      <c r="CI272" s="33">
        <f t="shared" ca="1" si="117"/>
        <v>1</v>
      </c>
      <c r="CJ272" s="36">
        <f t="shared" ca="1" si="118"/>
        <v>100</v>
      </c>
      <c r="CK272" s="34">
        <f t="shared" si="119"/>
        <v>0</v>
      </c>
      <c r="CL272" s="21"/>
      <c r="CM272" s="35" t="str">
        <f t="shared" ca="1" si="122"/>
        <v>TERMINADO</v>
      </c>
      <c r="CN272" s="82"/>
      <c r="CO272" s="145" t="s">
        <v>2375</v>
      </c>
      <c r="CP272" s="26" t="s">
        <v>123</v>
      </c>
    </row>
    <row r="273" spans="1:94" ht="24.75" customHeight="1">
      <c r="A273" s="48" t="s">
        <v>2376</v>
      </c>
      <c r="B273" s="77" t="s">
        <v>2377</v>
      </c>
      <c r="C273" s="17" t="s">
        <v>104</v>
      </c>
      <c r="D273" s="18" t="s">
        <v>2378</v>
      </c>
      <c r="E273" s="17" t="s">
        <v>106</v>
      </c>
      <c r="F273" s="17" t="s">
        <v>107</v>
      </c>
      <c r="G273" s="17" t="s">
        <v>108</v>
      </c>
      <c r="H273" s="78">
        <v>1071578321</v>
      </c>
      <c r="I273" s="74" t="s">
        <v>2379</v>
      </c>
      <c r="J273" s="16"/>
      <c r="K273" s="16"/>
      <c r="L273" s="20" t="s">
        <v>2380</v>
      </c>
      <c r="M273" s="16" t="s">
        <v>111</v>
      </c>
      <c r="N273" s="22">
        <v>45314</v>
      </c>
      <c r="O273" s="22">
        <v>45315</v>
      </c>
      <c r="P273" s="115">
        <v>45656</v>
      </c>
      <c r="Q273" s="23">
        <f t="shared" si="120"/>
        <v>341</v>
      </c>
      <c r="R273" s="17" t="s">
        <v>242</v>
      </c>
      <c r="S273" s="110" t="s">
        <v>2381</v>
      </c>
      <c r="T273" s="119" t="s">
        <v>343</v>
      </c>
      <c r="U273" s="67">
        <v>84385825</v>
      </c>
      <c r="V273" s="16" t="s">
        <v>2382</v>
      </c>
      <c r="W273" s="224">
        <v>84385825</v>
      </c>
      <c r="X273" s="24">
        <v>7111165</v>
      </c>
      <c r="Y273" s="24"/>
      <c r="Z273" s="24"/>
      <c r="AA273" s="17" t="s">
        <v>116</v>
      </c>
      <c r="AB273" s="23" t="str">
        <f>IFERROR(VLOOKUP(AA273,Listas!$A$1:$C$14,2,FALSE),"")</f>
        <v>FREDY CÉSPEDES VILLA</v>
      </c>
      <c r="AC273" s="23">
        <f>IFERROR(VLOOKUP(AA273,Listas!$A$1:$C$14,3,FALSE),"")</f>
        <v>93363483</v>
      </c>
      <c r="AD273" s="17" t="s">
        <v>1533</v>
      </c>
      <c r="AE273" s="17" t="s">
        <v>1534</v>
      </c>
      <c r="AF273" s="23" t="str">
        <f>IFERROR(VLOOKUP(AE273,Listas!$AD$1:$AF$66,2,FALSE),"")</f>
        <v>ESTEBAN GUERRERO ALVAREZ</v>
      </c>
      <c r="AG273" s="23">
        <f>IFERROR(VLOOKUP(AE273,Listas!$AD$1:$AF$65,3,FALSE),"")</f>
        <v>1032460552</v>
      </c>
      <c r="AH273" s="17" t="s">
        <v>118</v>
      </c>
      <c r="AI273" s="65" t="s">
        <v>2383</v>
      </c>
      <c r="AJ273" s="25" t="s">
        <v>119</v>
      </c>
      <c r="AK273" s="26" t="s">
        <v>120</v>
      </c>
      <c r="AL273" s="26" t="s">
        <v>120</v>
      </c>
      <c r="AM273" s="90" t="s">
        <v>119</v>
      </c>
      <c r="AN273" s="105">
        <v>31619</v>
      </c>
      <c r="AO273" s="91">
        <f t="shared" ca="1" si="121"/>
        <v>39</v>
      </c>
      <c r="AP273" s="26" t="s">
        <v>121</v>
      </c>
      <c r="AQ273" s="26" t="s">
        <v>327</v>
      </c>
      <c r="AR273" s="89"/>
      <c r="AS273" s="27"/>
      <c r="AT273" s="16"/>
      <c r="AU273" s="27"/>
      <c r="AV273" s="86"/>
      <c r="AW273" s="27"/>
      <c r="AX273" s="27"/>
      <c r="AY273" s="27"/>
      <c r="AZ273" s="27"/>
      <c r="BA273" s="27"/>
      <c r="BB273" s="27"/>
      <c r="BC273" s="97"/>
      <c r="BD273" s="27"/>
      <c r="BE273" s="16"/>
      <c r="BF273" s="28">
        <f t="shared" ref="BF273:BF304" si="123">BC273+BE273</f>
        <v>0</v>
      </c>
      <c r="BG273" s="29"/>
      <c r="BH273" s="27"/>
      <c r="BI273" s="30">
        <f t="shared" ref="BI273:BI304" si="124">BF273+Q273</f>
        <v>341</v>
      </c>
      <c r="BJ273" s="31">
        <f t="shared" ref="BJ273:BJ304" si="125">IF(BH273="",P273+BF273,BH273)</f>
        <v>45656</v>
      </c>
      <c r="BK273" s="27"/>
      <c r="BL273" s="16"/>
      <c r="BM273" s="27"/>
      <c r="BN273" s="16"/>
      <c r="BO273" s="27"/>
      <c r="BP273" s="16"/>
      <c r="BQ273" s="27"/>
      <c r="BR273" s="24"/>
      <c r="BS273" s="24"/>
      <c r="BT273" s="32"/>
      <c r="BU273" s="27"/>
      <c r="BV273" s="24"/>
      <c r="BW273" s="24"/>
      <c r="BX273" s="16"/>
      <c r="BY273" s="27"/>
      <c r="BZ273" s="24"/>
      <c r="CA273" s="24"/>
      <c r="CB273" s="16"/>
      <c r="CC273" s="49">
        <f t="shared" ref="CC273:CC304" si="126">BR273+BV273+BZ273</f>
        <v>0</v>
      </c>
      <c r="CD273" s="24"/>
      <c r="CE273" s="49">
        <f t="shared" ref="CE273:CE304" si="127">IF(Y273=0,(W273+CC273)-CD273,IF(Y273&gt;0,(Y273+CC273)-CD273))</f>
        <v>84385825</v>
      </c>
      <c r="CF273" s="50"/>
      <c r="CG273" s="49">
        <f t="shared" ref="CG273:CG304" ca="1" si="128">IFERROR(IF(((CE273/BI273)*(TODAY()-N273))&gt;CE273,CE273,((CE273/BI273)*(TODAY()-N273))),"")</f>
        <v>84385825</v>
      </c>
      <c r="CH273" s="33">
        <f t="shared" ref="CH273:CH304" ca="1" si="129">IF(TODAY()&gt;BJ273,1,+(DAYS360(O273,TODAY())/DAYS360(O273,BJ273)))</f>
        <v>1</v>
      </c>
      <c r="CI273" s="33">
        <f t="shared" ref="CI273:CI304" ca="1" si="130">+IF(CL273&gt;0,DAYS360(O273,CL273)/DAYS360(O273,BJ273),CH273)</f>
        <v>1</v>
      </c>
      <c r="CJ273" s="36">
        <f t="shared" ref="CJ273:CJ304" ca="1" si="131">IFERROR(IF(((CG273/CE273)*100)&gt;100,100,((CG273/CE273)*100)),"")</f>
        <v>100</v>
      </c>
      <c r="CK273" s="34">
        <f t="shared" ref="CK273:CK304" si="132">IFERROR((CF273/CE273)*100,"")</f>
        <v>0</v>
      </c>
      <c r="CL273" s="21"/>
      <c r="CM273" s="35" t="str">
        <f t="shared" ca="1" si="122"/>
        <v>TERMINADO</v>
      </c>
      <c r="CN273" s="82"/>
      <c r="CO273" s="145" t="s">
        <v>2384</v>
      </c>
      <c r="CP273" s="26" t="s">
        <v>123</v>
      </c>
    </row>
    <row r="274" spans="1:94" ht="24.75" customHeight="1">
      <c r="A274" s="48" t="s">
        <v>2385</v>
      </c>
      <c r="B274" s="77" t="s">
        <v>2386</v>
      </c>
      <c r="C274" s="17" t="s">
        <v>104</v>
      </c>
      <c r="D274" s="18" t="s">
        <v>2387</v>
      </c>
      <c r="E274" s="17" t="s">
        <v>106</v>
      </c>
      <c r="F274" s="17" t="s">
        <v>107</v>
      </c>
      <c r="G274" s="17" t="s">
        <v>108</v>
      </c>
      <c r="H274" s="78">
        <v>52816943</v>
      </c>
      <c r="I274" s="74" t="s">
        <v>2388</v>
      </c>
      <c r="J274" s="16"/>
      <c r="K274" s="16"/>
      <c r="L274" s="20" t="s">
        <v>2389</v>
      </c>
      <c r="M274" s="16" t="s">
        <v>111</v>
      </c>
      <c r="N274" s="22">
        <v>45314</v>
      </c>
      <c r="O274" s="22">
        <v>45314</v>
      </c>
      <c r="P274" s="115">
        <v>45626</v>
      </c>
      <c r="Q274" s="23">
        <f t="shared" si="120"/>
        <v>312</v>
      </c>
      <c r="R274" s="17" t="s">
        <v>242</v>
      </c>
      <c r="S274" s="117" t="s">
        <v>2390</v>
      </c>
      <c r="T274" s="116" t="s">
        <v>1128</v>
      </c>
      <c r="U274" s="118">
        <v>142740000</v>
      </c>
      <c r="V274" s="16" t="s">
        <v>815</v>
      </c>
      <c r="W274" s="224">
        <v>142740000</v>
      </c>
      <c r="X274" s="24">
        <v>13750000</v>
      </c>
      <c r="Y274" s="24"/>
      <c r="Z274" s="24"/>
      <c r="AA274" s="17" t="s">
        <v>116</v>
      </c>
      <c r="AB274" s="23" t="str">
        <f>IFERROR(VLOOKUP(AA274,Listas!$A$1:$C$14,2,FALSE),"")</f>
        <v>FREDY CÉSPEDES VILLA</v>
      </c>
      <c r="AC274" s="23">
        <f>IFERROR(VLOOKUP(AA274,Listas!$A$1:$C$14,3,FALSE),"")</f>
        <v>93363483</v>
      </c>
      <c r="AD274" s="17" t="s">
        <v>816</v>
      </c>
      <c r="AE274" s="17" t="s">
        <v>1450</v>
      </c>
      <c r="AF274" s="23" t="str">
        <f>IFERROR(VLOOKUP(AE274,Listas!$AD$1:$AF$66,2,FALSE),"")</f>
        <v>LINA MARIA CRUZ SILVA</v>
      </c>
      <c r="AG274" s="23">
        <f>IFERROR(VLOOKUP(AE274,Listas!$AD$1:$AF$65,3,FALSE),"")</f>
        <v>52423537</v>
      </c>
      <c r="AH274" s="17" t="s">
        <v>118</v>
      </c>
      <c r="AI274" s="65" t="s">
        <v>2391</v>
      </c>
      <c r="AJ274" s="25" t="s">
        <v>119</v>
      </c>
      <c r="AK274" s="26" t="s">
        <v>120</v>
      </c>
      <c r="AL274" s="26" t="s">
        <v>120</v>
      </c>
      <c r="AM274" s="90" t="s">
        <v>119</v>
      </c>
      <c r="AN274" s="105">
        <v>30299</v>
      </c>
      <c r="AO274" s="91">
        <f t="shared" ca="1" si="121"/>
        <v>43</v>
      </c>
      <c r="AP274" s="26" t="s">
        <v>121</v>
      </c>
      <c r="AQ274" s="26" t="s">
        <v>515</v>
      </c>
      <c r="AR274" s="89"/>
      <c r="AS274" s="27"/>
      <c r="AT274" s="16"/>
      <c r="AU274" s="27"/>
      <c r="AV274" s="86"/>
      <c r="AW274" s="27"/>
      <c r="AX274" s="27"/>
      <c r="AY274" s="27"/>
      <c r="AZ274" s="27"/>
      <c r="BA274" s="27"/>
      <c r="BB274" s="27"/>
      <c r="BC274" s="97"/>
      <c r="BD274" s="27"/>
      <c r="BE274" s="16"/>
      <c r="BF274" s="28">
        <f t="shared" si="123"/>
        <v>0</v>
      </c>
      <c r="BG274" s="29"/>
      <c r="BH274" s="27"/>
      <c r="BI274" s="30">
        <f t="shared" si="124"/>
        <v>312</v>
      </c>
      <c r="BJ274" s="31">
        <f t="shared" si="125"/>
        <v>45626</v>
      </c>
      <c r="BK274" s="27"/>
      <c r="BL274" s="16"/>
      <c r="BM274" s="27"/>
      <c r="BN274" s="16"/>
      <c r="BO274" s="27"/>
      <c r="BP274" s="16"/>
      <c r="BQ274" s="27"/>
      <c r="BR274" s="24"/>
      <c r="BS274" s="24"/>
      <c r="BT274" s="32"/>
      <c r="BU274" s="27"/>
      <c r="BV274" s="24"/>
      <c r="BW274" s="24"/>
      <c r="BX274" s="16"/>
      <c r="BY274" s="27"/>
      <c r="BZ274" s="24"/>
      <c r="CA274" s="24"/>
      <c r="CB274" s="16"/>
      <c r="CC274" s="49">
        <f t="shared" si="126"/>
        <v>0</v>
      </c>
      <c r="CD274" s="24"/>
      <c r="CE274" s="49">
        <f t="shared" si="127"/>
        <v>142740000</v>
      </c>
      <c r="CF274" s="50"/>
      <c r="CG274" s="49">
        <f t="shared" ca="1" si="128"/>
        <v>142740000</v>
      </c>
      <c r="CH274" s="33">
        <f t="shared" ca="1" si="129"/>
        <v>1</v>
      </c>
      <c r="CI274" s="33">
        <f t="shared" ca="1" si="130"/>
        <v>1</v>
      </c>
      <c r="CJ274" s="36">
        <f t="shared" ca="1" si="131"/>
        <v>100</v>
      </c>
      <c r="CK274" s="34">
        <f t="shared" si="132"/>
        <v>0</v>
      </c>
      <c r="CL274" s="21"/>
      <c r="CM274" s="35" t="str">
        <f t="shared" ca="1" si="122"/>
        <v>TERMINADO</v>
      </c>
      <c r="CN274" s="82"/>
      <c r="CO274" s="145" t="s">
        <v>2392</v>
      </c>
      <c r="CP274" s="26" t="s">
        <v>123</v>
      </c>
    </row>
    <row r="275" spans="1:94" ht="24.75" customHeight="1">
      <c r="A275" s="48" t="s">
        <v>2393</v>
      </c>
      <c r="B275" s="77" t="s">
        <v>2394</v>
      </c>
      <c r="C275" s="17" t="s">
        <v>104</v>
      </c>
      <c r="D275" s="18" t="s">
        <v>2395</v>
      </c>
      <c r="E275" s="17" t="s">
        <v>106</v>
      </c>
      <c r="F275" s="17" t="s">
        <v>107</v>
      </c>
      <c r="G275" s="17" t="s">
        <v>108</v>
      </c>
      <c r="H275" s="78">
        <v>80171802</v>
      </c>
      <c r="I275" s="74" t="s">
        <v>2396</v>
      </c>
      <c r="J275" s="16"/>
      <c r="K275" s="16"/>
      <c r="L275" s="20" t="s">
        <v>2397</v>
      </c>
      <c r="M275" s="16" t="s">
        <v>111</v>
      </c>
      <c r="N275" s="22">
        <v>45315</v>
      </c>
      <c r="O275" s="22">
        <v>45322</v>
      </c>
      <c r="P275" s="115">
        <v>45656</v>
      </c>
      <c r="Q275" s="23">
        <f t="shared" si="120"/>
        <v>334</v>
      </c>
      <c r="R275" s="17" t="s">
        <v>242</v>
      </c>
      <c r="S275" s="117" t="s">
        <v>2317</v>
      </c>
      <c r="T275" s="116" t="s">
        <v>949</v>
      </c>
      <c r="U275" s="118">
        <v>85333976</v>
      </c>
      <c r="V275" s="16" t="s">
        <v>1071</v>
      </c>
      <c r="W275" s="224">
        <v>85333976</v>
      </c>
      <c r="X275" s="24">
        <v>7111164</v>
      </c>
      <c r="Y275" s="24"/>
      <c r="Z275" s="24"/>
      <c r="AA275" s="17" t="s">
        <v>116</v>
      </c>
      <c r="AB275" s="23" t="str">
        <f>IFERROR(VLOOKUP(AA275,Listas!$A$1:$C$14,2,FALSE),"")</f>
        <v>FREDY CÉSPEDES VILLA</v>
      </c>
      <c r="AC275" s="23">
        <f>IFERROR(VLOOKUP(AA275,Listas!$A$1:$C$14,3,FALSE),"")</f>
        <v>93363483</v>
      </c>
      <c r="AD275" s="17" t="s">
        <v>951</v>
      </c>
      <c r="AE275" s="17" t="s">
        <v>952</v>
      </c>
      <c r="AF275" s="23" t="str">
        <f>IFERROR(VLOOKUP(AE275,Listas!$AD$1:$AF$66,2,FALSE),"")</f>
        <v>ANDRES MAURICIO LUQUE AYALA</v>
      </c>
      <c r="AG275" s="23">
        <f>IFERROR(VLOOKUP(AE275,Listas!$AD$1:$AF$65,3,FALSE),"")</f>
        <v>11443937</v>
      </c>
      <c r="AH275" s="17" t="s">
        <v>118</v>
      </c>
      <c r="AI275" s="65" t="s">
        <v>2398</v>
      </c>
      <c r="AJ275" s="25" t="s">
        <v>119</v>
      </c>
      <c r="AK275" s="26" t="s">
        <v>120</v>
      </c>
      <c r="AL275" s="26" t="s">
        <v>120</v>
      </c>
      <c r="AM275" s="90" t="s">
        <v>119</v>
      </c>
      <c r="AN275" s="105">
        <v>30266</v>
      </c>
      <c r="AO275" s="91">
        <f t="shared" ca="1" si="121"/>
        <v>43</v>
      </c>
      <c r="AP275" s="26" t="s">
        <v>121</v>
      </c>
      <c r="AQ275" s="26" t="s">
        <v>886</v>
      </c>
      <c r="AR275" s="89"/>
      <c r="AS275" s="27"/>
      <c r="AT275" s="16"/>
      <c r="AU275" s="27"/>
      <c r="AV275" s="86"/>
      <c r="AW275" s="27"/>
      <c r="AX275" s="27"/>
      <c r="AY275" s="27"/>
      <c r="AZ275" s="27"/>
      <c r="BA275" s="27"/>
      <c r="BB275" s="27"/>
      <c r="BC275" s="97"/>
      <c r="BD275" s="27"/>
      <c r="BE275" s="16"/>
      <c r="BF275" s="28">
        <f t="shared" si="123"/>
        <v>0</v>
      </c>
      <c r="BG275" s="29"/>
      <c r="BH275" s="27"/>
      <c r="BI275" s="30">
        <f t="shared" si="124"/>
        <v>334</v>
      </c>
      <c r="BJ275" s="31">
        <f t="shared" si="125"/>
        <v>45656</v>
      </c>
      <c r="BK275" s="27"/>
      <c r="BL275" s="16"/>
      <c r="BM275" s="27"/>
      <c r="BN275" s="16"/>
      <c r="BO275" s="27"/>
      <c r="BP275" s="16"/>
      <c r="BQ275" s="27"/>
      <c r="BR275" s="24"/>
      <c r="BS275" s="24"/>
      <c r="BT275" s="32"/>
      <c r="BU275" s="27"/>
      <c r="BV275" s="24"/>
      <c r="BW275" s="24"/>
      <c r="BX275" s="16"/>
      <c r="BY275" s="27"/>
      <c r="BZ275" s="24"/>
      <c r="CA275" s="24"/>
      <c r="CB275" s="16"/>
      <c r="CC275" s="49">
        <f t="shared" si="126"/>
        <v>0</v>
      </c>
      <c r="CD275" s="24"/>
      <c r="CE275" s="49">
        <f t="shared" si="127"/>
        <v>85333976</v>
      </c>
      <c r="CF275" s="50"/>
      <c r="CG275" s="49">
        <f t="shared" ca="1" si="128"/>
        <v>85333976</v>
      </c>
      <c r="CH275" s="33">
        <f t="shared" ca="1" si="129"/>
        <v>1</v>
      </c>
      <c r="CI275" s="33">
        <f t="shared" ca="1" si="130"/>
        <v>1</v>
      </c>
      <c r="CJ275" s="36">
        <f t="shared" ca="1" si="131"/>
        <v>100</v>
      </c>
      <c r="CK275" s="34">
        <f t="shared" si="132"/>
        <v>0</v>
      </c>
      <c r="CL275" s="21"/>
      <c r="CM275" s="35" t="str">
        <f t="shared" ref="CM275:CM306" ca="1" si="133">IF(CL275&gt;1/1/6,"LIQUIDADO",IF(BJ275=0,"",IF(BJ275&gt;=TODAY(),"VIGENTE",IF(BJ275&lt;TODAY(),"TERMINADO",))))</f>
        <v>TERMINADO</v>
      </c>
      <c r="CN275" s="82"/>
      <c r="CO275" s="145" t="s">
        <v>2399</v>
      </c>
      <c r="CP275" s="26" t="s">
        <v>142</v>
      </c>
    </row>
    <row r="276" spans="1:94" ht="24.75" customHeight="1">
      <c r="A276" s="48" t="s">
        <v>2400</v>
      </c>
      <c r="B276" s="77" t="s">
        <v>2401</v>
      </c>
      <c r="C276" s="17" t="s">
        <v>104</v>
      </c>
      <c r="D276" s="18" t="s">
        <v>2402</v>
      </c>
      <c r="E276" s="17" t="s">
        <v>106</v>
      </c>
      <c r="F276" s="17" t="s">
        <v>107</v>
      </c>
      <c r="G276" s="17" t="s">
        <v>108</v>
      </c>
      <c r="H276" s="78">
        <v>80452469</v>
      </c>
      <c r="I276" s="74" t="s">
        <v>2403</v>
      </c>
      <c r="J276" s="16"/>
      <c r="K276" s="16"/>
      <c r="L276" s="20" t="s">
        <v>2404</v>
      </c>
      <c r="M276" s="16" t="s">
        <v>111</v>
      </c>
      <c r="N276" s="22">
        <v>45314</v>
      </c>
      <c r="O276" s="22">
        <v>45321</v>
      </c>
      <c r="P276" s="22">
        <v>45657</v>
      </c>
      <c r="Q276" s="23">
        <f t="shared" si="120"/>
        <v>336</v>
      </c>
      <c r="R276" s="17" t="s">
        <v>112</v>
      </c>
      <c r="S276" s="117" t="s">
        <v>2405</v>
      </c>
      <c r="T276" s="116" t="s">
        <v>254</v>
      </c>
      <c r="U276" s="118">
        <v>64057620</v>
      </c>
      <c r="V276" s="16" t="s">
        <v>1336</v>
      </c>
      <c r="W276" s="224">
        <v>64057620</v>
      </c>
      <c r="X276" s="24">
        <v>5338135</v>
      </c>
      <c r="Y276" s="24"/>
      <c r="Z276" s="24"/>
      <c r="AA276" s="17" t="s">
        <v>116</v>
      </c>
      <c r="AB276" s="23" t="str">
        <f>IFERROR(VLOOKUP(AA276,Listas!$A$1:$C$14,2,FALSE),"")</f>
        <v>FREDY CÉSPEDES VILLA</v>
      </c>
      <c r="AC276" s="23">
        <f>IFERROR(VLOOKUP(AA276,Listas!$A$1:$C$14,3,FALSE),"")</f>
        <v>93363483</v>
      </c>
      <c r="AD276" s="17" t="s">
        <v>217</v>
      </c>
      <c r="AE276" s="17" t="s">
        <v>381</v>
      </c>
      <c r="AF276" s="23" t="str">
        <f>IFERROR(VLOOKUP(AE276,Listas!$AD$1:$AF$66,2,FALSE),"")</f>
        <v>MARINA AZUCENA MEDINA SANDOVAL</v>
      </c>
      <c r="AG276" s="23">
        <f>IFERROR(VLOOKUP(AE276,Listas!$AD$1:$AF$65,3,FALSE),"")</f>
        <v>51842510</v>
      </c>
      <c r="AH276" s="17" t="s">
        <v>118</v>
      </c>
      <c r="AI276" s="65" t="s">
        <v>2406</v>
      </c>
      <c r="AJ276" s="25" t="s">
        <v>119</v>
      </c>
      <c r="AK276" s="26" t="s">
        <v>120</v>
      </c>
      <c r="AL276" s="26" t="s">
        <v>120</v>
      </c>
      <c r="AM276" s="90" t="s">
        <v>119</v>
      </c>
      <c r="AN276" s="105">
        <v>26233</v>
      </c>
      <c r="AO276" s="91">
        <f t="shared" ca="1" si="121"/>
        <v>54</v>
      </c>
      <c r="AP276" s="26" t="s">
        <v>121</v>
      </c>
      <c r="AQ276" s="26" t="s">
        <v>220</v>
      </c>
      <c r="AR276" s="89"/>
      <c r="AS276" s="27"/>
      <c r="AT276" s="16"/>
      <c r="AU276" s="27"/>
      <c r="AV276" s="86"/>
      <c r="AW276" s="27"/>
      <c r="AX276" s="27"/>
      <c r="AY276" s="27"/>
      <c r="AZ276" s="27"/>
      <c r="BA276" s="27"/>
      <c r="BB276" s="27"/>
      <c r="BC276" s="97"/>
      <c r="BD276" s="27"/>
      <c r="BE276" s="16"/>
      <c r="BF276" s="28">
        <f t="shared" si="123"/>
        <v>0</v>
      </c>
      <c r="BG276" s="29"/>
      <c r="BH276" s="27"/>
      <c r="BI276" s="30">
        <f t="shared" si="124"/>
        <v>336</v>
      </c>
      <c r="BJ276" s="31">
        <f t="shared" si="125"/>
        <v>45657</v>
      </c>
      <c r="BK276" s="27"/>
      <c r="BL276" s="16"/>
      <c r="BM276" s="27"/>
      <c r="BN276" s="16"/>
      <c r="BO276" s="27"/>
      <c r="BP276" s="16"/>
      <c r="BQ276" s="27"/>
      <c r="BR276" s="24"/>
      <c r="BS276" s="24"/>
      <c r="BT276" s="32"/>
      <c r="BU276" s="27"/>
      <c r="BV276" s="24"/>
      <c r="BW276" s="24"/>
      <c r="BX276" s="16"/>
      <c r="BY276" s="27"/>
      <c r="BZ276" s="24"/>
      <c r="CA276" s="24"/>
      <c r="CB276" s="16"/>
      <c r="CC276" s="49">
        <f t="shared" si="126"/>
        <v>0</v>
      </c>
      <c r="CD276" s="24"/>
      <c r="CE276" s="49">
        <f t="shared" si="127"/>
        <v>64057620</v>
      </c>
      <c r="CF276" s="50"/>
      <c r="CG276" s="49">
        <f t="shared" ca="1" si="128"/>
        <v>64057620</v>
      </c>
      <c r="CH276" s="33">
        <f t="shared" ca="1" si="129"/>
        <v>1</v>
      </c>
      <c r="CI276" s="33">
        <f t="shared" ca="1" si="130"/>
        <v>1</v>
      </c>
      <c r="CJ276" s="36">
        <f t="shared" ca="1" si="131"/>
        <v>100</v>
      </c>
      <c r="CK276" s="34">
        <f t="shared" si="132"/>
        <v>0</v>
      </c>
      <c r="CL276" s="21"/>
      <c r="CM276" s="35" t="str">
        <f t="shared" ca="1" si="133"/>
        <v>TERMINADO</v>
      </c>
      <c r="CN276" s="82"/>
      <c r="CO276" s="145" t="s">
        <v>2407</v>
      </c>
      <c r="CP276" s="26" t="s">
        <v>142</v>
      </c>
    </row>
    <row r="277" spans="1:94" ht="24.75" customHeight="1">
      <c r="A277" s="48" t="s">
        <v>2408</v>
      </c>
      <c r="B277" s="77" t="s">
        <v>2409</v>
      </c>
      <c r="C277" s="17" t="s">
        <v>104</v>
      </c>
      <c r="D277" s="18" t="s">
        <v>2410</v>
      </c>
      <c r="E277" s="17" t="s">
        <v>106</v>
      </c>
      <c r="F277" s="17" t="s">
        <v>107</v>
      </c>
      <c r="G277" s="17" t="s">
        <v>108</v>
      </c>
      <c r="H277" s="78">
        <v>28788399</v>
      </c>
      <c r="I277" s="74" t="s">
        <v>2411</v>
      </c>
      <c r="J277" s="16"/>
      <c r="K277" s="16"/>
      <c r="L277" s="20" t="s">
        <v>2412</v>
      </c>
      <c r="M277" s="16" t="s">
        <v>111</v>
      </c>
      <c r="N277" s="22">
        <v>45315</v>
      </c>
      <c r="O277" s="22">
        <v>45318</v>
      </c>
      <c r="P277" s="115">
        <v>45656</v>
      </c>
      <c r="Q277" s="23">
        <f t="shared" si="120"/>
        <v>338</v>
      </c>
      <c r="R277" s="17" t="s">
        <v>242</v>
      </c>
      <c r="S277" s="117" t="s">
        <v>2405</v>
      </c>
      <c r="T277" s="116" t="s">
        <v>1470</v>
      </c>
      <c r="U277" s="118">
        <v>108874380</v>
      </c>
      <c r="V277" s="16" t="s">
        <v>1212</v>
      </c>
      <c r="W277" s="224">
        <v>108874380</v>
      </c>
      <c r="X277" s="24">
        <v>9072869</v>
      </c>
      <c r="Y277" s="24"/>
      <c r="Z277" s="24"/>
      <c r="AA277" s="17" t="s">
        <v>116</v>
      </c>
      <c r="AB277" s="23" t="str">
        <f>IFERROR(VLOOKUP(AA277,Listas!$A$1:$C$14,2,FALSE),"")</f>
        <v>FREDY CÉSPEDES VILLA</v>
      </c>
      <c r="AC277" s="23">
        <f>IFERROR(VLOOKUP(AA277,Listas!$A$1:$C$14,3,FALSE),"")</f>
        <v>93363483</v>
      </c>
      <c r="AD277" s="17" t="s">
        <v>577</v>
      </c>
      <c r="AE277" s="17" t="s">
        <v>578</v>
      </c>
      <c r="AF277" s="23" t="str">
        <f>IFERROR(VLOOKUP(AE277,Listas!$AD$1:$AF$66,2,FALSE),"")</f>
        <v>EDGAR FABIO DÍAZ RAMIREZ</v>
      </c>
      <c r="AG277" s="23">
        <f>IFERROR(VLOOKUP(AE277,Listas!$AD$1:$AF$65,3,FALSE),"")</f>
        <v>79537198</v>
      </c>
      <c r="AH277" s="17" t="s">
        <v>118</v>
      </c>
      <c r="AI277" s="65" t="s">
        <v>2413</v>
      </c>
      <c r="AJ277" s="25" t="s">
        <v>119</v>
      </c>
      <c r="AK277" s="26" t="s">
        <v>120</v>
      </c>
      <c r="AL277" s="26" t="s">
        <v>120</v>
      </c>
      <c r="AM277" s="90" t="s">
        <v>119</v>
      </c>
      <c r="AN277" s="105">
        <v>26441</v>
      </c>
      <c r="AO277" s="91">
        <f t="shared" ca="1" si="121"/>
        <v>53</v>
      </c>
      <c r="AP277" s="26" t="s">
        <v>121</v>
      </c>
      <c r="AQ277" s="26" t="s">
        <v>886</v>
      </c>
      <c r="AR277" s="89"/>
      <c r="AS277" s="27"/>
      <c r="AT277" s="16"/>
      <c r="AU277" s="27"/>
      <c r="AV277" s="86"/>
      <c r="AW277" s="27"/>
      <c r="AX277" s="27"/>
      <c r="AY277" s="27"/>
      <c r="AZ277" s="27"/>
      <c r="BA277" s="27"/>
      <c r="BB277" s="27"/>
      <c r="BC277" s="97"/>
      <c r="BD277" s="27"/>
      <c r="BE277" s="16"/>
      <c r="BF277" s="28">
        <f t="shared" si="123"/>
        <v>0</v>
      </c>
      <c r="BG277" s="29"/>
      <c r="BH277" s="27"/>
      <c r="BI277" s="30">
        <f t="shared" si="124"/>
        <v>338</v>
      </c>
      <c r="BJ277" s="31">
        <f t="shared" si="125"/>
        <v>45656</v>
      </c>
      <c r="BK277" s="27"/>
      <c r="BL277" s="16"/>
      <c r="BM277" s="27"/>
      <c r="BN277" s="16"/>
      <c r="BO277" s="27"/>
      <c r="BP277" s="16"/>
      <c r="BQ277" s="27"/>
      <c r="BR277" s="24"/>
      <c r="BS277" s="24"/>
      <c r="BT277" s="32"/>
      <c r="BU277" s="27"/>
      <c r="BV277" s="24"/>
      <c r="BW277" s="24"/>
      <c r="BX277" s="16"/>
      <c r="BY277" s="27"/>
      <c r="BZ277" s="24"/>
      <c r="CA277" s="24"/>
      <c r="CB277" s="16"/>
      <c r="CC277" s="49">
        <f t="shared" si="126"/>
        <v>0</v>
      </c>
      <c r="CD277" s="24"/>
      <c r="CE277" s="49">
        <f t="shared" si="127"/>
        <v>108874380</v>
      </c>
      <c r="CF277" s="50"/>
      <c r="CG277" s="49">
        <f t="shared" ca="1" si="128"/>
        <v>108874380</v>
      </c>
      <c r="CH277" s="33">
        <f t="shared" ca="1" si="129"/>
        <v>1</v>
      </c>
      <c r="CI277" s="33">
        <f t="shared" ca="1" si="130"/>
        <v>1</v>
      </c>
      <c r="CJ277" s="36">
        <f t="shared" ca="1" si="131"/>
        <v>100</v>
      </c>
      <c r="CK277" s="34">
        <f t="shared" si="132"/>
        <v>0</v>
      </c>
      <c r="CL277" s="21"/>
      <c r="CM277" s="35" t="str">
        <f t="shared" ca="1" si="133"/>
        <v>TERMINADO</v>
      </c>
      <c r="CN277" s="82"/>
      <c r="CO277" s="145" t="s">
        <v>2414</v>
      </c>
      <c r="CP277" s="26" t="s">
        <v>123</v>
      </c>
    </row>
    <row r="278" spans="1:94" ht="24.75" customHeight="1">
      <c r="A278" s="48" t="s">
        <v>2415</v>
      </c>
      <c r="B278" s="77" t="s">
        <v>2416</v>
      </c>
      <c r="C278" s="17" t="s">
        <v>104</v>
      </c>
      <c r="D278" s="18" t="s">
        <v>2417</v>
      </c>
      <c r="E278" s="17" t="s">
        <v>106</v>
      </c>
      <c r="F278" s="17" t="s">
        <v>107</v>
      </c>
      <c r="G278" s="17" t="s">
        <v>108</v>
      </c>
      <c r="H278" s="78">
        <v>6130314</v>
      </c>
      <c r="I278" s="234" t="s">
        <v>2418</v>
      </c>
      <c r="J278" s="16"/>
      <c r="K278" s="16"/>
      <c r="L278" s="20" t="s">
        <v>2419</v>
      </c>
      <c r="M278" s="16" t="s">
        <v>111</v>
      </c>
      <c r="N278" s="22">
        <v>45314</v>
      </c>
      <c r="O278" s="22">
        <v>45316</v>
      </c>
      <c r="P278" s="115">
        <v>45656</v>
      </c>
      <c r="Q278" s="23">
        <f t="shared" si="120"/>
        <v>340</v>
      </c>
      <c r="R278" s="17" t="s">
        <v>242</v>
      </c>
      <c r="S278" s="117" t="s">
        <v>2420</v>
      </c>
      <c r="T278" s="116" t="s">
        <v>2051</v>
      </c>
      <c r="U278" s="118">
        <v>73563773</v>
      </c>
      <c r="V278" s="16" t="s">
        <v>753</v>
      </c>
      <c r="W278" s="224">
        <v>73563773</v>
      </c>
      <c r="X278" s="24">
        <v>6130314</v>
      </c>
      <c r="Y278" s="24"/>
      <c r="Z278" s="24"/>
      <c r="AA278" s="17" t="s">
        <v>116</v>
      </c>
      <c r="AB278" s="23" t="str">
        <f>IFERROR(VLOOKUP(AA278,Listas!$A$1:$C$14,2,FALSE),"")</f>
        <v>FREDY CÉSPEDES VILLA</v>
      </c>
      <c r="AC278" s="23">
        <f>IFERROR(VLOOKUP(AA278,Listas!$A$1:$C$14,3,FALSE),"")</f>
        <v>93363483</v>
      </c>
      <c r="AD278" s="17" t="s">
        <v>406</v>
      </c>
      <c r="AE278" s="17" t="s">
        <v>407</v>
      </c>
      <c r="AF278" s="23" t="str">
        <f>IFERROR(VLOOKUP(AE278,Listas!$AD$1:$AF$66,2,FALSE),"")</f>
        <v>MARÍA VICTORIA CAMARGO CORTÉS</v>
      </c>
      <c r="AG278" s="23">
        <f>IFERROR(VLOOKUP(AE278,Listas!$AD$1:$AF$65,3,FALSE),"")</f>
        <v>52496497</v>
      </c>
      <c r="AH278" s="17" t="s">
        <v>118</v>
      </c>
      <c r="AI278" s="65" t="s">
        <v>2052</v>
      </c>
      <c r="AJ278" s="25" t="s">
        <v>119</v>
      </c>
      <c r="AK278" s="26" t="s">
        <v>120</v>
      </c>
      <c r="AL278" s="26" t="s">
        <v>120</v>
      </c>
      <c r="AM278" s="90" t="s">
        <v>119</v>
      </c>
      <c r="AN278" s="105">
        <v>34273</v>
      </c>
      <c r="AO278" s="91">
        <f t="shared" ca="1" si="121"/>
        <v>32</v>
      </c>
      <c r="AP278" s="26" t="s">
        <v>121</v>
      </c>
      <c r="AQ278" s="26" t="s">
        <v>409</v>
      </c>
      <c r="AR278" s="89"/>
      <c r="AS278" s="27"/>
      <c r="AT278" s="16"/>
      <c r="AU278" s="27"/>
      <c r="AV278" s="86"/>
      <c r="AW278" s="27"/>
      <c r="AX278" s="27"/>
      <c r="AY278" s="27"/>
      <c r="AZ278" s="27"/>
      <c r="BA278" s="27"/>
      <c r="BB278" s="27"/>
      <c r="BC278" s="97"/>
      <c r="BD278" s="27"/>
      <c r="BE278" s="16"/>
      <c r="BF278" s="28">
        <f t="shared" si="123"/>
        <v>0</v>
      </c>
      <c r="BG278" s="29"/>
      <c r="BH278" s="27"/>
      <c r="BI278" s="30">
        <f t="shared" si="124"/>
        <v>340</v>
      </c>
      <c r="BJ278" s="31">
        <f t="shared" si="125"/>
        <v>45656</v>
      </c>
      <c r="BK278" s="27"/>
      <c r="BL278" s="16"/>
      <c r="BM278" s="27"/>
      <c r="BN278" s="16"/>
      <c r="BO278" s="27"/>
      <c r="BP278" s="16"/>
      <c r="BQ278" s="27"/>
      <c r="BR278" s="24"/>
      <c r="BS278" s="24"/>
      <c r="BT278" s="32"/>
      <c r="BU278" s="27"/>
      <c r="BV278" s="24"/>
      <c r="BW278" s="24"/>
      <c r="BX278" s="16"/>
      <c r="BY278" s="27"/>
      <c r="BZ278" s="24"/>
      <c r="CA278" s="24"/>
      <c r="CB278" s="16"/>
      <c r="CC278" s="49">
        <f t="shared" si="126"/>
        <v>0</v>
      </c>
      <c r="CD278" s="24"/>
      <c r="CE278" s="49">
        <f t="shared" si="127"/>
        <v>73563773</v>
      </c>
      <c r="CF278" s="50"/>
      <c r="CG278" s="49">
        <f t="shared" ca="1" si="128"/>
        <v>73563773</v>
      </c>
      <c r="CH278" s="33">
        <f t="shared" ca="1" si="129"/>
        <v>1</v>
      </c>
      <c r="CI278" s="33">
        <f t="shared" ca="1" si="130"/>
        <v>1</v>
      </c>
      <c r="CJ278" s="36">
        <f t="shared" ca="1" si="131"/>
        <v>100</v>
      </c>
      <c r="CK278" s="34">
        <f t="shared" si="132"/>
        <v>0</v>
      </c>
      <c r="CL278" s="21"/>
      <c r="CM278" s="35" t="str">
        <f t="shared" ca="1" si="133"/>
        <v>TERMINADO</v>
      </c>
      <c r="CN278" s="82"/>
      <c r="CO278" s="145" t="s">
        <v>2421</v>
      </c>
      <c r="CP278" s="26" t="s">
        <v>123</v>
      </c>
    </row>
    <row r="279" spans="1:94" ht="24.75" customHeight="1">
      <c r="A279" s="48" t="s">
        <v>2422</v>
      </c>
      <c r="B279" s="77" t="s">
        <v>2423</v>
      </c>
      <c r="C279" s="17" t="s">
        <v>104</v>
      </c>
      <c r="D279" s="18" t="s">
        <v>2424</v>
      </c>
      <c r="E279" s="17" t="s">
        <v>106</v>
      </c>
      <c r="F279" s="17" t="s">
        <v>107</v>
      </c>
      <c r="G279" s="17" t="s">
        <v>108</v>
      </c>
      <c r="H279" s="78">
        <v>1020747278</v>
      </c>
      <c r="I279" s="234" t="s">
        <v>2425</v>
      </c>
      <c r="J279" s="16"/>
      <c r="K279" s="16"/>
      <c r="L279" s="20" t="s">
        <v>1548</v>
      </c>
      <c r="M279" s="16" t="s">
        <v>111</v>
      </c>
      <c r="N279" s="22">
        <v>45314</v>
      </c>
      <c r="O279" s="22">
        <v>45316</v>
      </c>
      <c r="P279" s="115">
        <v>45656</v>
      </c>
      <c r="Q279" s="23">
        <f t="shared" si="120"/>
        <v>340</v>
      </c>
      <c r="R279" s="17" t="s">
        <v>242</v>
      </c>
      <c r="S279" s="117" t="s">
        <v>2426</v>
      </c>
      <c r="T279" s="116" t="s">
        <v>2051</v>
      </c>
      <c r="U279" s="118">
        <v>73563773</v>
      </c>
      <c r="V279" s="16" t="s">
        <v>753</v>
      </c>
      <c r="W279" s="224">
        <v>73563773</v>
      </c>
      <c r="X279" s="24">
        <v>6130314</v>
      </c>
      <c r="Y279" s="24"/>
      <c r="Z279" s="24"/>
      <c r="AA279" s="17" t="s">
        <v>116</v>
      </c>
      <c r="AB279" s="23" t="str">
        <f>IFERROR(VLOOKUP(AA279,Listas!$A$1:$C$14,2,FALSE),"")</f>
        <v>FREDY CÉSPEDES VILLA</v>
      </c>
      <c r="AC279" s="23">
        <f>IFERROR(VLOOKUP(AA279,Listas!$A$1:$C$14,3,FALSE),"")</f>
        <v>93363483</v>
      </c>
      <c r="AD279" s="17" t="s">
        <v>406</v>
      </c>
      <c r="AE279" s="17" t="s">
        <v>407</v>
      </c>
      <c r="AF279" s="23" t="str">
        <f>IFERROR(VLOOKUP(AE279,Listas!$AD$1:$AF$66,2,FALSE),"")</f>
        <v>MARÍA VICTORIA CAMARGO CORTÉS</v>
      </c>
      <c r="AG279" s="23">
        <f>IFERROR(VLOOKUP(AE279,Listas!$AD$1:$AF$65,3,FALSE),"")</f>
        <v>52496497</v>
      </c>
      <c r="AH279" s="17" t="s">
        <v>118</v>
      </c>
      <c r="AI279" s="65" t="s">
        <v>2427</v>
      </c>
      <c r="AJ279" s="25" t="s">
        <v>119</v>
      </c>
      <c r="AK279" s="26" t="s">
        <v>120</v>
      </c>
      <c r="AL279" s="26" t="s">
        <v>120</v>
      </c>
      <c r="AM279" s="90" t="s">
        <v>119</v>
      </c>
      <c r="AN279" s="105">
        <v>32769</v>
      </c>
      <c r="AO279" s="91">
        <f t="shared" ca="1" si="121"/>
        <v>36</v>
      </c>
      <c r="AP279" s="26" t="s">
        <v>121</v>
      </c>
      <c r="AQ279" s="26" t="s">
        <v>409</v>
      </c>
      <c r="AR279" s="89"/>
      <c r="AS279" s="27"/>
      <c r="AT279" s="16"/>
      <c r="AU279" s="27"/>
      <c r="AV279" s="86"/>
      <c r="AW279" s="27"/>
      <c r="AX279" s="27"/>
      <c r="AY279" s="27"/>
      <c r="AZ279" s="27"/>
      <c r="BA279" s="27"/>
      <c r="BB279" s="27"/>
      <c r="BC279" s="97"/>
      <c r="BD279" s="27"/>
      <c r="BE279" s="16"/>
      <c r="BF279" s="28">
        <f t="shared" si="123"/>
        <v>0</v>
      </c>
      <c r="BG279" s="29"/>
      <c r="BH279" s="27"/>
      <c r="BI279" s="30">
        <f t="shared" si="124"/>
        <v>340</v>
      </c>
      <c r="BJ279" s="31">
        <f t="shared" si="125"/>
        <v>45656</v>
      </c>
      <c r="BK279" s="27"/>
      <c r="BL279" s="16"/>
      <c r="BM279" s="27"/>
      <c r="BN279" s="16"/>
      <c r="BO279" s="27"/>
      <c r="BP279" s="16"/>
      <c r="BQ279" s="27"/>
      <c r="BR279" s="24"/>
      <c r="BS279" s="24"/>
      <c r="BT279" s="32"/>
      <c r="BU279" s="27"/>
      <c r="BV279" s="24"/>
      <c r="BW279" s="24"/>
      <c r="BX279" s="16"/>
      <c r="BY279" s="27"/>
      <c r="BZ279" s="24"/>
      <c r="CA279" s="24"/>
      <c r="CB279" s="16"/>
      <c r="CC279" s="49">
        <f t="shared" si="126"/>
        <v>0</v>
      </c>
      <c r="CD279" s="24"/>
      <c r="CE279" s="49">
        <f t="shared" si="127"/>
        <v>73563773</v>
      </c>
      <c r="CF279" s="50"/>
      <c r="CG279" s="49">
        <f t="shared" ca="1" si="128"/>
        <v>73563773</v>
      </c>
      <c r="CH279" s="33">
        <f t="shared" ca="1" si="129"/>
        <v>1</v>
      </c>
      <c r="CI279" s="33">
        <f t="shared" ca="1" si="130"/>
        <v>1</v>
      </c>
      <c r="CJ279" s="36">
        <f t="shared" ca="1" si="131"/>
        <v>100</v>
      </c>
      <c r="CK279" s="34">
        <f t="shared" si="132"/>
        <v>0</v>
      </c>
      <c r="CL279" s="21"/>
      <c r="CM279" s="35" t="str">
        <f t="shared" ca="1" si="133"/>
        <v>TERMINADO</v>
      </c>
      <c r="CN279" s="82"/>
      <c r="CO279" s="145" t="s">
        <v>2428</v>
      </c>
      <c r="CP279" s="26" t="s">
        <v>123</v>
      </c>
    </row>
    <row r="280" spans="1:94" ht="24.75" customHeight="1">
      <c r="A280" s="48" t="s">
        <v>2429</v>
      </c>
      <c r="B280" s="77" t="s">
        <v>2430</v>
      </c>
      <c r="C280" s="17" t="s">
        <v>104</v>
      </c>
      <c r="D280" s="18" t="s">
        <v>2431</v>
      </c>
      <c r="E280" s="17" t="s">
        <v>106</v>
      </c>
      <c r="F280" s="17" t="s">
        <v>107</v>
      </c>
      <c r="G280" s="17" t="s">
        <v>108</v>
      </c>
      <c r="H280" s="78">
        <v>1020716185</v>
      </c>
      <c r="I280" s="74" t="s">
        <v>2432</v>
      </c>
      <c r="J280" s="16"/>
      <c r="K280" s="16"/>
      <c r="L280" s="20" t="s">
        <v>874</v>
      </c>
      <c r="M280" s="16" t="s">
        <v>111</v>
      </c>
      <c r="N280" s="22">
        <v>45314</v>
      </c>
      <c r="O280" s="22">
        <v>45317</v>
      </c>
      <c r="P280" s="115">
        <v>45656</v>
      </c>
      <c r="Q280" s="23">
        <f t="shared" si="120"/>
        <v>339</v>
      </c>
      <c r="R280" s="17" t="s">
        <v>242</v>
      </c>
      <c r="S280" s="117" t="s">
        <v>2433</v>
      </c>
      <c r="T280" s="116" t="s">
        <v>1128</v>
      </c>
      <c r="U280" s="118">
        <v>74453333</v>
      </c>
      <c r="V280" s="16" t="s">
        <v>815</v>
      </c>
      <c r="W280" s="224">
        <v>74453333</v>
      </c>
      <c r="X280" s="24">
        <v>6400000</v>
      </c>
      <c r="Y280" s="24"/>
      <c r="Z280" s="24"/>
      <c r="AA280" s="17" t="s">
        <v>116</v>
      </c>
      <c r="AB280" s="23" t="str">
        <f>IFERROR(VLOOKUP(AA280,Listas!$A$1:$C$14,2,FALSE),"")</f>
        <v>FREDY CÉSPEDES VILLA</v>
      </c>
      <c r="AC280" s="23">
        <f>IFERROR(VLOOKUP(AA280,Listas!$A$1:$C$14,3,FALSE),"")</f>
        <v>93363483</v>
      </c>
      <c r="AD280" s="17" t="s">
        <v>816</v>
      </c>
      <c r="AE280" s="17" t="s">
        <v>817</v>
      </c>
      <c r="AF280" s="23" t="str">
        <f>IFERROR(VLOOKUP(AE280,Listas!$AD$1:$AF$66,2,FALSE),"")</f>
        <v>JOSÉ EDUARDO PARADA JIMÉNEZ</v>
      </c>
      <c r="AG280" s="23">
        <f>IFERROR(VLOOKUP(AE280,Listas!$AD$1:$AF$65,3,FALSE),"")</f>
        <v>79434805</v>
      </c>
      <c r="AH280" s="17" t="s">
        <v>118</v>
      </c>
      <c r="AI280" s="65"/>
      <c r="AJ280" s="25" t="s">
        <v>119</v>
      </c>
      <c r="AK280" s="26" t="s">
        <v>120</v>
      </c>
      <c r="AL280" s="26" t="s">
        <v>120</v>
      </c>
      <c r="AM280" s="90" t="s">
        <v>119</v>
      </c>
      <c r="AN280" s="105">
        <v>31572</v>
      </c>
      <c r="AO280" s="91">
        <f t="shared" ca="1" si="121"/>
        <v>39</v>
      </c>
      <c r="AP280" s="26" t="s">
        <v>121</v>
      </c>
      <c r="AQ280" s="26" t="s">
        <v>819</v>
      </c>
      <c r="AR280" s="89"/>
      <c r="AS280" s="27"/>
      <c r="AT280" s="16"/>
      <c r="AU280" s="27"/>
      <c r="AV280" s="86"/>
      <c r="AW280" s="27"/>
      <c r="AX280" s="27"/>
      <c r="AY280" s="27"/>
      <c r="AZ280" s="27"/>
      <c r="BA280" s="27"/>
      <c r="BB280" s="27"/>
      <c r="BC280" s="97"/>
      <c r="BD280" s="27"/>
      <c r="BE280" s="16"/>
      <c r="BF280" s="28">
        <f t="shared" si="123"/>
        <v>0</v>
      </c>
      <c r="BG280" s="29"/>
      <c r="BH280" s="27"/>
      <c r="BI280" s="30">
        <f t="shared" si="124"/>
        <v>339</v>
      </c>
      <c r="BJ280" s="31">
        <f t="shared" si="125"/>
        <v>45656</v>
      </c>
      <c r="BK280" s="27"/>
      <c r="BL280" s="16"/>
      <c r="BM280" s="27"/>
      <c r="BN280" s="16"/>
      <c r="BO280" s="27"/>
      <c r="BP280" s="16"/>
      <c r="BQ280" s="27"/>
      <c r="BR280" s="24"/>
      <c r="BS280" s="24"/>
      <c r="BT280" s="32"/>
      <c r="BU280" s="27"/>
      <c r="BV280" s="24"/>
      <c r="BW280" s="24"/>
      <c r="BX280" s="16"/>
      <c r="BY280" s="27"/>
      <c r="BZ280" s="24"/>
      <c r="CA280" s="24"/>
      <c r="CB280" s="16"/>
      <c r="CC280" s="49">
        <f t="shared" si="126"/>
        <v>0</v>
      </c>
      <c r="CD280" s="24"/>
      <c r="CE280" s="49">
        <f t="shared" si="127"/>
        <v>74453333</v>
      </c>
      <c r="CF280" s="50"/>
      <c r="CG280" s="49">
        <f t="shared" ca="1" si="128"/>
        <v>74453333</v>
      </c>
      <c r="CH280" s="33">
        <f t="shared" ca="1" si="129"/>
        <v>1</v>
      </c>
      <c r="CI280" s="33">
        <f t="shared" ca="1" si="130"/>
        <v>1</v>
      </c>
      <c r="CJ280" s="36">
        <f t="shared" ca="1" si="131"/>
        <v>100</v>
      </c>
      <c r="CK280" s="34">
        <f t="shared" si="132"/>
        <v>0</v>
      </c>
      <c r="CL280" s="21"/>
      <c r="CM280" s="35" t="str">
        <f t="shared" ca="1" si="133"/>
        <v>TERMINADO</v>
      </c>
      <c r="CN280" s="82"/>
      <c r="CO280" s="145" t="s">
        <v>2434</v>
      </c>
      <c r="CP280" s="26" t="s">
        <v>123</v>
      </c>
    </row>
    <row r="281" spans="1:94" ht="24.75" customHeight="1">
      <c r="A281" s="48" t="s">
        <v>2435</v>
      </c>
      <c r="B281" s="77" t="s">
        <v>2436</v>
      </c>
      <c r="C281" s="17" t="s">
        <v>104</v>
      </c>
      <c r="D281" s="18" t="s">
        <v>2437</v>
      </c>
      <c r="E281" s="17" t="s">
        <v>106</v>
      </c>
      <c r="F281" s="17" t="s">
        <v>107</v>
      </c>
      <c r="G281" s="17" t="s">
        <v>108</v>
      </c>
      <c r="H281" s="78">
        <v>52980699</v>
      </c>
      <c r="I281" s="74" t="s">
        <v>2438</v>
      </c>
      <c r="J281" s="16"/>
      <c r="K281" s="16"/>
      <c r="L281" s="20" t="s">
        <v>2439</v>
      </c>
      <c r="M281" s="16" t="s">
        <v>111</v>
      </c>
      <c r="N281" s="22">
        <v>45314</v>
      </c>
      <c r="O281" s="22">
        <v>45321</v>
      </c>
      <c r="P281" s="115">
        <v>45656</v>
      </c>
      <c r="Q281" s="23">
        <f t="shared" si="120"/>
        <v>335</v>
      </c>
      <c r="R281" s="17" t="s">
        <v>242</v>
      </c>
      <c r="S281" s="117" t="s">
        <v>2440</v>
      </c>
      <c r="T281" s="116" t="s">
        <v>1128</v>
      </c>
      <c r="U281" s="118">
        <v>94026667</v>
      </c>
      <c r="V281" s="16" t="s">
        <v>815</v>
      </c>
      <c r="W281" s="224">
        <v>94026667</v>
      </c>
      <c r="X281" s="24">
        <v>8200000</v>
      </c>
      <c r="Y281" s="24"/>
      <c r="Z281" s="24"/>
      <c r="AA281" s="17" t="s">
        <v>116</v>
      </c>
      <c r="AB281" s="23" t="str">
        <f>IFERROR(VLOOKUP(AA281,Listas!$A$1:$C$14,2,FALSE),"")</f>
        <v>FREDY CÉSPEDES VILLA</v>
      </c>
      <c r="AC281" s="23">
        <f>IFERROR(VLOOKUP(AA281,Listas!$A$1:$C$14,3,FALSE),"")</f>
        <v>93363483</v>
      </c>
      <c r="AD281" s="17" t="s">
        <v>816</v>
      </c>
      <c r="AE281" s="17" t="s">
        <v>817</v>
      </c>
      <c r="AF281" s="23" t="str">
        <f>IFERROR(VLOOKUP(AE281,Listas!$AD$1:$AF$66,2,FALSE),"")</f>
        <v>JOSÉ EDUARDO PARADA JIMÉNEZ</v>
      </c>
      <c r="AG281" s="23">
        <f>IFERROR(VLOOKUP(AE281,Listas!$AD$1:$AF$65,3,FALSE),"")</f>
        <v>79434805</v>
      </c>
      <c r="AH281" s="17" t="s">
        <v>118</v>
      </c>
      <c r="AI281" s="65" t="s">
        <v>2441</v>
      </c>
      <c r="AJ281" s="25" t="s">
        <v>119</v>
      </c>
      <c r="AK281" s="26" t="s">
        <v>120</v>
      </c>
      <c r="AL281" s="26" t="s">
        <v>120</v>
      </c>
      <c r="AM281" s="90" t="s">
        <v>119</v>
      </c>
      <c r="AN281" s="105">
        <v>30322</v>
      </c>
      <c r="AO281" s="91">
        <f t="shared" ca="1" si="121"/>
        <v>42</v>
      </c>
      <c r="AP281" s="26" t="s">
        <v>121</v>
      </c>
      <c r="AQ281" s="26" t="s">
        <v>819</v>
      </c>
      <c r="AR281" s="89"/>
      <c r="AS281" s="27"/>
      <c r="AT281" s="16"/>
      <c r="AU281" s="27"/>
      <c r="AV281" s="86"/>
      <c r="AW281" s="27"/>
      <c r="AX281" s="27"/>
      <c r="AY281" s="27"/>
      <c r="AZ281" s="27"/>
      <c r="BA281" s="27"/>
      <c r="BB281" s="27"/>
      <c r="BC281" s="97"/>
      <c r="BD281" s="27"/>
      <c r="BE281" s="16"/>
      <c r="BF281" s="28">
        <f t="shared" si="123"/>
        <v>0</v>
      </c>
      <c r="BG281" s="29"/>
      <c r="BH281" s="27"/>
      <c r="BI281" s="30">
        <f t="shared" si="124"/>
        <v>335</v>
      </c>
      <c r="BJ281" s="31">
        <f t="shared" si="125"/>
        <v>45656</v>
      </c>
      <c r="BK281" s="27"/>
      <c r="BL281" s="16"/>
      <c r="BM281" s="27"/>
      <c r="BN281" s="16"/>
      <c r="BO281" s="27"/>
      <c r="BP281" s="16"/>
      <c r="BQ281" s="27"/>
      <c r="BR281" s="24"/>
      <c r="BS281" s="24"/>
      <c r="BT281" s="32"/>
      <c r="BU281" s="27"/>
      <c r="BV281" s="24"/>
      <c r="BW281" s="24"/>
      <c r="BX281" s="16"/>
      <c r="BY281" s="27"/>
      <c r="BZ281" s="24"/>
      <c r="CA281" s="24"/>
      <c r="CB281" s="16"/>
      <c r="CC281" s="49">
        <f t="shared" si="126"/>
        <v>0</v>
      </c>
      <c r="CD281" s="24"/>
      <c r="CE281" s="49">
        <f t="shared" si="127"/>
        <v>94026667</v>
      </c>
      <c r="CF281" s="50"/>
      <c r="CG281" s="49">
        <f t="shared" ca="1" si="128"/>
        <v>94026667</v>
      </c>
      <c r="CH281" s="33">
        <f t="shared" ca="1" si="129"/>
        <v>1</v>
      </c>
      <c r="CI281" s="33">
        <f t="shared" ca="1" si="130"/>
        <v>1</v>
      </c>
      <c r="CJ281" s="36">
        <f t="shared" ca="1" si="131"/>
        <v>100</v>
      </c>
      <c r="CK281" s="34">
        <f t="shared" si="132"/>
        <v>0</v>
      </c>
      <c r="CL281" s="21"/>
      <c r="CM281" s="35" t="str">
        <f t="shared" ca="1" si="133"/>
        <v>TERMINADO</v>
      </c>
      <c r="CN281" s="82"/>
      <c r="CO281" s="145" t="s">
        <v>2442</v>
      </c>
      <c r="CP281" s="26" t="s">
        <v>123</v>
      </c>
    </row>
    <row r="282" spans="1:94" ht="24.75" customHeight="1">
      <c r="A282" s="48" t="s">
        <v>2443</v>
      </c>
      <c r="B282" s="77" t="s">
        <v>2444</v>
      </c>
      <c r="C282" s="17" t="s">
        <v>104</v>
      </c>
      <c r="D282" s="18" t="s">
        <v>2445</v>
      </c>
      <c r="E282" s="17" t="s">
        <v>106</v>
      </c>
      <c r="F282" s="17" t="s">
        <v>107</v>
      </c>
      <c r="G282" s="17" t="s">
        <v>108</v>
      </c>
      <c r="H282" s="78">
        <v>1000064610</v>
      </c>
      <c r="I282" s="74" t="s">
        <v>2446</v>
      </c>
      <c r="J282" s="16"/>
      <c r="K282" s="16"/>
      <c r="L282" s="20" t="s">
        <v>2447</v>
      </c>
      <c r="M282" s="16" t="s">
        <v>111</v>
      </c>
      <c r="N282" s="22">
        <v>45314</v>
      </c>
      <c r="O282" s="22">
        <v>45315</v>
      </c>
      <c r="P282" s="115">
        <v>45656</v>
      </c>
      <c r="Q282" s="23">
        <f t="shared" si="120"/>
        <v>341</v>
      </c>
      <c r="R282" s="17" t="s">
        <v>242</v>
      </c>
      <c r="S282" s="117" t="s">
        <v>2448</v>
      </c>
      <c r="T282" s="116" t="s">
        <v>1964</v>
      </c>
      <c r="U282" s="118">
        <v>51626667</v>
      </c>
      <c r="V282" s="16" t="s">
        <v>2449</v>
      </c>
      <c r="W282" s="224">
        <v>51626667</v>
      </c>
      <c r="X282" s="24">
        <v>4400000</v>
      </c>
      <c r="Y282" s="24"/>
      <c r="Z282" s="24"/>
      <c r="AA282" s="17" t="s">
        <v>116</v>
      </c>
      <c r="AB282" s="23" t="str">
        <f>IFERROR(VLOOKUP(AA282,Listas!$A$1:$C$14,2,FALSE),"")</f>
        <v>FREDY CÉSPEDES VILLA</v>
      </c>
      <c r="AC282" s="23">
        <f>IFERROR(VLOOKUP(AA282,Listas!$A$1:$C$14,3,FALSE),"")</f>
        <v>93363483</v>
      </c>
      <c r="AD282" s="17" t="s">
        <v>816</v>
      </c>
      <c r="AE282" s="17" t="s">
        <v>2450</v>
      </c>
      <c r="AF282" s="23" t="str">
        <f>IFERROR(VLOOKUP(AE282,Listas!$AD$1:$AF$66,2,FALSE),"")</f>
        <v>VICTOR MANUEL MONDRAGÓN MACA</v>
      </c>
      <c r="AG282" s="23">
        <f>IFERROR(VLOOKUP(AE282,Listas!$AD$1:$AF$65,3,FALSE),"")</f>
        <v>76322322</v>
      </c>
      <c r="AH282" s="17" t="s">
        <v>118</v>
      </c>
      <c r="AI282" s="65" t="s">
        <v>2451</v>
      </c>
      <c r="AJ282" s="25" t="s">
        <v>119</v>
      </c>
      <c r="AK282" s="26" t="s">
        <v>120</v>
      </c>
      <c r="AL282" s="26" t="s">
        <v>120</v>
      </c>
      <c r="AM282" s="90" t="s">
        <v>119</v>
      </c>
      <c r="AN282" s="105">
        <v>36921</v>
      </c>
      <c r="AO282" s="91">
        <f t="shared" ca="1" si="121"/>
        <v>24</v>
      </c>
      <c r="AP282" s="26" t="s">
        <v>121</v>
      </c>
      <c r="AQ282" s="26" t="s">
        <v>1641</v>
      </c>
      <c r="AR282" s="89">
        <v>45530</v>
      </c>
      <c r="AS282" s="206" t="s">
        <v>2452</v>
      </c>
      <c r="AT282" s="104">
        <v>1030614596</v>
      </c>
      <c r="AU282" s="27" t="s">
        <v>2453</v>
      </c>
      <c r="AV282" s="86">
        <v>18333334</v>
      </c>
      <c r="AW282" s="27"/>
      <c r="AX282" s="27"/>
      <c r="AY282" s="27"/>
      <c r="AZ282" s="27"/>
      <c r="BA282" s="27"/>
      <c r="BB282" s="27"/>
      <c r="BC282" s="97"/>
      <c r="BD282" s="27"/>
      <c r="BE282" s="16"/>
      <c r="BF282" s="28">
        <f t="shared" si="123"/>
        <v>0</v>
      </c>
      <c r="BG282" s="29"/>
      <c r="BH282" s="27"/>
      <c r="BI282" s="30">
        <f t="shared" si="124"/>
        <v>341</v>
      </c>
      <c r="BJ282" s="31">
        <f t="shared" si="125"/>
        <v>45656</v>
      </c>
      <c r="BK282" s="27"/>
      <c r="BL282" s="16"/>
      <c r="BM282" s="27"/>
      <c r="BN282" s="16"/>
      <c r="BO282" s="27"/>
      <c r="BP282" s="16"/>
      <c r="BQ282" s="27"/>
      <c r="BR282" s="24"/>
      <c r="BS282" s="24"/>
      <c r="BT282" s="32"/>
      <c r="BU282" s="27"/>
      <c r="BV282" s="24"/>
      <c r="BW282" s="24"/>
      <c r="BX282" s="16"/>
      <c r="BY282" s="27"/>
      <c r="BZ282" s="24"/>
      <c r="CA282" s="24"/>
      <c r="CB282" s="16"/>
      <c r="CC282" s="49">
        <f t="shared" si="126"/>
        <v>0</v>
      </c>
      <c r="CD282" s="24"/>
      <c r="CE282" s="49">
        <f t="shared" si="127"/>
        <v>51626667</v>
      </c>
      <c r="CF282" s="50"/>
      <c r="CG282" s="49">
        <f t="shared" ca="1" si="128"/>
        <v>51626667</v>
      </c>
      <c r="CH282" s="33">
        <f t="shared" ca="1" si="129"/>
        <v>1</v>
      </c>
      <c r="CI282" s="33">
        <f t="shared" ca="1" si="130"/>
        <v>1</v>
      </c>
      <c r="CJ282" s="36">
        <f t="shared" ca="1" si="131"/>
        <v>100</v>
      </c>
      <c r="CK282" s="34">
        <f t="shared" si="132"/>
        <v>0</v>
      </c>
      <c r="CL282" s="21"/>
      <c r="CM282" s="35" t="str">
        <f t="shared" ca="1" si="133"/>
        <v>TERMINADO</v>
      </c>
      <c r="CN282" s="82"/>
      <c r="CO282" s="145" t="s">
        <v>2454</v>
      </c>
      <c r="CP282" s="26" t="s">
        <v>123</v>
      </c>
    </row>
    <row r="283" spans="1:94" ht="24.75" customHeight="1">
      <c r="A283" s="48" t="s">
        <v>2455</v>
      </c>
      <c r="B283" s="77" t="s">
        <v>2456</v>
      </c>
      <c r="C283" s="17" t="s">
        <v>104</v>
      </c>
      <c r="D283" s="18" t="s">
        <v>2457</v>
      </c>
      <c r="E283" s="17" t="s">
        <v>106</v>
      </c>
      <c r="F283" s="17" t="s">
        <v>107</v>
      </c>
      <c r="G283" s="17" t="s">
        <v>108</v>
      </c>
      <c r="H283" s="78">
        <v>79855007</v>
      </c>
      <c r="I283" s="74" t="s">
        <v>2458</v>
      </c>
      <c r="J283" s="16"/>
      <c r="K283" s="16"/>
      <c r="L283" s="20" t="s">
        <v>2459</v>
      </c>
      <c r="M283" s="16" t="s">
        <v>111</v>
      </c>
      <c r="N283" s="22">
        <v>45314</v>
      </c>
      <c r="O283" s="22">
        <v>45316</v>
      </c>
      <c r="P283" s="115">
        <v>45656</v>
      </c>
      <c r="Q283" s="23">
        <f t="shared" si="120"/>
        <v>340</v>
      </c>
      <c r="R283" s="17" t="s">
        <v>242</v>
      </c>
      <c r="S283" s="117" t="s">
        <v>2460</v>
      </c>
      <c r="T283" s="116" t="s">
        <v>343</v>
      </c>
      <c r="U283" s="118">
        <v>84385825</v>
      </c>
      <c r="V283" s="16" t="s">
        <v>2382</v>
      </c>
      <c r="W283" s="224">
        <v>92518705</v>
      </c>
      <c r="X283" s="24">
        <v>8092015</v>
      </c>
      <c r="Y283" s="24"/>
      <c r="Z283" s="24"/>
      <c r="AA283" s="17" t="s">
        <v>116</v>
      </c>
      <c r="AB283" s="23" t="str">
        <f>IFERROR(VLOOKUP(AA283,Listas!$A$1:$C$14,2,FALSE),"")</f>
        <v>FREDY CÉSPEDES VILLA</v>
      </c>
      <c r="AC283" s="23">
        <f>IFERROR(VLOOKUP(AA283,Listas!$A$1:$C$14,3,FALSE),"")</f>
        <v>93363483</v>
      </c>
      <c r="AD283" s="17" t="s">
        <v>345</v>
      </c>
      <c r="AE283" s="17" t="s">
        <v>632</v>
      </c>
      <c r="AF283" s="23" t="str">
        <f>IFERROR(VLOOKUP(AE283,Listas!$AD$1:$AF$66,2,FALSE),"")</f>
        <v>MANUEL ALBERTO LOZANO CARDONA</v>
      </c>
      <c r="AG283" s="23">
        <f>IFERROR(VLOOKUP(AE283,Listas!$AD$1:$AF$65,3,FALSE),"")</f>
        <v>79940034</v>
      </c>
      <c r="AH283" s="17" t="s">
        <v>118</v>
      </c>
      <c r="AI283" s="65" t="s">
        <v>2461</v>
      </c>
      <c r="AJ283" s="25" t="s">
        <v>119</v>
      </c>
      <c r="AK283" s="26" t="s">
        <v>120</v>
      </c>
      <c r="AL283" s="26" t="s">
        <v>120</v>
      </c>
      <c r="AM283" s="90" t="s">
        <v>119</v>
      </c>
      <c r="AN283" s="105">
        <v>28722</v>
      </c>
      <c r="AO283" s="91">
        <f t="shared" ca="1" si="121"/>
        <v>47</v>
      </c>
      <c r="AP283" s="26" t="s">
        <v>121</v>
      </c>
      <c r="AQ283" s="26" t="s">
        <v>347</v>
      </c>
      <c r="AR283" s="89"/>
      <c r="AS283" s="27"/>
      <c r="AT283" s="16"/>
      <c r="AU283" s="27"/>
      <c r="AV283" s="86"/>
      <c r="AW283" s="27"/>
      <c r="AX283" s="27"/>
      <c r="AY283" s="27"/>
      <c r="AZ283" s="27"/>
      <c r="BA283" s="27"/>
      <c r="BB283" s="27"/>
      <c r="BC283" s="97"/>
      <c r="BD283" s="27"/>
      <c r="BE283" s="16"/>
      <c r="BF283" s="28">
        <f t="shared" si="123"/>
        <v>0</v>
      </c>
      <c r="BG283" s="29"/>
      <c r="BH283" s="27"/>
      <c r="BI283" s="30">
        <f t="shared" si="124"/>
        <v>340</v>
      </c>
      <c r="BJ283" s="31">
        <f t="shared" si="125"/>
        <v>45656</v>
      </c>
      <c r="BK283" s="27"/>
      <c r="BL283" s="16"/>
      <c r="BM283" s="27"/>
      <c r="BN283" s="16"/>
      <c r="BO283" s="27"/>
      <c r="BP283" s="16"/>
      <c r="BQ283" s="27"/>
      <c r="BR283" s="24"/>
      <c r="BS283" s="24"/>
      <c r="BT283" s="32"/>
      <c r="BU283" s="27"/>
      <c r="BV283" s="24"/>
      <c r="BW283" s="24"/>
      <c r="BX283" s="16"/>
      <c r="BY283" s="27"/>
      <c r="BZ283" s="24"/>
      <c r="CA283" s="24"/>
      <c r="CB283" s="16"/>
      <c r="CC283" s="49">
        <f t="shared" si="126"/>
        <v>0</v>
      </c>
      <c r="CD283" s="24"/>
      <c r="CE283" s="49">
        <f t="shared" si="127"/>
        <v>92518705</v>
      </c>
      <c r="CF283" s="50"/>
      <c r="CG283" s="49">
        <f t="shared" ca="1" si="128"/>
        <v>92518705</v>
      </c>
      <c r="CH283" s="33">
        <f t="shared" ca="1" si="129"/>
        <v>1</v>
      </c>
      <c r="CI283" s="33">
        <f t="shared" ca="1" si="130"/>
        <v>1</v>
      </c>
      <c r="CJ283" s="36">
        <f t="shared" ca="1" si="131"/>
        <v>100</v>
      </c>
      <c r="CK283" s="34">
        <f t="shared" si="132"/>
        <v>0</v>
      </c>
      <c r="CL283" s="21"/>
      <c r="CM283" s="35" t="str">
        <f t="shared" ca="1" si="133"/>
        <v>TERMINADO</v>
      </c>
      <c r="CN283" s="82"/>
      <c r="CP283" s="26" t="s">
        <v>142</v>
      </c>
    </row>
    <row r="284" spans="1:94" ht="24.75" customHeight="1">
      <c r="A284" s="148" t="s">
        <v>2462</v>
      </c>
      <c r="B284" s="77" t="s">
        <v>2463</v>
      </c>
      <c r="C284" s="17" t="s">
        <v>104</v>
      </c>
      <c r="D284" s="18" t="s">
        <v>2464</v>
      </c>
      <c r="E284" s="17" t="s">
        <v>106</v>
      </c>
      <c r="F284" s="17" t="s">
        <v>1426</v>
      </c>
      <c r="G284" s="17" t="s">
        <v>1427</v>
      </c>
      <c r="H284" s="78" t="s">
        <v>2465</v>
      </c>
      <c r="I284" s="74" t="s">
        <v>2466</v>
      </c>
      <c r="J284" s="16"/>
      <c r="K284" s="16"/>
      <c r="L284" s="20" t="s">
        <v>2467</v>
      </c>
      <c r="M284" s="16" t="s">
        <v>111</v>
      </c>
      <c r="N284" s="22">
        <v>45315</v>
      </c>
      <c r="O284" s="22">
        <v>45342</v>
      </c>
      <c r="P284" s="115">
        <v>45657</v>
      </c>
      <c r="Q284" s="23">
        <f t="shared" si="120"/>
        <v>315</v>
      </c>
      <c r="R284" s="17" t="s">
        <v>242</v>
      </c>
      <c r="S284" s="117" t="s">
        <v>2468</v>
      </c>
      <c r="T284" s="116" t="s">
        <v>2469</v>
      </c>
      <c r="U284" s="118">
        <v>84840000</v>
      </c>
      <c r="V284" s="16" t="s">
        <v>2470</v>
      </c>
      <c r="W284" s="224">
        <v>75498014</v>
      </c>
      <c r="X284" s="24"/>
      <c r="Y284" s="24"/>
      <c r="Z284" s="24"/>
      <c r="AA284" s="17" t="s">
        <v>116</v>
      </c>
      <c r="AB284" s="23" t="str">
        <f>IFERROR(VLOOKUP(AA284,Listas!$A$1:$C$14,2,FALSE),"")</f>
        <v>FREDY CÉSPEDES VILLA</v>
      </c>
      <c r="AC284" s="23">
        <f>IFERROR(VLOOKUP(AA284,Listas!$A$1:$C$14,3,FALSE),"")</f>
        <v>93363483</v>
      </c>
      <c r="AD284" s="17" t="s">
        <v>116</v>
      </c>
      <c r="AE284" s="17" t="s">
        <v>659</v>
      </c>
      <c r="AF284" s="23" t="str">
        <f>IFERROR(VLOOKUP(AE284,Listas!$AD$1:$AF$66,2,FALSE),"")</f>
        <v>TATIANA FORERO TORRES</v>
      </c>
      <c r="AG284" s="23">
        <f>IFERROR(VLOOKUP(AE284,Listas!$AD$1:$AF$65,3,FALSE),"")</f>
        <v>1072446921</v>
      </c>
      <c r="AH284" s="17" t="s">
        <v>118</v>
      </c>
      <c r="AI284" s="65"/>
      <c r="AJ284" s="25" t="s">
        <v>1435</v>
      </c>
      <c r="AK284" s="26" t="s">
        <v>2071</v>
      </c>
      <c r="AL284" s="26" t="s">
        <v>2071</v>
      </c>
      <c r="AM284" s="90" t="s">
        <v>1435</v>
      </c>
      <c r="AN284" s="105"/>
      <c r="AO284" s="91" t="str">
        <f t="shared" ca="1" si="121"/>
        <v xml:space="preserve"> </v>
      </c>
      <c r="AP284" s="26" t="s">
        <v>121</v>
      </c>
      <c r="AQ284" s="26" t="s">
        <v>122</v>
      </c>
      <c r="AR284" s="89"/>
      <c r="AS284" s="27"/>
      <c r="AT284" s="16"/>
      <c r="AU284" s="27"/>
      <c r="AV284" s="86"/>
      <c r="AW284" s="27">
        <v>45187</v>
      </c>
      <c r="AX284" s="27" t="s">
        <v>2471</v>
      </c>
      <c r="AY284" s="242" t="s">
        <v>2472</v>
      </c>
      <c r="AZ284" s="27" t="s">
        <v>2473</v>
      </c>
      <c r="BA284" s="86">
        <v>31594666</v>
      </c>
      <c r="BB284" s="27"/>
      <c r="BC284" s="97"/>
      <c r="BD284" s="27"/>
      <c r="BE284" s="16"/>
      <c r="BF284" s="28">
        <f t="shared" si="123"/>
        <v>0</v>
      </c>
      <c r="BG284" s="29"/>
      <c r="BH284" s="27"/>
      <c r="BI284" s="30">
        <f t="shared" si="124"/>
        <v>315</v>
      </c>
      <c r="BJ284" s="31">
        <f t="shared" si="125"/>
        <v>45657</v>
      </c>
      <c r="BK284" s="27"/>
      <c r="BL284" s="16"/>
      <c r="BM284" s="27"/>
      <c r="BN284" s="16"/>
      <c r="BO284" s="27"/>
      <c r="BP284" s="16"/>
      <c r="BQ284" s="27"/>
      <c r="BR284" s="24"/>
      <c r="BS284" s="24"/>
      <c r="BT284" s="32"/>
      <c r="BU284" s="27"/>
      <c r="BV284" s="24"/>
      <c r="BW284" s="24"/>
      <c r="BX284" s="16"/>
      <c r="BY284" s="27"/>
      <c r="BZ284" s="24"/>
      <c r="CA284" s="24"/>
      <c r="CB284" s="16"/>
      <c r="CC284" s="49">
        <f t="shared" si="126"/>
        <v>0</v>
      </c>
      <c r="CD284" s="24"/>
      <c r="CE284" s="49">
        <f t="shared" si="127"/>
        <v>75498014</v>
      </c>
      <c r="CF284" s="50"/>
      <c r="CG284" s="49">
        <f t="shared" ca="1" si="128"/>
        <v>75498014</v>
      </c>
      <c r="CH284" s="33">
        <f t="shared" ca="1" si="129"/>
        <v>1</v>
      </c>
      <c r="CI284" s="33">
        <f t="shared" ca="1" si="130"/>
        <v>1</v>
      </c>
      <c r="CJ284" s="36">
        <f t="shared" ca="1" si="131"/>
        <v>100</v>
      </c>
      <c r="CK284" s="34">
        <f t="shared" si="132"/>
        <v>0</v>
      </c>
      <c r="CL284" s="21"/>
      <c r="CM284" s="35" t="str">
        <f t="shared" ca="1" si="133"/>
        <v>TERMINADO</v>
      </c>
      <c r="CN284" s="82"/>
      <c r="CO284" s="145" t="s">
        <v>2474</v>
      </c>
      <c r="CP284" s="83" t="s">
        <v>1424</v>
      </c>
    </row>
    <row r="285" spans="1:94" ht="24.75" customHeight="1">
      <c r="A285" s="48" t="s">
        <v>2475</v>
      </c>
      <c r="B285" s="77" t="s">
        <v>2476</v>
      </c>
      <c r="C285" s="17" t="s">
        <v>104</v>
      </c>
      <c r="D285" s="18" t="s">
        <v>2477</v>
      </c>
      <c r="E285" s="17" t="s">
        <v>106</v>
      </c>
      <c r="F285" s="17" t="s">
        <v>107</v>
      </c>
      <c r="G285" s="17" t="s">
        <v>108</v>
      </c>
      <c r="H285" s="78">
        <v>51967176</v>
      </c>
      <c r="I285" s="74" t="s">
        <v>2478</v>
      </c>
      <c r="J285" s="16"/>
      <c r="K285" s="16"/>
      <c r="L285" s="20" t="s">
        <v>2479</v>
      </c>
      <c r="M285" s="16" t="s">
        <v>111</v>
      </c>
      <c r="N285" s="22">
        <v>45314</v>
      </c>
      <c r="O285" s="22">
        <v>45314</v>
      </c>
      <c r="P285" s="115">
        <v>45656</v>
      </c>
      <c r="Q285" s="23">
        <f t="shared" si="120"/>
        <v>342</v>
      </c>
      <c r="R285" s="17" t="s">
        <v>242</v>
      </c>
      <c r="S285" s="117" t="s">
        <v>2480</v>
      </c>
      <c r="T285" s="116" t="s">
        <v>343</v>
      </c>
      <c r="U285" s="118">
        <v>64799024</v>
      </c>
      <c r="V285" s="16" t="s">
        <v>344</v>
      </c>
      <c r="W285" s="224">
        <v>64799024</v>
      </c>
      <c r="X285" s="24">
        <v>5570117</v>
      </c>
      <c r="Y285" s="24"/>
      <c r="Z285" s="24"/>
      <c r="AA285" s="17" t="s">
        <v>116</v>
      </c>
      <c r="AB285" s="23" t="str">
        <f>IFERROR(VLOOKUP(AA285,Listas!$A$1:$C$14,2,FALSE),"")</f>
        <v>FREDY CÉSPEDES VILLA</v>
      </c>
      <c r="AC285" s="23">
        <f>IFERROR(VLOOKUP(AA285,Listas!$A$1:$C$14,3,FALSE),"")</f>
        <v>93363483</v>
      </c>
      <c r="AD285" s="17" t="s">
        <v>345</v>
      </c>
      <c r="AE285" s="17" t="s">
        <v>1062</v>
      </c>
      <c r="AF285" s="23" t="str">
        <f>IFERROR(VLOOKUP(AE285,Listas!$AD$1:$AF$66,2,FALSE),"")</f>
        <v>LIBIA ESPERANZA FONSECA MARÍN</v>
      </c>
      <c r="AG285" s="23">
        <f>IFERROR(VLOOKUP(AE285,Listas!$AD$1:$AF$65,3,FALSE),"")</f>
        <v>52207089</v>
      </c>
      <c r="AH285" s="17" t="s">
        <v>118</v>
      </c>
      <c r="AI285" s="65" t="s">
        <v>2481</v>
      </c>
      <c r="AJ285" s="25" t="s">
        <v>119</v>
      </c>
      <c r="AK285" s="26" t="s">
        <v>120</v>
      </c>
      <c r="AL285" s="26" t="s">
        <v>120</v>
      </c>
      <c r="AM285" s="90" t="s">
        <v>119</v>
      </c>
      <c r="AN285" s="105">
        <v>25286</v>
      </c>
      <c r="AO285" s="91">
        <f t="shared" ca="1" si="121"/>
        <v>56</v>
      </c>
      <c r="AP285" s="26" t="s">
        <v>121</v>
      </c>
      <c r="AQ285" s="26" t="s">
        <v>367</v>
      </c>
      <c r="AR285" s="89"/>
      <c r="AS285" s="27"/>
      <c r="AT285" s="16"/>
      <c r="AU285" s="27"/>
      <c r="AV285" s="86"/>
      <c r="AW285" s="27"/>
      <c r="AX285" s="27"/>
      <c r="AY285" s="27"/>
      <c r="AZ285" s="27"/>
      <c r="BA285" s="27"/>
      <c r="BB285" s="27"/>
      <c r="BC285" s="97"/>
      <c r="BD285" s="27"/>
      <c r="BE285" s="16"/>
      <c r="BF285" s="28">
        <f t="shared" si="123"/>
        <v>0</v>
      </c>
      <c r="BG285" s="29"/>
      <c r="BH285" s="27"/>
      <c r="BI285" s="30">
        <f t="shared" si="124"/>
        <v>342</v>
      </c>
      <c r="BJ285" s="31">
        <f t="shared" si="125"/>
        <v>45656</v>
      </c>
      <c r="BK285" s="27"/>
      <c r="BL285" s="16"/>
      <c r="BM285" s="27"/>
      <c r="BN285" s="16"/>
      <c r="BO285" s="27"/>
      <c r="BP285" s="16"/>
      <c r="BQ285" s="27"/>
      <c r="BR285" s="24"/>
      <c r="BS285" s="24"/>
      <c r="BT285" s="32"/>
      <c r="BU285" s="27"/>
      <c r="BV285" s="24"/>
      <c r="BW285" s="24"/>
      <c r="BX285" s="16"/>
      <c r="BY285" s="27"/>
      <c r="BZ285" s="24"/>
      <c r="CA285" s="24"/>
      <c r="CB285" s="16"/>
      <c r="CC285" s="49">
        <f t="shared" si="126"/>
        <v>0</v>
      </c>
      <c r="CD285" s="24"/>
      <c r="CE285" s="49">
        <f t="shared" si="127"/>
        <v>64799024</v>
      </c>
      <c r="CF285" s="50"/>
      <c r="CG285" s="49">
        <f t="shared" ca="1" si="128"/>
        <v>64799024</v>
      </c>
      <c r="CH285" s="33">
        <f t="shared" ca="1" si="129"/>
        <v>1</v>
      </c>
      <c r="CI285" s="33">
        <f t="shared" ca="1" si="130"/>
        <v>1</v>
      </c>
      <c r="CJ285" s="36">
        <f t="shared" ca="1" si="131"/>
        <v>100</v>
      </c>
      <c r="CK285" s="34">
        <f t="shared" si="132"/>
        <v>0</v>
      </c>
      <c r="CL285" s="21"/>
      <c r="CM285" s="35" t="str">
        <f t="shared" ca="1" si="133"/>
        <v>TERMINADO</v>
      </c>
      <c r="CN285" s="82"/>
      <c r="CO285" s="145" t="s">
        <v>2482</v>
      </c>
      <c r="CP285" s="26" t="s">
        <v>123</v>
      </c>
    </row>
    <row r="286" spans="1:94" ht="24.75" customHeight="1">
      <c r="A286" s="48" t="s">
        <v>2483</v>
      </c>
      <c r="B286" s="77" t="s">
        <v>2484</v>
      </c>
      <c r="C286" s="17" t="s">
        <v>104</v>
      </c>
      <c r="D286" s="18" t="s">
        <v>2485</v>
      </c>
      <c r="E286" s="17" t="s">
        <v>106</v>
      </c>
      <c r="F286" s="17" t="s">
        <v>107</v>
      </c>
      <c r="G286" s="17" t="s">
        <v>108</v>
      </c>
      <c r="H286" s="78">
        <v>7687010</v>
      </c>
      <c r="I286" s="74" t="s">
        <v>2486</v>
      </c>
      <c r="J286" s="16"/>
      <c r="K286" s="16"/>
      <c r="L286" s="20" t="s">
        <v>2487</v>
      </c>
      <c r="M286" s="16" t="s">
        <v>111</v>
      </c>
      <c r="N286" s="22">
        <v>45314</v>
      </c>
      <c r="O286" s="22">
        <v>45315</v>
      </c>
      <c r="P286" s="115">
        <v>45656</v>
      </c>
      <c r="Q286" s="23">
        <f t="shared" si="120"/>
        <v>341</v>
      </c>
      <c r="R286" s="17" t="s">
        <v>242</v>
      </c>
      <c r="S286" s="117" t="s">
        <v>2488</v>
      </c>
      <c r="T286" s="116" t="s">
        <v>343</v>
      </c>
      <c r="U286" s="118">
        <v>104640376</v>
      </c>
      <c r="V286" s="16" t="s">
        <v>344</v>
      </c>
      <c r="W286" s="224">
        <v>104640376</v>
      </c>
      <c r="X286" s="24">
        <v>9072865</v>
      </c>
      <c r="Y286" s="24"/>
      <c r="Z286" s="24"/>
      <c r="AA286" s="17" t="s">
        <v>116</v>
      </c>
      <c r="AB286" s="23" t="str">
        <f>IFERROR(VLOOKUP(AA286,Listas!$A$1:$C$14,2,FALSE),"")</f>
        <v>FREDY CÉSPEDES VILLA</v>
      </c>
      <c r="AC286" s="23">
        <f>IFERROR(VLOOKUP(AA286,Listas!$A$1:$C$14,3,FALSE),"")</f>
        <v>93363483</v>
      </c>
      <c r="AD286" s="17" t="s">
        <v>345</v>
      </c>
      <c r="AE286" s="17" t="s">
        <v>346</v>
      </c>
      <c r="AF286" s="23" t="str">
        <f>IFERROR(VLOOKUP(AE286,Listas!$AD$1:$AF$66,2,FALSE),"")</f>
        <v>RODOLFO GIOVANNI CANCHILA SUÁREZ</v>
      </c>
      <c r="AG286" s="23">
        <f>IFERROR(VLOOKUP(AE286,Listas!$AD$1:$AF$65,3,FALSE),"")</f>
        <v>79672493</v>
      </c>
      <c r="AH286" s="17" t="s">
        <v>118</v>
      </c>
      <c r="AI286" s="65" t="s">
        <v>2489</v>
      </c>
      <c r="AJ286" s="25" t="s">
        <v>119</v>
      </c>
      <c r="AK286" s="26" t="s">
        <v>120</v>
      </c>
      <c r="AL286" s="26" t="s">
        <v>120</v>
      </c>
      <c r="AM286" s="90" t="s">
        <v>119</v>
      </c>
      <c r="AN286" s="105">
        <v>25948</v>
      </c>
      <c r="AO286" s="91">
        <f t="shared" ca="1" si="121"/>
        <v>54</v>
      </c>
      <c r="AP286" s="26" t="s">
        <v>121</v>
      </c>
      <c r="AQ286" s="26" t="s">
        <v>367</v>
      </c>
      <c r="AR286" s="89"/>
      <c r="AS286" s="27"/>
      <c r="AT286" s="16"/>
      <c r="AU286" s="27"/>
      <c r="AV286" s="86"/>
      <c r="AW286" s="27"/>
      <c r="AX286" s="27"/>
      <c r="AY286" s="27"/>
      <c r="AZ286" s="27"/>
      <c r="BA286" s="27"/>
      <c r="BB286" s="27"/>
      <c r="BC286" s="97"/>
      <c r="BD286" s="27"/>
      <c r="BE286" s="16"/>
      <c r="BF286" s="28">
        <f t="shared" si="123"/>
        <v>0</v>
      </c>
      <c r="BG286" s="29"/>
      <c r="BH286" s="27"/>
      <c r="BI286" s="30">
        <f t="shared" si="124"/>
        <v>341</v>
      </c>
      <c r="BJ286" s="31">
        <f t="shared" si="125"/>
        <v>45656</v>
      </c>
      <c r="BK286" s="27"/>
      <c r="BL286" s="16"/>
      <c r="BM286" s="27"/>
      <c r="BN286" s="16"/>
      <c r="BO286" s="27"/>
      <c r="BP286" s="16"/>
      <c r="BQ286" s="27"/>
      <c r="BR286" s="24"/>
      <c r="BS286" s="24"/>
      <c r="BT286" s="32"/>
      <c r="BU286" s="27"/>
      <c r="BV286" s="24"/>
      <c r="BW286" s="24"/>
      <c r="BX286" s="16"/>
      <c r="BY286" s="27"/>
      <c r="BZ286" s="24"/>
      <c r="CA286" s="24"/>
      <c r="CB286" s="16"/>
      <c r="CC286" s="49">
        <f t="shared" si="126"/>
        <v>0</v>
      </c>
      <c r="CD286" s="24"/>
      <c r="CE286" s="49">
        <f t="shared" si="127"/>
        <v>104640376</v>
      </c>
      <c r="CF286" s="50"/>
      <c r="CG286" s="49">
        <f t="shared" ca="1" si="128"/>
        <v>104640376</v>
      </c>
      <c r="CH286" s="33">
        <f t="shared" ca="1" si="129"/>
        <v>1</v>
      </c>
      <c r="CI286" s="33">
        <f t="shared" ca="1" si="130"/>
        <v>1</v>
      </c>
      <c r="CJ286" s="36">
        <f t="shared" ca="1" si="131"/>
        <v>100</v>
      </c>
      <c r="CK286" s="34">
        <f t="shared" si="132"/>
        <v>0</v>
      </c>
      <c r="CL286" s="21"/>
      <c r="CM286" s="35" t="str">
        <f t="shared" ca="1" si="133"/>
        <v>TERMINADO</v>
      </c>
      <c r="CN286" s="82"/>
      <c r="CO286" s="145" t="s">
        <v>2490</v>
      </c>
      <c r="CP286" s="26" t="s">
        <v>142</v>
      </c>
    </row>
    <row r="287" spans="1:94" ht="24.75" customHeight="1">
      <c r="A287" s="48" t="s">
        <v>2491</v>
      </c>
      <c r="B287" s="77" t="s">
        <v>2492</v>
      </c>
      <c r="C287" s="17" t="s">
        <v>104</v>
      </c>
      <c r="D287" s="18" t="s">
        <v>2493</v>
      </c>
      <c r="E287" s="17" t="s">
        <v>106</v>
      </c>
      <c r="F287" s="17" t="s">
        <v>107</v>
      </c>
      <c r="G287" s="17" t="s">
        <v>108</v>
      </c>
      <c r="H287" s="78">
        <v>52503723</v>
      </c>
      <c r="I287" s="74" t="s">
        <v>2494</v>
      </c>
      <c r="J287" s="16"/>
      <c r="K287" s="16"/>
      <c r="L287" s="20" t="s">
        <v>2495</v>
      </c>
      <c r="M287" s="16" t="s">
        <v>111</v>
      </c>
      <c r="N287" s="22">
        <v>45314</v>
      </c>
      <c r="O287" s="22">
        <v>45314</v>
      </c>
      <c r="P287" s="115">
        <v>45656</v>
      </c>
      <c r="Q287" s="23">
        <f t="shared" si="120"/>
        <v>342</v>
      </c>
      <c r="R287" s="17" t="s">
        <v>242</v>
      </c>
      <c r="S287" s="117" t="s">
        <v>2496</v>
      </c>
      <c r="T287" s="116" t="s">
        <v>343</v>
      </c>
      <c r="U287" s="118">
        <v>87524976</v>
      </c>
      <c r="V287" s="16" t="s">
        <v>344</v>
      </c>
      <c r="W287" s="224">
        <v>87524976</v>
      </c>
      <c r="X287" s="24">
        <v>7335040</v>
      </c>
      <c r="Y287" s="24"/>
      <c r="Z287" s="24"/>
      <c r="AA287" s="17" t="s">
        <v>116</v>
      </c>
      <c r="AB287" s="23" t="str">
        <f>IFERROR(VLOOKUP(AA287,Listas!$A$1:$C$14,2,FALSE),"")</f>
        <v>FREDY CÉSPEDES VILLA</v>
      </c>
      <c r="AC287" s="23">
        <f>IFERROR(VLOOKUP(AA287,Listas!$A$1:$C$14,3,FALSE),"")</f>
        <v>93363483</v>
      </c>
      <c r="AD287" s="17" t="s">
        <v>345</v>
      </c>
      <c r="AE287" s="17" t="s">
        <v>1062</v>
      </c>
      <c r="AF287" s="23" t="str">
        <f>IFERROR(VLOOKUP(AE287,Listas!$AD$1:$AF$66,2,FALSE),"")</f>
        <v>LIBIA ESPERANZA FONSECA MARÍN</v>
      </c>
      <c r="AG287" s="23">
        <f>IFERROR(VLOOKUP(AE287,Listas!$AD$1:$AF$65,3,FALSE),"")</f>
        <v>52207089</v>
      </c>
      <c r="AH287" s="17" t="s">
        <v>118</v>
      </c>
      <c r="AI287" s="65" t="s">
        <v>2497</v>
      </c>
      <c r="AJ287" s="25" t="s">
        <v>119</v>
      </c>
      <c r="AK287" s="26" t="s">
        <v>120</v>
      </c>
      <c r="AL287" s="26" t="s">
        <v>120</v>
      </c>
      <c r="AM287" s="90" t="s">
        <v>119</v>
      </c>
      <c r="AN287" s="105">
        <v>28831</v>
      </c>
      <c r="AO287" s="91">
        <f t="shared" ca="1" si="121"/>
        <v>47</v>
      </c>
      <c r="AP287" s="26" t="s">
        <v>121</v>
      </c>
      <c r="AQ287" s="26" t="s">
        <v>367</v>
      </c>
      <c r="AR287" s="89"/>
      <c r="AS287" s="27"/>
      <c r="AT287" s="16"/>
      <c r="AU287" s="27"/>
      <c r="AV287" s="86"/>
      <c r="AW287" s="27"/>
      <c r="AX287" s="27"/>
      <c r="AY287" s="27"/>
      <c r="AZ287" s="27"/>
      <c r="BA287" s="27"/>
      <c r="BB287" s="27"/>
      <c r="BC287" s="97"/>
      <c r="BD287" s="27"/>
      <c r="BE287" s="16"/>
      <c r="BF287" s="28">
        <f t="shared" si="123"/>
        <v>0</v>
      </c>
      <c r="BG287" s="29"/>
      <c r="BH287" s="27"/>
      <c r="BI287" s="30">
        <f t="shared" si="124"/>
        <v>342</v>
      </c>
      <c r="BJ287" s="31">
        <f t="shared" si="125"/>
        <v>45656</v>
      </c>
      <c r="BK287" s="27"/>
      <c r="BL287" s="16"/>
      <c r="BM287" s="27"/>
      <c r="BN287" s="16"/>
      <c r="BO287" s="27"/>
      <c r="BP287" s="16"/>
      <c r="BQ287" s="27"/>
      <c r="BR287" s="24"/>
      <c r="BS287" s="24"/>
      <c r="BT287" s="32"/>
      <c r="BU287" s="27"/>
      <c r="BV287" s="24"/>
      <c r="BW287" s="24"/>
      <c r="BX287" s="16"/>
      <c r="BY287" s="27"/>
      <c r="BZ287" s="24"/>
      <c r="CA287" s="24"/>
      <c r="CB287" s="16"/>
      <c r="CC287" s="49">
        <f t="shared" si="126"/>
        <v>0</v>
      </c>
      <c r="CD287" s="24"/>
      <c r="CE287" s="49">
        <f t="shared" si="127"/>
        <v>87524976</v>
      </c>
      <c r="CF287" s="50"/>
      <c r="CG287" s="49">
        <f t="shared" ca="1" si="128"/>
        <v>87524976</v>
      </c>
      <c r="CH287" s="33">
        <f t="shared" ca="1" si="129"/>
        <v>1</v>
      </c>
      <c r="CI287" s="33">
        <f t="shared" ca="1" si="130"/>
        <v>1</v>
      </c>
      <c r="CJ287" s="36">
        <f t="shared" ca="1" si="131"/>
        <v>100</v>
      </c>
      <c r="CK287" s="34">
        <f t="shared" si="132"/>
        <v>0</v>
      </c>
      <c r="CL287" s="21"/>
      <c r="CM287" s="35" t="str">
        <f t="shared" ca="1" si="133"/>
        <v>TERMINADO</v>
      </c>
      <c r="CN287" s="82"/>
      <c r="CO287" s="145" t="s">
        <v>2498</v>
      </c>
      <c r="CP287" s="26" t="s">
        <v>123</v>
      </c>
    </row>
    <row r="288" spans="1:94" ht="24.75" customHeight="1">
      <c r="A288" s="48" t="s">
        <v>2499</v>
      </c>
      <c r="B288" s="77" t="s">
        <v>2500</v>
      </c>
      <c r="C288" s="17" t="s">
        <v>104</v>
      </c>
      <c r="D288" s="18" t="s">
        <v>2501</v>
      </c>
      <c r="E288" s="17" t="s">
        <v>106</v>
      </c>
      <c r="F288" s="17" t="s">
        <v>107</v>
      </c>
      <c r="G288" s="17" t="s">
        <v>108</v>
      </c>
      <c r="H288" s="78">
        <v>52084507</v>
      </c>
      <c r="I288" s="74" t="s">
        <v>2502</v>
      </c>
      <c r="J288" s="16"/>
      <c r="K288" s="16"/>
      <c r="L288" s="20" t="s">
        <v>2503</v>
      </c>
      <c r="M288" s="16" t="s">
        <v>111</v>
      </c>
      <c r="N288" s="22">
        <v>45314</v>
      </c>
      <c r="O288" s="22">
        <v>45314</v>
      </c>
      <c r="P288" s="115">
        <v>45656</v>
      </c>
      <c r="Q288" s="23">
        <f t="shared" si="120"/>
        <v>342</v>
      </c>
      <c r="R288" s="17" t="s">
        <v>242</v>
      </c>
      <c r="S288" s="117" t="s">
        <v>2504</v>
      </c>
      <c r="T288" s="116" t="s">
        <v>343</v>
      </c>
      <c r="U288" s="118">
        <v>87524976</v>
      </c>
      <c r="V288" s="16" t="s">
        <v>344</v>
      </c>
      <c r="W288" s="224">
        <v>87524976</v>
      </c>
      <c r="X288" s="24">
        <v>11701200</v>
      </c>
      <c r="Y288" s="24"/>
      <c r="Z288" s="24"/>
      <c r="AA288" s="17" t="s">
        <v>116</v>
      </c>
      <c r="AB288" s="23" t="str">
        <f>IFERROR(VLOOKUP(AA288,Listas!$A$1:$C$14,2,FALSE),"")</f>
        <v>FREDY CÉSPEDES VILLA</v>
      </c>
      <c r="AC288" s="23">
        <f>IFERROR(VLOOKUP(AA288,Listas!$A$1:$C$14,3,FALSE),"")</f>
        <v>93363483</v>
      </c>
      <c r="AD288" s="17" t="s">
        <v>345</v>
      </c>
      <c r="AE288" s="17" t="s">
        <v>346</v>
      </c>
      <c r="AF288" s="23" t="str">
        <f>IFERROR(VLOOKUP(AE288,Listas!$AD$1:$AF$66,2,FALSE),"")</f>
        <v>RODOLFO GIOVANNI CANCHILA SUÁREZ</v>
      </c>
      <c r="AG288" s="23">
        <f>IFERROR(VLOOKUP(AE288,Listas!$AD$1:$AF$65,3,FALSE),"")</f>
        <v>79672493</v>
      </c>
      <c r="AH288" s="17" t="s">
        <v>118</v>
      </c>
      <c r="AI288" s="65" t="s">
        <v>2505</v>
      </c>
      <c r="AJ288" s="25" t="s">
        <v>119</v>
      </c>
      <c r="AK288" s="26" t="s">
        <v>120</v>
      </c>
      <c r="AL288" s="26" t="s">
        <v>120</v>
      </c>
      <c r="AM288" s="90" t="s">
        <v>119</v>
      </c>
      <c r="AN288" s="105">
        <v>26602</v>
      </c>
      <c r="AO288" s="91">
        <f t="shared" ca="1" si="121"/>
        <v>53</v>
      </c>
      <c r="AP288" s="26" t="s">
        <v>121</v>
      </c>
      <c r="AQ288" s="26" t="s">
        <v>367</v>
      </c>
      <c r="AR288" s="89"/>
      <c r="AS288" s="27"/>
      <c r="AT288" s="16"/>
      <c r="AU288" s="27"/>
      <c r="AV288" s="86"/>
      <c r="AW288" s="27"/>
      <c r="AX288" s="27"/>
      <c r="AY288" s="27"/>
      <c r="AZ288" s="27"/>
      <c r="BA288" s="27"/>
      <c r="BB288" s="27"/>
      <c r="BC288" s="97"/>
      <c r="BD288" s="27"/>
      <c r="BE288" s="16"/>
      <c r="BF288" s="28">
        <f t="shared" si="123"/>
        <v>0</v>
      </c>
      <c r="BG288" s="29"/>
      <c r="BH288" s="27"/>
      <c r="BI288" s="30">
        <f t="shared" si="124"/>
        <v>342</v>
      </c>
      <c r="BJ288" s="31">
        <f t="shared" si="125"/>
        <v>45656</v>
      </c>
      <c r="BK288" s="27"/>
      <c r="BL288" s="16"/>
      <c r="BM288" s="27"/>
      <c r="BN288" s="16"/>
      <c r="BO288" s="27"/>
      <c r="BP288" s="16"/>
      <c r="BQ288" s="27"/>
      <c r="BR288" s="24"/>
      <c r="BS288" s="24"/>
      <c r="BT288" s="32"/>
      <c r="BU288" s="27"/>
      <c r="BV288" s="24"/>
      <c r="BW288" s="24"/>
      <c r="BX288" s="16"/>
      <c r="BY288" s="27"/>
      <c r="BZ288" s="24"/>
      <c r="CA288" s="24"/>
      <c r="CB288" s="16"/>
      <c r="CC288" s="49">
        <f t="shared" si="126"/>
        <v>0</v>
      </c>
      <c r="CD288" s="24"/>
      <c r="CE288" s="49">
        <f t="shared" si="127"/>
        <v>87524976</v>
      </c>
      <c r="CF288" s="50"/>
      <c r="CG288" s="49">
        <f t="shared" ca="1" si="128"/>
        <v>87524976</v>
      </c>
      <c r="CH288" s="33">
        <f t="shared" ca="1" si="129"/>
        <v>1</v>
      </c>
      <c r="CI288" s="33">
        <f t="shared" ca="1" si="130"/>
        <v>1</v>
      </c>
      <c r="CJ288" s="36">
        <f t="shared" ca="1" si="131"/>
        <v>100</v>
      </c>
      <c r="CK288" s="34">
        <f t="shared" si="132"/>
        <v>0</v>
      </c>
      <c r="CL288" s="21"/>
      <c r="CM288" s="35" t="str">
        <f t="shared" ca="1" si="133"/>
        <v>TERMINADO</v>
      </c>
      <c r="CN288" s="82"/>
      <c r="CO288" s="145" t="s">
        <v>2506</v>
      </c>
      <c r="CP288" s="26" t="s">
        <v>123</v>
      </c>
    </row>
    <row r="289" spans="1:94" ht="24.75" customHeight="1">
      <c r="A289" s="48" t="s">
        <v>2507</v>
      </c>
      <c r="B289" s="77" t="s">
        <v>2508</v>
      </c>
      <c r="C289" s="17" t="s">
        <v>104</v>
      </c>
      <c r="D289" s="18" t="s">
        <v>2509</v>
      </c>
      <c r="E289" s="17" t="s">
        <v>106</v>
      </c>
      <c r="F289" s="17" t="s">
        <v>107</v>
      </c>
      <c r="G289" s="17" t="s">
        <v>108</v>
      </c>
      <c r="H289" s="78">
        <v>1015409978</v>
      </c>
      <c r="I289" s="74" t="s">
        <v>2510</v>
      </c>
      <c r="J289" s="16"/>
      <c r="K289" s="16"/>
      <c r="L289" s="20" t="s">
        <v>2511</v>
      </c>
      <c r="M289" s="16" t="s">
        <v>111</v>
      </c>
      <c r="N289" s="22">
        <v>45314</v>
      </c>
      <c r="O289" s="22">
        <v>45321</v>
      </c>
      <c r="P289" s="115">
        <v>45656</v>
      </c>
      <c r="Q289" s="23">
        <f t="shared" si="120"/>
        <v>335</v>
      </c>
      <c r="R289" s="17" t="s">
        <v>242</v>
      </c>
      <c r="S289" s="117" t="s">
        <v>2512</v>
      </c>
      <c r="T289" s="116" t="s">
        <v>668</v>
      </c>
      <c r="U289" s="118">
        <v>69149952</v>
      </c>
      <c r="V289" s="16" t="s">
        <v>281</v>
      </c>
      <c r="W289" s="224">
        <v>69149952</v>
      </c>
      <c r="X289" s="24">
        <v>5762496</v>
      </c>
      <c r="Y289" s="24"/>
      <c r="Z289" s="24"/>
      <c r="AA289" s="17" t="s">
        <v>116</v>
      </c>
      <c r="AB289" s="23" t="str">
        <f>IFERROR(VLOOKUP(AA289,Listas!$A$1:$C$14,2,FALSE),"")</f>
        <v>FREDY CÉSPEDES VILLA</v>
      </c>
      <c r="AC289" s="23">
        <f>IFERROR(VLOOKUP(AA289,Listas!$A$1:$C$14,3,FALSE),"")</f>
        <v>93363483</v>
      </c>
      <c r="AD289" s="17" t="s">
        <v>282</v>
      </c>
      <c r="AE289" s="17" t="s">
        <v>2513</v>
      </c>
      <c r="AF289" s="23" t="str">
        <f>IFERROR(VLOOKUP(AE289,Listas!$AD$1:$AF$66,2,FALSE),"")</f>
        <v>SANDRA MIREYA ARÉVALO RODRÍGUEZ</v>
      </c>
      <c r="AG289" s="23">
        <f>IFERROR(VLOOKUP(AE289,Listas!$AD$1:$AF$65,3,FALSE),"")</f>
        <v>51917861</v>
      </c>
      <c r="AH289" s="17" t="s">
        <v>118</v>
      </c>
      <c r="AI289" s="65" t="s">
        <v>2514</v>
      </c>
      <c r="AJ289" s="25" t="s">
        <v>119</v>
      </c>
      <c r="AK289" s="26" t="s">
        <v>120</v>
      </c>
      <c r="AL289" s="26" t="s">
        <v>120</v>
      </c>
      <c r="AM289" s="90" t="s">
        <v>119</v>
      </c>
      <c r="AN289" s="105">
        <v>32086</v>
      </c>
      <c r="AO289" s="91">
        <f t="shared" ca="1" si="121"/>
        <v>38</v>
      </c>
      <c r="AP289" s="26" t="s">
        <v>121</v>
      </c>
      <c r="AQ289" s="26" t="s">
        <v>285</v>
      </c>
      <c r="AR289" s="89"/>
      <c r="AS289" s="27"/>
      <c r="AT289" s="16"/>
      <c r="AU289" s="27"/>
      <c r="AV289" s="86"/>
      <c r="AW289" s="27"/>
      <c r="AX289" s="27"/>
      <c r="AY289" s="27"/>
      <c r="AZ289" s="27"/>
      <c r="BA289" s="27"/>
      <c r="BB289" s="27"/>
      <c r="BC289" s="97"/>
      <c r="BD289" s="27"/>
      <c r="BE289" s="16"/>
      <c r="BF289" s="28">
        <f t="shared" si="123"/>
        <v>0</v>
      </c>
      <c r="BG289" s="29"/>
      <c r="BH289" s="27"/>
      <c r="BI289" s="30">
        <f t="shared" si="124"/>
        <v>335</v>
      </c>
      <c r="BJ289" s="31">
        <f t="shared" si="125"/>
        <v>45656</v>
      </c>
      <c r="BK289" s="27"/>
      <c r="BL289" s="16"/>
      <c r="BM289" s="27"/>
      <c r="BN289" s="16"/>
      <c r="BO289" s="27"/>
      <c r="BP289" s="16"/>
      <c r="BQ289" s="27"/>
      <c r="BR289" s="24"/>
      <c r="BS289" s="24"/>
      <c r="BT289" s="32"/>
      <c r="BU289" s="27"/>
      <c r="BV289" s="24"/>
      <c r="BW289" s="24"/>
      <c r="BX289" s="16"/>
      <c r="BY289" s="27"/>
      <c r="BZ289" s="24"/>
      <c r="CA289" s="24"/>
      <c r="CB289" s="16"/>
      <c r="CC289" s="49">
        <f t="shared" si="126"/>
        <v>0</v>
      </c>
      <c r="CD289" s="24"/>
      <c r="CE289" s="49">
        <f t="shared" si="127"/>
        <v>69149952</v>
      </c>
      <c r="CF289" s="50"/>
      <c r="CG289" s="49">
        <f t="shared" ca="1" si="128"/>
        <v>69149952</v>
      </c>
      <c r="CH289" s="33">
        <f t="shared" ca="1" si="129"/>
        <v>1</v>
      </c>
      <c r="CI289" s="33">
        <f t="shared" ca="1" si="130"/>
        <v>1</v>
      </c>
      <c r="CJ289" s="36">
        <f t="shared" ca="1" si="131"/>
        <v>100</v>
      </c>
      <c r="CK289" s="34">
        <f t="shared" si="132"/>
        <v>0</v>
      </c>
      <c r="CL289" s="21"/>
      <c r="CM289" s="35" t="str">
        <f t="shared" ca="1" si="133"/>
        <v>TERMINADO</v>
      </c>
      <c r="CN289" s="82"/>
      <c r="CO289" s="145" t="s">
        <v>2515</v>
      </c>
      <c r="CP289" s="26" t="s">
        <v>142</v>
      </c>
    </row>
    <row r="290" spans="1:94" ht="24.75" customHeight="1">
      <c r="A290" s="48" t="s">
        <v>2516</v>
      </c>
      <c r="B290" s="77" t="s">
        <v>2517</v>
      </c>
      <c r="C290" s="17" t="s">
        <v>104</v>
      </c>
      <c r="D290" s="18" t="s">
        <v>2518</v>
      </c>
      <c r="E290" s="17" t="s">
        <v>106</v>
      </c>
      <c r="F290" s="17" t="s">
        <v>107</v>
      </c>
      <c r="G290" s="17" t="s">
        <v>108</v>
      </c>
      <c r="H290" s="78">
        <v>32243242</v>
      </c>
      <c r="I290" s="74" t="s">
        <v>2519</v>
      </c>
      <c r="J290" s="16"/>
      <c r="K290" s="16"/>
      <c r="L290" s="20" t="s">
        <v>2520</v>
      </c>
      <c r="M290" s="16" t="s">
        <v>111</v>
      </c>
      <c r="N290" s="22">
        <v>45314</v>
      </c>
      <c r="O290" s="22">
        <v>45324</v>
      </c>
      <c r="P290" s="115">
        <v>45656</v>
      </c>
      <c r="Q290" s="23">
        <f t="shared" si="120"/>
        <v>332</v>
      </c>
      <c r="R290" s="17" t="s">
        <v>112</v>
      </c>
      <c r="S290" s="117" t="s">
        <v>2521</v>
      </c>
      <c r="T290" s="116" t="s">
        <v>2025</v>
      </c>
      <c r="U290" s="118">
        <v>55918800</v>
      </c>
      <c r="V290" s="16" t="s">
        <v>2522</v>
      </c>
      <c r="W290" s="224">
        <v>55918800</v>
      </c>
      <c r="X290" s="24">
        <v>4659900</v>
      </c>
      <c r="Y290" s="24"/>
      <c r="Z290" s="24"/>
      <c r="AA290" s="17" t="s">
        <v>116</v>
      </c>
      <c r="AB290" s="23" t="str">
        <f>IFERROR(VLOOKUP(AA290,Listas!$A$1:$C$14,2,FALSE),"")</f>
        <v>FREDY CÉSPEDES VILLA</v>
      </c>
      <c r="AC290" s="23">
        <f>IFERROR(VLOOKUP(AA290,Listas!$A$1:$C$14,3,FALSE),"")</f>
        <v>93363483</v>
      </c>
      <c r="AD290" s="17" t="s">
        <v>116</v>
      </c>
      <c r="AE290" s="17" t="s">
        <v>484</v>
      </c>
      <c r="AF290" s="23" t="str">
        <f>IFERROR(VLOOKUP(AE290,Listas!$AD$1:$AF$66,2,FALSE),"")</f>
        <v>JAIME ANDRES GIL ACOSTA</v>
      </c>
      <c r="AG290" s="23">
        <f>IFERROR(VLOOKUP(AE290,Listas!$AD$1:$AF$65,3,FALSE),"")</f>
        <v>98622827</v>
      </c>
      <c r="AH290" s="17" t="s">
        <v>118</v>
      </c>
      <c r="AI290" s="65" t="s">
        <v>2523</v>
      </c>
      <c r="AJ290" s="25" t="s">
        <v>119</v>
      </c>
      <c r="AK290" s="26" t="s">
        <v>120</v>
      </c>
      <c r="AL290" s="26" t="s">
        <v>120</v>
      </c>
      <c r="AM290" s="90" t="s">
        <v>119</v>
      </c>
      <c r="AN290" s="105">
        <v>30182</v>
      </c>
      <c r="AO290" s="91">
        <f t="shared" ca="1" si="121"/>
        <v>43</v>
      </c>
      <c r="AP290" s="26" t="s">
        <v>121</v>
      </c>
      <c r="AQ290" s="26" t="s">
        <v>486</v>
      </c>
      <c r="AR290" s="89"/>
      <c r="AS290" s="27"/>
      <c r="AT290" s="16"/>
      <c r="AU290" s="27"/>
      <c r="AV290" s="86"/>
      <c r="AW290" s="27"/>
      <c r="AX290" s="27"/>
      <c r="AY290" s="27"/>
      <c r="AZ290" s="27"/>
      <c r="BA290" s="27"/>
      <c r="BB290" s="27"/>
      <c r="BC290" s="97"/>
      <c r="BD290" s="27"/>
      <c r="BE290" s="16"/>
      <c r="BF290" s="28">
        <f t="shared" si="123"/>
        <v>0</v>
      </c>
      <c r="BG290" s="29"/>
      <c r="BH290" s="27"/>
      <c r="BI290" s="30">
        <f t="shared" si="124"/>
        <v>332</v>
      </c>
      <c r="BJ290" s="31">
        <f t="shared" si="125"/>
        <v>45656</v>
      </c>
      <c r="BK290" s="27"/>
      <c r="BL290" s="16"/>
      <c r="BM290" s="27"/>
      <c r="BN290" s="16"/>
      <c r="BO290" s="27"/>
      <c r="BP290" s="16"/>
      <c r="BQ290" s="27"/>
      <c r="BR290" s="24"/>
      <c r="BS290" s="24"/>
      <c r="BT290" s="32"/>
      <c r="BU290" s="27"/>
      <c r="BV290" s="24"/>
      <c r="BW290" s="24"/>
      <c r="BX290" s="16"/>
      <c r="BY290" s="27"/>
      <c r="BZ290" s="24"/>
      <c r="CA290" s="24"/>
      <c r="CB290" s="16"/>
      <c r="CC290" s="49">
        <f t="shared" si="126"/>
        <v>0</v>
      </c>
      <c r="CD290" s="24"/>
      <c r="CE290" s="49">
        <f t="shared" si="127"/>
        <v>55918800</v>
      </c>
      <c r="CF290" s="50"/>
      <c r="CG290" s="49">
        <f t="shared" ca="1" si="128"/>
        <v>55918800</v>
      </c>
      <c r="CH290" s="33">
        <f t="shared" ca="1" si="129"/>
        <v>1</v>
      </c>
      <c r="CI290" s="33">
        <f t="shared" ca="1" si="130"/>
        <v>1</v>
      </c>
      <c r="CJ290" s="36">
        <f t="shared" ca="1" si="131"/>
        <v>100</v>
      </c>
      <c r="CK290" s="34">
        <f t="shared" si="132"/>
        <v>0</v>
      </c>
      <c r="CL290" s="21"/>
      <c r="CM290" s="35" t="str">
        <f t="shared" ca="1" si="133"/>
        <v>TERMINADO</v>
      </c>
      <c r="CN290" s="82"/>
      <c r="CO290" s="145" t="s">
        <v>2524</v>
      </c>
      <c r="CP290" s="26" t="s">
        <v>123</v>
      </c>
    </row>
    <row r="291" spans="1:94" ht="24.75" customHeight="1">
      <c r="A291" s="48" t="s">
        <v>2525</v>
      </c>
      <c r="B291" s="77" t="s">
        <v>2526</v>
      </c>
      <c r="C291" s="17" t="s">
        <v>104</v>
      </c>
      <c r="D291" s="18" t="s">
        <v>2527</v>
      </c>
      <c r="E291" s="17" t="s">
        <v>106</v>
      </c>
      <c r="F291" s="17" t="s">
        <v>107</v>
      </c>
      <c r="G291" s="17" t="s">
        <v>108</v>
      </c>
      <c r="H291" s="78">
        <v>66862706</v>
      </c>
      <c r="I291" s="74" t="s">
        <v>2528</v>
      </c>
      <c r="J291" s="16"/>
      <c r="K291" s="16"/>
      <c r="L291" s="20" t="s">
        <v>2529</v>
      </c>
      <c r="M291" s="16" t="s">
        <v>111</v>
      </c>
      <c r="N291" s="22">
        <v>45314</v>
      </c>
      <c r="O291" s="22">
        <v>45321</v>
      </c>
      <c r="P291" s="115">
        <v>45656</v>
      </c>
      <c r="Q291" s="23">
        <f t="shared" si="120"/>
        <v>335</v>
      </c>
      <c r="R291" s="17" t="s">
        <v>112</v>
      </c>
      <c r="S291" s="117" t="s">
        <v>2530</v>
      </c>
      <c r="T291" s="116" t="s">
        <v>2025</v>
      </c>
      <c r="U291" s="118">
        <v>106200000</v>
      </c>
      <c r="V291" s="16" t="s">
        <v>2522</v>
      </c>
      <c r="W291" s="224">
        <v>106200000</v>
      </c>
      <c r="X291" s="24">
        <v>8850000</v>
      </c>
      <c r="Y291" s="24"/>
      <c r="Z291" s="24"/>
      <c r="AA291" s="17" t="s">
        <v>116</v>
      </c>
      <c r="AB291" s="23" t="str">
        <f>IFERROR(VLOOKUP(AA291,Listas!$A$1:$C$14,2,FALSE),"")</f>
        <v>FREDY CÉSPEDES VILLA</v>
      </c>
      <c r="AC291" s="23">
        <f>IFERROR(VLOOKUP(AA291,Listas!$A$1:$C$14,3,FALSE),"")</f>
        <v>93363483</v>
      </c>
      <c r="AD291" s="17" t="s">
        <v>116</v>
      </c>
      <c r="AE291" s="17" t="s">
        <v>484</v>
      </c>
      <c r="AF291" s="23" t="str">
        <f>IFERROR(VLOOKUP(AE291,Listas!$AD$1:$AF$66,2,FALSE),"")</f>
        <v>JAIME ANDRES GIL ACOSTA</v>
      </c>
      <c r="AG291" s="23">
        <f>IFERROR(VLOOKUP(AE291,Listas!$AD$1:$AF$65,3,FALSE),"")</f>
        <v>98622827</v>
      </c>
      <c r="AH291" s="17" t="s">
        <v>118</v>
      </c>
      <c r="AI291" s="65" t="s">
        <v>2531</v>
      </c>
      <c r="AJ291" s="25" t="s">
        <v>119</v>
      </c>
      <c r="AK291" s="26" t="s">
        <v>120</v>
      </c>
      <c r="AL291" s="26" t="s">
        <v>120</v>
      </c>
      <c r="AM291" s="90" t="s">
        <v>119</v>
      </c>
      <c r="AN291" s="105">
        <v>27012</v>
      </c>
      <c r="AO291" s="91">
        <f t="shared" ca="1" si="121"/>
        <v>52</v>
      </c>
      <c r="AP291" s="26" t="s">
        <v>121</v>
      </c>
      <c r="AQ291" s="26" t="s">
        <v>486</v>
      </c>
      <c r="AR291" s="89"/>
      <c r="AS291" s="27"/>
      <c r="AT291" s="16"/>
      <c r="AU291" s="27"/>
      <c r="AV291" s="86"/>
      <c r="AW291" s="27"/>
      <c r="AX291" s="27"/>
      <c r="AY291" s="27"/>
      <c r="AZ291" s="27"/>
      <c r="BA291" s="27"/>
      <c r="BB291" s="27"/>
      <c r="BC291" s="97"/>
      <c r="BD291" s="27"/>
      <c r="BE291" s="16"/>
      <c r="BF291" s="28">
        <f t="shared" si="123"/>
        <v>0</v>
      </c>
      <c r="BG291" s="29"/>
      <c r="BH291" s="27"/>
      <c r="BI291" s="30">
        <f t="shared" si="124"/>
        <v>335</v>
      </c>
      <c r="BJ291" s="31">
        <f t="shared" si="125"/>
        <v>45656</v>
      </c>
      <c r="BK291" s="27"/>
      <c r="BL291" s="16"/>
      <c r="BM291" s="27"/>
      <c r="BN291" s="16"/>
      <c r="BO291" s="27"/>
      <c r="BP291" s="16"/>
      <c r="BQ291" s="27"/>
      <c r="BR291" s="24"/>
      <c r="BS291" s="24"/>
      <c r="BT291" s="32"/>
      <c r="BU291" s="27"/>
      <c r="BV291" s="24"/>
      <c r="BW291" s="24"/>
      <c r="BX291" s="16"/>
      <c r="BY291" s="27"/>
      <c r="BZ291" s="24"/>
      <c r="CA291" s="24"/>
      <c r="CB291" s="16"/>
      <c r="CC291" s="49">
        <f t="shared" si="126"/>
        <v>0</v>
      </c>
      <c r="CD291" s="24"/>
      <c r="CE291" s="49">
        <f t="shared" si="127"/>
        <v>106200000</v>
      </c>
      <c r="CF291" s="50"/>
      <c r="CG291" s="49">
        <f t="shared" ca="1" si="128"/>
        <v>106200000</v>
      </c>
      <c r="CH291" s="33">
        <f t="shared" ca="1" si="129"/>
        <v>1</v>
      </c>
      <c r="CI291" s="33">
        <f t="shared" ca="1" si="130"/>
        <v>1</v>
      </c>
      <c r="CJ291" s="36">
        <f t="shared" ca="1" si="131"/>
        <v>100</v>
      </c>
      <c r="CK291" s="34">
        <f t="shared" si="132"/>
        <v>0</v>
      </c>
      <c r="CL291" s="21"/>
      <c r="CM291" s="35" t="str">
        <f t="shared" ca="1" si="133"/>
        <v>TERMINADO</v>
      </c>
      <c r="CN291" s="82"/>
      <c r="CO291" s="145" t="s">
        <v>2532</v>
      </c>
      <c r="CP291" s="26" t="s">
        <v>123</v>
      </c>
    </row>
    <row r="292" spans="1:94" ht="24.75" customHeight="1">
      <c r="A292" s="48" t="s">
        <v>2533</v>
      </c>
      <c r="B292" s="77" t="s">
        <v>2534</v>
      </c>
      <c r="C292" s="17" t="s">
        <v>104</v>
      </c>
      <c r="D292" s="18" t="s">
        <v>2535</v>
      </c>
      <c r="E292" s="17" t="s">
        <v>106</v>
      </c>
      <c r="F292" s="17" t="s">
        <v>107</v>
      </c>
      <c r="G292" s="17" t="s">
        <v>108</v>
      </c>
      <c r="H292" s="78">
        <v>52518374</v>
      </c>
      <c r="I292" s="74" t="s">
        <v>2536</v>
      </c>
      <c r="J292" s="16"/>
      <c r="K292" s="16"/>
      <c r="L292" s="20" t="s">
        <v>2537</v>
      </c>
      <c r="M292" s="16" t="s">
        <v>111</v>
      </c>
      <c r="N292" s="22">
        <v>45314</v>
      </c>
      <c r="O292" s="22">
        <v>45316</v>
      </c>
      <c r="P292" s="115">
        <v>45656</v>
      </c>
      <c r="Q292" s="23">
        <f t="shared" si="120"/>
        <v>340</v>
      </c>
      <c r="R292" s="17" t="s">
        <v>112</v>
      </c>
      <c r="S292" s="117" t="s">
        <v>2538</v>
      </c>
      <c r="T292" s="116" t="s">
        <v>2025</v>
      </c>
      <c r="U292" s="118">
        <v>85800000</v>
      </c>
      <c r="V292" s="16" t="s">
        <v>2522</v>
      </c>
      <c r="W292" s="224">
        <v>85800000</v>
      </c>
      <c r="X292" s="24">
        <v>7150000</v>
      </c>
      <c r="Y292" s="24"/>
      <c r="Z292" s="24"/>
      <c r="AA292" s="17" t="s">
        <v>116</v>
      </c>
      <c r="AB292" s="23" t="str">
        <f>IFERROR(VLOOKUP(AA292,Listas!$A$1:$C$14,2,FALSE),"")</f>
        <v>FREDY CÉSPEDES VILLA</v>
      </c>
      <c r="AC292" s="23">
        <f>IFERROR(VLOOKUP(AA292,Listas!$A$1:$C$14,3,FALSE),"")</f>
        <v>93363483</v>
      </c>
      <c r="AD292" s="17" t="s">
        <v>116</v>
      </c>
      <c r="AE292" s="17" t="s">
        <v>484</v>
      </c>
      <c r="AF292" s="23" t="str">
        <f>IFERROR(VLOOKUP(AE292,Listas!$AD$1:$AF$66,2,FALSE),"")</f>
        <v>JAIME ANDRES GIL ACOSTA</v>
      </c>
      <c r="AG292" s="23">
        <f>IFERROR(VLOOKUP(AE292,Listas!$AD$1:$AF$65,3,FALSE),"")</f>
        <v>98622827</v>
      </c>
      <c r="AH292" s="17" t="s">
        <v>118</v>
      </c>
      <c r="AI292" s="65" t="s">
        <v>2539</v>
      </c>
      <c r="AJ292" s="25" t="s">
        <v>119</v>
      </c>
      <c r="AK292" s="26" t="s">
        <v>120</v>
      </c>
      <c r="AL292" s="26" t="s">
        <v>120</v>
      </c>
      <c r="AM292" s="90" t="s">
        <v>119</v>
      </c>
      <c r="AN292" s="105">
        <v>30182</v>
      </c>
      <c r="AO292" s="91">
        <f t="shared" ca="1" si="121"/>
        <v>43</v>
      </c>
      <c r="AP292" s="26" t="s">
        <v>121</v>
      </c>
      <c r="AQ292" s="26" t="s">
        <v>486</v>
      </c>
      <c r="AR292" s="89"/>
      <c r="AS292" s="27"/>
      <c r="AT292" s="16"/>
      <c r="AU292" s="27"/>
      <c r="AV292" s="86"/>
      <c r="AW292" s="27"/>
      <c r="AX292" s="27"/>
      <c r="AY292" s="27"/>
      <c r="AZ292" s="27"/>
      <c r="BA292" s="27"/>
      <c r="BB292" s="27"/>
      <c r="BC292" s="97"/>
      <c r="BD292" s="27"/>
      <c r="BE292" s="16"/>
      <c r="BF292" s="28">
        <f t="shared" si="123"/>
        <v>0</v>
      </c>
      <c r="BG292" s="29"/>
      <c r="BH292" s="27"/>
      <c r="BI292" s="30">
        <f t="shared" si="124"/>
        <v>340</v>
      </c>
      <c r="BJ292" s="31">
        <f t="shared" si="125"/>
        <v>45656</v>
      </c>
      <c r="BK292" s="27"/>
      <c r="BL292" s="16"/>
      <c r="BM292" s="27"/>
      <c r="BN292" s="16"/>
      <c r="BO292" s="27"/>
      <c r="BP292" s="16"/>
      <c r="BQ292" s="27"/>
      <c r="BR292" s="24"/>
      <c r="BS292" s="24"/>
      <c r="BT292" s="32"/>
      <c r="BU292" s="27"/>
      <c r="BV292" s="24"/>
      <c r="BW292" s="24"/>
      <c r="BX292" s="16"/>
      <c r="BY292" s="27"/>
      <c r="BZ292" s="24"/>
      <c r="CA292" s="24"/>
      <c r="CB292" s="16"/>
      <c r="CC292" s="49">
        <f t="shared" si="126"/>
        <v>0</v>
      </c>
      <c r="CD292" s="24"/>
      <c r="CE292" s="49">
        <f t="shared" si="127"/>
        <v>85800000</v>
      </c>
      <c r="CF292" s="50"/>
      <c r="CG292" s="49">
        <f t="shared" ca="1" si="128"/>
        <v>85800000</v>
      </c>
      <c r="CH292" s="33">
        <f t="shared" ca="1" si="129"/>
        <v>1</v>
      </c>
      <c r="CI292" s="33">
        <f t="shared" ca="1" si="130"/>
        <v>1</v>
      </c>
      <c r="CJ292" s="36">
        <f t="shared" ca="1" si="131"/>
        <v>100</v>
      </c>
      <c r="CK292" s="34">
        <f t="shared" si="132"/>
        <v>0</v>
      </c>
      <c r="CL292" s="21"/>
      <c r="CM292" s="35" t="str">
        <f t="shared" ca="1" si="133"/>
        <v>TERMINADO</v>
      </c>
      <c r="CN292" s="82"/>
      <c r="CO292" s="145" t="s">
        <v>2540</v>
      </c>
      <c r="CP292" s="26" t="s">
        <v>123</v>
      </c>
    </row>
    <row r="293" spans="1:94" ht="24.75" customHeight="1">
      <c r="A293" s="48" t="s">
        <v>2541</v>
      </c>
      <c r="B293" s="77" t="s">
        <v>2542</v>
      </c>
      <c r="C293" s="17" t="s">
        <v>104</v>
      </c>
      <c r="D293" s="18" t="s">
        <v>2543</v>
      </c>
      <c r="E293" s="17" t="s">
        <v>106</v>
      </c>
      <c r="F293" s="17" t="s">
        <v>107</v>
      </c>
      <c r="G293" s="17" t="s">
        <v>108</v>
      </c>
      <c r="H293" s="78">
        <v>1114726773</v>
      </c>
      <c r="I293" s="74" t="s">
        <v>2544</v>
      </c>
      <c r="J293" s="16"/>
      <c r="K293" s="16"/>
      <c r="L293" s="20" t="s">
        <v>1866</v>
      </c>
      <c r="M293" s="16" t="s">
        <v>557</v>
      </c>
      <c r="N293" s="22">
        <v>45321</v>
      </c>
      <c r="O293" s="22">
        <v>45321</v>
      </c>
      <c r="P293" s="115">
        <v>45657</v>
      </c>
      <c r="Q293" s="23">
        <f t="shared" si="120"/>
        <v>336</v>
      </c>
      <c r="R293" s="17" t="s">
        <v>242</v>
      </c>
      <c r="S293" s="117" t="s">
        <v>2545</v>
      </c>
      <c r="T293" s="116" t="s">
        <v>1145</v>
      </c>
      <c r="U293" s="118">
        <v>70716634</v>
      </c>
      <c r="V293" s="16" t="s">
        <v>2546</v>
      </c>
      <c r="W293" s="224">
        <v>70716634</v>
      </c>
      <c r="X293" s="24">
        <v>6131500</v>
      </c>
      <c r="Y293" s="24"/>
      <c r="Z293" s="24"/>
      <c r="AA293" s="17" t="s">
        <v>116</v>
      </c>
      <c r="AB293" s="23" t="str">
        <f>IFERROR(VLOOKUP(AA293,Listas!$A$1:$C$14,2,FALSE),"")</f>
        <v>FREDY CÉSPEDES VILLA</v>
      </c>
      <c r="AC293" s="23">
        <f>IFERROR(VLOOKUP(AA293,Listas!$A$1:$C$14,3,FALSE),"")</f>
        <v>93363483</v>
      </c>
      <c r="AD293" s="17" t="s">
        <v>427</v>
      </c>
      <c r="AE293" s="17" t="s">
        <v>1802</v>
      </c>
      <c r="AF293" s="23" t="str">
        <f>IFERROR(VLOOKUP(AE293,Listas!$AD$1:$AF$66,2,FALSE),"")</f>
        <v>YULI ANDREA RIVEROS PINEDA</v>
      </c>
      <c r="AG293" s="23">
        <f>IFERROR(VLOOKUP(AE293,Listas!$AD$1:$AF$65,3,FALSE),"")</f>
        <v>53036984</v>
      </c>
      <c r="AH293" s="17" t="s">
        <v>118</v>
      </c>
      <c r="AI293" s="65" t="s">
        <v>2547</v>
      </c>
      <c r="AJ293" s="25" t="s">
        <v>119</v>
      </c>
      <c r="AK293" s="26" t="s">
        <v>120</v>
      </c>
      <c r="AL293" s="26" t="s">
        <v>120</v>
      </c>
      <c r="AM293" s="90" t="s">
        <v>119</v>
      </c>
      <c r="AN293" s="105">
        <v>31646</v>
      </c>
      <c r="AO293" s="91">
        <f t="shared" ca="1" si="121"/>
        <v>39</v>
      </c>
      <c r="AP293" s="26" t="s">
        <v>121</v>
      </c>
      <c r="AQ293" s="26" t="s">
        <v>1272</v>
      </c>
      <c r="AR293" s="89"/>
      <c r="AS293" s="27"/>
      <c r="AT293" s="16"/>
      <c r="AU293" s="27"/>
      <c r="AV293" s="86"/>
      <c r="AW293" s="27"/>
      <c r="AX293" s="27"/>
      <c r="AY293" s="27"/>
      <c r="AZ293" s="27"/>
      <c r="BA293" s="27"/>
      <c r="BB293" s="27"/>
      <c r="BC293" s="97"/>
      <c r="BD293" s="27"/>
      <c r="BE293" s="16"/>
      <c r="BF293" s="28">
        <f t="shared" si="123"/>
        <v>0</v>
      </c>
      <c r="BG293" s="29"/>
      <c r="BH293" s="27"/>
      <c r="BI293" s="30">
        <f t="shared" si="124"/>
        <v>336</v>
      </c>
      <c r="BJ293" s="31">
        <f t="shared" si="125"/>
        <v>45657</v>
      </c>
      <c r="BK293" s="27"/>
      <c r="BL293" s="16"/>
      <c r="BM293" s="27"/>
      <c r="BN293" s="16"/>
      <c r="BO293" s="27"/>
      <c r="BP293" s="16"/>
      <c r="BQ293" s="27"/>
      <c r="BR293" s="24"/>
      <c r="BS293" s="24"/>
      <c r="BT293" s="32"/>
      <c r="BU293" s="27"/>
      <c r="BV293" s="24"/>
      <c r="BW293" s="24"/>
      <c r="BX293" s="16"/>
      <c r="BY293" s="27"/>
      <c r="BZ293" s="24"/>
      <c r="CA293" s="24"/>
      <c r="CB293" s="16"/>
      <c r="CC293" s="49">
        <f t="shared" si="126"/>
        <v>0</v>
      </c>
      <c r="CD293" s="24"/>
      <c r="CE293" s="49">
        <f t="shared" si="127"/>
        <v>70716634</v>
      </c>
      <c r="CF293" s="50"/>
      <c r="CG293" s="49">
        <f t="shared" ca="1" si="128"/>
        <v>70716634</v>
      </c>
      <c r="CH293" s="33">
        <f t="shared" ca="1" si="129"/>
        <v>1</v>
      </c>
      <c r="CI293" s="33">
        <f t="shared" ca="1" si="130"/>
        <v>1</v>
      </c>
      <c r="CJ293" s="36">
        <f t="shared" ca="1" si="131"/>
        <v>100</v>
      </c>
      <c r="CK293" s="34">
        <f t="shared" si="132"/>
        <v>0</v>
      </c>
      <c r="CL293" s="21"/>
      <c r="CM293" s="35" t="str">
        <f t="shared" ca="1" si="133"/>
        <v>TERMINADO</v>
      </c>
      <c r="CN293" s="82"/>
      <c r="CO293" s="145" t="s">
        <v>2548</v>
      </c>
      <c r="CP293" s="26" t="s">
        <v>142</v>
      </c>
    </row>
    <row r="294" spans="1:94" ht="24.75" customHeight="1">
      <c r="A294" s="48" t="s">
        <v>2549</v>
      </c>
      <c r="B294" s="77" t="s">
        <v>2550</v>
      </c>
      <c r="C294" s="17" t="s">
        <v>104</v>
      </c>
      <c r="D294" s="18" t="s">
        <v>2551</v>
      </c>
      <c r="E294" s="17" t="s">
        <v>106</v>
      </c>
      <c r="F294" s="17" t="s">
        <v>107</v>
      </c>
      <c r="G294" s="17" t="s">
        <v>108</v>
      </c>
      <c r="H294" s="78">
        <v>1151945848</v>
      </c>
      <c r="I294" s="74" t="s">
        <v>2552</v>
      </c>
      <c r="J294" s="16"/>
      <c r="K294" s="16"/>
      <c r="L294" s="20" t="s">
        <v>2187</v>
      </c>
      <c r="M294" s="16" t="s">
        <v>111</v>
      </c>
      <c r="N294" s="22">
        <v>45316</v>
      </c>
      <c r="O294" s="22">
        <v>45320</v>
      </c>
      <c r="P294" s="115">
        <v>45657</v>
      </c>
      <c r="Q294" s="23">
        <f t="shared" si="120"/>
        <v>337</v>
      </c>
      <c r="R294" s="17" t="s">
        <v>242</v>
      </c>
      <c r="S294" s="117" t="s">
        <v>2553</v>
      </c>
      <c r="T294" s="116" t="s">
        <v>1145</v>
      </c>
      <c r="U294" s="118">
        <v>71329784</v>
      </c>
      <c r="V294" s="16" t="s">
        <v>2546</v>
      </c>
      <c r="W294" s="224">
        <v>71329784</v>
      </c>
      <c r="X294" s="24">
        <v>6131500</v>
      </c>
      <c r="Y294" s="24"/>
      <c r="Z294" s="24"/>
      <c r="AA294" s="17" t="s">
        <v>116</v>
      </c>
      <c r="AB294" s="23" t="str">
        <f>IFERROR(VLOOKUP(AA294,Listas!$A$1:$C$14,2,FALSE),"")</f>
        <v>FREDY CÉSPEDES VILLA</v>
      </c>
      <c r="AC294" s="23">
        <f>IFERROR(VLOOKUP(AA294,Listas!$A$1:$C$14,3,FALSE),"")</f>
        <v>93363483</v>
      </c>
      <c r="AD294" s="17" t="s">
        <v>427</v>
      </c>
      <c r="AE294" s="17" t="s">
        <v>1802</v>
      </c>
      <c r="AF294" s="23" t="str">
        <f>IFERROR(VLOOKUP(AE294,Listas!$AD$1:$AF$66,2,FALSE),"")</f>
        <v>YULI ANDREA RIVEROS PINEDA</v>
      </c>
      <c r="AG294" s="23">
        <f>IFERROR(VLOOKUP(AE294,Listas!$AD$1:$AF$65,3,FALSE),"")</f>
        <v>53036984</v>
      </c>
      <c r="AH294" s="17" t="s">
        <v>118</v>
      </c>
      <c r="AI294" s="65" t="s">
        <v>2554</v>
      </c>
      <c r="AJ294" s="25" t="s">
        <v>119</v>
      </c>
      <c r="AK294" s="26" t="s">
        <v>120</v>
      </c>
      <c r="AL294" s="26" t="s">
        <v>120</v>
      </c>
      <c r="AM294" s="90" t="s">
        <v>119</v>
      </c>
      <c r="AN294" s="105">
        <v>33700</v>
      </c>
      <c r="AO294" s="91">
        <f t="shared" ca="1" si="121"/>
        <v>33</v>
      </c>
      <c r="AP294" s="26" t="s">
        <v>121</v>
      </c>
      <c r="AQ294" s="26" t="s">
        <v>1272</v>
      </c>
      <c r="AR294" s="89"/>
      <c r="AS294" s="27"/>
      <c r="AT294" s="16"/>
      <c r="AU294" s="27"/>
      <c r="AV294" s="86"/>
      <c r="AW294" s="27"/>
      <c r="AX294" s="27"/>
      <c r="AY294" s="27"/>
      <c r="AZ294" s="27"/>
      <c r="BA294" s="27"/>
      <c r="BB294" s="27"/>
      <c r="BC294" s="97"/>
      <c r="BD294" s="27"/>
      <c r="BE294" s="16"/>
      <c r="BF294" s="28">
        <f t="shared" si="123"/>
        <v>0</v>
      </c>
      <c r="BG294" s="29"/>
      <c r="BH294" s="27"/>
      <c r="BI294" s="30">
        <f t="shared" si="124"/>
        <v>337</v>
      </c>
      <c r="BJ294" s="31">
        <f t="shared" si="125"/>
        <v>45657</v>
      </c>
      <c r="BK294" s="27"/>
      <c r="BL294" s="16"/>
      <c r="BM294" s="27"/>
      <c r="BN294" s="16"/>
      <c r="BO294" s="27"/>
      <c r="BP294" s="16"/>
      <c r="BQ294" s="27"/>
      <c r="BR294" s="24"/>
      <c r="BS294" s="24"/>
      <c r="BT294" s="32"/>
      <c r="BU294" s="27"/>
      <c r="BV294" s="24"/>
      <c r="BW294" s="24"/>
      <c r="BX294" s="16"/>
      <c r="BY294" s="27"/>
      <c r="BZ294" s="24"/>
      <c r="CA294" s="24"/>
      <c r="CB294" s="16"/>
      <c r="CC294" s="49">
        <f t="shared" si="126"/>
        <v>0</v>
      </c>
      <c r="CD294" s="24"/>
      <c r="CE294" s="49">
        <f t="shared" si="127"/>
        <v>71329784</v>
      </c>
      <c r="CF294" s="50"/>
      <c r="CG294" s="49">
        <f t="shared" ca="1" si="128"/>
        <v>71329784</v>
      </c>
      <c r="CH294" s="33">
        <f t="shared" ca="1" si="129"/>
        <v>1</v>
      </c>
      <c r="CI294" s="33">
        <f t="shared" ca="1" si="130"/>
        <v>1</v>
      </c>
      <c r="CJ294" s="36">
        <f t="shared" ca="1" si="131"/>
        <v>100</v>
      </c>
      <c r="CK294" s="34">
        <f t="shared" si="132"/>
        <v>0</v>
      </c>
      <c r="CL294" s="21"/>
      <c r="CM294" s="35" t="str">
        <f t="shared" ca="1" si="133"/>
        <v>TERMINADO</v>
      </c>
      <c r="CN294" s="82"/>
      <c r="CO294" s="145" t="s">
        <v>2555</v>
      </c>
      <c r="CP294" s="26" t="s">
        <v>142</v>
      </c>
    </row>
    <row r="295" spans="1:94" ht="26.25" customHeight="1">
      <c r="A295" s="48" t="s">
        <v>2556</v>
      </c>
      <c r="B295" s="77" t="s">
        <v>2557</v>
      </c>
      <c r="C295" s="17" t="s">
        <v>104</v>
      </c>
      <c r="D295" s="18" t="s">
        <v>2558</v>
      </c>
      <c r="E295" s="17" t="s">
        <v>106</v>
      </c>
      <c r="F295" s="17" t="s">
        <v>107</v>
      </c>
      <c r="G295" s="17" t="s">
        <v>108</v>
      </c>
      <c r="H295" s="78">
        <v>72251263</v>
      </c>
      <c r="I295" s="74" t="s">
        <v>2559</v>
      </c>
      <c r="J295" s="16"/>
      <c r="K295" s="16"/>
      <c r="L295" s="20" t="s">
        <v>2187</v>
      </c>
      <c r="M295" s="16" t="s">
        <v>901</v>
      </c>
      <c r="N295" s="22">
        <v>45317</v>
      </c>
      <c r="O295" s="22">
        <v>45321</v>
      </c>
      <c r="P295" s="115">
        <v>45657</v>
      </c>
      <c r="Q295" s="23">
        <f t="shared" si="120"/>
        <v>336</v>
      </c>
      <c r="R295" s="17" t="s">
        <v>242</v>
      </c>
      <c r="S295" s="117" t="s">
        <v>2560</v>
      </c>
      <c r="T295" s="116" t="s">
        <v>1145</v>
      </c>
      <c r="U295" s="118">
        <v>71329784</v>
      </c>
      <c r="V295" s="16" t="s">
        <v>2546</v>
      </c>
      <c r="W295" s="224">
        <v>71329784</v>
      </c>
      <c r="X295" s="24">
        <v>6131500</v>
      </c>
      <c r="Y295" s="24"/>
      <c r="Z295" s="24"/>
      <c r="AA295" s="17" t="s">
        <v>116</v>
      </c>
      <c r="AB295" s="23" t="str">
        <f>IFERROR(VLOOKUP(AA295,Listas!$A$1:$C$14,2,FALSE),"")</f>
        <v>FREDY CÉSPEDES VILLA</v>
      </c>
      <c r="AC295" s="23">
        <f>IFERROR(VLOOKUP(AA295,Listas!$A$1:$C$14,3,FALSE),"")</f>
        <v>93363483</v>
      </c>
      <c r="AD295" s="17" t="s">
        <v>427</v>
      </c>
      <c r="AE295" s="17" t="s">
        <v>2561</v>
      </c>
      <c r="AF295" s="23" t="str">
        <f>IFERROR(VLOOKUP(AE295,Listas!$AD$1:$AF$66,2,FALSE),"")</f>
        <v>MARÍA TERESA COMBARIZA MARTÍN</v>
      </c>
      <c r="AG295" s="23">
        <f>IFERROR(VLOOKUP(AE295,Listas!$AD$1:$AF$65,3,FALSE),"")</f>
        <v>51803256</v>
      </c>
      <c r="AH295" s="17" t="s">
        <v>118</v>
      </c>
      <c r="AI295" s="65" t="s">
        <v>2252</v>
      </c>
      <c r="AJ295" s="25" t="s">
        <v>119</v>
      </c>
      <c r="AK295" s="26" t="s">
        <v>120</v>
      </c>
      <c r="AL295" s="26" t="s">
        <v>120</v>
      </c>
      <c r="AM295" s="90" t="s">
        <v>119</v>
      </c>
      <c r="AN295" s="105">
        <v>29264</v>
      </c>
      <c r="AO295" s="91">
        <f t="shared" ca="1" si="121"/>
        <v>45</v>
      </c>
      <c r="AP295" s="26" t="s">
        <v>121</v>
      </c>
      <c r="AQ295" s="26" t="s">
        <v>1272</v>
      </c>
      <c r="AR295" s="89"/>
      <c r="AS295" s="27"/>
      <c r="AT295" s="16"/>
      <c r="AU295" s="27"/>
      <c r="AV295" s="86"/>
      <c r="AW295" s="27"/>
      <c r="AX295" s="27"/>
      <c r="AY295" s="27"/>
      <c r="AZ295" s="27"/>
      <c r="BA295" s="27"/>
      <c r="BB295" s="27"/>
      <c r="BC295" s="97"/>
      <c r="BD295" s="27"/>
      <c r="BE295" s="16"/>
      <c r="BF295" s="28">
        <f t="shared" si="123"/>
        <v>0</v>
      </c>
      <c r="BG295" s="29"/>
      <c r="BH295" s="27"/>
      <c r="BI295" s="30">
        <f t="shared" si="124"/>
        <v>336</v>
      </c>
      <c r="BJ295" s="31">
        <f t="shared" si="125"/>
        <v>45657</v>
      </c>
      <c r="BK295" s="27"/>
      <c r="BL295" s="16"/>
      <c r="BM295" s="27"/>
      <c r="BN295" s="16"/>
      <c r="BO295" s="27"/>
      <c r="BP295" s="16"/>
      <c r="BQ295" s="27"/>
      <c r="BR295" s="24"/>
      <c r="BS295" s="24"/>
      <c r="BT295" s="32"/>
      <c r="BU295" s="27"/>
      <c r="BV295" s="24"/>
      <c r="BW295" s="24"/>
      <c r="BX295" s="16"/>
      <c r="BY295" s="27"/>
      <c r="BZ295" s="24"/>
      <c r="CA295" s="24"/>
      <c r="CB295" s="16"/>
      <c r="CC295" s="49">
        <f t="shared" si="126"/>
        <v>0</v>
      </c>
      <c r="CD295" s="24"/>
      <c r="CE295" s="49">
        <f t="shared" si="127"/>
        <v>71329784</v>
      </c>
      <c r="CF295" s="50"/>
      <c r="CG295" s="49">
        <f t="shared" ca="1" si="128"/>
        <v>71329784</v>
      </c>
      <c r="CH295" s="33">
        <f t="shared" ca="1" si="129"/>
        <v>1</v>
      </c>
      <c r="CI295" s="33">
        <f t="shared" ca="1" si="130"/>
        <v>1</v>
      </c>
      <c r="CJ295" s="36">
        <f t="shared" ca="1" si="131"/>
        <v>100</v>
      </c>
      <c r="CK295" s="34">
        <f t="shared" si="132"/>
        <v>0</v>
      </c>
      <c r="CL295" s="21"/>
      <c r="CM295" s="35" t="str">
        <f t="shared" ca="1" si="133"/>
        <v>TERMINADO</v>
      </c>
      <c r="CN295" s="82"/>
      <c r="CO295" s="145" t="s">
        <v>2562</v>
      </c>
      <c r="CP295" s="26" t="s">
        <v>142</v>
      </c>
    </row>
    <row r="296" spans="1:94" ht="26.25" customHeight="1">
      <c r="A296" s="48" t="s">
        <v>2563</v>
      </c>
      <c r="B296" s="77" t="s">
        <v>2564</v>
      </c>
      <c r="C296" s="17" t="s">
        <v>104</v>
      </c>
      <c r="D296" s="18" t="s">
        <v>2565</v>
      </c>
      <c r="E296" s="17" t="s">
        <v>106</v>
      </c>
      <c r="F296" s="17" t="s">
        <v>107</v>
      </c>
      <c r="G296" s="17" t="s">
        <v>108</v>
      </c>
      <c r="H296" s="78">
        <v>79595486</v>
      </c>
      <c r="I296" s="74" t="s">
        <v>2566</v>
      </c>
      <c r="J296" s="16"/>
      <c r="K296" s="16"/>
      <c r="L296" s="20" t="s">
        <v>2567</v>
      </c>
      <c r="M296" s="16" t="s">
        <v>111</v>
      </c>
      <c r="N296" s="22">
        <v>45315</v>
      </c>
      <c r="O296" s="22">
        <v>45317</v>
      </c>
      <c r="P296" s="115">
        <v>45656</v>
      </c>
      <c r="Q296" s="23">
        <f t="shared" si="120"/>
        <v>339</v>
      </c>
      <c r="R296" s="17" t="s">
        <v>242</v>
      </c>
      <c r="S296" s="117" t="s">
        <v>2568</v>
      </c>
      <c r="T296" s="116" t="s">
        <v>668</v>
      </c>
      <c r="U296" s="118">
        <v>97108180</v>
      </c>
      <c r="V296" s="16" t="s">
        <v>2569</v>
      </c>
      <c r="W296" s="224">
        <v>97108180</v>
      </c>
      <c r="X296" s="24">
        <v>8092015</v>
      </c>
      <c r="Y296" s="24"/>
      <c r="Z296" s="24"/>
      <c r="AA296" s="17" t="s">
        <v>116</v>
      </c>
      <c r="AB296" s="23" t="str">
        <f>IFERROR(VLOOKUP(AA296,Listas!$A$1:$C$14,2,FALSE),"")</f>
        <v>FREDY CÉSPEDES VILLA</v>
      </c>
      <c r="AC296" s="23">
        <f>IFERROR(VLOOKUP(AA296,Listas!$A$1:$C$14,3,FALSE),"")</f>
        <v>93363483</v>
      </c>
      <c r="AD296" s="17" t="s">
        <v>282</v>
      </c>
      <c r="AE296" s="17" t="s">
        <v>293</v>
      </c>
      <c r="AF296" s="23" t="str">
        <f>IFERROR(VLOOKUP(AE296,Listas!$AD$1:$AF$66,2,FALSE),"")</f>
        <v>MÓNICA PINTO GARCÍA</v>
      </c>
      <c r="AG296" s="23">
        <f>IFERROR(VLOOKUP(AE296,Listas!$AD$1:$AF$65,3,FALSE),"")</f>
        <v>52867207</v>
      </c>
      <c r="AH296" s="17" t="s">
        <v>118</v>
      </c>
      <c r="AI296" s="65" t="s">
        <v>2570</v>
      </c>
      <c r="AJ296" s="25" t="s">
        <v>119</v>
      </c>
      <c r="AK296" s="26" t="s">
        <v>120</v>
      </c>
      <c r="AL296" s="26" t="s">
        <v>120</v>
      </c>
      <c r="AM296" s="90" t="s">
        <v>119</v>
      </c>
      <c r="AN296" s="105">
        <v>26332</v>
      </c>
      <c r="AO296" s="91">
        <f t="shared" ca="1" si="121"/>
        <v>53</v>
      </c>
      <c r="AP296" s="26" t="s">
        <v>121</v>
      </c>
      <c r="AQ296" s="26" t="s">
        <v>285</v>
      </c>
      <c r="AR296" s="89"/>
      <c r="AS296" s="27"/>
      <c r="AT296" s="16"/>
      <c r="AU296" s="27"/>
      <c r="AV296" s="86"/>
      <c r="AW296" s="27"/>
      <c r="AX296" s="27"/>
      <c r="AY296" s="27"/>
      <c r="AZ296" s="27"/>
      <c r="BA296" s="27"/>
      <c r="BB296" s="27"/>
      <c r="BC296" s="97"/>
      <c r="BD296" s="27"/>
      <c r="BE296" s="16"/>
      <c r="BF296" s="28">
        <f t="shared" si="123"/>
        <v>0</v>
      </c>
      <c r="BG296" s="29"/>
      <c r="BH296" s="27"/>
      <c r="BI296" s="30">
        <f t="shared" si="124"/>
        <v>339</v>
      </c>
      <c r="BJ296" s="31">
        <f t="shared" si="125"/>
        <v>45656</v>
      </c>
      <c r="BK296" s="27"/>
      <c r="BL296" s="16"/>
      <c r="BM296" s="27"/>
      <c r="BN296" s="16"/>
      <c r="BO296" s="27"/>
      <c r="BP296" s="16"/>
      <c r="BQ296" s="27"/>
      <c r="BR296" s="24"/>
      <c r="BS296" s="24"/>
      <c r="BT296" s="32"/>
      <c r="BU296" s="27"/>
      <c r="BV296" s="24"/>
      <c r="BW296" s="24"/>
      <c r="BX296" s="16"/>
      <c r="BY296" s="27"/>
      <c r="BZ296" s="24"/>
      <c r="CA296" s="24"/>
      <c r="CB296" s="16"/>
      <c r="CC296" s="49">
        <f t="shared" si="126"/>
        <v>0</v>
      </c>
      <c r="CD296" s="24"/>
      <c r="CE296" s="49">
        <f t="shared" si="127"/>
        <v>97108180</v>
      </c>
      <c r="CF296" s="50"/>
      <c r="CG296" s="49">
        <f t="shared" ca="1" si="128"/>
        <v>97108180</v>
      </c>
      <c r="CH296" s="33">
        <f t="shared" ca="1" si="129"/>
        <v>1</v>
      </c>
      <c r="CI296" s="33">
        <f t="shared" ca="1" si="130"/>
        <v>1</v>
      </c>
      <c r="CJ296" s="36">
        <f t="shared" ca="1" si="131"/>
        <v>100</v>
      </c>
      <c r="CK296" s="34">
        <f t="shared" si="132"/>
        <v>0</v>
      </c>
      <c r="CL296" s="21"/>
      <c r="CM296" s="35" t="str">
        <f t="shared" ca="1" si="133"/>
        <v>TERMINADO</v>
      </c>
      <c r="CN296" s="82"/>
      <c r="CO296" s="145" t="s">
        <v>2571</v>
      </c>
      <c r="CP296" s="26" t="s">
        <v>142</v>
      </c>
    </row>
    <row r="297" spans="1:94" ht="26.25" customHeight="1">
      <c r="A297" s="109" t="s">
        <v>2572</v>
      </c>
      <c r="B297" s="77" t="s">
        <v>2573</v>
      </c>
      <c r="C297" s="17" t="s">
        <v>104</v>
      </c>
      <c r="D297" s="18" t="s">
        <v>2574</v>
      </c>
      <c r="E297" s="17" t="s">
        <v>106</v>
      </c>
      <c r="F297" s="17" t="s">
        <v>107</v>
      </c>
      <c r="G297" s="17" t="s">
        <v>108</v>
      </c>
      <c r="H297" s="78">
        <v>1012370616</v>
      </c>
      <c r="I297" s="74" t="s">
        <v>2575</v>
      </c>
      <c r="J297" s="16"/>
      <c r="K297" s="16"/>
      <c r="L297" s="20" t="s">
        <v>2447</v>
      </c>
      <c r="M297" s="16" t="s">
        <v>111</v>
      </c>
      <c r="N297" s="22">
        <v>45322</v>
      </c>
      <c r="O297" s="22">
        <v>45327</v>
      </c>
      <c r="P297" s="115">
        <v>45448</v>
      </c>
      <c r="Q297" s="23">
        <f t="shared" si="120"/>
        <v>121</v>
      </c>
      <c r="R297" s="17" t="s">
        <v>242</v>
      </c>
      <c r="S297" s="117" t="s">
        <v>2576</v>
      </c>
      <c r="T297" s="116" t="s">
        <v>865</v>
      </c>
      <c r="U297" s="118">
        <v>17600000</v>
      </c>
      <c r="V297" s="16" t="s">
        <v>2449</v>
      </c>
      <c r="W297" s="224">
        <v>17600000</v>
      </c>
      <c r="X297" s="24">
        <v>4400000</v>
      </c>
      <c r="Y297" s="24"/>
      <c r="Z297" s="24"/>
      <c r="AA297" s="17" t="s">
        <v>116</v>
      </c>
      <c r="AB297" s="23" t="str">
        <f>IFERROR(VLOOKUP(AA297,Listas!$A$1:$C$14,2,FALSE),"")</f>
        <v>FREDY CÉSPEDES VILLA</v>
      </c>
      <c r="AC297" s="23">
        <f>IFERROR(VLOOKUP(AA297,Listas!$A$1:$C$14,3,FALSE),"")</f>
        <v>93363483</v>
      </c>
      <c r="AD297" s="17" t="s">
        <v>816</v>
      </c>
      <c r="AE297" s="17" t="s">
        <v>2577</v>
      </c>
      <c r="AF297" s="23" t="str">
        <f>IFERROR(VLOOKUP(AE297,Listas!$AD$1:$AF$66,2,FALSE),"")</f>
        <v>VICTOR RAUL BAUTISTA GALINDO</v>
      </c>
      <c r="AG297" s="23">
        <f>IFERROR(VLOOKUP(AE297,Listas!$AD$1:$AF$65,3,FALSE),"")</f>
        <v>79352968</v>
      </c>
      <c r="AH297" s="17" t="s">
        <v>118</v>
      </c>
      <c r="AI297" s="65" t="s">
        <v>2578</v>
      </c>
      <c r="AJ297" s="25" t="s">
        <v>119</v>
      </c>
      <c r="AK297" s="26" t="s">
        <v>120</v>
      </c>
      <c r="AL297" s="26" t="s">
        <v>120</v>
      </c>
      <c r="AM297" s="90" t="s">
        <v>119</v>
      </c>
      <c r="AN297" s="105">
        <v>33100</v>
      </c>
      <c r="AO297" s="91">
        <f t="shared" ca="1" si="121"/>
        <v>35</v>
      </c>
      <c r="AP297" s="26" t="s">
        <v>121</v>
      </c>
      <c r="AQ297" s="26" t="s">
        <v>1641</v>
      </c>
      <c r="AR297" s="89"/>
      <c r="AS297" s="27"/>
      <c r="AT297" s="16"/>
      <c r="AU297" s="27"/>
      <c r="AV297" s="86"/>
      <c r="AW297" s="27"/>
      <c r="AX297" s="27"/>
      <c r="AY297" s="27"/>
      <c r="AZ297" s="27"/>
      <c r="BA297" s="27"/>
      <c r="BB297" s="27"/>
      <c r="BC297" s="97"/>
      <c r="BD297" s="27"/>
      <c r="BE297" s="16"/>
      <c r="BF297" s="28">
        <f t="shared" si="123"/>
        <v>0</v>
      </c>
      <c r="BG297" s="29"/>
      <c r="BH297" s="27"/>
      <c r="BI297" s="30">
        <f t="shared" si="124"/>
        <v>121</v>
      </c>
      <c r="BJ297" s="31">
        <f t="shared" si="125"/>
        <v>45448</v>
      </c>
      <c r="BK297" s="27"/>
      <c r="BL297" s="16"/>
      <c r="BM297" s="27"/>
      <c r="BN297" s="16"/>
      <c r="BO297" s="27"/>
      <c r="BP297" s="16"/>
      <c r="BQ297" s="27"/>
      <c r="BR297" s="24"/>
      <c r="BS297" s="24"/>
      <c r="BT297" s="32"/>
      <c r="BU297" s="27"/>
      <c r="BV297" s="24"/>
      <c r="BW297" s="24"/>
      <c r="BX297" s="16"/>
      <c r="BY297" s="27"/>
      <c r="BZ297" s="24"/>
      <c r="CA297" s="24"/>
      <c r="CB297" s="16"/>
      <c r="CC297" s="49">
        <f t="shared" si="126"/>
        <v>0</v>
      </c>
      <c r="CD297" s="24"/>
      <c r="CE297" s="49">
        <f t="shared" si="127"/>
        <v>17600000</v>
      </c>
      <c r="CF297" s="50"/>
      <c r="CG297" s="49">
        <f t="shared" ca="1" si="128"/>
        <v>17600000</v>
      </c>
      <c r="CH297" s="33">
        <f t="shared" ca="1" si="129"/>
        <v>1</v>
      </c>
      <c r="CI297" s="33">
        <f t="shared" ca="1" si="130"/>
        <v>1</v>
      </c>
      <c r="CJ297" s="36">
        <f t="shared" ca="1" si="131"/>
        <v>100</v>
      </c>
      <c r="CK297" s="34">
        <f t="shared" si="132"/>
        <v>0</v>
      </c>
      <c r="CL297" s="21"/>
      <c r="CM297" s="35" t="str">
        <f t="shared" ca="1" si="133"/>
        <v>TERMINADO</v>
      </c>
      <c r="CN297" s="82"/>
      <c r="CO297" s="145" t="s">
        <v>2579</v>
      </c>
      <c r="CP297" s="26" t="s">
        <v>142</v>
      </c>
    </row>
    <row r="298" spans="1:94" ht="26.25" customHeight="1">
      <c r="A298" s="48" t="s">
        <v>2580</v>
      </c>
      <c r="B298" s="77" t="s">
        <v>2581</v>
      </c>
      <c r="C298" s="17" t="s">
        <v>104</v>
      </c>
      <c r="D298" s="18" t="s">
        <v>2582</v>
      </c>
      <c r="E298" s="17" t="s">
        <v>106</v>
      </c>
      <c r="F298" s="17" t="s">
        <v>107</v>
      </c>
      <c r="G298" s="17" t="s">
        <v>108</v>
      </c>
      <c r="H298" s="78">
        <v>80197749</v>
      </c>
      <c r="I298" s="74" t="s">
        <v>2583</v>
      </c>
      <c r="J298" s="16"/>
      <c r="K298" s="16"/>
      <c r="L298" s="20" t="s">
        <v>2584</v>
      </c>
      <c r="M298" s="16" t="s">
        <v>111</v>
      </c>
      <c r="N298" s="22">
        <v>45315</v>
      </c>
      <c r="O298" s="22">
        <v>45317</v>
      </c>
      <c r="P298" s="115">
        <v>45656</v>
      </c>
      <c r="Q298" s="23">
        <f t="shared" si="120"/>
        <v>339</v>
      </c>
      <c r="R298" s="17" t="s">
        <v>242</v>
      </c>
      <c r="S298" s="117" t="s">
        <v>2585</v>
      </c>
      <c r="T298" s="116" t="s">
        <v>1128</v>
      </c>
      <c r="U298" s="118">
        <v>83950000</v>
      </c>
      <c r="V298" s="16" t="s">
        <v>815</v>
      </c>
      <c r="W298" s="224">
        <v>83950000</v>
      </c>
      <c r="X298" s="24">
        <v>7300000</v>
      </c>
      <c r="Y298" s="24"/>
      <c r="Z298" s="24"/>
      <c r="AA298" s="17" t="s">
        <v>116</v>
      </c>
      <c r="AB298" s="23" t="str">
        <f>IFERROR(VLOOKUP(AA298,Listas!$A$1:$C$14,2,FALSE),"")</f>
        <v>FREDY CÉSPEDES VILLA</v>
      </c>
      <c r="AC298" s="23">
        <f>IFERROR(VLOOKUP(AA298,Listas!$A$1:$C$14,3,FALSE),"")</f>
        <v>93363483</v>
      </c>
      <c r="AD298" s="17" t="s">
        <v>816</v>
      </c>
      <c r="AE298" s="17" t="s">
        <v>817</v>
      </c>
      <c r="AF298" s="23" t="str">
        <f>IFERROR(VLOOKUP(AE298,Listas!$AD$1:$AF$66,2,FALSE),"")</f>
        <v>JOSÉ EDUARDO PARADA JIMÉNEZ</v>
      </c>
      <c r="AG298" s="23">
        <f>IFERROR(VLOOKUP(AE298,Listas!$AD$1:$AF$65,3,FALSE),"")</f>
        <v>79434805</v>
      </c>
      <c r="AH298" s="17" t="s">
        <v>118</v>
      </c>
      <c r="AI298" s="65" t="s">
        <v>2586</v>
      </c>
      <c r="AJ298" s="25" t="s">
        <v>119</v>
      </c>
      <c r="AK298" s="26" t="s">
        <v>120</v>
      </c>
      <c r="AL298" s="26" t="s">
        <v>120</v>
      </c>
      <c r="AM298" s="90" t="s">
        <v>119</v>
      </c>
      <c r="AN298" s="105">
        <v>30703</v>
      </c>
      <c r="AO298" s="91">
        <f t="shared" ca="1" si="121"/>
        <v>41</v>
      </c>
      <c r="AP298" s="26" t="s">
        <v>121</v>
      </c>
      <c r="AQ298" s="26" t="s">
        <v>819</v>
      </c>
      <c r="AR298" s="89"/>
      <c r="AS298" s="27"/>
      <c r="AT298" s="16"/>
      <c r="AU298" s="27"/>
      <c r="AV298" s="86"/>
      <c r="AW298" s="27"/>
      <c r="AX298" s="27"/>
      <c r="AY298" s="27"/>
      <c r="AZ298" s="27"/>
      <c r="BA298" s="27"/>
      <c r="BB298" s="27"/>
      <c r="BC298" s="97"/>
      <c r="BD298" s="27"/>
      <c r="BE298" s="16"/>
      <c r="BF298" s="28">
        <f t="shared" si="123"/>
        <v>0</v>
      </c>
      <c r="BG298" s="29"/>
      <c r="BH298" s="27"/>
      <c r="BI298" s="30">
        <f t="shared" si="124"/>
        <v>339</v>
      </c>
      <c r="BJ298" s="31">
        <f t="shared" si="125"/>
        <v>45656</v>
      </c>
      <c r="BK298" s="27"/>
      <c r="BL298" s="16"/>
      <c r="BM298" s="27"/>
      <c r="BN298" s="16"/>
      <c r="BO298" s="27"/>
      <c r="BP298" s="16"/>
      <c r="BQ298" s="27"/>
      <c r="BR298" s="24"/>
      <c r="BS298" s="24"/>
      <c r="BT298" s="32"/>
      <c r="BU298" s="27"/>
      <c r="BV298" s="24"/>
      <c r="BW298" s="24"/>
      <c r="BX298" s="16"/>
      <c r="BY298" s="27"/>
      <c r="BZ298" s="24"/>
      <c r="CA298" s="24"/>
      <c r="CB298" s="16"/>
      <c r="CC298" s="49">
        <f t="shared" si="126"/>
        <v>0</v>
      </c>
      <c r="CD298" s="24"/>
      <c r="CE298" s="49">
        <f t="shared" si="127"/>
        <v>83950000</v>
      </c>
      <c r="CF298" s="50"/>
      <c r="CG298" s="49">
        <f t="shared" ca="1" si="128"/>
        <v>83950000</v>
      </c>
      <c r="CH298" s="33">
        <f t="shared" ca="1" si="129"/>
        <v>1</v>
      </c>
      <c r="CI298" s="33">
        <f t="shared" ca="1" si="130"/>
        <v>1</v>
      </c>
      <c r="CJ298" s="36">
        <f t="shared" ca="1" si="131"/>
        <v>100</v>
      </c>
      <c r="CK298" s="34">
        <f t="shared" si="132"/>
        <v>0</v>
      </c>
      <c r="CL298" s="21"/>
      <c r="CM298" s="35" t="str">
        <f t="shared" ca="1" si="133"/>
        <v>TERMINADO</v>
      </c>
      <c r="CN298" s="82"/>
      <c r="CO298" s="145" t="s">
        <v>2587</v>
      </c>
      <c r="CP298" s="26" t="s">
        <v>142</v>
      </c>
    </row>
    <row r="299" spans="1:94" ht="26.25" customHeight="1">
      <c r="A299" s="48" t="s">
        <v>2588</v>
      </c>
      <c r="B299" s="77" t="s">
        <v>2589</v>
      </c>
      <c r="C299" s="17" t="s">
        <v>104</v>
      </c>
      <c r="D299" s="18" t="s">
        <v>2590</v>
      </c>
      <c r="E299" s="17" t="s">
        <v>106</v>
      </c>
      <c r="F299" s="17" t="s">
        <v>107</v>
      </c>
      <c r="G299" s="17" t="s">
        <v>108</v>
      </c>
      <c r="H299" s="78">
        <v>1019021274</v>
      </c>
      <c r="I299" s="74" t="s">
        <v>2591</v>
      </c>
      <c r="J299" s="16"/>
      <c r="K299" s="16"/>
      <c r="L299" s="20" t="s">
        <v>1884</v>
      </c>
      <c r="M299" s="16" t="s">
        <v>111</v>
      </c>
      <c r="N299" s="22">
        <v>45315</v>
      </c>
      <c r="O299" s="22">
        <v>45317</v>
      </c>
      <c r="P299" s="115">
        <v>45656</v>
      </c>
      <c r="Q299" s="23">
        <f t="shared" si="120"/>
        <v>339</v>
      </c>
      <c r="R299" s="17" t="s">
        <v>242</v>
      </c>
      <c r="S299" s="117" t="s">
        <v>2538</v>
      </c>
      <c r="T299" s="116" t="s">
        <v>1128</v>
      </c>
      <c r="U299" s="118">
        <v>72320000</v>
      </c>
      <c r="V299" s="16" t="s">
        <v>815</v>
      </c>
      <c r="W299" s="224">
        <v>72320000</v>
      </c>
      <c r="X299" s="24">
        <v>6400000</v>
      </c>
      <c r="Y299" s="24"/>
      <c r="Z299" s="24"/>
      <c r="AA299" s="17" t="s">
        <v>116</v>
      </c>
      <c r="AB299" s="23" t="str">
        <f>IFERROR(VLOOKUP(AA299,Listas!$A$1:$C$14,2,FALSE),"")</f>
        <v>FREDY CÉSPEDES VILLA</v>
      </c>
      <c r="AC299" s="23">
        <f>IFERROR(VLOOKUP(AA299,Listas!$A$1:$C$14,3,FALSE),"")</f>
        <v>93363483</v>
      </c>
      <c r="AD299" s="17" t="s">
        <v>816</v>
      </c>
      <c r="AE299" s="17" t="s">
        <v>817</v>
      </c>
      <c r="AF299" s="23" t="str">
        <f>IFERROR(VLOOKUP(AE299,Listas!$AD$1:$AF$66,2,FALSE),"")</f>
        <v>JOSÉ EDUARDO PARADA JIMÉNEZ</v>
      </c>
      <c r="AG299" s="23">
        <f>IFERROR(VLOOKUP(AE299,Listas!$AD$1:$AF$65,3,FALSE),"")</f>
        <v>79434805</v>
      </c>
      <c r="AH299" s="17" t="s">
        <v>118</v>
      </c>
      <c r="AI299" s="65" t="s">
        <v>2592</v>
      </c>
      <c r="AJ299" s="25" t="s">
        <v>119</v>
      </c>
      <c r="AK299" s="26" t="s">
        <v>120</v>
      </c>
      <c r="AL299" s="26" t="s">
        <v>120</v>
      </c>
      <c r="AM299" s="90" t="s">
        <v>119</v>
      </c>
      <c r="AN299" s="105">
        <v>31966</v>
      </c>
      <c r="AO299" s="91">
        <f t="shared" ca="1" si="121"/>
        <v>38</v>
      </c>
      <c r="AP299" s="26" t="s">
        <v>121</v>
      </c>
      <c r="AQ299" s="26" t="s">
        <v>819</v>
      </c>
      <c r="AR299" s="89"/>
      <c r="AS299" s="27"/>
      <c r="AT299" s="16"/>
      <c r="AU299" s="27"/>
      <c r="AV299" s="86"/>
      <c r="AW299" s="27"/>
      <c r="AX299" s="27"/>
      <c r="AY299" s="27"/>
      <c r="AZ299" s="27"/>
      <c r="BA299" s="27"/>
      <c r="BB299" s="27"/>
      <c r="BC299" s="97"/>
      <c r="BD299" s="27"/>
      <c r="BE299" s="16"/>
      <c r="BF299" s="28">
        <f t="shared" si="123"/>
        <v>0</v>
      </c>
      <c r="BG299" s="29"/>
      <c r="BH299" s="27"/>
      <c r="BI299" s="30">
        <f t="shared" si="124"/>
        <v>339</v>
      </c>
      <c r="BJ299" s="31">
        <f t="shared" si="125"/>
        <v>45656</v>
      </c>
      <c r="BK299" s="27"/>
      <c r="BL299" s="16"/>
      <c r="BM299" s="27"/>
      <c r="BN299" s="16"/>
      <c r="BO299" s="27"/>
      <c r="BP299" s="16"/>
      <c r="BQ299" s="27"/>
      <c r="BR299" s="24"/>
      <c r="BS299" s="24"/>
      <c r="BT299" s="32"/>
      <c r="BU299" s="27"/>
      <c r="BV299" s="24"/>
      <c r="BW299" s="24"/>
      <c r="BX299" s="16"/>
      <c r="BY299" s="27"/>
      <c r="BZ299" s="24"/>
      <c r="CA299" s="24"/>
      <c r="CB299" s="16"/>
      <c r="CC299" s="49">
        <f t="shared" si="126"/>
        <v>0</v>
      </c>
      <c r="CD299" s="24"/>
      <c r="CE299" s="49">
        <f t="shared" si="127"/>
        <v>72320000</v>
      </c>
      <c r="CF299" s="50"/>
      <c r="CG299" s="49">
        <f t="shared" ca="1" si="128"/>
        <v>72320000</v>
      </c>
      <c r="CH299" s="33">
        <f t="shared" ca="1" si="129"/>
        <v>1</v>
      </c>
      <c r="CI299" s="33">
        <f t="shared" ca="1" si="130"/>
        <v>1</v>
      </c>
      <c r="CJ299" s="36">
        <f t="shared" ca="1" si="131"/>
        <v>100</v>
      </c>
      <c r="CK299" s="34">
        <f t="shared" si="132"/>
        <v>0</v>
      </c>
      <c r="CL299" s="21"/>
      <c r="CM299" s="35" t="str">
        <f t="shared" ca="1" si="133"/>
        <v>TERMINADO</v>
      </c>
      <c r="CN299" s="82"/>
      <c r="CO299" s="145" t="s">
        <v>2593</v>
      </c>
      <c r="CP299" s="26" t="s">
        <v>123</v>
      </c>
    </row>
    <row r="300" spans="1:94" ht="26.25" customHeight="1">
      <c r="A300" s="48" t="s">
        <v>2594</v>
      </c>
      <c r="B300" s="77" t="s">
        <v>2595</v>
      </c>
      <c r="C300" s="17" t="s">
        <v>104</v>
      </c>
      <c r="D300" s="18" t="s">
        <v>2596</v>
      </c>
      <c r="E300" s="17" t="s">
        <v>106</v>
      </c>
      <c r="F300" s="17" t="s">
        <v>107</v>
      </c>
      <c r="G300" s="17" t="s">
        <v>108</v>
      </c>
      <c r="H300" s="78">
        <v>80033133</v>
      </c>
      <c r="I300" s="74" t="s">
        <v>2597</v>
      </c>
      <c r="J300" s="16"/>
      <c r="K300" s="16"/>
      <c r="L300" s="20" t="s">
        <v>1191</v>
      </c>
      <c r="M300" s="16" t="s">
        <v>111</v>
      </c>
      <c r="N300" s="22">
        <v>45315</v>
      </c>
      <c r="O300" s="22">
        <v>45316</v>
      </c>
      <c r="P300" s="115">
        <v>45656</v>
      </c>
      <c r="Q300" s="23">
        <f t="shared" si="120"/>
        <v>340</v>
      </c>
      <c r="R300" s="17" t="s">
        <v>242</v>
      </c>
      <c r="S300" s="117" t="s">
        <v>2598</v>
      </c>
      <c r="T300" s="116" t="s">
        <v>343</v>
      </c>
      <c r="U300" s="118">
        <v>87524976</v>
      </c>
      <c r="V300" s="16" t="s">
        <v>344</v>
      </c>
      <c r="W300" s="224">
        <v>87524976</v>
      </c>
      <c r="X300" s="24">
        <v>5026858</v>
      </c>
      <c r="Y300" s="24"/>
      <c r="Z300" s="24"/>
      <c r="AA300" s="17" t="s">
        <v>116</v>
      </c>
      <c r="AB300" s="23" t="str">
        <f>IFERROR(VLOOKUP(AA300,Listas!$A$1:$C$14,2,FALSE),"")</f>
        <v>FREDY CÉSPEDES VILLA</v>
      </c>
      <c r="AC300" s="23">
        <f>IFERROR(VLOOKUP(AA300,Listas!$A$1:$C$14,3,FALSE),"")</f>
        <v>93363483</v>
      </c>
      <c r="AD300" s="17" t="s">
        <v>345</v>
      </c>
      <c r="AE300" s="17" t="s">
        <v>346</v>
      </c>
      <c r="AF300" s="23" t="str">
        <f>IFERROR(VLOOKUP(AE300,Listas!$AD$1:$AF$66,2,FALSE),"")</f>
        <v>RODOLFO GIOVANNI CANCHILA SUÁREZ</v>
      </c>
      <c r="AG300" s="23">
        <f>IFERROR(VLOOKUP(AE300,Listas!$AD$1:$AF$65,3,FALSE),"")</f>
        <v>79672493</v>
      </c>
      <c r="AH300" s="17" t="s">
        <v>118</v>
      </c>
      <c r="AI300" s="65" t="s">
        <v>2599</v>
      </c>
      <c r="AJ300" s="25" t="s">
        <v>119</v>
      </c>
      <c r="AK300" s="26" t="s">
        <v>120</v>
      </c>
      <c r="AL300" s="26" t="s">
        <v>120</v>
      </c>
      <c r="AM300" s="90" t="s">
        <v>119</v>
      </c>
      <c r="AN300" s="105">
        <v>30051</v>
      </c>
      <c r="AO300" s="91">
        <f t="shared" ca="1" si="121"/>
        <v>43</v>
      </c>
      <c r="AP300" s="26" t="s">
        <v>121</v>
      </c>
      <c r="AQ300" s="26" t="s">
        <v>367</v>
      </c>
      <c r="AR300" s="89"/>
      <c r="AS300" s="27"/>
      <c r="AT300" s="16"/>
      <c r="AU300" s="27"/>
      <c r="AV300" s="86"/>
      <c r="AW300" s="27"/>
      <c r="AX300" s="27"/>
      <c r="AY300" s="27"/>
      <c r="AZ300" s="27"/>
      <c r="BA300" s="27"/>
      <c r="BB300" s="27"/>
      <c r="BC300" s="97"/>
      <c r="BD300" s="27"/>
      <c r="BE300" s="16"/>
      <c r="BF300" s="28">
        <f t="shared" si="123"/>
        <v>0</v>
      </c>
      <c r="BG300" s="29"/>
      <c r="BH300" s="27"/>
      <c r="BI300" s="30">
        <f t="shared" si="124"/>
        <v>340</v>
      </c>
      <c r="BJ300" s="31">
        <f t="shared" si="125"/>
        <v>45656</v>
      </c>
      <c r="BK300" s="27"/>
      <c r="BL300" s="16"/>
      <c r="BM300" s="27"/>
      <c r="BN300" s="16"/>
      <c r="BO300" s="27"/>
      <c r="BP300" s="16"/>
      <c r="BQ300" s="27"/>
      <c r="BR300" s="24"/>
      <c r="BS300" s="24"/>
      <c r="BT300" s="32"/>
      <c r="BU300" s="27"/>
      <c r="BV300" s="24"/>
      <c r="BW300" s="24"/>
      <c r="BX300" s="16"/>
      <c r="BY300" s="27"/>
      <c r="BZ300" s="24"/>
      <c r="CA300" s="24"/>
      <c r="CB300" s="16"/>
      <c r="CC300" s="49">
        <f t="shared" si="126"/>
        <v>0</v>
      </c>
      <c r="CD300" s="24"/>
      <c r="CE300" s="49">
        <f>IFERROR(IF(Y300=0,(W300+CC300)-CD300,IF(Y300&gt;0,(Y300+CC300)-CD300)),"")</f>
        <v>87524976</v>
      </c>
      <c r="CF300" s="50"/>
      <c r="CG300" s="49">
        <f t="shared" ca="1" si="128"/>
        <v>87524976</v>
      </c>
      <c r="CH300" s="33">
        <f t="shared" ca="1" si="129"/>
        <v>1</v>
      </c>
      <c r="CI300" s="33">
        <f t="shared" ca="1" si="130"/>
        <v>1</v>
      </c>
      <c r="CJ300" s="36">
        <f t="shared" ca="1" si="131"/>
        <v>100</v>
      </c>
      <c r="CK300" s="34">
        <f t="shared" si="132"/>
        <v>0</v>
      </c>
      <c r="CL300" s="21"/>
      <c r="CM300" s="35" t="str">
        <f t="shared" ca="1" si="133"/>
        <v>TERMINADO</v>
      </c>
      <c r="CN300" s="82"/>
      <c r="CO300" s="145" t="s">
        <v>2600</v>
      </c>
      <c r="CP300" s="26" t="s">
        <v>142</v>
      </c>
    </row>
    <row r="301" spans="1:94" ht="26.25" customHeight="1">
      <c r="A301" s="48" t="s">
        <v>2601</v>
      </c>
      <c r="B301" s="77" t="s">
        <v>2602</v>
      </c>
      <c r="C301" s="17" t="s">
        <v>104</v>
      </c>
      <c r="D301" s="18" t="s">
        <v>2603</v>
      </c>
      <c r="E301" s="17" t="s">
        <v>106</v>
      </c>
      <c r="F301" s="17" t="s">
        <v>107</v>
      </c>
      <c r="G301" s="17" t="s">
        <v>108</v>
      </c>
      <c r="H301" s="78">
        <v>1075281172</v>
      </c>
      <c r="I301" s="74" t="s">
        <v>2604</v>
      </c>
      <c r="J301" s="16"/>
      <c r="K301" s="16"/>
      <c r="L301" s="20" t="s">
        <v>2605</v>
      </c>
      <c r="M301" s="16" t="s">
        <v>111</v>
      </c>
      <c r="N301" s="22">
        <v>45315</v>
      </c>
      <c r="O301" s="22">
        <v>45322</v>
      </c>
      <c r="P301" s="115">
        <v>45657</v>
      </c>
      <c r="Q301" s="23">
        <f t="shared" si="120"/>
        <v>335</v>
      </c>
      <c r="R301" s="17" t="s">
        <v>242</v>
      </c>
      <c r="S301" s="117" t="s">
        <v>2606</v>
      </c>
      <c r="T301" s="116" t="s">
        <v>1145</v>
      </c>
      <c r="U301" s="118">
        <v>46402160</v>
      </c>
      <c r="V301" s="16" t="s">
        <v>2546</v>
      </c>
      <c r="W301" s="224">
        <v>46402160</v>
      </c>
      <c r="X301" s="24">
        <v>4046700</v>
      </c>
      <c r="Y301" s="24"/>
      <c r="Z301" s="24"/>
      <c r="AA301" s="17" t="s">
        <v>116</v>
      </c>
      <c r="AB301" s="23" t="str">
        <f>IFERROR(VLOOKUP(AA301,Listas!$A$1:$C$14,2,FALSE),"")</f>
        <v>FREDY CÉSPEDES VILLA</v>
      </c>
      <c r="AC301" s="23">
        <f>IFERROR(VLOOKUP(AA301,Listas!$A$1:$C$14,3,FALSE),"")</f>
        <v>93363483</v>
      </c>
      <c r="AD301" s="17" t="s">
        <v>427</v>
      </c>
      <c r="AE301" s="17" t="s">
        <v>2561</v>
      </c>
      <c r="AF301" s="23" t="str">
        <f>IFERROR(VLOOKUP(AE301,Listas!$AD$1:$AF$66,2,FALSE),"")</f>
        <v>MARÍA TERESA COMBARIZA MARTÍN</v>
      </c>
      <c r="AG301" s="23">
        <f>IFERROR(VLOOKUP(AE301,Listas!$AD$1:$AF$65,3,FALSE),"")</f>
        <v>51803256</v>
      </c>
      <c r="AH301" s="17" t="s">
        <v>118</v>
      </c>
      <c r="AI301" s="65" t="s">
        <v>2607</v>
      </c>
      <c r="AJ301" s="25" t="s">
        <v>119</v>
      </c>
      <c r="AK301" s="26" t="s">
        <v>120</v>
      </c>
      <c r="AL301" s="26" t="s">
        <v>120</v>
      </c>
      <c r="AM301" s="90" t="s">
        <v>119</v>
      </c>
      <c r="AN301" s="105">
        <v>34501</v>
      </c>
      <c r="AO301" s="91">
        <f t="shared" ca="1" si="121"/>
        <v>31</v>
      </c>
      <c r="AP301" s="26" t="s">
        <v>121</v>
      </c>
      <c r="AQ301" s="26" t="s">
        <v>1272</v>
      </c>
      <c r="AR301" s="89"/>
      <c r="AS301" s="27"/>
      <c r="AT301" s="16"/>
      <c r="AU301" s="27"/>
      <c r="AV301" s="86"/>
      <c r="AW301" s="27"/>
      <c r="AX301" s="27"/>
      <c r="AY301" s="27"/>
      <c r="AZ301" s="27"/>
      <c r="BA301" s="27"/>
      <c r="BB301" s="27"/>
      <c r="BC301" s="97"/>
      <c r="BD301" s="27"/>
      <c r="BE301" s="16"/>
      <c r="BF301" s="28">
        <f t="shared" si="123"/>
        <v>0</v>
      </c>
      <c r="BG301" s="29"/>
      <c r="BH301" s="27"/>
      <c r="BI301" s="30">
        <f t="shared" si="124"/>
        <v>335</v>
      </c>
      <c r="BJ301" s="31">
        <f t="shared" si="125"/>
        <v>45657</v>
      </c>
      <c r="BK301" s="27"/>
      <c r="BL301" s="16"/>
      <c r="BM301" s="27"/>
      <c r="BN301" s="16"/>
      <c r="BO301" s="27"/>
      <c r="BP301" s="16"/>
      <c r="BQ301" s="27"/>
      <c r="BR301" s="24"/>
      <c r="BS301" s="24"/>
      <c r="BT301" s="32"/>
      <c r="BU301" s="27"/>
      <c r="BV301" s="24"/>
      <c r="BW301" s="24"/>
      <c r="BX301" s="16"/>
      <c r="BY301" s="27"/>
      <c r="BZ301" s="24"/>
      <c r="CA301" s="24"/>
      <c r="CB301" s="16"/>
      <c r="CC301" s="49">
        <f t="shared" si="126"/>
        <v>0</v>
      </c>
      <c r="CD301" s="24"/>
      <c r="CE301" s="49">
        <f t="shared" si="127"/>
        <v>46402160</v>
      </c>
      <c r="CF301" s="50"/>
      <c r="CG301" s="49">
        <f t="shared" ca="1" si="128"/>
        <v>46402160</v>
      </c>
      <c r="CH301" s="33">
        <f t="shared" ca="1" si="129"/>
        <v>1</v>
      </c>
      <c r="CI301" s="33">
        <f t="shared" ca="1" si="130"/>
        <v>1</v>
      </c>
      <c r="CJ301" s="36">
        <f t="shared" ca="1" si="131"/>
        <v>100</v>
      </c>
      <c r="CK301" s="34">
        <f t="shared" si="132"/>
        <v>0</v>
      </c>
      <c r="CL301" s="21"/>
      <c r="CM301" s="35" t="str">
        <f t="shared" ca="1" si="133"/>
        <v>TERMINADO</v>
      </c>
      <c r="CN301" s="82"/>
      <c r="CP301" s="26" t="s">
        <v>123</v>
      </c>
    </row>
    <row r="302" spans="1:94" ht="26.25" customHeight="1">
      <c r="A302" s="48" t="s">
        <v>2608</v>
      </c>
      <c r="B302" s="77" t="s">
        <v>2609</v>
      </c>
      <c r="C302" s="17" t="s">
        <v>104</v>
      </c>
      <c r="D302" s="18" t="s">
        <v>2610</v>
      </c>
      <c r="E302" s="17" t="s">
        <v>106</v>
      </c>
      <c r="F302" s="17" t="s">
        <v>107</v>
      </c>
      <c r="G302" s="17" t="s">
        <v>108</v>
      </c>
      <c r="H302" s="78">
        <v>1140861252</v>
      </c>
      <c r="I302" s="234" t="s">
        <v>2611</v>
      </c>
      <c r="J302" s="16"/>
      <c r="K302" s="16"/>
      <c r="L302" s="20" t="s">
        <v>2612</v>
      </c>
      <c r="M302" s="16" t="s">
        <v>111</v>
      </c>
      <c r="N302" s="22">
        <v>45315</v>
      </c>
      <c r="O302" s="22">
        <v>45317</v>
      </c>
      <c r="P302" s="115">
        <v>45656</v>
      </c>
      <c r="Q302" s="23">
        <f t="shared" si="120"/>
        <v>339</v>
      </c>
      <c r="R302" s="17" t="s">
        <v>242</v>
      </c>
      <c r="S302" s="117" t="s">
        <v>2613</v>
      </c>
      <c r="T302" s="116" t="s">
        <v>2614</v>
      </c>
      <c r="U302" s="118">
        <v>52965916</v>
      </c>
      <c r="V302" s="16" t="s">
        <v>2615</v>
      </c>
      <c r="W302" s="224">
        <v>52965916</v>
      </c>
      <c r="X302" s="24">
        <v>4413826</v>
      </c>
      <c r="Y302" s="24"/>
      <c r="Z302" s="24"/>
      <c r="AA302" s="17" t="s">
        <v>116</v>
      </c>
      <c r="AB302" s="23" t="str">
        <f>IFERROR(VLOOKUP(AA302,Listas!$A$1:$C$14,2,FALSE),"")</f>
        <v>FREDY CÉSPEDES VILLA</v>
      </c>
      <c r="AC302" s="23">
        <f>IFERROR(VLOOKUP(AA302,Listas!$A$1:$C$14,3,FALSE),"")</f>
        <v>93363483</v>
      </c>
      <c r="AD302" s="17" t="s">
        <v>406</v>
      </c>
      <c r="AE302" s="17" t="s">
        <v>504</v>
      </c>
      <c r="AF302" s="23" t="str">
        <f>IFERROR(VLOOKUP(AE302,Listas!$AD$1:$AF$66,2,FALSE),"")</f>
        <v>EDUARDO ELÍAS BARCHA BOLÍVAR</v>
      </c>
      <c r="AG302" s="23">
        <f>IFERROR(VLOOKUP(AE302,Listas!$AD$1:$AF$65,3,FALSE),"")</f>
        <v>72133921</v>
      </c>
      <c r="AH302" s="17" t="s">
        <v>118</v>
      </c>
      <c r="AI302" s="65" t="s">
        <v>2616</v>
      </c>
      <c r="AJ302" s="25" t="s">
        <v>119</v>
      </c>
      <c r="AK302" s="26" t="s">
        <v>120</v>
      </c>
      <c r="AL302" s="26" t="s">
        <v>120</v>
      </c>
      <c r="AM302" s="90" t="s">
        <v>119</v>
      </c>
      <c r="AN302" s="105">
        <v>33744</v>
      </c>
      <c r="AO302" s="91">
        <f t="shared" ca="1" si="121"/>
        <v>33</v>
      </c>
      <c r="AP302" s="26" t="s">
        <v>121</v>
      </c>
      <c r="AQ302" s="26" t="s">
        <v>409</v>
      </c>
      <c r="AR302" s="89"/>
      <c r="AS302" s="27"/>
      <c r="AT302" s="16"/>
      <c r="AU302" s="27"/>
      <c r="AV302" s="86"/>
      <c r="AW302" s="27"/>
      <c r="AX302" s="27"/>
      <c r="AY302" s="27"/>
      <c r="AZ302" s="27"/>
      <c r="BA302" s="27"/>
      <c r="BB302" s="27"/>
      <c r="BC302" s="97"/>
      <c r="BD302" s="27"/>
      <c r="BE302" s="16"/>
      <c r="BF302" s="28">
        <f t="shared" si="123"/>
        <v>0</v>
      </c>
      <c r="BG302" s="29"/>
      <c r="BH302" s="27"/>
      <c r="BI302" s="30">
        <f t="shared" si="124"/>
        <v>339</v>
      </c>
      <c r="BJ302" s="31">
        <f t="shared" si="125"/>
        <v>45656</v>
      </c>
      <c r="BK302" s="27"/>
      <c r="BL302" s="16"/>
      <c r="BM302" s="27"/>
      <c r="BN302" s="16"/>
      <c r="BO302" s="27"/>
      <c r="BP302" s="16"/>
      <c r="BQ302" s="27"/>
      <c r="BR302" s="24"/>
      <c r="BS302" s="24"/>
      <c r="BT302" s="32"/>
      <c r="BU302" s="27"/>
      <c r="BV302" s="24"/>
      <c r="BW302" s="24"/>
      <c r="BX302" s="16"/>
      <c r="BY302" s="27"/>
      <c r="BZ302" s="24"/>
      <c r="CA302" s="24"/>
      <c r="CB302" s="16"/>
      <c r="CC302" s="49">
        <f t="shared" si="126"/>
        <v>0</v>
      </c>
      <c r="CD302" s="24"/>
      <c r="CE302" s="49">
        <f t="shared" si="127"/>
        <v>52965916</v>
      </c>
      <c r="CF302" s="50"/>
      <c r="CG302" s="49">
        <f t="shared" ca="1" si="128"/>
        <v>52965916</v>
      </c>
      <c r="CH302" s="33">
        <f t="shared" ca="1" si="129"/>
        <v>1</v>
      </c>
      <c r="CI302" s="33">
        <f t="shared" ca="1" si="130"/>
        <v>1</v>
      </c>
      <c r="CJ302" s="36">
        <f t="shared" ca="1" si="131"/>
        <v>100</v>
      </c>
      <c r="CK302" s="34">
        <f t="shared" si="132"/>
        <v>0</v>
      </c>
      <c r="CL302" s="21"/>
      <c r="CM302" s="35" t="str">
        <f t="shared" ca="1" si="133"/>
        <v>TERMINADO</v>
      </c>
      <c r="CN302" s="82"/>
      <c r="CO302" s="145" t="s">
        <v>2617</v>
      </c>
      <c r="CP302" s="26" t="s">
        <v>123</v>
      </c>
    </row>
    <row r="303" spans="1:94" ht="26.25" customHeight="1">
      <c r="A303" s="48" t="s">
        <v>2618</v>
      </c>
      <c r="B303" s="77" t="s">
        <v>2619</v>
      </c>
      <c r="C303" s="17" t="s">
        <v>104</v>
      </c>
      <c r="D303" s="18" t="s">
        <v>2620</v>
      </c>
      <c r="E303" s="17" t="s">
        <v>106</v>
      </c>
      <c r="F303" s="17" t="s">
        <v>107</v>
      </c>
      <c r="G303" s="17" t="s">
        <v>108</v>
      </c>
      <c r="H303" s="78">
        <v>1096033567</v>
      </c>
      <c r="I303" s="74" t="s">
        <v>2621</v>
      </c>
      <c r="J303" s="16"/>
      <c r="K303" s="16"/>
      <c r="L303" s="20" t="s">
        <v>2622</v>
      </c>
      <c r="M303" s="16" t="s">
        <v>111</v>
      </c>
      <c r="N303" s="22">
        <v>45315</v>
      </c>
      <c r="O303" s="22">
        <v>45321</v>
      </c>
      <c r="P303" s="115">
        <v>45657</v>
      </c>
      <c r="Q303" s="23">
        <f t="shared" si="120"/>
        <v>336</v>
      </c>
      <c r="R303" s="17" t="s">
        <v>242</v>
      </c>
      <c r="S303" s="117" t="s">
        <v>2623</v>
      </c>
      <c r="T303" s="116" t="s">
        <v>1201</v>
      </c>
      <c r="U303" s="118">
        <v>46402160</v>
      </c>
      <c r="V303" s="16" t="s">
        <v>2615</v>
      </c>
      <c r="W303" s="224">
        <v>46402160</v>
      </c>
      <c r="X303" s="24">
        <v>4046700</v>
      </c>
      <c r="Y303" s="24"/>
      <c r="Z303" s="24"/>
      <c r="AA303" s="17" t="s">
        <v>116</v>
      </c>
      <c r="AB303" s="23" t="str">
        <f>IFERROR(VLOOKUP(AA303,Listas!$A$1:$C$14,2,FALSE),"")</f>
        <v>FREDY CÉSPEDES VILLA</v>
      </c>
      <c r="AC303" s="23">
        <f>IFERROR(VLOOKUP(AA303,Listas!$A$1:$C$14,3,FALSE),"")</f>
        <v>93363483</v>
      </c>
      <c r="AD303" s="17" t="s">
        <v>427</v>
      </c>
      <c r="AE303" s="17" t="s">
        <v>2561</v>
      </c>
      <c r="AF303" s="23" t="str">
        <f>IFERROR(VLOOKUP(AE303,Listas!$AD$1:$AF$66,2,FALSE),"")</f>
        <v>MARÍA TERESA COMBARIZA MARTÍN</v>
      </c>
      <c r="AG303" s="23">
        <f>IFERROR(VLOOKUP(AE303,Listas!$AD$1:$AF$65,3,FALSE),"")</f>
        <v>51803256</v>
      </c>
      <c r="AH303" s="17" t="s">
        <v>118</v>
      </c>
      <c r="AI303" s="65"/>
      <c r="AJ303" s="25" t="s">
        <v>119</v>
      </c>
      <c r="AK303" s="26" t="s">
        <v>120</v>
      </c>
      <c r="AL303" s="26" t="s">
        <v>120</v>
      </c>
      <c r="AM303" s="90" t="s">
        <v>119</v>
      </c>
      <c r="AN303" s="105">
        <v>32342</v>
      </c>
      <c r="AO303" s="91">
        <f t="shared" ca="1" si="121"/>
        <v>37</v>
      </c>
      <c r="AP303" s="26" t="s">
        <v>121</v>
      </c>
      <c r="AQ303" s="26" t="s">
        <v>1272</v>
      </c>
      <c r="AR303" s="89"/>
      <c r="AS303" s="27"/>
      <c r="AT303" s="16"/>
      <c r="AU303" s="27"/>
      <c r="AV303" s="86"/>
      <c r="AW303" s="27"/>
      <c r="AX303" s="27"/>
      <c r="AY303" s="27"/>
      <c r="AZ303" s="27"/>
      <c r="BA303" s="27"/>
      <c r="BB303" s="27"/>
      <c r="BC303" s="97"/>
      <c r="BD303" s="27"/>
      <c r="BE303" s="16"/>
      <c r="BF303" s="28">
        <f t="shared" si="123"/>
        <v>0</v>
      </c>
      <c r="BG303" s="29"/>
      <c r="BH303" s="27"/>
      <c r="BI303" s="30">
        <f t="shared" si="124"/>
        <v>336</v>
      </c>
      <c r="BJ303" s="31">
        <f t="shared" si="125"/>
        <v>45657</v>
      </c>
      <c r="BK303" s="27"/>
      <c r="BL303" s="16"/>
      <c r="BM303" s="27"/>
      <c r="BN303" s="16"/>
      <c r="BO303" s="27"/>
      <c r="BP303" s="16"/>
      <c r="BQ303" s="27"/>
      <c r="BR303" s="24"/>
      <c r="BS303" s="24"/>
      <c r="BT303" s="32"/>
      <c r="BU303" s="27"/>
      <c r="BV303" s="24"/>
      <c r="BW303" s="24"/>
      <c r="BX303" s="16"/>
      <c r="BY303" s="27"/>
      <c r="BZ303" s="24"/>
      <c r="CA303" s="24"/>
      <c r="CB303" s="16"/>
      <c r="CC303" s="49">
        <f t="shared" si="126"/>
        <v>0</v>
      </c>
      <c r="CD303" s="24"/>
      <c r="CE303" s="49">
        <f t="shared" si="127"/>
        <v>46402160</v>
      </c>
      <c r="CF303" s="50"/>
      <c r="CG303" s="49">
        <f t="shared" ca="1" si="128"/>
        <v>46402160</v>
      </c>
      <c r="CH303" s="33">
        <f t="shared" ca="1" si="129"/>
        <v>1</v>
      </c>
      <c r="CI303" s="33">
        <f t="shared" ca="1" si="130"/>
        <v>1</v>
      </c>
      <c r="CJ303" s="36">
        <f t="shared" ca="1" si="131"/>
        <v>100</v>
      </c>
      <c r="CK303" s="34">
        <f t="shared" si="132"/>
        <v>0</v>
      </c>
      <c r="CL303" s="21"/>
      <c r="CM303" s="35" t="str">
        <f t="shared" ca="1" si="133"/>
        <v>TERMINADO</v>
      </c>
      <c r="CN303" s="82"/>
      <c r="CO303" s="145" t="s">
        <v>2624</v>
      </c>
      <c r="CP303" s="26" t="s">
        <v>123</v>
      </c>
    </row>
    <row r="304" spans="1:94" ht="26.25" customHeight="1">
      <c r="A304" s="48" t="s">
        <v>2625</v>
      </c>
      <c r="B304" s="77" t="s">
        <v>2626</v>
      </c>
      <c r="C304" s="17" t="s">
        <v>104</v>
      </c>
      <c r="D304" s="18" t="s">
        <v>2627</v>
      </c>
      <c r="E304" s="17" t="s">
        <v>106</v>
      </c>
      <c r="F304" s="17" t="s">
        <v>107</v>
      </c>
      <c r="G304" s="17" t="s">
        <v>108</v>
      </c>
      <c r="H304" s="78">
        <v>1020746500</v>
      </c>
      <c r="I304" s="74" t="s">
        <v>2628</v>
      </c>
      <c r="J304" s="16"/>
      <c r="K304" s="16"/>
      <c r="L304" s="20" t="s">
        <v>2629</v>
      </c>
      <c r="M304" s="16" t="s">
        <v>111</v>
      </c>
      <c r="N304" s="22">
        <v>45316</v>
      </c>
      <c r="O304" s="22">
        <v>45322</v>
      </c>
      <c r="P304" s="115">
        <v>45657</v>
      </c>
      <c r="Q304" s="23">
        <f t="shared" si="120"/>
        <v>335</v>
      </c>
      <c r="R304" s="17" t="s">
        <v>242</v>
      </c>
      <c r="S304" s="117" t="s">
        <v>2630</v>
      </c>
      <c r="T304" s="116" t="s">
        <v>1145</v>
      </c>
      <c r="U304" s="118">
        <v>135526007</v>
      </c>
      <c r="V304" s="16" t="s">
        <v>2546</v>
      </c>
      <c r="W304" s="224">
        <v>135526007</v>
      </c>
      <c r="X304" s="24">
        <v>11649800</v>
      </c>
      <c r="Y304" s="24"/>
      <c r="Z304" s="24"/>
      <c r="AA304" s="17" t="s">
        <v>116</v>
      </c>
      <c r="AB304" s="23" t="str">
        <f>IFERROR(VLOOKUP(AA304,Listas!$A$1:$C$14,2,FALSE),"")</f>
        <v>FREDY CÉSPEDES VILLA</v>
      </c>
      <c r="AC304" s="23">
        <f>IFERROR(VLOOKUP(AA304,Listas!$A$1:$C$14,3,FALSE),"")</f>
        <v>93363483</v>
      </c>
      <c r="AD304" s="17" t="s">
        <v>427</v>
      </c>
      <c r="AE304" s="17" t="s">
        <v>2561</v>
      </c>
      <c r="AF304" s="23" t="str">
        <f>IFERROR(VLOOKUP(AE304,Listas!$AD$1:$AF$66,2,FALSE),"")</f>
        <v>MARÍA TERESA COMBARIZA MARTÍN</v>
      </c>
      <c r="AG304" s="23">
        <f>IFERROR(VLOOKUP(AE304,Listas!$AD$1:$AF$65,3,FALSE),"")</f>
        <v>51803256</v>
      </c>
      <c r="AH304" s="17" t="s">
        <v>118</v>
      </c>
      <c r="AI304" s="65" t="s">
        <v>2631</v>
      </c>
      <c r="AJ304" s="25" t="s">
        <v>119</v>
      </c>
      <c r="AK304" s="26" t="s">
        <v>120</v>
      </c>
      <c r="AL304" s="26" t="s">
        <v>120</v>
      </c>
      <c r="AM304" s="90" t="s">
        <v>119</v>
      </c>
      <c r="AN304" s="105">
        <v>32422</v>
      </c>
      <c r="AO304" s="91">
        <f t="shared" ca="1" si="121"/>
        <v>37</v>
      </c>
      <c r="AP304" s="26" t="s">
        <v>121</v>
      </c>
      <c r="AQ304" s="26" t="s">
        <v>1272</v>
      </c>
      <c r="AR304" s="89"/>
      <c r="AS304" s="27"/>
      <c r="AT304" s="16"/>
      <c r="AU304" s="27"/>
      <c r="AV304" s="86"/>
      <c r="AW304" s="27"/>
      <c r="AX304" s="27"/>
      <c r="AY304" s="27"/>
      <c r="AZ304" s="27"/>
      <c r="BA304" s="27"/>
      <c r="BB304" s="27"/>
      <c r="BC304" s="97"/>
      <c r="BD304" s="27"/>
      <c r="BE304" s="16"/>
      <c r="BF304" s="28">
        <f t="shared" si="123"/>
        <v>0</v>
      </c>
      <c r="BG304" s="29"/>
      <c r="BH304" s="27"/>
      <c r="BI304" s="30">
        <f t="shared" si="124"/>
        <v>335</v>
      </c>
      <c r="BJ304" s="31">
        <f t="shared" si="125"/>
        <v>45657</v>
      </c>
      <c r="BK304" s="27"/>
      <c r="BL304" s="16"/>
      <c r="BM304" s="27"/>
      <c r="BN304" s="16"/>
      <c r="BO304" s="27"/>
      <c r="BP304" s="16"/>
      <c r="BQ304" s="27"/>
      <c r="BR304" s="24"/>
      <c r="BS304" s="24"/>
      <c r="BT304" s="32"/>
      <c r="BU304" s="27"/>
      <c r="BV304" s="24"/>
      <c r="BW304" s="24"/>
      <c r="BX304" s="16"/>
      <c r="BY304" s="27"/>
      <c r="BZ304" s="24"/>
      <c r="CA304" s="24"/>
      <c r="CB304" s="16"/>
      <c r="CC304" s="49">
        <f t="shared" si="126"/>
        <v>0</v>
      </c>
      <c r="CD304" s="24"/>
      <c r="CE304" s="49">
        <f t="shared" si="127"/>
        <v>135526007</v>
      </c>
      <c r="CF304" s="50"/>
      <c r="CG304" s="49">
        <f t="shared" ca="1" si="128"/>
        <v>135526007</v>
      </c>
      <c r="CH304" s="33">
        <f t="shared" ca="1" si="129"/>
        <v>1</v>
      </c>
      <c r="CI304" s="33">
        <f t="shared" ca="1" si="130"/>
        <v>1</v>
      </c>
      <c r="CJ304" s="36">
        <f t="shared" ca="1" si="131"/>
        <v>100</v>
      </c>
      <c r="CK304" s="34">
        <f t="shared" si="132"/>
        <v>0</v>
      </c>
      <c r="CL304" s="21"/>
      <c r="CM304" s="35" t="str">
        <f t="shared" ca="1" si="133"/>
        <v>TERMINADO</v>
      </c>
      <c r="CN304" s="82"/>
      <c r="CO304" s="145" t="s">
        <v>2632</v>
      </c>
      <c r="CP304" s="26" t="s">
        <v>142</v>
      </c>
    </row>
    <row r="305" spans="1:94" ht="26.25" customHeight="1">
      <c r="A305" s="48" t="s">
        <v>2633</v>
      </c>
      <c r="B305" s="77" t="s">
        <v>2634</v>
      </c>
      <c r="C305" s="17" t="s">
        <v>104</v>
      </c>
      <c r="D305" s="18" t="s">
        <v>2635</v>
      </c>
      <c r="E305" s="17" t="s">
        <v>106</v>
      </c>
      <c r="F305" s="17" t="s">
        <v>107</v>
      </c>
      <c r="G305" s="17" t="s">
        <v>108</v>
      </c>
      <c r="H305" s="78">
        <v>66992634</v>
      </c>
      <c r="I305" s="74" t="s">
        <v>2636</v>
      </c>
      <c r="J305" s="16"/>
      <c r="K305" s="16"/>
      <c r="L305" s="20" t="s">
        <v>2637</v>
      </c>
      <c r="M305" s="16" t="s">
        <v>557</v>
      </c>
      <c r="N305" s="22">
        <v>45315</v>
      </c>
      <c r="O305" s="22">
        <v>45316</v>
      </c>
      <c r="P305" s="115">
        <v>45656</v>
      </c>
      <c r="Q305" s="23">
        <f t="shared" si="120"/>
        <v>340</v>
      </c>
      <c r="R305" s="17" t="s">
        <v>242</v>
      </c>
      <c r="S305" s="117" t="s">
        <v>2638</v>
      </c>
      <c r="T305" s="116" t="s">
        <v>343</v>
      </c>
      <c r="U305" s="118">
        <v>67421198</v>
      </c>
      <c r="V305" s="16" t="s">
        <v>344</v>
      </c>
      <c r="W305" s="224">
        <v>67421198</v>
      </c>
      <c r="X305" s="24">
        <v>5762496</v>
      </c>
      <c r="Y305" s="24"/>
      <c r="Z305" s="24"/>
      <c r="AA305" s="17" t="s">
        <v>116</v>
      </c>
      <c r="AB305" s="23" t="str">
        <f>IFERROR(VLOOKUP(AA305,Listas!$A$1:$C$14,2,FALSE),"")</f>
        <v>FREDY CÉSPEDES VILLA</v>
      </c>
      <c r="AC305" s="23">
        <f>IFERROR(VLOOKUP(AA305,Listas!$A$1:$C$14,3,FALSE),"")</f>
        <v>93363483</v>
      </c>
      <c r="AD305" s="17" t="s">
        <v>559</v>
      </c>
      <c r="AE305" s="17" t="s">
        <v>560</v>
      </c>
      <c r="AF305" s="23" t="str">
        <f>IFERROR(VLOOKUP(AE305,Listas!$AD$1:$AF$66,2,FALSE),"")</f>
        <v>CESAR AUGUSTO LÓPEZ LÓPEZ</v>
      </c>
      <c r="AG305" s="23">
        <f>IFERROR(VLOOKUP(AE305,Listas!$AD$1:$AF$65,3,FALSE),"")</f>
        <v>6103856</v>
      </c>
      <c r="AH305" s="17" t="s">
        <v>118</v>
      </c>
      <c r="AI305" s="65" t="s">
        <v>1657</v>
      </c>
      <c r="AJ305" s="25" t="s">
        <v>119</v>
      </c>
      <c r="AK305" s="26" t="s">
        <v>120</v>
      </c>
      <c r="AL305" s="26" t="s">
        <v>120</v>
      </c>
      <c r="AM305" s="90" t="s">
        <v>119</v>
      </c>
      <c r="AN305" s="105">
        <v>28200</v>
      </c>
      <c r="AO305" s="91">
        <f t="shared" ca="1" si="121"/>
        <v>48</v>
      </c>
      <c r="AP305" s="26" t="s">
        <v>121</v>
      </c>
      <c r="AQ305" s="26" t="s">
        <v>327</v>
      </c>
      <c r="AR305" s="89"/>
      <c r="AS305" s="27"/>
      <c r="AT305" s="16"/>
      <c r="AU305" s="27"/>
      <c r="AV305" s="86"/>
      <c r="AW305" s="27"/>
      <c r="AX305" s="27"/>
      <c r="AY305" s="27"/>
      <c r="AZ305" s="27"/>
      <c r="BA305" s="27"/>
      <c r="BB305" s="27"/>
      <c r="BC305" s="97"/>
      <c r="BD305" s="27"/>
      <c r="BE305" s="16"/>
      <c r="BF305" s="28">
        <f t="shared" ref="BF305:BF326" si="134">BC305+BE305</f>
        <v>0</v>
      </c>
      <c r="BG305" s="29"/>
      <c r="BH305" s="27"/>
      <c r="BI305" s="30">
        <f t="shared" ref="BI305:BI327" si="135">BF305+Q305</f>
        <v>340</v>
      </c>
      <c r="BJ305" s="31">
        <f t="shared" ref="BJ305:BJ327" si="136">IF(BH305="",P305+BF305,BH305)</f>
        <v>45656</v>
      </c>
      <c r="BK305" s="27"/>
      <c r="BL305" s="16"/>
      <c r="BM305" s="27"/>
      <c r="BN305" s="16"/>
      <c r="BO305" s="27"/>
      <c r="BP305" s="16"/>
      <c r="BQ305" s="27"/>
      <c r="BR305" s="24"/>
      <c r="BS305" s="24"/>
      <c r="BT305" s="32"/>
      <c r="BU305" s="27"/>
      <c r="BV305" s="24"/>
      <c r="BW305" s="24"/>
      <c r="BX305" s="16"/>
      <c r="BY305" s="27"/>
      <c r="BZ305" s="24"/>
      <c r="CA305" s="24"/>
      <c r="CB305" s="16"/>
      <c r="CC305" s="49">
        <f t="shared" ref="CC305:CC326" si="137">BR305+BV305+BZ305</f>
        <v>0</v>
      </c>
      <c r="CD305" s="24"/>
      <c r="CE305" s="49">
        <f t="shared" ref="CE305:CE327" si="138">IF(Y305=0,(W305+CC305)-CD305,IF(Y305&gt;0,(Y305+CC305)-CD305))</f>
        <v>67421198</v>
      </c>
      <c r="CF305" s="50"/>
      <c r="CG305" s="49">
        <f t="shared" ref="CG305:CG327" ca="1" si="139">IFERROR(IF(((CE305/BI305)*(TODAY()-N305))&gt;CE305,CE305,((CE305/BI305)*(TODAY()-N305))),"")</f>
        <v>67421198</v>
      </c>
      <c r="CH305" s="33">
        <f t="shared" ref="CH305:CH327" ca="1" si="140">IF(TODAY()&gt;BJ305,1,+(DAYS360(O305,TODAY())/DAYS360(O305,BJ305)))</f>
        <v>1</v>
      </c>
      <c r="CI305" s="33">
        <f t="shared" ref="CI305:CI327" ca="1" si="141">+IF(CL305&gt;0,DAYS360(O305,CL305)/DAYS360(O305,BJ305),CH305)</f>
        <v>1</v>
      </c>
      <c r="CJ305" s="36">
        <f t="shared" ref="CJ305:CJ327" ca="1" si="142">IFERROR(IF(((CG305/CE305)*100)&gt;100,100,((CG305/CE305)*100)),"")</f>
        <v>100</v>
      </c>
      <c r="CK305" s="34">
        <f t="shared" ref="CK305:CK326" si="143">IFERROR((CF305/CE305)*100,"")</f>
        <v>0</v>
      </c>
      <c r="CL305" s="21"/>
      <c r="CM305" s="35" t="str">
        <f t="shared" ca="1" si="133"/>
        <v>TERMINADO</v>
      </c>
      <c r="CN305" s="82"/>
      <c r="CO305" s="145" t="s">
        <v>2639</v>
      </c>
      <c r="CP305" s="26" t="s">
        <v>123</v>
      </c>
    </row>
    <row r="306" spans="1:94" ht="26.25" customHeight="1">
      <c r="A306" s="48" t="s">
        <v>2640</v>
      </c>
      <c r="B306" s="77" t="s">
        <v>2641</v>
      </c>
      <c r="C306" s="17" t="s">
        <v>104</v>
      </c>
      <c r="D306" s="18" t="s">
        <v>2642</v>
      </c>
      <c r="E306" s="17" t="s">
        <v>106</v>
      </c>
      <c r="F306" s="17" t="s">
        <v>107</v>
      </c>
      <c r="G306" s="17" t="s">
        <v>108</v>
      </c>
      <c r="H306" s="78">
        <v>91491231</v>
      </c>
      <c r="I306" s="74" t="s">
        <v>2643</v>
      </c>
      <c r="J306" s="16"/>
      <c r="K306" s="16"/>
      <c r="L306" s="20" t="s">
        <v>2644</v>
      </c>
      <c r="M306" s="16" t="s">
        <v>1519</v>
      </c>
      <c r="N306" s="22">
        <v>45315</v>
      </c>
      <c r="O306" s="22">
        <v>45317</v>
      </c>
      <c r="P306" s="115">
        <v>45656</v>
      </c>
      <c r="Q306" s="23">
        <f t="shared" si="120"/>
        <v>339</v>
      </c>
      <c r="R306" s="17" t="s">
        <v>242</v>
      </c>
      <c r="S306" s="117" t="s">
        <v>2645</v>
      </c>
      <c r="T306" s="116" t="s">
        <v>343</v>
      </c>
      <c r="U306" s="118">
        <v>67421198</v>
      </c>
      <c r="V306" s="16" t="s">
        <v>344</v>
      </c>
      <c r="W306" s="224">
        <v>67421198</v>
      </c>
      <c r="X306" s="24">
        <v>5762495</v>
      </c>
      <c r="Y306" s="24"/>
      <c r="Z306" s="24"/>
      <c r="AA306" s="17" t="s">
        <v>116</v>
      </c>
      <c r="AB306" s="23" t="str">
        <f>IFERROR(VLOOKUP(AA306,Listas!$A$1:$C$14,2,FALSE),"")</f>
        <v>FREDY CÉSPEDES VILLA</v>
      </c>
      <c r="AC306" s="23">
        <f>IFERROR(VLOOKUP(AA306,Listas!$A$1:$C$14,3,FALSE),"")</f>
        <v>93363483</v>
      </c>
      <c r="AD306" s="17" t="s">
        <v>1523</v>
      </c>
      <c r="AE306" s="17" t="s">
        <v>1524</v>
      </c>
      <c r="AF306" s="23" t="str">
        <f>IFERROR(VLOOKUP(AE306,Listas!$AD$1:$AF$66,2,FALSE),"")</f>
        <v>IVETTE FRASSER SÁNCHEZ</v>
      </c>
      <c r="AG306" s="23">
        <f>IFERROR(VLOOKUP(AE306,Listas!$AD$1:$AF$65,3,FALSE),"")</f>
        <v>38285903</v>
      </c>
      <c r="AH306" s="17" t="s">
        <v>118</v>
      </c>
      <c r="AI306" s="65" t="s">
        <v>2646</v>
      </c>
      <c r="AJ306" s="25" t="s">
        <v>119</v>
      </c>
      <c r="AK306" s="26" t="s">
        <v>120</v>
      </c>
      <c r="AL306" s="26" t="s">
        <v>120</v>
      </c>
      <c r="AM306" s="90" t="s">
        <v>119</v>
      </c>
      <c r="AN306" s="105">
        <v>28003</v>
      </c>
      <c r="AO306" s="91">
        <f t="shared" ca="1" si="121"/>
        <v>49</v>
      </c>
      <c r="AP306" s="26" t="s">
        <v>121</v>
      </c>
      <c r="AQ306" s="26" t="s">
        <v>327</v>
      </c>
      <c r="AR306" s="89"/>
      <c r="AS306" s="27"/>
      <c r="AT306" s="16"/>
      <c r="AU306" s="27"/>
      <c r="AV306" s="86"/>
      <c r="AW306" s="27"/>
      <c r="AX306" s="27"/>
      <c r="AY306" s="27"/>
      <c r="AZ306" s="27"/>
      <c r="BA306" s="27"/>
      <c r="BB306" s="27"/>
      <c r="BC306" s="97"/>
      <c r="BD306" s="27"/>
      <c r="BE306" s="16"/>
      <c r="BF306" s="28">
        <f t="shared" si="134"/>
        <v>0</v>
      </c>
      <c r="BG306" s="29"/>
      <c r="BH306" s="27"/>
      <c r="BI306" s="30">
        <f t="shared" si="135"/>
        <v>339</v>
      </c>
      <c r="BJ306" s="31">
        <f t="shared" si="136"/>
        <v>45656</v>
      </c>
      <c r="BK306" s="27"/>
      <c r="BL306" s="16"/>
      <c r="BM306" s="27"/>
      <c r="BN306" s="16"/>
      <c r="BO306" s="27"/>
      <c r="BP306" s="16"/>
      <c r="BQ306" s="27"/>
      <c r="BR306" s="24"/>
      <c r="BS306" s="24"/>
      <c r="BT306" s="32"/>
      <c r="BU306" s="27"/>
      <c r="BV306" s="24"/>
      <c r="BW306" s="24"/>
      <c r="BX306" s="16"/>
      <c r="BY306" s="27"/>
      <c r="BZ306" s="24"/>
      <c r="CA306" s="24"/>
      <c r="CB306" s="16"/>
      <c r="CC306" s="49">
        <f t="shared" si="137"/>
        <v>0</v>
      </c>
      <c r="CD306" s="24"/>
      <c r="CE306" s="49">
        <f t="shared" si="138"/>
        <v>67421198</v>
      </c>
      <c r="CF306" s="50"/>
      <c r="CG306" s="49">
        <f t="shared" ca="1" si="139"/>
        <v>67421198</v>
      </c>
      <c r="CH306" s="33">
        <f t="shared" ca="1" si="140"/>
        <v>1</v>
      </c>
      <c r="CI306" s="33">
        <f t="shared" ca="1" si="141"/>
        <v>1</v>
      </c>
      <c r="CJ306" s="36">
        <f t="shared" ca="1" si="142"/>
        <v>100</v>
      </c>
      <c r="CK306" s="34">
        <f t="shared" si="143"/>
        <v>0</v>
      </c>
      <c r="CL306" s="21"/>
      <c r="CM306" s="35" t="str">
        <f t="shared" ca="1" si="133"/>
        <v>TERMINADO</v>
      </c>
      <c r="CN306" s="82"/>
      <c r="CO306" s="145" t="s">
        <v>2647</v>
      </c>
      <c r="CP306" s="26" t="s">
        <v>142</v>
      </c>
    </row>
    <row r="307" spans="1:94" ht="26.25" customHeight="1">
      <c r="A307" s="48" t="s">
        <v>2648</v>
      </c>
      <c r="B307" s="77" t="s">
        <v>2649</v>
      </c>
      <c r="C307" s="17" t="s">
        <v>104</v>
      </c>
      <c r="D307" s="18" t="s">
        <v>2650</v>
      </c>
      <c r="E307" s="17" t="s">
        <v>106</v>
      </c>
      <c r="F307" s="17" t="s">
        <v>107</v>
      </c>
      <c r="G307" s="17" t="s">
        <v>108</v>
      </c>
      <c r="H307" s="78">
        <v>1047388672</v>
      </c>
      <c r="I307" s="74" t="s">
        <v>2651</v>
      </c>
      <c r="J307" s="16"/>
      <c r="K307" s="16"/>
      <c r="L307" s="20" t="s">
        <v>2652</v>
      </c>
      <c r="M307" s="16" t="s">
        <v>111</v>
      </c>
      <c r="N307" s="22">
        <v>45315</v>
      </c>
      <c r="O307" s="22">
        <v>45316</v>
      </c>
      <c r="P307" s="115">
        <v>45656</v>
      </c>
      <c r="Q307" s="23">
        <f t="shared" ref="Q307:Q370" si="144">P307-O307</f>
        <v>340</v>
      </c>
      <c r="R307" s="17" t="s">
        <v>242</v>
      </c>
      <c r="S307" s="117" t="s">
        <v>2653</v>
      </c>
      <c r="T307" s="116" t="s">
        <v>343</v>
      </c>
      <c r="U307" s="118">
        <v>61280856</v>
      </c>
      <c r="V307" s="16" t="s">
        <v>344</v>
      </c>
      <c r="W307" s="224">
        <v>61280856</v>
      </c>
      <c r="X307" s="24">
        <v>5237680</v>
      </c>
      <c r="Y307" s="24"/>
      <c r="Z307" s="24"/>
      <c r="AA307" s="17" t="s">
        <v>116</v>
      </c>
      <c r="AB307" s="23" t="str">
        <f>IFERROR(VLOOKUP(AA307,Listas!$A$1:$C$14,2,FALSE),"")</f>
        <v>FREDY CÉSPEDES VILLA</v>
      </c>
      <c r="AC307" s="23">
        <f>IFERROR(VLOOKUP(AA307,Listas!$A$1:$C$14,3,FALSE),"")</f>
        <v>93363483</v>
      </c>
      <c r="AD307" s="17" t="s">
        <v>903</v>
      </c>
      <c r="AE307" s="17" t="s">
        <v>904</v>
      </c>
      <c r="AF307" s="23" t="str">
        <f>IFERROR(VLOOKUP(AE307,Listas!$AD$1:$AF$66,2,FALSE),"")</f>
        <v>VIVIANA MARGARITA ROMERO</v>
      </c>
      <c r="AG307" s="23">
        <f>IFERROR(VLOOKUP(AE307,Listas!$AD$1:$AF$65,3,FALSE),"")</f>
        <v>32794946</v>
      </c>
      <c r="AH307" s="17" t="s">
        <v>118</v>
      </c>
      <c r="AI307" s="65" t="s">
        <v>2654</v>
      </c>
      <c r="AJ307" s="25" t="s">
        <v>119</v>
      </c>
      <c r="AK307" s="26" t="s">
        <v>120</v>
      </c>
      <c r="AL307" s="26" t="s">
        <v>120</v>
      </c>
      <c r="AM307" s="90" t="s">
        <v>119</v>
      </c>
      <c r="AN307" s="105">
        <v>28003</v>
      </c>
      <c r="AO307" s="91">
        <f t="shared" ref="AO307:AO370" ca="1" si="145">IF(YEAR(TODAY())-YEAR(AN307)&gt;100," ",YEAR(TODAY())-YEAR(AN307))</f>
        <v>49</v>
      </c>
      <c r="AP307" s="26" t="s">
        <v>121</v>
      </c>
      <c r="AQ307" s="26" t="s">
        <v>327</v>
      </c>
      <c r="AR307" s="89"/>
      <c r="AS307" s="27"/>
      <c r="AT307" s="16"/>
      <c r="AU307" s="27"/>
      <c r="AV307" s="86"/>
      <c r="AW307" s="27"/>
      <c r="AX307" s="27"/>
      <c r="AY307" s="27"/>
      <c r="AZ307" s="27"/>
      <c r="BA307" s="27"/>
      <c r="BB307" s="27"/>
      <c r="BC307" s="97"/>
      <c r="BD307" s="27"/>
      <c r="BE307" s="16"/>
      <c r="BF307" s="28">
        <f t="shared" si="134"/>
        <v>0</v>
      </c>
      <c r="BG307" s="29"/>
      <c r="BH307" s="27"/>
      <c r="BI307" s="30">
        <f t="shared" si="135"/>
        <v>340</v>
      </c>
      <c r="BJ307" s="31">
        <f t="shared" si="136"/>
        <v>45656</v>
      </c>
      <c r="BK307" s="27"/>
      <c r="BL307" s="16"/>
      <c r="BM307" s="27"/>
      <c r="BN307" s="16"/>
      <c r="BO307" s="27"/>
      <c r="BP307" s="16"/>
      <c r="BQ307" s="27"/>
      <c r="BR307" s="24"/>
      <c r="BS307" s="24"/>
      <c r="BT307" s="32"/>
      <c r="BU307" s="27"/>
      <c r="BV307" s="24"/>
      <c r="BW307" s="24"/>
      <c r="BX307" s="16"/>
      <c r="BY307" s="27"/>
      <c r="BZ307" s="24"/>
      <c r="CA307" s="24"/>
      <c r="CB307" s="16"/>
      <c r="CC307" s="49">
        <f t="shared" si="137"/>
        <v>0</v>
      </c>
      <c r="CD307" s="24"/>
      <c r="CE307" s="49">
        <f t="shared" si="138"/>
        <v>61280856</v>
      </c>
      <c r="CF307" s="50"/>
      <c r="CG307" s="49">
        <f t="shared" ca="1" si="139"/>
        <v>61280856</v>
      </c>
      <c r="CH307" s="33">
        <f t="shared" ca="1" si="140"/>
        <v>1</v>
      </c>
      <c r="CI307" s="33">
        <f t="shared" ca="1" si="141"/>
        <v>1</v>
      </c>
      <c r="CJ307" s="36">
        <f t="shared" ca="1" si="142"/>
        <v>100</v>
      </c>
      <c r="CK307" s="34">
        <f t="shared" si="143"/>
        <v>0</v>
      </c>
      <c r="CL307" s="21"/>
      <c r="CM307" s="35" t="str">
        <f t="shared" ref="CM307:CM326" ca="1" si="146">IF(CL307&gt;1/1/6,"LIQUIDADO",IF(BJ307=0,"",IF(BJ307&gt;=TODAY(),"VIGENTE",IF(BJ307&lt;TODAY(),"TERMINADO",))))</f>
        <v>TERMINADO</v>
      </c>
      <c r="CN307" s="82"/>
      <c r="CO307" s="145" t="s">
        <v>2655</v>
      </c>
      <c r="CP307" s="26" t="s">
        <v>123</v>
      </c>
    </row>
    <row r="308" spans="1:94" ht="24.75" customHeight="1">
      <c r="A308" s="48" t="s">
        <v>2656</v>
      </c>
      <c r="B308" s="77" t="s">
        <v>2657</v>
      </c>
      <c r="C308" s="17" t="s">
        <v>104</v>
      </c>
      <c r="D308" s="18" t="s">
        <v>2658</v>
      </c>
      <c r="E308" s="17" t="s">
        <v>106</v>
      </c>
      <c r="F308" s="17" t="s">
        <v>107</v>
      </c>
      <c r="G308" s="17" t="s">
        <v>108</v>
      </c>
      <c r="H308" s="78">
        <v>63563617</v>
      </c>
      <c r="I308" s="74" t="s">
        <v>2659</v>
      </c>
      <c r="J308" s="16"/>
      <c r="K308" s="16"/>
      <c r="L308" s="20" t="s">
        <v>2187</v>
      </c>
      <c r="M308" s="16" t="s">
        <v>111</v>
      </c>
      <c r="N308" s="22">
        <v>45317</v>
      </c>
      <c r="O308" s="22">
        <v>45321</v>
      </c>
      <c r="P308" s="115">
        <v>45657</v>
      </c>
      <c r="Q308" s="23">
        <f t="shared" si="144"/>
        <v>336</v>
      </c>
      <c r="R308" s="17" t="s">
        <v>242</v>
      </c>
      <c r="S308" s="117" t="s">
        <v>2660</v>
      </c>
      <c r="T308" s="116" t="s">
        <v>1145</v>
      </c>
      <c r="U308" s="67">
        <v>63563617</v>
      </c>
      <c r="V308" s="16" t="s">
        <v>2546</v>
      </c>
      <c r="W308" s="224">
        <v>63563617</v>
      </c>
      <c r="X308" s="24">
        <v>6131500</v>
      </c>
      <c r="Y308" s="24"/>
      <c r="Z308" s="24"/>
      <c r="AA308" s="17" t="s">
        <v>116</v>
      </c>
      <c r="AB308" s="23" t="str">
        <f>IFERROR(VLOOKUP(AA308,Listas!$A$1:$C$14,2,FALSE),"")</f>
        <v>FREDY CÉSPEDES VILLA</v>
      </c>
      <c r="AC308" s="23">
        <f>IFERROR(VLOOKUP(AA308,Listas!$A$1:$C$14,3,FALSE),"")</f>
        <v>93363483</v>
      </c>
      <c r="AD308" s="17" t="s">
        <v>427</v>
      </c>
      <c r="AE308" s="17" t="s">
        <v>1802</v>
      </c>
      <c r="AF308" s="23" t="str">
        <f>IFERROR(VLOOKUP(AE308,Listas!$AD$1:$AF$66,2,FALSE),"")</f>
        <v>YULI ANDREA RIVEROS PINEDA</v>
      </c>
      <c r="AG308" s="23">
        <f>IFERROR(VLOOKUP(AE308,Listas!$AD$1:$AF$65,3,FALSE),"")</f>
        <v>53036984</v>
      </c>
      <c r="AH308" s="17" t="s">
        <v>118</v>
      </c>
      <c r="AI308" s="65" t="s">
        <v>2189</v>
      </c>
      <c r="AJ308" s="25" t="s">
        <v>119</v>
      </c>
      <c r="AK308" s="26" t="s">
        <v>120</v>
      </c>
      <c r="AL308" s="26" t="s">
        <v>120</v>
      </c>
      <c r="AM308" s="90" t="s">
        <v>119</v>
      </c>
      <c r="AN308" s="105">
        <v>31277</v>
      </c>
      <c r="AO308" s="91">
        <f t="shared" ca="1" si="145"/>
        <v>40</v>
      </c>
      <c r="AP308" s="26" t="s">
        <v>121</v>
      </c>
      <c r="AQ308" s="26" t="s">
        <v>1272</v>
      </c>
      <c r="AR308" s="89"/>
      <c r="AS308" s="27"/>
      <c r="AT308" s="16"/>
      <c r="AU308" s="27"/>
      <c r="AV308" s="86"/>
      <c r="AW308" s="27"/>
      <c r="AX308" s="27"/>
      <c r="AY308" s="27"/>
      <c r="AZ308" s="27"/>
      <c r="BA308" s="27"/>
      <c r="BB308" s="27"/>
      <c r="BC308" s="97"/>
      <c r="BD308" s="27"/>
      <c r="BE308" s="16"/>
      <c r="BF308" s="28">
        <f t="shared" si="134"/>
        <v>0</v>
      </c>
      <c r="BG308" s="29"/>
      <c r="BH308" s="27"/>
      <c r="BI308" s="30">
        <f t="shared" si="135"/>
        <v>336</v>
      </c>
      <c r="BJ308" s="31">
        <f t="shared" si="136"/>
        <v>45657</v>
      </c>
      <c r="BK308" s="27"/>
      <c r="BL308" s="16"/>
      <c r="BM308" s="27"/>
      <c r="BN308" s="16"/>
      <c r="BO308" s="27"/>
      <c r="BP308" s="16"/>
      <c r="BQ308" s="27"/>
      <c r="BR308" s="24"/>
      <c r="BS308" s="24"/>
      <c r="BT308" s="32"/>
      <c r="BU308" s="27"/>
      <c r="BV308" s="24"/>
      <c r="BW308" s="24"/>
      <c r="BX308" s="16"/>
      <c r="BY308" s="27"/>
      <c r="BZ308" s="24"/>
      <c r="CA308" s="24"/>
      <c r="CB308" s="16"/>
      <c r="CC308" s="49">
        <f t="shared" si="137"/>
        <v>0</v>
      </c>
      <c r="CD308" s="24"/>
      <c r="CE308" s="49">
        <f t="shared" si="138"/>
        <v>63563617</v>
      </c>
      <c r="CF308" s="50"/>
      <c r="CG308" s="49">
        <f t="shared" ca="1" si="139"/>
        <v>63563617</v>
      </c>
      <c r="CH308" s="33">
        <f t="shared" ca="1" si="140"/>
        <v>1</v>
      </c>
      <c r="CI308" s="33">
        <f t="shared" ca="1" si="141"/>
        <v>1</v>
      </c>
      <c r="CJ308" s="36">
        <f t="shared" ca="1" si="142"/>
        <v>100</v>
      </c>
      <c r="CK308" s="34">
        <f t="shared" si="143"/>
        <v>0</v>
      </c>
      <c r="CL308" s="21"/>
      <c r="CM308" s="35" t="str">
        <f t="shared" ca="1" si="146"/>
        <v>TERMINADO</v>
      </c>
      <c r="CN308" s="82"/>
      <c r="CO308" s="145" t="s">
        <v>2661</v>
      </c>
      <c r="CP308" s="26" t="s">
        <v>123</v>
      </c>
    </row>
    <row r="309" spans="1:94" ht="24.75" customHeight="1">
      <c r="A309" s="48" t="s">
        <v>2662</v>
      </c>
      <c r="B309" s="77" t="s">
        <v>2663</v>
      </c>
      <c r="C309" s="17" t="s">
        <v>104</v>
      </c>
      <c r="D309" s="18" t="s">
        <v>2664</v>
      </c>
      <c r="E309" s="17" t="s">
        <v>106</v>
      </c>
      <c r="F309" s="17" t="s">
        <v>107</v>
      </c>
      <c r="G309" s="17" t="s">
        <v>108</v>
      </c>
      <c r="H309" s="78">
        <v>1023942135</v>
      </c>
      <c r="I309" s="234" t="s">
        <v>2665</v>
      </c>
      <c r="J309" s="16"/>
      <c r="K309" s="16"/>
      <c r="L309" s="20" t="s">
        <v>1548</v>
      </c>
      <c r="M309" s="16" t="s">
        <v>111</v>
      </c>
      <c r="N309" s="22">
        <v>45315</v>
      </c>
      <c r="O309" s="22">
        <v>45317</v>
      </c>
      <c r="P309" s="115">
        <v>45656</v>
      </c>
      <c r="Q309" s="23">
        <f t="shared" si="144"/>
        <v>339</v>
      </c>
      <c r="R309" s="17" t="s">
        <v>242</v>
      </c>
      <c r="S309" s="117" t="s">
        <v>2666</v>
      </c>
      <c r="T309" s="116" t="s">
        <v>2051</v>
      </c>
      <c r="U309" s="67">
        <v>73563773</v>
      </c>
      <c r="V309" s="16" t="s">
        <v>2667</v>
      </c>
      <c r="W309" s="224">
        <v>73563773</v>
      </c>
      <c r="X309" s="24">
        <v>6130314</v>
      </c>
      <c r="Y309" s="24"/>
      <c r="Z309" s="24"/>
      <c r="AA309" s="17" t="s">
        <v>116</v>
      </c>
      <c r="AB309" s="23" t="str">
        <f>IFERROR(VLOOKUP(AA309,Listas!$A$1:$C$14,2,FALSE),"")</f>
        <v>FREDY CÉSPEDES VILLA</v>
      </c>
      <c r="AC309" s="23">
        <f>IFERROR(VLOOKUP(AA309,Listas!$A$1:$C$14,3,FALSE),"")</f>
        <v>93363483</v>
      </c>
      <c r="AD309" s="17" t="s">
        <v>406</v>
      </c>
      <c r="AE309" s="17" t="s">
        <v>504</v>
      </c>
      <c r="AF309" s="23" t="str">
        <f>IFERROR(VLOOKUP(AE309,Listas!$AD$1:$AF$66,2,FALSE),"")</f>
        <v>EDUARDO ELÍAS BARCHA BOLÍVAR</v>
      </c>
      <c r="AG309" s="23">
        <f>IFERROR(VLOOKUP(AE309,Listas!$AD$1:$AF$65,3,FALSE),"")</f>
        <v>72133921</v>
      </c>
      <c r="AH309" s="17" t="s">
        <v>118</v>
      </c>
      <c r="AI309" s="65" t="s">
        <v>2668</v>
      </c>
      <c r="AJ309" s="25" t="s">
        <v>119</v>
      </c>
      <c r="AK309" s="26" t="s">
        <v>120</v>
      </c>
      <c r="AL309" s="26" t="s">
        <v>120</v>
      </c>
      <c r="AM309" s="90" t="s">
        <v>119</v>
      </c>
      <c r="AN309" s="105">
        <v>34830</v>
      </c>
      <c r="AO309" s="91">
        <f t="shared" ca="1" si="145"/>
        <v>30</v>
      </c>
      <c r="AP309" s="26" t="s">
        <v>121</v>
      </c>
      <c r="AQ309" s="26" t="s">
        <v>409</v>
      </c>
      <c r="AR309" s="89"/>
      <c r="AS309" s="27"/>
      <c r="AT309" s="16"/>
      <c r="AU309" s="27"/>
      <c r="AV309" s="86"/>
      <c r="AW309" s="27"/>
      <c r="AX309" s="27"/>
      <c r="AY309" s="27"/>
      <c r="AZ309" s="27"/>
      <c r="BA309" s="27"/>
      <c r="BB309" s="27"/>
      <c r="BC309" s="97"/>
      <c r="BD309" s="27"/>
      <c r="BE309" s="16"/>
      <c r="BF309" s="28">
        <f t="shared" si="134"/>
        <v>0</v>
      </c>
      <c r="BG309" s="29"/>
      <c r="BH309" s="27"/>
      <c r="BI309" s="30">
        <f t="shared" si="135"/>
        <v>339</v>
      </c>
      <c r="BJ309" s="31">
        <f t="shared" si="136"/>
        <v>45656</v>
      </c>
      <c r="BK309" s="27"/>
      <c r="BL309" s="16"/>
      <c r="BM309" s="27"/>
      <c r="BN309" s="16"/>
      <c r="BO309" s="27"/>
      <c r="BP309" s="16"/>
      <c r="BQ309" s="27"/>
      <c r="BR309" s="24"/>
      <c r="BS309" s="24"/>
      <c r="BT309" s="32"/>
      <c r="BU309" s="27"/>
      <c r="BV309" s="24"/>
      <c r="BW309" s="24"/>
      <c r="BX309" s="16"/>
      <c r="BY309" s="27"/>
      <c r="BZ309" s="24"/>
      <c r="CA309" s="24"/>
      <c r="CB309" s="16"/>
      <c r="CC309" s="49">
        <f t="shared" si="137"/>
        <v>0</v>
      </c>
      <c r="CD309" s="24"/>
      <c r="CE309" s="49">
        <f t="shared" si="138"/>
        <v>73563773</v>
      </c>
      <c r="CF309" s="50"/>
      <c r="CG309" s="49">
        <f t="shared" ca="1" si="139"/>
        <v>73563773</v>
      </c>
      <c r="CH309" s="33">
        <f t="shared" ca="1" si="140"/>
        <v>1</v>
      </c>
      <c r="CI309" s="33">
        <f t="shared" ca="1" si="141"/>
        <v>1</v>
      </c>
      <c r="CJ309" s="36">
        <f t="shared" ca="1" si="142"/>
        <v>100</v>
      </c>
      <c r="CK309" s="34">
        <f t="shared" si="143"/>
        <v>0</v>
      </c>
      <c r="CL309" s="21"/>
      <c r="CM309" s="35" t="str">
        <f t="shared" ca="1" si="146"/>
        <v>TERMINADO</v>
      </c>
      <c r="CN309" s="82"/>
      <c r="CO309" s="145" t="s">
        <v>2669</v>
      </c>
      <c r="CP309" s="26" t="s">
        <v>123</v>
      </c>
    </row>
    <row r="310" spans="1:94" ht="24.75" customHeight="1">
      <c r="A310" s="48" t="s">
        <v>2670</v>
      </c>
      <c r="B310" s="77" t="s">
        <v>2671</v>
      </c>
      <c r="C310" s="17" t="s">
        <v>104</v>
      </c>
      <c r="D310" s="18" t="s">
        <v>2672</v>
      </c>
      <c r="E310" s="17" t="s">
        <v>106</v>
      </c>
      <c r="F310" s="17" t="s">
        <v>107</v>
      </c>
      <c r="G310" s="17" t="s">
        <v>108</v>
      </c>
      <c r="H310" s="78">
        <v>43200733</v>
      </c>
      <c r="I310" s="234" t="s">
        <v>2673</v>
      </c>
      <c r="J310" s="16"/>
      <c r="K310" s="16"/>
      <c r="L310" s="20" t="s">
        <v>492</v>
      </c>
      <c r="M310" s="16" t="s">
        <v>111</v>
      </c>
      <c r="N310" s="22">
        <v>45315</v>
      </c>
      <c r="O310" s="22">
        <v>45320</v>
      </c>
      <c r="P310" s="115">
        <v>45656</v>
      </c>
      <c r="Q310" s="23">
        <f t="shared" si="144"/>
        <v>336</v>
      </c>
      <c r="R310" s="17" t="s">
        <v>242</v>
      </c>
      <c r="S310" s="117" t="s">
        <v>2674</v>
      </c>
      <c r="T310" s="116" t="s">
        <v>343</v>
      </c>
      <c r="U310" s="67">
        <v>67229120</v>
      </c>
      <c r="V310" s="16" t="s">
        <v>344</v>
      </c>
      <c r="W310" s="224">
        <v>54365500</v>
      </c>
      <c r="X310" s="24">
        <v>4659900</v>
      </c>
      <c r="Y310" s="24"/>
      <c r="Z310" s="24"/>
      <c r="AA310" s="17" t="s">
        <v>116</v>
      </c>
      <c r="AB310" s="23" t="str">
        <f>IFERROR(VLOOKUP(AA310,Listas!$A$1:$C$14,2,FALSE),"")</f>
        <v>FREDY CÉSPEDES VILLA</v>
      </c>
      <c r="AC310" s="23">
        <f>IFERROR(VLOOKUP(AA310,Listas!$A$1:$C$14,3,FALSE),"")</f>
        <v>93363483</v>
      </c>
      <c r="AD310" s="17" t="s">
        <v>472</v>
      </c>
      <c r="AE310" s="17" t="s">
        <v>473</v>
      </c>
      <c r="AF310" s="23" t="str">
        <f>IFERROR(VLOOKUP(AE310,Listas!$AD$1:$AF$66,2,FALSE),"")</f>
        <v>DANIEL ALBERTO CASTAÑO LOPEZ</v>
      </c>
      <c r="AG310" s="23">
        <f>IFERROR(VLOOKUP(AE310,Listas!$AD$1:$AF$65,3,FALSE),"")</f>
        <v>7544385</v>
      </c>
      <c r="AH310" s="17" t="s">
        <v>118</v>
      </c>
      <c r="AI310" s="65" t="s">
        <v>494</v>
      </c>
      <c r="AJ310" s="25" t="s">
        <v>119</v>
      </c>
      <c r="AK310" s="26" t="s">
        <v>120</v>
      </c>
      <c r="AL310" s="26" t="s">
        <v>120</v>
      </c>
      <c r="AM310" s="90" t="s">
        <v>119</v>
      </c>
      <c r="AN310" s="105">
        <v>29306</v>
      </c>
      <c r="AO310" s="91">
        <f t="shared" ca="1" si="145"/>
        <v>45</v>
      </c>
      <c r="AP310" s="26" t="s">
        <v>121</v>
      </c>
      <c r="AQ310" s="26" t="s">
        <v>409</v>
      </c>
      <c r="AR310" s="89"/>
      <c r="AS310" s="27"/>
      <c r="AT310" s="16"/>
      <c r="AU310" s="27"/>
      <c r="AV310" s="86"/>
      <c r="AW310" s="27"/>
      <c r="AX310" s="27"/>
      <c r="AY310" s="27"/>
      <c r="AZ310" s="27"/>
      <c r="BA310" s="27"/>
      <c r="BB310" s="27"/>
      <c r="BC310" s="97"/>
      <c r="BD310" s="27"/>
      <c r="BE310" s="16"/>
      <c r="BF310" s="28">
        <f t="shared" si="134"/>
        <v>0</v>
      </c>
      <c r="BG310" s="29"/>
      <c r="BH310" s="27"/>
      <c r="BI310" s="30">
        <f t="shared" si="135"/>
        <v>336</v>
      </c>
      <c r="BJ310" s="31">
        <f t="shared" si="136"/>
        <v>45656</v>
      </c>
      <c r="BK310" s="27"/>
      <c r="BL310" s="16"/>
      <c r="BM310" s="27"/>
      <c r="BN310" s="16"/>
      <c r="BO310" s="27"/>
      <c r="BP310" s="16"/>
      <c r="BQ310" s="27"/>
      <c r="BR310" s="24"/>
      <c r="BS310" s="24"/>
      <c r="BT310" s="32"/>
      <c r="BU310" s="27"/>
      <c r="BV310" s="24"/>
      <c r="BW310" s="24"/>
      <c r="BX310" s="16"/>
      <c r="BY310" s="27"/>
      <c r="BZ310" s="24"/>
      <c r="CA310" s="24"/>
      <c r="CB310" s="16"/>
      <c r="CC310" s="49">
        <f t="shared" si="137"/>
        <v>0</v>
      </c>
      <c r="CD310" s="24"/>
      <c r="CE310" s="49">
        <f t="shared" si="138"/>
        <v>54365500</v>
      </c>
      <c r="CF310" s="50"/>
      <c r="CG310" s="49">
        <f t="shared" ca="1" si="139"/>
        <v>54365500</v>
      </c>
      <c r="CH310" s="33">
        <f t="shared" ca="1" si="140"/>
        <v>1</v>
      </c>
      <c r="CI310" s="33">
        <f t="shared" ca="1" si="141"/>
        <v>1</v>
      </c>
      <c r="CJ310" s="36">
        <f t="shared" ca="1" si="142"/>
        <v>100</v>
      </c>
      <c r="CK310" s="34">
        <f t="shared" si="143"/>
        <v>0</v>
      </c>
      <c r="CL310" s="21"/>
      <c r="CM310" s="35" t="str">
        <f t="shared" ca="1" si="146"/>
        <v>TERMINADO</v>
      </c>
      <c r="CN310" s="82"/>
      <c r="CO310" s="145" t="s">
        <v>2675</v>
      </c>
      <c r="CP310" s="26" t="s">
        <v>123</v>
      </c>
    </row>
    <row r="311" spans="1:94" ht="24.75" customHeight="1">
      <c r="A311" s="48" t="s">
        <v>2676</v>
      </c>
      <c r="B311" s="77" t="s">
        <v>2677</v>
      </c>
      <c r="C311" s="17" t="s">
        <v>104</v>
      </c>
      <c r="D311" s="18" t="s">
        <v>2678</v>
      </c>
      <c r="E311" s="17" t="s">
        <v>106</v>
      </c>
      <c r="F311" s="17" t="s">
        <v>107</v>
      </c>
      <c r="G311" s="17" t="s">
        <v>108</v>
      </c>
      <c r="H311" s="78">
        <v>1067881371</v>
      </c>
      <c r="I311" s="74" t="s">
        <v>2679</v>
      </c>
      <c r="J311" s="16"/>
      <c r="K311" s="16"/>
      <c r="L311" s="20" t="s">
        <v>2680</v>
      </c>
      <c r="M311" s="16" t="s">
        <v>111</v>
      </c>
      <c r="N311" s="22">
        <v>45315</v>
      </c>
      <c r="O311" s="22">
        <v>45321</v>
      </c>
      <c r="P311" s="115">
        <v>45656</v>
      </c>
      <c r="Q311" s="23">
        <f t="shared" si="144"/>
        <v>335</v>
      </c>
      <c r="R311" s="17" t="s">
        <v>242</v>
      </c>
      <c r="S311" s="117" t="s">
        <v>2681</v>
      </c>
      <c r="T311" s="116" t="s">
        <v>1417</v>
      </c>
      <c r="U311" s="67">
        <v>93000000</v>
      </c>
      <c r="V311" s="16" t="s">
        <v>2522</v>
      </c>
      <c r="W311" s="224">
        <v>93000000</v>
      </c>
      <c r="X311" s="24">
        <v>7750000</v>
      </c>
      <c r="Y311" s="24"/>
      <c r="Z311" s="24"/>
      <c r="AA311" s="17" t="s">
        <v>116</v>
      </c>
      <c r="AB311" s="23" t="str">
        <f>IFERROR(VLOOKUP(AA311,Listas!$A$1:$C$14,2,FALSE),"")</f>
        <v>FREDY CÉSPEDES VILLA</v>
      </c>
      <c r="AC311" s="23">
        <f>IFERROR(VLOOKUP(AA311,Listas!$A$1:$C$14,3,FALSE),"")</f>
        <v>93363483</v>
      </c>
      <c r="AD311" s="17" t="s">
        <v>116</v>
      </c>
      <c r="AE311" s="17" t="s">
        <v>484</v>
      </c>
      <c r="AF311" s="23" t="str">
        <f>IFERROR(VLOOKUP(AE311,Listas!$AD$1:$AF$66,2,FALSE),"")</f>
        <v>JAIME ANDRES GIL ACOSTA</v>
      </c>
      <c r="AG311" s="23">
        <f>IFERROR(VLOOKUP(AE311,Listas!$AD$1:$AF$65,3,FALSE),"")</f>
        <v>98622827</v>
      </c>
      <c r="AH311" s="17" t="s">
        <v>118</v>
      </c>
      <c r="AI311" s="65" t="s">
        <v>2682</v>
      </c>
      <c r="AJ311" s="25" t="s">
        <v>119</v>
      </c>
      <c r="AK311" s="26" t="s">
        <v>120</v>
      </c>
      <c r="AL311" s="26" t="s">
        <v>120</v>
      </c>
      <c r="AM311" s="90" t="s">
        <v>119</v>
      </c>
      <c r="AN311" s="105">
        <v>32725</v>
      </c>
      <c r="AO311" s="91">
        <f t="shared" ca="1" si="145"/>
        <v>36</v>
      </c>
      <c r="AP311" s="26" t="s">
        <v>121</v>
      </c>
      <c r="AQ311" s="26" t="s">
        <v>122</v>
      </c>
      <c r="AR311" s="89"/>
      <c r="AS311" s="27"/>
      <c r="AT311" s="16"/>
      <c r="AU311" s="27"/>
      <c r="AV311" s="86"/>
      <c r="AW311" s="27"/>
      <c r="AX311" s="27"/>
      <c r="AY311" s="27"/>
      <c r="AZ311" s="27"/>
      <c r="BA311" s="27"/>
      <c r="BB311" s="27"/>
      <c r="BC311" s="97"/>
      <c r="BD311" s="27"/>
      <c r="BE311" s="16"/>
      <c r="BF311" s="28">
        <f t="shared" si="134"/>
        <v>0</v>
      </c>
      <c r="BG311" s="29"/>
      <c r="BH311" s="27"/>
      <c r="BI311" s="30">
        <f t="shared" si="135"/>
        <v>335</v>
      </c>
      <c r="BJ311" s="31">
        <f t="shared" si="136"/>
        <v>45656</v>
      </c>
      <c r="BK311" s="27"/>
      <c r="BL311" s="16"/>
      <c r="BM311" s="27"/>
      <c r="BN311" s="16"/>
      <c r="BO311" s="27"/>
      <c r="BP311" s="16"/>
      <c r="BQ311" s="27"/>
      <c r="BR311" s="24"/>
      <c r="BS311" s="24"/>
      <c r="BT311" s="32"/>
      <c r="BU311" s="27"/>
      <c r="BV311" s="24"/>
      <c r="BW311" s="24"/>
      <c r="BX311" s="16"/>
      <c r="BY311" s="27"/>
      <c r="BZ311" s="24"/>
      <c r="CA311" s="24"/>
      <c r="CB311" s="16"/>
      <c r="CC311" s="49">
        <f t="shared" si="137"/>
        <v>0</v>
      </c>
      <c r="CD311" s="24"/>
      <c r="CE311" s="49">
        <f t="shared" si="138"/>
        <v>93000000</v>
      </c>
      <c r="CF311" s="50"/>
      <c r="CG311" s="49">
        <f t="shared" ca="1" si="139"/>
        <v>93000000</v>
      </c>
      <c r="CH311" s="33">
        <f t="shared" ca="1" si="140"/>
        <v>1</v>
      </c>
      <c r="CI311" s="33">
        <f t="shared" ca="1" si="141"/>
        <v>1</v>
      </c>
      <c r="CJ311" s="36">
        <f t="shared" ca="1" si="142"/>
        <v>100</v>
      </c>
      <c r="CK311" s="34">
        <f t="shared" si="143"/>
        <v>0</v>
      </c>
      <c r="CL311" s="21"/>
      <c r="CM311" s="35" t="str">
        <f t="shared" ca="1" si="146"/>
        <v>TERMINADO</v>
      </c>
      <c r="CN311" s="82"/>
      <c r="CO311" s="145" t="s">
        <v>2669</v>
      </c>
      <c r="CP311" s="26" t="s">
        <v>142</v>
      </c>
    </row>
    <row r="312" spans="1:94" ht="24.75" customHeight="1">
      <c r="A312" s="48" t="s">
        <v>2683</v>
      </c>
      <c r="B312" s="77" t="s">
        <v>2684</v>
      </c>
      <c r="C312" s="17" t="s">
        <v>104</v>
      </c>
      <c r="D312" s="18" t="s">
        <v>2685</v>
      </c>
      <c r="E312" s="17" t="s">
        <v>106</v>
      </c>
      <c r="F312" s="17" t="s">
        <v>107</v>
      </c>
      <c r="G312" s="17" t="s">
        <v>108</v>
      </c>
      <c r="H312" s="78">
        <v>79861258</v>
      </c>
      <c r="I312" s="74" t="s">
        <v>2686</v>
      </c>
      <c r="J312" s="16"/>
      <c r="K312" s="16"/>
      <c r="L312" s="20" t="s">
        <v>2687</v>
      </c>
      <c r="M312" s="16" t="s">
        <v>111</v>
      </c>
      <c r="N312" s="22">
        <v>45315</v>
      </c>
      <c r="O312" s="22">
        <v>45320</v>
      </c>
      <c r="P312" s="115">
        <v>45656</v>
      </c>
      <c r="Q312" s="23">
        <f t="shared" si="144"/>
        <v>336</v>
      </c>
      <c r="R312" s="17" t="s">
        <v>242</v>
      </c>
      <c r="S312" s="117" t="s">
        <v>2688</v>
      </c>
      <c r="T312" s="116" t="s">
        <v>2689</v>
      </c>
      <c r="U312" s="67">
        <v>41203200</v>
      </c>
      <c r="V312" s="16" t="s">
        <v>2690</v>
      </c>
      <c r="W312" s="224">
        <v>41203200</v>
      </c>
      <c r="X312" s="24">
        <v>3433600</v>
      </c>
      <c r="Y312" s="24"/>
      <c r="Z312" s="24"/>
      <c r="AA312" s="17" t="s">
        <v>116</v>
      </c>
      <c r="AB312" s="23" t="str">
        <f>IFERROR(VLOOKUP(AA312,Listas!$A$1:$C$14,2,FALSE),"")</f>
        <v>FREDY CÉSPEDES VILLA</v>
      </c>
      <c r="AC312" s="23">
        <f>IFERROR(VLOOKUP(AA312,Listas!$A$1:$C$14,3,FALSE),"")</f>
        <v>93363483</v>
      </c>
      <c r="AD312" s="17" t="s">
        <v>951</v>
      </c>
      <c r="AE312" s="17" t="s">
        <v>952</v>
      </c>
      <c r="AF312" s="23" t="str">
        <f>IFERROR(VLOOKUP(AE312,Listas!$AD$1:$AF$66,2,FALSE),"")</f>
        <v>ANDRES MAURICIO LUQUE AYALA</v>
      </c>
      <c r="AG312" s="23">
        <f>IFERROR(VLOOKUP(AE312,Listas!$AD$1:$AF$65,3,FALSE),"")</f>
        <v>11443937</v>
      </c>
      <c r="AH312" s="17" t="s">
        <v>118</v>
      </c>
      <c r="AI312" s="65" t="s">
        <v>2691</v>
      </c>
      <c r="AJ312" s="25" t="s">
        <v>119</v>
      </c>
      <c r="AK312" s="26" t="s">
        <v>120</v>
      </c>
      <c r="AL312" s="26" t="s">
        <v>120</v>
      </c>
      <c r="AM312" s="90" t="s">
        <v>119</v>
      </c>
      <c r="AN312" s="105">
        <v>27200</v>
      </c>
      <c r="AO312" s="91">
        <f t="shared" ca="1" si="145"/>
        <v>51</v>
      </c>
      <c r="AP312" s="26" t="s">
        <v>121</v>
      </c>
      <c r="AQ312" s="26" t="s">
        <v>886</v>
      </c>
      <c r="AR312" s="89"/>
      <c r="AS312" s="27"/>
      <c r="AT312" s="16"/>
      <c r="AU312" s="27"/>
      <c r="AV312" s="86"/>
      <c r="AW312" s="27"/>
      <c r="AX312" s="27"/>
      <c r="AY312" s="27"/>
      <c r="AZ312" s="27"/>
      <c r="BA312" s="27"/>
      <c r="BB312" s="27"/>
      <c r="BC312" s="97"/>
      <c r="BD312" s="27"/>
      <c r="BE312" s="16"/>
      <c r="BF312" s="28">
        <f t="shared" si="134"/>
        <v>0</v>
      </c>
      <c r="BG312" s="29"/>
      <c r="BH312" s="27"/>
      <c r="BI312" s="30">
        <f t="shared" si="135"/>
        <v>336</v>
      </c>
      <c r="BJ312" s="31">
        <f t="shared" si="136"/>
        <v>45656</v>
      </c>
      <c r="BK312" s="27"/>
      <c r="BL312" s="16"/>
      <c r="BM312" s="27"/>
      <c r="BN312" s="16"/>
      <c r="BO312" s="27"/>
      <c r="BP312" s="16"/>
      <c r="BQ312" s="27"/>
      <c r="BR312" s="24"/>
      <c r="BS312" s="24"/>
      <c r="BT312" s="32"/>
      <c r="BU312" s="27"/>
      <c r="BV312" s="24"/>
      <c r="BW312" s="24"/>
      <c r="BX312" s="16"/>
      <c r="BY312" s="27"/>
      <c r="BZ312" s="24"/>
      <c r="CA312" s="24"/>
      <c r="CB312" s="16"/>
      <c r="CC312" s="49">
        <f t="shared" si="137"/>
        <v>0</v>
      </c>
      <c r="CD312" s="24"/>
      <c r="CE312" s="49">
        <f t="shared" si="138"/>
        <v>41203200</v>
      </c>
      <c r="CF312" s="50"/>
      <c r="CG312" s="49">
        <f t="shared" ca="1" si="139"/>
        <v>41203200</v>
      </c>
      <c r="CH312" s="33">
        <f t="shared" ca="1" si="140"/>
        <v>1</v>
      </c>
      <c r="CI312" s="33">
        <f t="shared" ca="1" si="141"/>
        <v>1</v>
      </c>
      <c r="CJ312" s="36">
        <f t="shared" ca="1" si="142"/>
        <v>100</v>
      </c>
      <c r="CK312" s="34">
        <f t="shared" si="143"/>
        <v>0</v>
      </c>
      <c r="CL312" s="21"/>
      <c r="CM312" s="35" t="str">
        <f t="shared" ca="1" si="146"/>
        <v>TERMINADO</v>
      </c>
      <c r="CN312" s="82"/>
      <c r="CO312" s="145" t="s">
        <v>2692</v>
      </c>
      <c r="CP312" s="26" t="s">
        <v>142</v>
      </c>
    </row>
    <row r="313" spans="1:94" ht="24.75" customHeight="1">
      <c r="A313" s="148" t="s">
        <v>2693</v>
      </c>
      <c r="B313" s="77" t="s">
        <v>2694</v>
      </c>
      <c r="C313" s="17" t="s">
        <v>104</v>
      </c>
      <c r="D313" s="18" t="s">
        <v>2695</v>
      </c>
      <c r="E313" s="17" t="s">
        <v>106</v>
      </c>
      <c r="F313" s="17" t="s">
        <v>107</v>
      </c>
      <c r="G313" s="17" t="s">
        <v>108</v>
      </c>
      <c r="H313" s="78">
        <v>80771627</v>
      </c>
      <c r="I313" s="74" t="s">
        <v>2696</v>
      </c>
      <c r="J313" s="16"/>
      <c r="K313" s="16"/>
      <c r="L313" s="20" t="s">
        <v>2697</v>
      </c>
      <c r="M313" s="16" t="s">
        <v>111</v>
      </c>
      <c r="N313" s="22">
        <v>45315</v>
      </c>
      <c r="O313" s="22">
        <v>45323</v>
      </c>
      <c r="P313" s="22">
        <v>45657</v>
      </c>
      <c r="Q313" s="23">
        <f t="shared" si="144"/>
        <v>334</v>
      </c>
      <c r="R313" s="17" t="s">
        <v>242</v>
      </c>
      <c r="S313" s="117" t="s">
        <v>2698</v>
      </c>
      <c r="T313" s="116" t="s">
        <v>254</v>
      </c>
      <c r="U313" s="67">
        <v>102492216</v>
      </c>
      <c r="V313" s="16" t="s">
        <v>2699</v>
      </c>
      <c r="W313" s="224">
        <v>102492216</v>
      </c>
      <c r="X313" s="24">
        <v>8541018</v>
      </c>
      <c r="Y313" s="24"/>
      <c r="Z313" s="24"/>
      <c r="AA313" s="17" t="s">
        <v>116</v>
      </c>
      <c r="AB313" s="23" t="str">
        <f>IFERROR(VLOOKUP(AA313,Listas!$A$1:$C$14,2,FALSE),"")</f>
        <v>FREDY CÉSPEDES VILLA</v>
      </c>
      <c r="AC313" s="23">
        <f>IFERROR(VLOOKUP(AA313,Listas!$A$1:$C$14,3,FALSE),"")</f>
        <v>93363483</v>
      </c>
      <c r="AD313" s="17" t="s">
        <v>217</v>
      </c>
      <c r="AE313" s="17" t="s">
        <v>539</v>
      </c>
      <c r="AF313" s="23" t="str">
        <f>IFERROR(VLOOKUP(AE313,Listas!$AD$1:$AF$66,2,FALSE),"")</f>
        <v>DORIS POVEDA BELTRÁN</v>
      </c>
      <c r="AG313" s="23">
        <f>IFERROR(VLOOKUP(AE313,Listas!$AD$1:$AF$65,3,FALSE),"")</f>
        <v>52049845</v>
      </c>
      <c r="AH313" s="17" t="s">
        <v>118</v>
      </c>
      <c r="AI313" s="65" t="s">
        <v>2700</v>
      </c>
      <c r="AJ313" s="25" t="s">
        <v>119</v>
      </c>
      <c r="AK313" s="26" t="s">
        <v>120</v>
      </c>
      <c r="AL313" s="26" t="s">
        <v>120</v>
      </c>
      <c r="AM313" s="90" t="s">
        <v>119</v>
      </c>
      <c r="AN313" s="105">
        <v>31139</v>
      </c>
      <c r="AO313" s="91">
        <f t="shared" ca="1" si="145"/>
        <v>40</v>
      </c>
      <c r="AP313" s="26" t="s">
        <v>121</v>
      </c>
      <c r="AQ313" s="26" t="s">
        <v>220</v>
      </c>
      <c r="AR313" s="89"/>
      <c r="AS313" s="27"/>
      <c r="AT313" s="16"/>
      <c r="AU313" s="27"/>
      <c r="AV313" s="86"/>
      <c r="AW313" s="27"/>
      <c r="AX313" s="27"/>
      <c r="AY313" s="27"/>
      <c r="AZ313" s="27"/>
      <c r="BA313" s="27"/>
      <c r="BB313" s="27"/>
      <c r="BC313" s="97"/>
      <c r="BD313" s="27"/>
      <c r="BE313" s="16"/>
      <c r="BF313" s="28">
        <f t="shared" si="134"/>
        <v>0</v>
      </c>
      <c r="BG313" s="29"/>
      <c r="BH313" s="27"/>
      <c r="BI313" s="30">
        <f t="shared" si="135"/>
        <v>334</v>
      </c>
      <c r="BJ313" s="31">
        <f t="shared" si="136"/>
        <v>45657</v>
      </c>
      <c r="BK313" s="27"/>
      <c r="BL313" s="16"/>
      <c r="BM313" s="27"/>
      <c r="BN313" s="16"/>
      <c r="BO313" s="27"/>
      <c r="BP313" s="16"/>
      <c r="BQ313" s="27"/>
      <c r="BR313" s="24"/>
      <c r="BS313" s="24"/>
      <c r="BT313" s="32"/>
      <c r="BU313" s="27"/>
      <c r="BV313" s="24"/>
      <c r="BW313" s="24"/>
      <c r="BX313" s="16"/>
      <c r="BY313" s="27"/>
      <c r="BZ313" s="24"/>
      <c r="CA313" s="24"/>
      <c r="CB313" s="16"/>
      <c r="CC313" s="49">
        <f t="shared" si="137"/>
        <v>0</v>
      </c>
      <c r="CD313" s="24"/>
      <c r="CE313" s="49">
        <f t="shared" si="138"/>
        <v>102492216</v>
      </c>
      <c r="CF313" s="50"/>
      <c r="CG313" s="49">
        <f t="shared" ca="1" si="139"/>
        <v>102492216</v>
      </c>
      <c r="CH313" s="33">
        <f t="shared" ca="1" si="140"/>
        <v>1</v>
      </c>
      <c r="CI313" s="33">
        <f t="shared" ca="1" si="141"/>
        <v>1</v>
      </c>
      <c r="CJ313" s="36">
        <f t="shared" ca="1" si="142"/>
        <v>100</v>
      </c>
      <c r="CK313" s="34">
        <f t="shared" si="143"/>
        <v>0</v>
      </c>
      <c r="CL313" s="21"/>
      <c r="CM313" s="35" t="str">
        <f t="shared" ca="1" si="146"/>
        <v>TERMINADO</v>
      </c>
      <c r="CN313" s="82"/>
      <c r="CO313" s="145" t="s">
        <v>2701</v>
      </c>
      <c r="CP313" s="26" t="s">
        <v>142</v>
      </c>
    </row>
    <row r="314" spans="1:94" ht="24.75" customHeight="1">
      <c r="A314" s="48" t="s">
        <v>2702</v>
      </c>
      <c r="B314" s="77" t="s">
        <v>2703</v>
      </c>
      <c r="C314" s="17" t="s">
        <v>104</v>
      </c>
      <c r="D314" s="18" t="s">
        <v>2704</v>
      </c>
      <c r="E314" s="17" t="s">
        <v>106</v>
      </c>
      <c r="F314" s="17" t="s">
        <v>107</v>
      </c>
      <c r="G314" s="17" t="s">
        <v>108</v>
      </c>
      <c r="H314" s="78">
        <v>1010241025</v>
      </c>
      <c r="I314" s="74" t="s">
        <v>2705</v>
      </c>
      <c r="J314" s="16"/>
      <c r="K314" s="16"/>
      <c r="L314" s="20" t="s">
        <v>2706</v>
      </c>
      <c r="M314" s="16" t="s">
        <v>111</v>
      </c>
      <c r="N314" s="22">
        <v>45315</v>
      </c>
      <c r="O314" s="22">
        <v>45324</v>
      </c>
      <c r="P314" s="115">
        <v>45656</v>
      </c>
      <c r="Q314" s="23">
        <f t="shared" si="144"/>
        <v>332</v>
      </c>
      <c r="R314" s="17" t="s">
        <v>242</v>
      </c>
      <c r="S314" s="117" t="s">
        <v>2707</v>
      </c>
      <c r="T314" s="116" t="s">
        <v>2708</v>
      </c>
      <c r="U314" s="67">
        <v>69149952</v>
      </c>
      <c r="V314" s="16" t="s">
        <v>2308</v>
      </c>
      <c r="W314" s="224">
        <v>69149952</v>
      </c>
      <c r="X314" s="24">
        <v>5395600</v>
      </c>
      <c r="Y314" s="24"/>
      <c r="Z314" s="24"/>
      <c r="AA314" s="17" t="s">
        <v>116</v>
      </c>
      <c r="AB314" s="23" t="str">
        <f>IFERROR(VLOOKUP(AA314,Listas!$A$1:$C$14,2,FALSE),"")</f>
        <v>FREDY CÉSPEDES VILLA</v>
      </c>
      <c r="AC314" s="23">
        <f>IFERROR(VLOOKUP(AA314,Listas!$A$1:$C$14,3,FALSE),"")</f>
        <v>93363483</v>
      </c>
      <c r="AD314" s="17" t="s">
        <v>116</v>
      </c>
      <c r="AE314" s="17" t="s">
        <v>2309</v>
      </c>
      <c r="AF314" s="23" t="str">
        <f>IFERROR(VLOOKUP(AE314,Listas!$AD$1:$AF$66,2,FALSE),"")</f>
        <v>YURY NAYIBE LADINO</v>
      </c>
      <c r="AG314" s="23">
        <f>IFERROR(VLOOKUP(AE314,Listas!$AD$1:$AF$65,3,FALSE),"")</f>
        <v>1013587191</v>
      </c>
      <c r="AH314" s="17" t="s">
        <v>118</v>
      </c>
      <c r="AI314" s="65" t="s">
        <v>2709</v>
      </c>
      <c r="AJ314" s="25" t="s">
        <v>119</v>
      </c>
      <c r="AK314" s="26" t="s">
        <v>120</v>
      </c>
      <c r="AL314" s="26" t="s">
        <v>120</v>
      </c>
      <c r="AM314" s="90" t="s">
        <v>119</v>
      </c>
      <c r="AN314" s="105">
        <v>36020</v>
      </c>
      <c r="AO314" s="91">
        <f t="shared" ca="1" si="145"/>
        <v>27</v>
      </c>
      <c r="AP314" s="26" t="s">
        <v>121</v>
      </c>
      <c r="AQ314" s="26" t="s">
        <v>285</v>
      </c>
      <c r="AR314" s="89"/>
      <c r="AS314" s="27"/>
      <c r="AT314" s="16"/>
      <c r="AU314" s="27"/>
      <c r="AV314" s="86"/>
      <c r="AW314" s="27"/>
      <c r="AX314" s="27"/>
      <c r="AY314" s="27"/>
      <c r="AZ314" s="27"/>
      <c r="BA314" s="27"/>
      <c r="BB314" s="27"/>
      <c r="BC314" s="97"/>
      <c r="BD314" s="27"/>
      <c r="BE314" s="16"/>
      <c r="BF314" s="28">
        <f t="shared" si="134"/>
        <v>0</v>
      </c>
      <c r="BG314" s="29"/>
      <c r="BH314" s="27"/>
      <c r="BI314" s="30">
        <f t="shared" si="135"/>
        <v>332</v>
      </c>
      <c r="BJ314" s="31">
        <f t="shared" si="136"/>
        <v>45656</v>
      </c>
      <c r="BK314" s="27"/>
      <c r="BL314" s="16"/>
      <c r="BM314" s="27"/>
      <c r="BN314" s="16"/>
      <c r="BO314" s="27"/>
      <c r="BP314" s="16"/>
      <c r="BQ314" s="27"/>
      <c r="BR314" s="24"/>
      <c r="BS314" s="24"/>
      <c r="BT314" s="32"/>
      <c r="BU314" s="27"/>
      <c r="BV314" s="24"/>
      <c r="BW314" s="24"/>
      <c r="BX314" s="16"/>
      <c r="BY314" s="27"/>
      <c r="BZ314" s="24"/>
      <c r="CA314" s="24"/>
      <c r="CB314" s="16"/>
      <c r="CC314" s="49">
        <f t="shared" si="137"/>
        <v>0</v>
      </c>
      <c r="CD314" s="24"/>
      <c r="CE314" s="49">
        <f t="shared" si="138"/>
        <v>69149952</v>
      </c>
      <c r="CF314" s="50"/>
      <c r="CG314" s="49">
        <f t="shared" ca="1" si="139"/>
        <v>69149952</v>
      </c>
      <c r="CH314" s="33">
        <f t="shared" ca="1" si="140"/>
        <v>1</v>
      </c>
      <c r="CI314" s="33">
        <f t="shared" ca="1" si="141"/>
        <v>1</v>
      </c>
      <c r="CJ314" s="36">
        <f t="shared" ca="1" si="142"/>
        <v>100</v>
      </c>
      <c r="CK314" s="34">
        <f t="shared" si="143"/>
        <v>0</v>
      </c>
      <c r="CL314" s="21"/>
      <c r="CM314" s="35" t="str">
        <f t="shared" ca="1" si="146"/>
        <v>TERMINADO</v>
      </c>
      <c r="CN314" s="82"/>
      <c r="CO314" s="145" t="s">
        <v>2710</v>
      </c>
      <c r="CP314" s="26" t="s">
        <v>142</v>
      </c>
    </row>
    <row r="315" spans="1:94" ht="24.75" customHeight="1">
      <c r="A315" s="48" t="s">
        <v>2711</v>
      </c>
      <c r="B315" s="77" t="s">
        <v>2712</v>
      </c>
      <c r="C315" s="17" t="s">
        <v>104</v>
      </c>
      <c r="D315" s="18" t="s">
        <v>2713</v>
      </c>
      <c r="E315" s="17" t="s">
        <v>106</v>
      </c>
      <c r="F315" s="17" t="s">
        <v>107</v>
      </c>
      <c r="G315" s="17" t="s">
        <v>108</v>
      </c>
      <c r="H315" s="78">
        <v>11516747</v>
      </c>
      <c r="I315" s="74" t="s">
        <v>2714</v>
      </c>
      <c r="J315" s="16"/>
      <c r="K315" s="16"/>
      <c r="L315" s="20" t="s">
        <v>2715</v>
      </c>
      <c r="M315" s="16" t="s">
        <v>111</v>
      </c>
      <c r="N315" s="22">
        <v>45315</v>
      </c>
      <c r="O315" s="22">
        <v>45321</v>
      </c>
      <c r="P315" s="115">
        <v>45656</v>
      </c>
      <c r="Q315" s="23">
        <f t="shared" si="144"/>
        <v>335</v>
      </c>
      <c r="R315" s="17" t="s">
        <v>242</v>
      </c>
      <c r="S315" s="117" t="s">
        <v>2660</v>
      </c>
      <c r="T315" s="116" t="s">
        <v>2716</v>
      </c>
      <c r="U315" s="67">
        <v>108874380</v>
      </c>
      <c r="V315" s="16" t="s">
        <v>1212</v>
      </c>
      <c r="W315" s="224">
        <v>108874380</v>
      </c>
      <c r="X315" s="24">
        <v>9072875</v>
      </c>
      <c r="Y315" s="24"/>
      <c r="Z315" s="24"/>
      <c r="AA315" s="17" t="s">
        <v>116</v>
      </c>
      <c r="AB315" s="23" t="str">
        <f>IFERROR(VLOOKUP(AA315,Listas!$A$1:$C$14,2,FALSE),"")</f>
        <v>FREDY CÉSPEDES VILLA</v>
      </c>
      <c r="AC315" s="23">
        <f>IFERROR(VLOOKUP(AA315,Listas!$A$1:$C$14,3,FALSE),"")</f>
        <v>93363483</v>
      </c>
      <c r="AD315" s="17" t="s">
        <v>577</v>
      </c>
      <c r="AE315" s="17" t="s">
        <v>578</v>
      </c>
      <c r="AF315" s="23" t="str">
        <f>IFERROR(VLOOKUP(AE315,Listas!$AD$1:$AF$66,2,FALSE),"")</f>
        <v>EDGAR FABIO DÍAZ RAMIREZ</v>
      </c>
      <c r="AG315" s="23">
        <f>IFERROR(VLOOKUP(AE315,Listas!$AD$1:$AF$65,3,FALSE),"")</f>
        <v>79537198</v>
      </c>
      <c r="AH315" s="17" t="s">
        <v>118</v>
      </c>
      <c r="AI315" s="65" t="s">
        <v>2717</v>
      </c>
      <c r="AJ315" s="25" t="s">
        <v>119</v>
      </c>
      <c r="AK315" s="26" t="s">
        <v>120</v>
      </c>
      <c r="AL315" s="26" t="s">
        <v>120</v>
      </c>
      <c r="AM315" s="90" t="s">
        <v>119</v>
      </c>
      <c r="AN315" s="105">
        <v>22116</v>
      </c>
      <c r="AO315" s="91">
        <f t="shared" ca="1" si="145"/>
        <v>65</v>
      </c>
      <c r="AP315" s="26" t="s">
        <v>121</v>
      </c>
      <c r="AQ315" s="26" t="s">
        <v>886</v>
      </c>
      <c r="AR315" s="89"/>
      <c r="AS315" s="27"/>
      <c r="AT315" s="16"/>
      <c r="AU315" s="27"/>
      <c r="AV315" s="86"/>
      <c r="AW315" s="27"/>
      <c r="AX315" s="27"/>
      <c r="AY315" s="27"/>
      <c r="AZ315" s="27"/>
      <c r="BA315" s="27"/>
      <c r="BB315" s="27"/>
      <c r="BC315" s="97"/>
      <c r="BD315" s="27"/>
      <c r="BE315" s="16"/>
      <c r="BF315" s="28">
        <f t="shared" si="134"/>
        <v>0</v>
      </c>
      <c r="BG315" s="29"/>
      <c r="BH315" s="27"/>
      <c r="BI315" s="30">
        <f t="shared" si="135"/>
        <v>335</v>
      </c>
      <c r="BJ315" s="31">
        <f t="shared" si="136"/>
        <v>45656</v>
      </c>
      <c r="BK315" s="27"/>
      <c r="BL315" s="16"/>
      <c r="BM315" s="27"/>
      <c r="BN315" s="16"/>
      <c r="BO315" s="27"/>
      <c r="BP315" s="16"/>
      <c r="BQ315" s="27"/>
      <c r="BR315" s="24"/>
      <c r="BS315" s="24"/>
      <c r="BT315" s="32"/>
      <c r="BU315" s="27"/>
      <c r="BV315" s="24"/>
      <c r="BW315" s="24"/>
      <c r="BX315" s="16"/>
      <c r="BY315" s="27"/>
      <c r="BZ315" s="24"/>
      <c r="CA315" s="24"/>
      <c r="CB315" s="16"/>
      <c r="CC315" s="49">
        <f t="shared" si="137"/>
        <v>0</v>
      </c>
      <c r="CD315" s="24"/>
      <c r="CE315" s="49">
        <f t="shared" si="138"/>
        <v>108874380</v>
      </c>
      <c r="CF315" s="50"/>
      <c r="CG315" s="49">
        <f t="shared" ca="1" si="139"/>
        <v>108874380</v>
      </c>
      <c r="CH315" s="33">
        <f t="shared" ca="1" si="140"/>
        <v>1</v>
      </c>
      <c r="CI315" s="33">
        <f t="shared" ca="1" si="141"/>
        <v>1</v>
      </c>
      <c r="CJ315" s="36">
        <f t="shared" ca="1" si="142"/>
        <v>100</v>
      </c>
      <c r="CK315" s="34">
        <f t="shared" si="143"/>
        <v>0</v>
      </c>
      <c r="CL315" s="21"/>
      <c r="CM315" s="35" t="str">
        <f t="shared" ca="1" si="146"/>
        <v>TERMINADO</v>
      </c>
      <c r="CN315" s="82"/>
      <c r="CO315" s="145" t="s">
        <v>2718</v>
      </c>
      <c r="CP315" s="26" t="s">
        <v>142</v>
      </c>
    </row>
    <row r="316" spans="1:94" ht="24.75" customHeight="1">
      <c r="A316" s="48" t="s">
        <v>2719</v>
      </c>
      <c r="B316" s="77" t="s">
        <v>2720</v>
      </c>
      <c r="C316" s="17" t="s">
        <v>104</v>
      </c>
      <c r="D316" s="18" t="s">
        <v>2721</v>
      </c>
      <c r="E316" s="17" t="s">
        <v>106</v>
      </c>
      <c r="F316" s="17" t="s">
        <v>107</v>
      </c>
      <c r="G316" s="17" t="s">
        <v>108</v>
      </c>
      <c r="H316" s="78">
        <v>53132237</v>
      </c>
      <c r="I316" s="74" t="s">
        <v>2722</v>
      </c>
      <c r="J316" s="16"/>
      <c r="K316" s="16"/>
      <c r="L316" s="20" t="s">
        <v>2723</v>
      </c>
      <c r="M316" s="16" t="s">
        <v>111</v>
      </c>
      <c r="N316" s="22">
        <v>45315</v>
      </c>
      <c r="O316" s="22">
        <v>45323</v>
      </c>
      <c r="P316" s="115">
        <v>45656</v>
      </c>
      <c r="Q316" s="23">
        <f t="shared" si="144"/>
        <v>333</v>
      </c>
      <c r="R316" s="17" t="s">
        <v>242</v>
      </c>
      <c r="S316" s="117" t="s">
        <v>2724</v>
      </c>
      <c r="T316" s="116" t="s">
        <v>2716</v>
      </c>
      <c r="U316" s="67">
        <v>108874380</v>
      </c>
      <c r="V316" s="16" t="s">
        <v>1212</v>
      </c>
      <c r="W316" s="224">
        <v>108874380</v>
      </c>
      <c r="X316" s="24">
        <v>9072875</v>
      </c>
      <c r="Y316" s="24"/>
      <c r="Z316" s="24"/>
      <c r="AA316" s="17" t="s">
        <v>116</v>
      </c>
      <c r="AB316" s="23" t="str">
        <f>IFERROR(VLOOKUP(AA316,Listas!$A$1:$C$14,2,FALSE),"")</f>
        <v>FREDY CÉSPEDES VILLA</v>
      </c>
      <c r="AC316" s="23">
        <f>IFERROR(VLOOKUP(AA316,Listas!$A$1:$C$14,3,FALSE),"")</f>
        <v>93363483</v>
      </c>
      <c r="AD316" s="17" t="s">
        <v>577</v>
      </c>
      <c r="AE316" s="17" t="s">
        <v>578</v>
      </c>
      <c r="AF316" s="23" t="str">
        <f>IFERROR(VLOOKUP(AE316,Listas!$AD$1:$AF$66,2,FALSE),"")</f>
        <v>EDGAR FABIO DÍAZ RAMIREZ</v>
      </c>
      <c r="AG316" s="23">
        <f>IFERROR(VLOOKUP(AE316,Listas!$AD$1:$AF$65,3,FALSE),"")</f>
        <v>79537198</v>
      </c>
      <c r="AH316" s="17" t="s">
        <v>118</v>
      </c>
      <c r="AI316" s="65" t="s">
        <v>2725</v>
      </c>
      <c r="AJ316" s="25" t="s">
        <v>119</v>
      </c>
      <c r="AK316" s="26" t="s">
        <v>120</v>
      </c>
      <c r="AL316" s="26" t="s">
        <v>120</v>
      </c>
      <c r="AM316" s="90" t="s">
        <v>119</v>
      </c>
      <c r="AN316" s="105">
        <v>30976</v>
      </c>
      <c r="AO316" s="91">
        <f t="shared" ca="1" si="145"/>
        <v>41</v>
      </c>
      <c r="AP316" s="26" t="s">
        <v>121</v>
      </c>
      <c r="AQ316" s="26" t="s">
        <v>886</v>
      </c>
      <c r="AR316" s="89"/>
      <c r="AS316" s="27"/>
      <c r="AT316" s="16"/>
      <c r="AU316" s="27"/>
      <c r="AV316" s="86"/>
      <c r="AW316" s="27"/>
      <c r="AX316" s="27"/>
      <c r="AY316" s="27"/>
      <c r="AZ316" s="27"/>
      <c r="BA316" s="27"/>
      <c r="BB316" s="27"/>
      <c r="BC316" s="97"/>
      <c r="BD316" s="27"/>
      <c r="BE316" s="16"/>
      <c r="BF316" s="28">
        <f t="shared" si="134"/>
        <v>0</v>
      </c>
      <c r="BG316" s="29"/>
      <c r="BH316" s="27"/>
      <c r="BI316" s="30">
        <f t="shared" si="135"/>
        <v>333</v>
      </c>
      <c r="BJ316" s="31">
        <f t="shared" si="136"/>
        <v>45656</v>
      </c>
      <c r="BK316" s="27"/>
      <c r="BL316" s="16"/>
      <c r="BM316" s="27"/>
      <c r="BN316" s="16"/>
      <c r="BO316" s="27"/>
      <c r="BP316" s="16"/>
      <c r="BQ316" s="27"/>
      <c r="BR316" s="24"/>
      <c r="BS316" s="24"/>
      <c r="BT316" s="32"/>
      <c r="BU316" s="27"/>
      <c r="BV316" s="24"/>
      <c r="BW316" s="24"/>
      <c r="BX316" s="16"/>
      <c r="BY316" s="27"/>
      <c r="BZ316" s="24"/>
      <c r="CA316" s="24"/>
      <c r="CB316" s="16"/>
      <c r="CC316" s="49">
        <f t="shared" si="137"/>
        <v>0</v>
      </c>
      <c r="CD316" s="24"/>
      <c r="CE316" s="49">
        <f t="shared" si="138"/>
        <v>108874380</v>
      </c>
      <c r="CF316" s="50"/>
      <c r="CG316" s="49">
        <f t="shared" ca="1" si="139"/>
        <v>108874380</v>
      </c>
      <c r="CH316" s="33">
        <f t="shared" ca="1" si="140"/>
        <v>1</v>
      </c>
      <c r="CI316" s="33">
        <f t="shared" ca="1" si="141"/>
        <v>1</v>
      </c>
      <c r="CJ316" s="36">
        <f t="shared" ca="1" si="142"/>
        <v>100</v>
      </c>
      <c r="CK316" s="34">
        <f t="shared" si="143"/>
        <v>0</v>
      </c>
      <c r="CL316" s="21"/>
      <c r="CM316" s="35" t="str">
        <f t="shared" ca="1" si="146"/>
        <v>TERMINADO</v>
      </c>
      <c r="CN316" s="82"/>
      <c r="CO316" s="145" t="s">
        <v>2726</v>
      </c>
      <c r="CP316" s="26" t="s">
        <v>123</v>
      </c>
    </row>
    <row r="317" spans="1:94" ht="24.75" customHeight="1">
      <c r="A317" s="48" t="s">
        <v>2727</v>
      </c>
      <c r="B317" s="77" t="s">
        <v>2728</v>
      </c>
      <c r="C317" s="17" t="s">
        <v>104</v>
      </c>
      <c r="D317" s="18" t="s">
        <v>2729</v>
      </c>
      <c r="E317" s="17" t="s">
        <v>106</v>
      </c>
      <c r="F317" s="17" t="s">
        <v>107</v>
      </c>
      <c r="G317" s="17" t="s">
        <v>108</v>
      </c>
      <c r="H317" s="78">
        <v>72001597</v>
      </c>
      <c r="I317" s="74" t="s">
        <v>2730</v>
      </c>
      <c r="J317" s="16"/>
      <c r="K317" s="16"/>
      <c r="L317" s="20" t="s">
        <v>2652</v>
      </c>
      <c r="M317" s="16" t="s">
        <v>901</v>
      </c>
      <c r="N317" s="22">
        <v>45315</v>
      </c>
      <c r="O317" s="22">
        <v>45321</v>
      </c>
      <c r="P317" s="115">
        <v>45656</v>
      </c>
      <c r="Q317" s="23">
        <f t="shared" si="144"/>
        <v>335</v>
      </c>
      <c r="R317" s="17" t="s">
        <v>242</v>
      </c>
      <c r="S317" s="117" t="s">
        <v>2731</v>
      </c>
      <c r="T317" s="116" t="s">
        <v>343</v>
      </c>
      <c r="U317" s="67">
        <v>61455445</v>
      </c>
      <c r="V317" s="16" t="s">
        <v>344</v>
      </c>
      <c r="W317" s="224">
        <v>61455445</v>
      </c>
      <c r="X317" s="24">
        <v>5237680</v>
      </c>
      <c r="Y317" s="24"/>
      <c r="Z317" s="24"/>
      <c r="AA317" s="17" t="s">
        <v>116</v>
      </c>
      <c r="AB317" s="23" t="str">
        <f>IFERROR(VLOOKUP(AA317,Listas!$A$1:$C$14,2,FALSE),"")</f>
        <v>FREDY CÉSPEDES VILLA</v>
      </c>
      <c r="AC317" s="23">
        <f>IFERROR(VLOOKUP(AA317,Listas!$A$1:$C$14,3,FALSE),"")</f>
        <v>93363483</v>
      </c>
      <c r="AD317" s="17" t="s">
        <v>903</v>
      </c>
      <c r="AE317" s="17" t="s">
        <v>904</v>
      </c>
      <c r="AF317" s="23" t="str">
        <f>IFERROR(VLOOKUP(AE317,Listas!$AD$1:$AF$66,2,FALSE),"")</f>
        <v>VIVIANA MARGARITA ROMERO</v>
      </c>
      <c r="AG317" s="23">
        <f>IFERROR(VLOOKUP(AE317,Listas!$AD$1:$AF$65,3,FALSE),"")</f>
        <v>32794946</v>
      </c>
      <c r="AH317" s="17" t="s">
        <v>118</v>
      </c>
      <c r="AI317" s="65" t="s">
        <v>2732</v>
      </c>
      <c r="AJ317" s="25" t="s">
        <v>119</v>
      </c>
      <c r="AK317" s="26" t="s">
        <v>120</v>
      </c>
      <c r="AL317" s="26" t="s">
        <v>120</v>
      </c>
      <c r="AM317" s="90" t="s">
        <v>119</v>
      </c>
      <c r="AN317" s="105">
        <v>28447</v>
      </c>
      <c r="AO317" s="91">
        <f t="shared" ca="1" si="145"/>
        <v>48</v>
      </c>
      <c r="AP317" s="26" t="s">
        <v>121</v>
      </c>
      <c r="AQ317" s="26" t="s">
        <v>327</v>
      </c>
      <c r="AR317" s="89"/>
      <c r="AS317" s="27"/>
      <c r="AT317" s="16"/>
      <c r="AU317" s="27"/>
      <c r="AV317" s="86"/>
      <c r="AW317" s="27"/>
      <c r="AX317" s="27"/>
      <c r="AY317" s="27"/>
      <c r="AZ317" s="27"/>
      <c r="BA317" s="27"/>
      <c r="BB317" s="27"/>
      <c r="BC317" s="97"/>
      <c r="BD317" s="27"/>
      <c r="BE317" s="16"/>
      <c r="BF317" s="28">
        <f t="shared" si="134"/>
        <v>0</v>
      </c>
      <c r="BG317" s="29"/>
      <c r="BH317" s="27"/>
      <c r="BI317" s="30">
        <f t="shared" si="135"/>
        <v>335</v>
      </c>
      <c r="BJ317" s="31">
        <f t="shared" si="136"/>
        <v>45656</v>
      </c>
      <c r="BK317" s="27"/>
      <c r="BL317" s="16"/>
      <c r="BM317" s="27"/>
      <c r="BN317" s="16"/>
      <c r="BO317" s="27"/>
      <c r="BP317" s="16"/>
      <c r="BQ317" s="27"/>
      <c r="BR317" s="24"/>
      <c r="BS317" s="24"/>
      <c r="BT317" s="32"/>
      <c r="BU317" s="27"/>
      <c r="BV317" s="24"/>
      <c r="BW317" s="24"/>
      <c r="BX317" s="16"/>
      <c r="BY317" s="27"/>
      <c r="BZ317" s="24"/>
      <c r="CA317" s="24"/>
      <c r="CB317" s="16"/>
      <c r="CC317" s="49">
        <f t="shared" si="137"/>
        <v>0</v>
      </c>
      <c r="CD317" s="24"/>
      <c r="CE317" s="49">
        <f t="shared" si="138"/>
        <v>61455445</v>
      </c>
      <c r="CF317" s="50"/>
      <c r="CG317" s="49">
        <f t="shared" ca="1" si="139"/>
        <v>61455445</v>
      </c>
      <c r="CH317" s="33">
        <f t="shared" ca="1" si="140"/>
        <v>1</v>
      </c>
      <c r="CI317" s="33">
        <f t="shared" ca="1" si="141"/>
        <v>1</v>
      </c>
      <c r="CJ317" s="36">
        <f t="shared" ca="1" si="142"/>
        <v>100</v>
      </c>
      <c r="CK317" s="34">
        <f t="shared" si="143"/>
        <v>0</v>
      </c>
      <c r="CL317" s="21"/>
      <c r="CM317" s="35" t="str">
        <f t="shared" ca="1" si="146"/>
        <v>TERMINADO</v>
      </c>
      <c r="CN317" s="82"/>
      <c r="CO317" s="145" t="s">
        <v>2733</v>
      </c>
      <c r="CP317" s="26" t="s">
        <v>142</v>
      </c>
    </row>
    <row r="318" spans="1:94" ht="24.75" customHeight="1">
      <c r="A318" s="48" t="s">
        <v>2734</v>
      </c>
      <c r="B318" s="77" t="s">
        <v>2735</v>
      </c>
      <c r="C318" s="17" t="s">
        <v>104</v>
      </c>
      <c r="D318" s="18" t="s">
        <v>2736</v>
      </c>
      <c r="E318" s="17" t="s">
        <v>106</v>
      </c>
      <c r="F318" s="17" t="s">
        <v>107</v>
      </c>
      <c r="G318" s="17" t="s">
        <v>108</v>
      </c>
      <c r="H318" s="78">
        <v>1143439464</v>
      </c>
      <c r="I318" s="74" t="s">
        <v>2737</v>
      </c>
      <c r="J318" s="16"/>
      <c r="K318" s="16"/>
      <c r="L318" s="20" t="s">
        <v>2738</v>
      </c>
      <c r="M318" s="16" t="s">
        <v>901</v>
      </c>
      <c r="N318" s="22">
        <v>45315</v>
      </c>
      <c r="O318" s="22">
        <v>45321</v>
      </c>
      <c r="P318" s="115">
        <v>45656</v>
      </c>
      <c r="Q318" s="23">
        <f t="shared" si="144"/>
        <v>335</v>
      </c>
      <c r="R318" s="17" t="s">
        <v>242</v>
      </c>
      <c r="S318" s="117" t="s">
        <v>2739</v>
      </c>
      <c r="T318" s="116" t="s">
        <v>343</v>
      </c>
      <c r="U318" s="67">
        <v>57369312</v>
      </c>
      <c r="V318" s="16" t="s">
        <v>437</v>
      </c>
      <c r="W318" s="224">
        <v>57369312</v>
      </c>
      <c r="X318" s="24">
        <v>4903360</v>
      </c>
      <c r="Y318" s="24"/>
      <c r="Z318" s="24"/>
      <c r="AA318" s="17" t="s">
        <v>116</v>
      </c>
      <c r="AB318" s="23" t="str">
        <f>IFERROR(VLOOKUP(AA318,Listas!$A$1:$C$14,2,FALSE),"")</f>
        <v>FREDY CÉSPEDES VILLA</v>
      </c>
      <c r="AC318" s="23">
        <f>IFERROR(VLOOKUP(AA318,Listas!$A$1:$C$14,3,FALSE),"")</f>
        <v>93363483</v>
      </c>
      <c r="AD318" s="17" t="s">
        <v>903</v>
      </c>
      <c r="AE318" s="17" t="s">
        <v>904</v>
      </c>
      <c r="AF318" s="23" t="str">
        <f>IFERROR(VLOOKUP(AE318,Listas!$AD$1:$AF$66,2,FALSE),"")</f>
        <v>VIVIANA MARGARITA ROMERO</v>
      </c>
      <c r="AG318" s="23">
        <f>IFERROR(VLOOKUP(AE318,Listas!$AD$1:$AF$65,3,FALSE),"")</f>
        <v>32794946</v>
      </c>
      <c r="AH318" s="17" t="s">
        <v>118</v>
      </c>
      <c r="AI318" s="65" t="s">
        <v>2654</v>
      </c>
      <c r="AJ318" s="25" t="s">
        <v>119</v>
      </c>
      <c r="AK318" s="26" t="s">
        <v>120</v>
      </c>
      <c r="AL318" s="26" t="s">
        <v>120</v>
      </c>
      <c r="AM318" s="90" t="s">
        <v>119</v>
      </c>
      <c r="AN318" s="105">
        <v>33898</v>
      </c>
      <c r="AO318" s="91">
        <f t="shared" ca="1" si="145"/>
        <v>33</v>
      </c>
      <c r="AP318" s="26" t="s">
        <v>121</v>
      </c>
      <c r="AQ318" s="26" t="s">
        <v>327</v>
      </c>
      <c r="AR318" s="89"/>
      <c r="AS318" s="27"/>
      <c r="AT318" s="16"/>
      <c r="AU318" s="27"/>
      <c r="AV318" s="86"/>
      <c r="AW318" s="27"/>
      <c r="AX318" s="27"/>
      <c r="AY318" s="27"/>
      <c r="AZ318" s="27"/>
      <c r="BA318" s="27"/>
      <c r="BB318" s="27"/>
      <c r="BC318" s="97"/>
      <c r="BD318" s="27"/>
      <c r="BE318" s="16"/>
      <c r="BF318" s="28">
        <f t="shared" si="134"/>
        <v>0</v>
      </c>
      <c r="BG318" s="29"/>
      <c r="BH318" s="27"/>
      <c r="BI318" s="30">
        <f t="shared" si="135"/>
        <v>335</v>
      </c>
      <c r="BJ318" s="31">
        <f t="shared" si="136"/>
        <v>45656</v>
      </c>
      <c r="BK318" s="27"/>
      <c r="BL318" s="16"/>
      <c r="BM318" s="27"/>
      <c r="BN318" s="16"/>
      <c r="BO318" s="27"/>
      <c r="BP318" s="16"/>
      <c r="BQ318" s="27"/>
      <c r="BR318" s="24"/>
      <c r="BS318" s="24"/>
      <c r="BT318" s="32"/>
      <c r="BU318" s="27"/>
      <c r="BV318" s="24"/>
      <c r="BW318" s="24"/>
      <c r="BX318" s="16"/>
      <c r="BY318" s="27"/>
      <c r="BZ318" s="24"/>
      <c r="CA318" s="24"/>
      <c r="CB318" s="16"/>
      <c r="CC318" s="49">
        <f t="shared" si="137"/>
        <v>0</v>
      </c>
      <c r="CD318" s="24"/>
      <c r="CE318" s="49">
        <f t="shared" si="138"/>
        <v>57369312</v>
      </c>
      <c r="CF318" s="50"/>
      <c r="CG318" s="49">
        <f t="shared" ca="1" si="139"/>
        <v>57369312</v>
      </c>
      <c r="CH318" s="33">
        <f t="shared" ca="1" si="140"/>
        <v>1</v>
      </c>
      <c r="CI318" s="33">
        <f t="shared" ca="1" si="141"/>
        <v>1</v>
      </c>
      <c r="CJ318" s="36">
        <f t="shared" ca="1" si="142"/>
        <v>100</v>
      </c>
      <c r="CK318" s="34">
        <f t="shared" si="143"/>
        <v>0</v>
      </c>
      <c r="CL318" s="21"/>
      <c r="CM318" s="35" t="str">
        <f t="shared" ca="1" si="146"/>
        <v>TERMINADO</v>
      </c>
      <c r="CN318" s="82"/>
      <c r="CO318" s="145" t="s">
        <v>2740</v>
      </c>
      <c r="CP318" s="26" t="s">
        <v>142</v>
      </c>
    </row>
    <row r="319" spans="1:94" ht="24.75" customHeight="1">
      <c r="A319" s="48" t="s">
        <v>2741</v>
      </c>
      <c r="B319" s="77" t="s">
        <v>2742</v>
      </c>
      <c r="C319" s="17" t="s">
        <v>104</v>
      </c>
      <c r="D319" s="18" t="s">
        <v>2743</v>
      </c>
      <c r="E319" s="17" t="s">
        <v>106</v>
      </c>
      <c r="F319" s="17" t="s">
        <v>107</v>
      </c>
      <c r="G319" s="17" t="s">
        <v>108</v>
      </c>
      <c r="H319" s="78">
        <v>94427342</v>
      </c>
      <c r="I319" s="74" t="s">
        <v>2744</v>
      </c>
      <c r="J319" s="16"/>
      <c r="K319" s="16"/>
      <c r="L319" s="20" t="s">
        <v>647</v>
      </c>
      <c r="M319" s="16" t="s">
        <v>557</v>
      </c>
      <c r="N319" s="22">
        <v>45315</v>
      </c>
      <c r="O319" s="22">
        <v>45317</v>
      </c>
      <c r="P319" s="115">
        <v>45656</v>
      </c>
      <c r="Q319" s="23">
        <f t="shared" si="144"/>
        <v>339</v>
      </c>
      <c r="R319" s="17" t="s">
        <v>242</v>
      </c>
      <c r="S319" s="117" t="s">
        <v>996</v>
      </c>
      <c r="T319" s="116" t="s">
        <v>343</v>
      </c>
      <c r="U319" s="67">
        <v>67421198</v>
      </c>
      <c r="V319" s="16" t="s">
        <v>437</v>
      </c>
      <c r="W319" s="224">
        <v>67421198</v>
      </c>
      <c r="X319" s="24">
        <v>5762496</v>
      </c>
      <c r="Y319" s="24"/>
      <c r="Z319" s="24"/>
      <c r="AA319" s="17" t="s">
        <v>116</v>
      </c>
      <c r="AB319" s="23" t="str">
        <f>IFERROR(VLOOKUP(AA319,Listas!$A$1:$C$14,2,FALSE),"")</f>
        <v>FREDY CÉSPEDES VILLA</v>
      </c>
      <c r="AC319" s="23">
        <f>IFERROR(VLOOKUP(AA319,Listas!$A$1:$C$14,3,FALSE),"")</f>
        <v>93363483</v>
      </c>
      <c r="AD319" s="17" t="s">
        <v>559</v>
      </c>
      <c r="AE319" s="17" t="s">
        <v>560</v>
      </c>
      <c r="AF319" s="23" t="str">
        <f>IFERROR(VLOOKUP(AE319,Listas!$AD$1:$AF$66,2,FALSE),"")</f>
        <v>CESAR AUGUSTO LÓPEZ LÓPEZ</v>
      </c>
      <c r="AG319" s="23">
        <f>IFERROR(VLOOKUP(AE319,Listas!$AD$1:$AF$65,3,FALSE),"")</f>
        <v>6103856</v>
      </c>
      <c r="AH319" s="17" t="s">
        <v>118</v>
      </c>
      <c r="AI319" s="65" t="s">
        <v>1657</v>
      </c>
      <c r="AJ319" s="25" t="s">
        <v>119</v>
      </c>
      <c r="AK319" s="26" t="s">
        <v>120</v>
      </c>
      <c r="AL319" s="26" t="s">
        <v>120</v>
      </c>
      <c r="AM319" s="90" t="s">
        <v>119</v>
      </c>
      <c r="AN319" s="105">
        <v>27419</v>
      </c>
      <c r="AO319" s="91">
        <f t="shared" ca="1" si="145"/>
        <v>50</v>
      </c>
      <c r="AP319" s="26" t="s">
        <v>121</v>
      </c>
      <c r="AQ319" s="26" t="s">
        <v>327</v>
      </c>
      <c r="AR319" s="89"/>
      <c r="AS319" s="27"/>
      <c r="AT319" s="16"/>
      <c r="AU319" s="27"/>
      <c r="AV319" s="86"/>
      <c r="AW319" s="27"/>
      <c r="AX319" s="27"/>
      <c r="AY319" s="27"/>
      <c r="AZ319" s="27"/>
      <c r="BA319" s="27"/>
      <c r="BB319" s="27"/>
      <c r="BC319" s="97"/>
      <c r="BD319" s="27"/>
      <c r="BE319" s="16"/>
      <c r="BF319" s="28">
        <f t="shared" si="134"/>
        <v>0</v>
      </c>
      <c r="BG319" s="29"/>
      <c r="BH319" s="27"/>
      <c r="BI319" s="30">
        <f t="shared" si="135"/>
        <v>339</v>
      </c>
      <c r="BJ319" s="31">
        <f t="shared" si="136"/>
        <v>45656</v>
      </c>
      <c r="BK319" s="27"/>
      <c r="BL319" s="16"/>
      <c r="BM319" s="27"/>
      <c r="BN319" s="16"/>
      <c r="BO319" s="27"/>
      <c r="BP319" s="16"/>
      <c r="BQ319" s="27"/>
      <c r="BR319" s="24"/>
      <c r="BS319" s="24"/>
      <c r="BT319" s="32"/>
      <c r="BU319" s="27"/>
      <c r="BV319" s="24"/>
      <c r="BW319" s="24"/>
      <c r="BX319" s="16"/>
      <c r="BY319" s="27"/>
      <c r="BZ319" s="24"/>
      <c r="CA319" s="24"/>
      <c r="CB319" s="16"/>
      <c r="CC319" s="49">
        <f t="shared" si="137"/>
        <v>0</v>
      </c>
      <c r="CD319" s="24"/>
      <c r="CE319" s="49">
        <f t="shared" si="138"/>
        <v>67421198</v>
      </c>
      <c r="CF319" s="50"/>
      <c r="CG319" s="49">
        <f t="shared" ca="1" si="139"/>
        <v>67421198</v>
      </c>
      <c r="CH319" s="33">
        <f t="shared" ca="1" si="140"/>
        <v>1</v>
      </c>
      <c r="CI319" s="33">
        <f t="shared" ca="1" si="141"/>
        <v>1</v>
      </c>
      <c r="CJ319" s="36">
        <f t="shared" ca="1" si="142"/>
        <v>100</v>
      </c>
      <c r="CK319" s="34">
        <f t="shared" si="143"/>
        <v>0</v>
      </c>
      <c r="CL319" s="21"/>
      <c r="CM319" s="35" t="str">
        <f t="shared" ca="1" si="146"/>
        <v>TERMINADO</v>
      </c>
      <c r="CN319" s="82"/>
      <c r="CO319" s="145" t="s">
        <v>2740</v>
      </c>
      <c r="CP319" s="26" t="s">
        <v>142</v>
      </c>
    </row>
    <row r="320" spans="1:94" ht="24.75" customHeight="1">
      <c r="A320" s="48" t="s">
        <v>2745</v>
      </c>
      <c r="B320" s="77" t="s">
        <v>2746</v>
      </c>
      <c r="C320" s="17" t="s">
        <v>104</v>
      </c>
      <c r="D320" s="18" t="s">
        <v>2747</v>
      </c>
      <c r="E320" s="17" t="s">
        <v>106</v>
      </c>
      <c r="F320" s="17" t="s">
        <v>107</v>
      </c>
      <c r="G320" s="17" t="s">
        <v>108</v>
      </c>
      <c r="H320" s="78">
        <v>1110514540</v>
      </c>
      <c r="I320" s="74" t="s">
        <v>2748</v>
      </c>
      <c r="J320" s="16"/>
      <c r="K320" s="16"/>
      <c r="L320" s="20" t="s">
        <v>2749</v>
      </c>
      <c r="M320" s="16" t="s">
        <v>111</v>
      </c>
      <c r="N320" s="22">
        <v>45315</v>
      </c>
      <c r="O320" s="22">
        <v>45321</v>
      </c>
      <c r="P320" s="115">
        <v>45656</v>
      </c>
      <c r="Q320" s="23">
        <f t="shared" si="144"/>
        <v>335</v>
      </c>
      <c r="R320" s="17" t="s">
        <v>242</v>
      </c>
      <c r="S320" s="117" t="s">
        <v>2750</v>
      </c>
      <c r="T320" s="116" t="s">
        <v>2751</v>
      </c>
      <c r="U320" s="67">
        <v>90900302</v>
      </c>
      <c r="V320" s="16" t="s">
        <v>437</v>
      </c>
      <c r="W320" s="224">
        <v>90900302</v>
      </c>
      <c r="X320" s="24">
        <v>8092015</v>
      </c>
      <c r="Y320" s="24"/>
      <c r="Z320" s="24"/>
      <c r="AA320" s="17" t="s">
        <v>116</v>
      </c>
      <c r="AB320" s="23" t="str">
        <f>IFERROR(VLOOKUP(AA320,Listas!$A$1:$C$14,2,FALSE),"")</f>
        <v>FREDY CÉSPEDES VILLA</v>
      </c>
      <c r="AC320" s="23">
        <f>IFERROR(VLOOKUP(AA320,Listas!$A$1:$C$14,3,FALSE),"")</f>
        <v>93363483</v>
      </c>
      <c r="AD320" s="17" t="s">
        <v>345</v>
      </c>
      <c r="AE320" s="17" t="s">
        <v>632</v>
      </c>
      <c r="AF320" s="23" t="str">
        <f>IFERROR(VLOOKUP(AE320,Listas!$AD$1:$AF$66,2,FALSE),"")</f>
        <v>MANUEL ALBERTO LOZANO CARDONA</v>
      </c>
      <c r="AG320" s="23">
        <f>IFERROR(VLOOKUP(AE320,Listas!$AD$1:$AF$65,3,FALSE),"")</f>
        <v>79940034</v>
      </c>
      <c r="AH320" s="17" t="s">
        <v>118</v>
      </c>
      <c r="AI320" s="65" t="s">
        <v>2752</v>
      </c>
      <c r="AJ320" s="25" t="s">
        <v>119</v>
      </c>
      <c r="AK320" s="26" t="s">
        <v>120</v>
      </c>
      <c r="AL320" s="26" t="s">
        <v>120</v>
      </c>
      <c r="AM320" s="90" t="s">
        <v>119</v>
      </c>
      <c r="AN320" s="105">
        <v>33481</v>
      </c>
      <c r="AO320" s="91">
        <f t="shared" ca="1" si="145"/>
        <v>34</v>
      </c>
      <c r="AP320" s="26" t="s">
        <v>121</v>
      </c>
      <c r="AQ320" s="26" t="s">
        <v>347</v>
      </c>
      <c r="AR320" s="89"/>
      <c r="AS320" s="27"/>
      <c r="AT320" s="16"/>
      <c r="AU320" s="27"/>
      <c r="AV320" s="86"/>
      <c r="AW320" s="27"/>
      <c r="AX320" s="27"/>
      <c r="AY320" s="27"/>
      <c r="AZ320" s="27"/>
      <c r="BA320" s="27"/>
      <c r="BB320" s="27"/>
      <c r="BC320" s="97"/>
      <c r="BD320" s="27"/>
      <c r="BE320" s="16"/>
      <c r="BF320" s="28">
        <f t="shared" si="134"/>
        <v>0</v>
      </c>
      <c r="BG320" s="29"/>
      <c r="BH320" s="27"/>
      <c r="BI320" s="30">
        <f t="shared" si="135"/>
        <v>335</v>
      </c>
      <c r="BJ320" s="31">
        <f t="shared" si="136"/>
        <v>45656</v>
      </c>
      <c r="BK320" s="27"/>
      <c r="BL320" s="16"/>
      <c r="BM320" s="27"/>
      <c r="BN320" s="16"/>
      <c r="BO320" s="27"/>
      <c r="BP320" s="16"/>
      <c r="BQ320" s="27"/>
      <c r="BR320" s="24"/>
      <c r="BS320" s="24"/>
      <c r="BT320" s="32"/>
      <c r="BU320" s="27"/>
      <c r="BV320" s="24"/>
      <c r="BW320" s="24"/>
      <c r="BX320" s="16"/>
      <c r="BY320" s="27"/>
      <c r="BZ320" s="24"/>
      <c r="CA320" s="24"/>
      <c r="CB320" s="16"/>
      <c r="CC320" s="49">
        <f t="shared" si="137"/>
        <v>0</v>
      </c>
      <c r="CD320" s="24"/>
      <c r="CE320" s="49">
        <f t="shared" si="138"/>
        <v>90900302</v>
      </c>
      <c r="CF320" s="50"/>
      <c r="CG320" s="49">
        <f t="shared" ca="1" si="139"/>
        <v>90900302</v>
      </c>
      <c r="CH320" s="33">
        <f t="shared" ca="1" si="140"/>
        <v>1</v>
      </c>
      <c r="CI320" s="33">
        <f t="shared" ca="1" si="141"/>
        <v>1</v>
      </c>
      <c r="CJ320" s="36">
        <f t="shared" ca="1" si="142"/>
        <v>100</v>
      </c>
      <c r="CK320" s="34">
        <f t="shared" si="143"/>
        <v>0</v>
      </c>
      <c r="CL320" s="21"/>
      <c r="CM320" s="35" t="str">
        <f t="shared" ca="1" si="146"/>
        <v>TERMINADO</v>
      </c>
      <c r="CN320" s="82"/>
      <c r="CO320" s="145" t="s">
        <v>2753</v>
      </c>
      <c r="CP320" s="26" t="s">
        <v>142</v>
      </c>
    </row>
    <row r="321" spans="1:94" ht="24.75" customHeight="1">
      <c r="A321" s="48" t="s">
        <v>2754</v>
      </c>
      <c r="B321" s="77" t="s">
        <v>2755</v>
      </c>
      <c r="C321" s="17" t="s">
        <v>104</v>
      </c>
      <c r="D321" s="18" t="s">
        <v>2756</v>
      </c>
      <c r="E321" s="17" t="s">
        <v>106</v>
      </c>
      <c r="F321" s="17" t="s">
        <v>107</v>
      </c>
      <c r="G321" s="17" t="s">
        <v>108</v>
      </c>
      <c r="H321" s="78">
        <v>52249987</v>
      </c>
      <c r="I321" s="74" t="s">
        <v>2757</v>
      </c>
      <c r="J321" s="16"/>
      <c r="K321" s="16"/>
      <c r="L321" s="20" t="s">
        <v>2758</v>
      </c>
      <c r="M321" s="16" t="s">
        <v>111</v>
      </c>
      <c r="N321" s="22">
        <v>45316</v>
      </c>
      <c r="O321" s="22">
        <v>45321</v>
      </c>
      <c r="P321" s="115">
        <v>45656</v>
      </c>
      <c r="Q321" s="23">
        <f t="shared" si="144"/>
        <v>335</v>
      </c>
      <c r="R321" s="17" t="s">
        <v>242</v>
      </c>
      <c r="S321" s="117" t="s">
        <v>2759</v>
      </c>
      <c r="T321" s="116" t="s">
        <v>2760</v>
      </c>
      <c r="U321" s="67">
        <v>152410979</v>
      </c>
      <c r="V321" s="16" t="s">
        <v>688</v>
      </c>
      <c r="W321" s="224">
        <v>152410979</v>
      </c>
      <c r="X321" s="24">
        <v>12869039</v>
      </c>
      <c r="Y321" s="24"/>
      <c r="Z321" s="24"/>
      <c r="AA321" s="17" t="s">
        <v>116</v>
      </c>
      <c r="AB321" s="23" t="str">
        <f>IFERROR(VLOOKUP(AA321,Listas!$A$1:$C$14,2,FALSE),"")</f>
        <v>FREDY CÉSPEDES VILLA</v>
      </c>
      <c r="AC321" s="23">
        <f>IFERROR(VLOOKUP(AA321,Listas!$A$1:$C$14,3,FALSE),"")</f>
        <v>93363483</v>
      </c>
      <c r="AD321" s="17" t="s">
        <v>304</v>
      </c>
      <c r="AE321" s="17" t="s">
        <v>305</v>
      </c>
      <c r="AF321" s="23" t="str">
        <f>IFERROR(VLOOKUP(AE321,Listas!$AD$1:$AF$66,2,FALSE),"")</f>
        <v>ALVARO HERNAN URQUIJO GOMEZ</v>
      </c>
      <c r="AG321" s="23">
        <v>80505520</v>
      </c>
      <c r="AH321" s="17" t="s">
        <v>118</v>
      </c>
      <c r="AI321" s="65" t="s">
        <v>2761</v>
      </c>
      <c r="AJ321" s="25" t="s">
        <v>119</v>
      </c>
      <c r="AK321" s="26" t="s">
        <v>120</v>
      </c>
      <c r="AL321" s="26" t="s">
        <v>120</v>
      </c>
      <c r="AM321" s="90" t="s">
        <v>119</v>
      </c>
      <c r="AN321" s="105">
        <v>27138</v>
      </c>
      <c r="AO321" s="91">
        <f t="shared" ca="1" si="145"/>
        <v>51</v>
      </c>
      <c r="AP321" s="26" t="s">
        <v>121</v>
      </c>
      <c r="AQ321" s="26" t="s">
        <v>122</v>
      </c>
      <c r="AR321" s="89"/>
      <c r="AS321" s="27"/>
      <c r="AT321" s="16"/>
      <c r="AU321" s="27"/>
      <c r="AV321" s="86"/>
      <c r="AW321" s="27"/>
      <c r="AX321" s="27"/>
      <c r="AY321" s="27"/>
      <c r="AZ321" s="27"/>
      <c r="BA321" s="27"/>
      <c r="BB321" s="27"/>
      <c r="BC321" s="97"/>
      <c r="BD321" s="27"/>
      <c r="BE321" s="16"/>
      <c r="BF321" s="28">
        <f t="shared" si="134"/>
        <v>0</v>
      </c>
      <c r="BG321" s="29"/>
      <c r="BH321" s="27"/>
      <c r="BI321" s="30">
        <f t="shared" si="135"/>
        <v>335</v>
      </c>
      <c r="BJ321" s="31">
        <f t="shared" si="136"/>
        <v>45656</v>
      </c>
      <c r="BK321" s="27"/>
      <c r="BL321" s="16"/>
      <c r="BM321" s="27"/>
      <c r="BN321" s="16"/>
      <c r="BO321" s="27"/>
      <c r="BP321" s="16"/>
      <c r="BQ321" s="27"/>
      <c r="BR321" s="24"/>
      <c r="BS321" s="24"/>
      <c r="BT321" s="32"/>
      <c r="BU321" s="27"/>
      <c r="BV321" s="24"/>
      <c r="BW321" s="24"/>
      <c r="BX321" s="16"/>
      <c r="BY321" s="27"/>
      <c r="BZ321" s="24"/>
      <c r="CA321" s="24"/>
      <c r="CB321" s="16"/>
      <c r="CC321" s="49">
        <f t="shared" si="137"/>
        <v>0</v>
      </c>
      <c r="CD321" s="24"/>
      <c r="CE321" s="49">
        <f t="shared" si="138"/>
        <v>152410979</v>
      </c>
      <c r="CF321" s="50"/>
      <c r="CG321" s="49">
        <f t="shared" ca="1" si="139"/>
        <v>152410979</v>
      </c>
      <c r="CH321" s="33">
        <f t="shared" ca="1" si="140"/>
        <v>1</v>
      </c>
      <c r="CI321" s="33">
        <f t="shared" ca="1" si="141"/>
        <v>1</v>
      </c>
      <c r="CJ321" s="36">
        <f t="shared" ca="1" si="142"/>
        <v>100</v>
      </c>
      <c r="CK321" s="34">
        <f t="shared" si="143"/>
        <v>0</v>
      </c>
      <c r="CL321" s="21"/>
      <c r="CM321" s="35" t="str">
        <f t="shared" ca="1" si="146"/>
        <v>TERMINADO</v>
      </c>
      <c r="CN321" s="82"/>
      <c r="CO321" s="145" t="s">
        <v>2762</v>
      </c>
      <c r="CP321" s="26" t="s">
        <v>123</v>
      </c>
    </row>
    <row r="322" spans="1:94" ht="24.75" customHeight="1">
      <c r="A322" s="48" t="s">
        <v>2763</v>
      </c>
      <c r="B322" s="77" t="s">
        <v>2764</v>
      </c>
      <c r="C322" s="17" t="s">
        <v>104</v>
      </c>
      <c r="D322" s="18" t="s">
        <v>2765</v>
      </c>
      <c r="E322" s="17" t="s">
        <v>106</v>
      </c>
      <c r="F322" s="17" t="s">
        <v>107</v>
      </c>
      <c r="G322" s="17" t="s">
        <v>108</v>
      </c>
      <c r="H322" s="78">
        <v>79685927</v>
      </c>
      <c r="I322" s="74" t="s">
        <v>2766</v>
      </c>
      <c r="J322" s="16"/>
      <c r="K322" s="16"/>
      <c r="L322" s="20" t="s">
        <v>2767</v>
      </c>
      <c r="M322" s="16" t="s">
        <v>111</v>
      </c>
      <c r="N322" s="22">
        <v>45316</v>
      </c>
      <c r="O322" s="22">
        <v>45321</v>
      </c>
      <c r="P322" s="115">
        <v>45656</v>
      </c>
      <c r="Q322" s="23">
        <f t="shared" si="144"/>
        <v>335</v>
      </c>
      <c r="R322" s="17" t="s">
        <v>242</v>
      </c>
      <c r="S322" s="117" t="s">
        <v>2768</v>
      </c>
      <c r="T322" s="116" t="s">
        <v>2760</v>
      </c>
      <c r="U322" s="67">
        <v>61858963</v>
      </c>
      <c r="V322" s="16" t="s">
        <v>688</v>
      </c>
      <c r="W322" s="224">
        <v>61858963</v>
      </c>
      <c r="X322" s="24">
        <v>5394677</v>
      </c>
      <c r="Y322" s="24"/>
      <c r="Z322" s="24"/>
      <c r="AA322" s="17" t="s">
        <v>116</v>
      </c>
      <c r="AB322" s="23" t="str">
        <f>IFERROR(VLOOKUP(AA322,Listas!$A$1:$C$14,2,FALSE),"")</f>
        <v>FREDY CÉSPEDES VILLA</v>
      </c>
      <c r="AC322" s="23">
        <f>IFERROR(VLOOKUP(AA322,Listas!$A$1:$C$14,3,FALSE),"")</f>
        <v>93363483</v>
      </c>
      <c r="AD322" s="17" t="s">
        <v>345</v>
      </c>
      <c r="AE322" s="17" t="s">
        <v>346</v>
      </c>
      <c r="AF322" s="23" t="str">
        <f>IFERROR(VLOOKUP(AE322,Listas!$AD$1:$AF$66,2,FALSE),"")</f>
        <v>RODOLFO GIOVANNI CANCHILA SUÁREZ</v>
      </c>
      <c r="AG322" s="23">
        <f>IFERROR(VLOOKUP(AE322,Listas!$AD$1:$AF$65,3,FALSE),"")</f>
        <v>79672493</v>
      </c>
      <c r="AH322" s="17" t="s">
        <v>118</v>
      </c>
      <c r="AI322" s="65" t="s">
        <v>2769</v>
      </c>
      <c r="AJ322" s="25" t="s">
        <v>119</v>
      </c>
      <c r="AK322" s="26" t="s">
        <v>120</v>
      </c>
      <c r="AL322" s="26" t="s">
        <v>120</v>
      </c>
      <c r="AM322" s="90" t="s">
        <v>119</v>
      </c>
      <c r="AN322" s="105">
        <v>27390</v>
      </c>
      <c r="AO322" s="91">
        <f t="shared" ca="1" si="145"/>
        <v>51</v>
      </c>
      <c r="AP322" s="26" t="s">
        <v>121</v>
      </c>
      <c r="AQ322" s="26" t="s">
        <v>347</v>
      </c>
      <c r="AR322" s="89"/>
      <c r="AS322" s="27"/>
      <c r="AT322" s="16"/>
      <c r="AU322" s="27"/>
      <c r="AV322" s="86"/>
      <c r="AW322" s="27"/>
      <c r="AX322" s="27"/>
      <c r="AY322" s="27"/>
      <c r="AZ322" s="27"/>
      <c r="BA322" s="27"/>
      <c r="BB322" s="27"/>
      <c r="BC322" s="97"/>
      <c r="BD322" s="27"/>
      <c r="BE322" s="16"/>
      <c r="BF322" s="28">
        <f t="shared" si="134"/>
        <v>0</v>
      </c>
      <c r="BG322" s="29"/>
      <c r="BH322" s="27"/>
      <c r="BI322" s="30">
        <f t="shared" si="135"/>
        <v>335</v>
      </c>
      <c r="BJ322" s="31">
        <f t="shared" si="136"/>
        <v>45656</v>
      </c>
      <c r="BK322" s="27"/>
      <c r="BL322" s="16"/>
      <c r="BM322" s="27"/>
      <c r="BN322" s="16"/>
      <c r="BO322" s="27"/>
      <c r="BP322" s="16"/>
      <c r="BQ322" s="27"/>
      <c r="BR322" s="24"/>
      <c r="BS322" s="24"/>
      <c r="BT322" s="32"/>
      <c r="BU322" s="27"/>
      <c r="BV322" s="24"/>
      <c r="BW322" s="24"/>
      <c r="BX322" s="16"/>
      <c r="BY322" s="27"/>
      <c r="BZ322" s="24"/>
      <c r="CA322" s="24"/>
      <c r="CB322" s="16"/>
      <c r="CC322" s="49">
        <f t="shared" si="137"/>
        <v>0</v>
      </c>
      <c r="CD322" s="24"/>
      <c r="CE322" s="49">
        <f t="shared" si="138"/>
        <v>61858963</v>
      </c>
      <c r="CF322" s="50"/>
      <c r="CG322" s="49">
        <f t="shared" ca="1" si="139"/>
        <v>61858963</v>
      </c>
      <c r="CH322" s="33">
        <f t="shared" ca="1" si="140"/>
        <v>1</v>
      </c>
      <c r="CI322" s="33">
        <f t="shared" ca="1" si="141"/>
        <v>1</v>
      </c>
      <c r="CJ322" s="36">
        <f t="shared" ca="1" si="142"/>
        <v>100</v>
      </c>
      <c r="CK322" s="34">
        <f t="shared" si="143"/>
        <v>0</v>
      </c>
      <c r="CL322" s="21"/>
      <c r="CM322" s="35" t="str">
        <f t="shared" ca="1" si="146"/>
        <v>TERMINADO</v>
      </c>
      <c r="CN322" s="82"/>
      <c r="CO322" s="145" t="s">
        <v>2770</v>
      </c>
      <c r="CP322" s="26" t="s">
        <v>142</v>
      </c>
    </row>
    <row r="323" spans="1:94" ht="24.75" customHeight="1">
      <c r="A323" s="48" t="s">
        <v>2771</v>
      </c>
      <c r="B323" s="77" t="s">
        <v>2772</v>
      </c>
      <c r="C323" s="17" t="s">
        <v>104</v>
      </c>
      <c r="D323" s="18" t="s">
        <v>2773</v>
      </c>
      <c r="E323" s="17" t="s">
        <v>106</v>
      </c>
      <c r="F323" s="17" t="s">
        <v>107</v>
      </c>
      <c r="G323" s="17" t="s">
        <v>108</v>
      </c>
      <c r="H323" s="78">
        <v>80434533</v>
      </c>
      <c r="I323" s="74" t="s">
        <v>2774</v>
      </c>
      <c r="J323" s="16"/>
      <c r="K323" s="16"/>
      <c r="L323" s="20" t="s">
        <v>2404</v>
      </c>
      <c r="M323" s="16" t="s">
        <v>111</v>
      </c>
      <c r="N323" s="22">
        <v>45316</v>
      </c>
      <c r="O323" s="22">
        <v>45321</v>
      </c>
      <c r="P323" s="22">
        <v>45657</v>
      </c>
      <c r="Q323" s="23">
        <f t="shared" si="144"/>
        <v>336</v>
      </c>
      <c r="R323" s="17" t="s">
        <v>112</v>
      </c>
      <c r="S323" s="117" t="s">
        <v>2775</v>
      </c>
      <c r="T323" s="116" t="s">
        <v>2776</v>
      </c>
      <c r="U323" s="67">
        <v>64057620</v>
      </c>
      <c r="V323" s="16" t="s">
        <v>1336</v>
      </c>
      <c r="W323" s="224">
        <v>64057620</v>
      </c>
      <c r="X323" s="24">
        <v>5338135</v>
      </c>
      <c r="Y323" s="24"/>
      <c r="Z323" s="24"/>
      <c r="AA323" s="17" t="s">
        <v>116</v>
      </c>
      <c r="AB323" s="23" t="str">
        <f>IFERROR(VLOOKUP(AA323,Listas!$A$1:$C$14,2,FALSE),"")</f>
        <v>FREDY CÉSPEDES VILLA</v>
      </c>
      <c r="AC323" s="23">
        <f>IFERROR(VLOOKUP(AA323,Listas!$A$1:$C$14,3,FALSE),"")</f>
        <v>93363483</v>
      </c>
      <c r="AD323" s="17" t="s">
        <v>217</v>
      </c>
      <c r="AE323" s="17" t="s">
        <v>381</v>
      </c>
      <c r="AF323" s="23" t="str">
        <f>IFERROR(VLOOKUP(AE323,Listas!$AD$1:$AF$66,2,FALSE),"")</f>
        <v>MARINA AZUCENA MEDINA SANDOVAL</v>
      </c>
      <c r="AG323" s="23">
        <f>IFERROR(VLOOKUP(AE323,Listas!$AD$1:$AF$65,3,FALSE),"")</f>
        <v>51842510</v>
      </c>
      <c r="AH323" s="17" t="s">
        <v>118</v>
      </c>
      <c r="AI323" s="65" t="s">
        <v>2777</v>
      </c>
      <c r="AJ323" s="25" t="s">
        <v>119</v>
      </c>
      <c r="AK323" s="26" t="s">
        <v>120</v>
      </c>
      <c r="AL323" s="26" t="s">
        <v>120</v>
      </c>
      <c r="AM323" s="90" t="s">
        <v>119</v>
      </c>
      <c r="AN323" s="105">
        <v>25372</v>
      </c>
      <c r="AO323" s="91">
        <f t="shared" ca="1" si="145"/>
        <v>56</v>
      </c>
      <c r="AP323" s="26" t="s">
        <v>121</v>
      </c>
      <c r="AQ323" s="26" t="s">
        <v>220</v>
      </c>
      <c r="AR323" s="89"/>
      <c r="AS323" s="27"/>
      <c r="AT323" s="16"/>
      <c r="AU323" s="27"/>
      <c r="AV323" s="86"/>
      <c r="AW323" s="27"/>
      <c r="AX323" s="27"/>
      <c r="AY323" s="27"/>
      <c r="AZ323" s="27"/>
      <c r="BA323" s="27"/>
      <c r="BB323" s="27"/>
      <c r="BC323" s="97"/>
      <c r="BD323" s="27"/>
      <c r="BE323" s="16"/>
      <c r="BF323" s="28">
        <f t="shared" si="134"/>
        <v>0</v>
      </c>
      <c r="BG323" s="29"/>
      <c r="BH323" s="27"/>
      <c r="BI323" s="30">
        <f t="shared" si="135"/>
        <v>336</v>
      </c>
      <c r="BJ323" s="31">
        <f t="shared" si="136"/>
        <v>45657</v>
      </c>
      <c r="BK323" s="27"/>
      <c r="BL323" s="16"/>
      <c r="BM323" s="27"/>
      <c r="BN323" s="16"/>
      <c r="BO323" s="27"/>
      <c r="BP323" s="16"/>
      <c r="BQ323" s="27"/>
      <c r="BR323" s="24"/>
      <c r="BS323" s="24"/>
      <c r="BT323" s="32"/>
      <c r="BU323" s="27"/>
      <c r="BV323" s="24"/>
      <c r="BW323" s="24"/>
      <c r="BX323" s="16"/>
      <c r="BY323" s="27"/>
      <c r="BZ323" s="24"/>
      <c r="CA323" s="24"/>
      <c r="CB323" s="16"/>
      <c r="CC323" s="49">
        <f t="shared" si="137"/>
        <v>0</v>
      </c>
      <c r="CD323" s="24"/>
      <c r="CE323" s="49">
        <f t="shared" si="138"/>
        <v>64057620</v>
      </c>
      <c r="CF323" s="50"/>
      <c r="CG323" s="49">
        <f t="shared" ca="1" si="139"/>
        <v>64057620</v>
      </c>
      <c r="CH323" s="33">
        <f t="shared" ca="1" si="140"/>
        <v>1</v>
      </c>
      <c r="CI323" s="33">
        <f t="shared" ca="1" si="141"/>
        <v>1</v>
      </c>
      <c r="CJ323" s="36">
        <f t="shared" ca="1" si="142"/>
        <v>100</v>
      </c>
      <c r="CK323" s="34">
        <f t="shared" si="143"/>
        <v>0</v>
      </c>
      <c r="CL323" s="21"/>
      <c r="CM323" s="35" t="str">
        <f t="shared" ca="1" si="146"/>
        <v>TERMINADO</v>
      </c>
      <c r="CN323" s="82"/>
      <c r="CO323" s="145" t="s">
        <v>2778</v>
      </c>
      <c r="CP323" s="26" t="s">
        <v>142</v>
      </c>
    </row>
    <row r="324" spans="1:94" ht="24.75" customHeight="1">
      <c r="A324" s="48" t="s">
        <v>2779</v>
      </c>
      <c r="B324" s="77" t="s">
        <v>2780</v>
      </c>
      <c r="C324" s="17" t="s">
        <v>104</v>
      </c>
      <c r="D324" s="18" t="s">
        <v>2781</v>
      </c>
      <c r="E324" s="17" t="s">
        <v>106</v>
      </c>
      <c r="F324" s="17" t="s">
        <v>107</v>
      </c>
      <c r="G324" s="17" t="s">
        <v>108</v>
      </c>
      <c r="H324" s="78">
        <v>22487341</v>
      </c>
      <c r="I324" s="74" t="s">
        <v>2782</v>
      </c>
      <c r="J324" s="16"/>
      <c r="K324" s="16"/>
      <c r="L324" s="20" t="s">
        <v>2783</v>
      </c>
      <c r="M324" s="16" t="s">
        <v>111</v>
      </c>
      <c r="N324" s="22">
        <v>45316</v>
      </c>
      <c r="O324" s="22">
        <v>45321</v>
      </c>
      <c r="P324" s="22">
        <v>45657</v>
      </c>
      <c r="Q324" s="23">
        <f t="shared" si="144"/>
        <v>336</v>
      </c>
      <c r="R324" s="17" t="s">
        <v>112</v>
      </c>
      <c r="S324" s="117" t="s">
        <v>2784</v>
      </c>
      <c r="T324" s="116" t="s">
        <v>2776</v>
      </c>
      <c r="U324" s="67">
        <v>60322296</v>
      </c>
      <c r="V324" s="16" t="s">
        <v>1336</v>
      </c>
      <c r="W324" s="224">
        <v>60322296</v>
      </c>
      <c r="X324" s="24">
        <v>5026858</v>
      </c>
      <c r="Y324" s="24"/>
      <c r="Z324" s="24"/>
      <c r="AA324" s="17" t="s">
        <v>116</v>
      </c>
      <c r="AB324" s="23" t="str">
        <f>IFERROR(VLOOKUP(AA324,Listas!$A$1:$C$14,2,FALSE),"")</f>
        <v>FREDY CÉSPEDES VILLA</v>
      </c>
      <c r="AC324" s="23">
        <f>IFERROR(VLOOKUP(AA324,Listas!$A$1:$C$14,3,FALSE),"")</f>
        <v>93363483</v>
      </c>
      <c r="AD324" s="17" t="s">
        <v>217</v>
      </c>
      <c r="AE324" s="17" t="s">
        <v>539</v>
      </c>
      <c r="AF324" s="23" t="str">
        <f>IFERROR(VLOOKUP(AE324,Listas!$AD$1:$AF$66,2,FALSE),"")</f>
        <v>DORIS POVEDA BELTRÁN</v>
      </c>
      <c r="AG324" s="23">
        <f>IFERROR(VLOOKUP(AE324,Listas!$AD$1:$AF$65,3,FALSE),"")</f>
        <v>52049845</v>
      </c>
      <c r="AH324" s="17" t="s">
        <v>118</v>
      </c>
      <c r="AI324" s="65" t="s">
        <v>2785</v>
      </c>
      <c r="AJ324" s="25" t="s">
        <v>119</v>
      </c>
      <c r="AK324" s="26" t="s">
        <v>120</v>
      </c>
      <c r="AL324" s="26" t="s">
        <v>120</v>
      </c>
      <c r="AM324" s="90" t="s">
        <v>119</v>
      </c>
      <c r="AN324" s="105">
        <v>29976</v>
      </c>
      <c r="AO324" s="91">
        <f t="shared" ca="1" si="145"/>
        <v>43</v>
      </c>
      <c r="AP324" s="26" t="s">
        <v>121</v>
      </c>
      <c r="AQ324" s="26" t="s">
        <v>220</v>
      </c>
      <c r="AR324" s="89"/>
      <c r="AS324" s="27"/>
      <c r="AT324" s="16"/>
      <c r="AU324" s="27"/>
      <c r="AV324" s="86"/>
      <c r="AW324" s="27"/>
      <c r="AX324" s="27"/>
      <c r="AY324" s="27"/>
      <c r="AZ324" s="27"/>
      <c r="BA324" s="27"/>
      <c r="BB324" s="27"/>
      <c r="BC324" s="97"/>
      <c r="BD324" s="27"/>
      <c r="BE324" s="16"/>
      <c r="BF324" s="28">
        <f t="shared" si="134"/>
        <v>0</v>
      </c>
      <c r="BG324" s="29"/>
      <c r="BH324" s="27"/>
      <c r="BI324" s="30">
        <f t="shared" si="135"/>
        <v>336</v>
      </c>
      <c r="BJ324" s="31">
        <f t="shared" si="136"/>
        <v>45657</v>
      </c>
      <c r="BK324" s="27"/>
      <c r="BL324" s="16"/>
      <c r="BM324" s="27"/>
      <c r="BN324" s="16"/>
      <c r="BO324" s="27"/>
      <c r="BP324" s="16"/>
      <c r="BQ324" s="27"/>
      <c r="BR324" s="24"/>
      <c r="BS324" s="24"/>
      <c r="BT324" s="32"/>
      <c r="BU324" s="27"/>
      <c r="BV324" s="24"/>
      <c r="BW324" s="24"/>
      <c r="BX324" s="16"/>
      <c r="BY324" s="27"/>
      <c r="BZ324" s="24"/>
      <c r="CA324" s="24"/>
      <c r="CB324" s="16"/>
      <c r="CC324" s="49">
        <f t="shared" si="137"/>
        <v>0</v>
      </c>
      <c r="CD324" s="24"/>
      <c r="CE324" s="49">
        <f t="shared" si="138"/>
        <v>60322296</v>
      </c>
      <c r="CF324" s="50"/>
      <c r="CG324" s="49">
        <f t="shared" ca="1" si="139"/>
        <v>60322296</v>
      </c>
      <c r="CH324" s="33">
        <f t="shared" ca="1" si="140"/>
        <v>1</v>
      </c>
      <c r="CI324" s="33">
        <f t="shared" ca="1" si="141"/>
        <v>1</v>
      </c>
      <c r="CJ324" s="36">
        <f t="shared" ca="1" si="142"/>
        <v>100</v>
      </c>
      <c r="CK324" s="34">
        <f t="shared" si="143"/>
        <v>0</v>
      </c>
      <c r="CL324" s="21"/>
      <c r="CM324" s="35" t="str">
        <f t="shared" ca="1" si="146"/>
        <v>TERMINADO</v>
      </c>
      <c r="CN324" s="82"/>
      <c r="CO324" s="145" t="s">
        <v>2786</v>
      </c>
      <c r="CP324" s="26" t="s">
        <v>123</v>
      </c>
    </row>
    <row r="325" spans="1:94" ht="24.75" customHeight="1">
      <c r="A325" s="48" t="s">
        <v>2787</v>
      </c>
      <c r="B325" s="77" t="s">
        <v>2788</v>
      </c>
      <c r="C325" s="17" t="s">
        <v>104</v>
      </c>
      <c r="D325" s="18" t="s">
        <v>2789</v>
      </c>
      <c r="E325" s="17" t="s">
        <v>106</v>
      </c>
      <c r="F325" s="17" t="s">
        <v>107</v>
      </c>
      <c r="G325" s="17" t="s">
        <v>108</v>
      </c>
      <c r="H325" s="78">
        <v>79516282</v>
      </c>
      <c r="I325" s="74" t="s">
        <v>2790</v>
      </c>
      <c r="J325" s="16"/>
      <c r="K325" s="16"/>
      <c r="L325" s="20" t="s">
        <v>2791</v>
      </c>
      <c r="M325" s="16" t="s">
        <v>111</v>
      </c>
      <c r="N325" s="22">
        <v>45316</v>
      </c>
      <c r="O325" s="22">
        <v>45322</v>
      </c>
      <c r="P325" s="22">
        <v>45657</v>
      </c>
      <c r="Q325" s="23">
        <f t="shared" si="144"/>
        <v>335</v>
      </c>
      <c r="R325" s="17" t="s">
        <v>112</v>
      </c>
      <c r="S325" s="117" t="s">
        <v>2792</v>
      </c>
      <c r="T325" s="116" t="s">
        <v>2776</v>
      </c>
      <c r="U325" s="67">
        <v>70621224</v>
      </c>
      <c r="V325" s="16" t="s">
        <v>1336</v>
      </c>
      <c r="W325" s="224">
        <v>70621224</v>
      </c>
      <c r="X325" s="24">
        <v>5885102</v>
      </c>
      <c r="Y325" s="24"/>
      <c r="Z325" s="24"/>
      <c r="AA325" s="17" t="s">
        <v>116</v>
      </c>
      <c r="AB325" s="23" t="str">
        <f>IFERROR(VLOOKUP(AA325,Listas!$A$1:$C$14,2,FALSE),"")</f>
        <v>FREDY CÉSPEDES VILLA</v>
      </c>
      <c r="AC325" s="23">
        <f>IFERROR(VLOOKUP(AA325,Listas!$A$1:$C$14,3,FALSE),"")</f>
        <v>93363483</v>
      </c>
      <c r="AD325" s="17" t="s">
        <v>217</v>
      </c>
      <c r="AE325" s="17" t="s">
        <v>381</v>
      </c>
      <c r="AF325" s="23" t="str">
        <f>IFERROR(VLOOKUP(AE325,Listas!$AD$1:$AF$66,2,FALSE),"")</f>
        <v>MARINA AZUCENA MEDINA SANDOVAL</v>
      </c>
      <c r="AG325" s="23">
        <f>IFERROR(VLOOKUP(AE325,Listas!$AD$1:$AF$65,3,FALSE),"")</f>
        <v>51842510</v>
      </c>
      <c r="AH325" s="17" t="s">
        <v>118</v>
      </c>
      <c r="AI325" s="65" t="s">
        <v>2793</v>
      </c>
      <c r="AJ325" s="25" t="s">
        <v>119</v>
      </c>
      <c r="AK325" s="26" t="s">
        <v>120</v>
      </c>
      <c r="AL325" s="26" t="s">
        <v>120</v>
      </c>
      <c r="AM325" s="90" t="s">
        <v>119</v>
      </c>
      <c r="AN325" s="105">
        <v>25086</v>
      </c>
      <c r="AO325" s="91">
        <f t="shared" ca="1" si="145"/>
        <v>57</v>
      </c>
      <c r="AP325" s="26" t="s">
        <v>121</v>
      </c>
      <c r="AQ325" s="26" t="s">
        <v>220</v>
      </c>
      <c r="AR325" s="89"/>
      <c r="AS325" s="27"/>
      <c r="AT325" s="16"/>
      <c r="AU325" s="27"/>
      <c r="AV325" s="86"/>
      <c r="AW325" s="27"/>
      <c r="AX325" s="27"/>
      <c r="AY325" s="27"/>
      <c r="AZ325" s="27"/>
      <c r="BA325" s="27"/>
      <c r="BB325" s="27"/>
      <c r="BC325" s="97"/>
      <c r="BD325" s="27"/>
      <c r="BE325" s="16"/>
      <c r="BF325" s="28">
        <f t="shared" si="134"/>
        <v>0</v>
      </c>
      <c r="BG325" s="29"/>
      <c r="BH325" s="27"/>
      <c r="BI325" s="30">
        <f t="shared" si="135"/>
        <v>335</v>
      </c>
      <c r="BJ325" s="31">
        <f t="shared" si="136"/>
        <v>45657</v>
      </c>
      <c r="BK325" s="27"/>
      <c r="BL325" s="16"/>
      <c r="BM325" s="27"/>
      <c r="BN325" s="16"/>
      <c r="BO325" s="27"/>
      <c r="BP325" s="16"/>
      <c r="BQ325" s="27"/>
      <c r="BR325" s="24"/>
      <c r="BS325" s="24"/>
      <c r="BT325" s="32"/>
      <c r="BU325" s="27"/>
      <c r="BV325" s="24"/>
      <c r="BW325" s="24"/>
      <c r="BX325" s="16"/>
      <c r="BY325" s="27"/>
      <c r="BZ325" s="24"/>
      <c r="CA325" s="24"/>
      <c r="CB325" s="16"/>
      <c r="CC325" s="49">
        <f t="shared" si="137"/>
        <v>0</v>
      </c>
      <c r="CD325" s="24"/>
      <c r="CE325" s="49">
        <f t="shared" si="138"/>
        <v>70621224</v>
      </c>
      <c r="CF325" s="50"/>
      <c r="CG325" s="49">
        <f t="shared" ca="1" si="139"/>
        <v>70621224</v>
      </c>
      <c r="CH325" s="33">
        <f t="shared" ca="1" si="140"/>
        <v>1</v>
      </c>
      <c r="CI325" s="33">
        <f t="shared" ca="1" si="141"/>
        <v>1</v>
      </c>
      <c r="CJ325" s="36">
        <f t="shared" ca="1" si="142"/>
        <v>100</v>
      </c>
      <c r="CK325" s="34">
        <f t="shared" si="143"/>
        <v>0</v>
      </c>
      <c r="CL325" s="21"/>
      <c r="CM325" s="35" t="str">
        <f t="shared" ca="1" si="146"/>
        <v>TERMINADO</v>
      </c>
      <c r="CN325" s="82"/>
      <c r="CO325" s="145" t="s">
        <v>2794</v>
      </c>
      <c r="CP325" s="26" t="s">
        <v>142</v>
      </c>
    </row>
    <row r="326" spans="1:94" ht="24.75" customHeight="1">
      <c r="A326" s="48" t="s">
        <v>2795</v>
      </c>
      <c r="B326" s="77" t="s">
        <v>2796</v>
      </c>
      <c r="C326" s="17" t="s">
        <v>104</v>
      </c>
      <c r="D326" s="18" t="s">
        <v>2797</v>
      </c>
      <c r="E326" s="17" t="s">
        <v>106</v>
      </c>
      <c r="F326" s="17" t="s">
        <v>107</v>
      </c>
      <c r="G326" s="17" t="s">
        <v>108</v>
      </c>
      <c r="H326" s="78">
        <v>1019065173</v>
      </c>
      <c r="I326" s="74" t="s">
        <v>2798</v>
      </c>
      <c r="J326" s="16"/>
      <c r="K326" s="16"/>
      <c r="L326" s="20" t="s">
        <v>2799</v>
      </c>
      <c r="M326" s="16" t="s">
        <v>111</v>
      </c>
      <c r="N326" s="22">
        <v>45316</v>
      </c>
      <c r="O326" s="22">
        <v>45320</v>
      </c>
      <c r="P326" s="22">
        <v>45657</v>
      </c>
      <c r="Q326" s="23">
        <f t="shared" si="144"/>
        <v>337</v>
      </c>
      <c r="R326" s="17" t="s">
        <v>242</v>
      </c>
      <c r="S326" s="117" t="s">
        <v>2800</v>
      </c>
      <c r="T326" s="116" t="s">
        <v>2801</v>
      </c>
      <c r="U326" s="67">
        <v>112930980</v>
      </c>
      <c r="V326" s="16" t="s">
        <v>2802</v>
      </c>
      <c r="W326" s="224">
        <v>106670065</v>
      </c>
      <c r="X326" s="24">
        <v>9410915</v>
      </c>
      <c r="Y326" s="24"/>
      <c r="Z326" s="24"/>
      <c r="AA326" s="17" t="s">
        <v>116</v>
      </c>
      <c r="AB326" s="23" t="str">
        <f>IFERROR(VLOOKUP(AA326,Listas!$A$1:$C$14,2,FALSE),"")</f>
        <v>FREDY CÉSPEDES VILLA</v>
      </c>
      <c r="AC326" s="23">
        <f>IFERROR(VLOOKUP(AA326,Listas!$A$1:$C$14,3,FALSE),"")</f>
        <v>93363483</v>
      </c>
      <c r="AD326" s="17" t="s">
        <v>217</v>
      </c>
      <c r="AE326" s="17" t="s">
        <v>265</v>
      </c>
      <c r="AF326" s="23" t="str">
        <f>IFERROR(VLOOKUP(AE326,Listas!$AD$1:$AF$66,2,FALSE),"")</f>
        <v>EDGAR ANTONIO GÓMEZ ÁLVAREZ</v>
      </c>
      <c r="AG326" s="23">
        <f>IFERROR(VLOOKUP(AE326,Listas!$AD$1:$AF$65,3,FALSE),"")</f>
        <v>2231755</v>
      </c>
      <c r="AH326" s="17" t="s">
        <v>118</v>
      </c>
      <c r="AI326" s="65" t="s">
        <v>2803</v>
      </c>
      <c r="AJ326" s="25" t="s">
        <v>119</v>
      </c>
      <c r="AK326" s="26" t="s">
        <v>120</v>
      </c>
      <c r="AL326" s="26" t="s">
        <v>120</v>
      </c>
      <c r="AM326" s="90" t="s">
        <v>119</v>
      </c>
      <c r="AN326" s="105">
        <v>33501</v>
      </c>
      <c r="AO326" s="91">
        <f t="shared" ca="1" si="145"/>
        <v>34</v>
      </c>
      <c r="AP326" s="26" t="s">
        <v>121</v>
      </c>
      <c r="AQ326" s="26" t="s">
        <v>220</v>
      </c>
      <c r="AR326" s="89"/>
      <c r="AS326" s="27"/>
      <c r="AT326" s="16"/>
      <c r="AU326" s="27"/>
      <c r="AV326" s="86"/>
      <c r="AW326" s="27"/>
      <c r="AX326" s="27"/>
      <c r="AY326" s="27"/>
      <c r="AZ326" s="27"/>
      <c r="BA326" s="27"/>
      <c r="BB326" s="27"/>
      <c r="BC326" s="97"/>
      <c r="BD326" s="27"/>
      <c r="BE326" s="16"/>
      <c r="BF326" s="28">
        <f t="shared" si="134"/>
        <v>0</v>
      </c>
      <c r="BG326" s="29"/>
      <c r="BH326" s="27">
        <v>45327</v>
      </c>
      <c r="BI326" s="30">
        <f t="shared" si="135"/>
        <v>337</v>
      </c>
      <c r="BJ326" s="31">
        <f t="shared" si="136"/>
        <v>45327</v>
      </c>
      <c r="BK326" s="27"/>
      <c r="BL326" s="16"/>
      <c r="BM326" s="27"/>
      <c r="BN326" s="16"/>
      <c r="BO326" s="27"/>
      <c r="BP326" s="16"/>
      <c r="BQ326" s="27"/>
      <c r="BR326" s="24"/>
      <c r="BS326" s="24"/>
      <c r="BT326" s="32"/>
      <c r="BU326" s="27"/>
      <c r="BV326" s="24"/>
      <c r="BW326" s="24"/>
      <c r="BX326" s="16"/>
      <c r="BY326" s="27"/>
      <c r="BZ326" s="24"/>
      <c r="CA326" s="24"/>
      <c r="CB326" s="16"/>
      <c r="CC326" s="49">
        <f t="shared" si="137"/>
        <v>0</v>
      </c>
      <c r="CD326" s="24"/>
      <c r="CE326" s="49">
        <f t="shared" si="138"/>
        <v>106670065</v>
      </c>
      <c r="CF326" s="50"/>
      <c r="CG326" s="49">
        <f t="shared" ca="1" si="139"/>
        <v>106670065</v>
      </c>
      <c r="CH326" s="33">
        <f t="shared" ca="1" si="140"/>
        <v>1</v>
      </c>
      <c r="CI326" s="33">
        <f t="shared" ca="1" si="141"/>
        <v>1</v>
      </c>
      <c r="CJ326" s="36">
        <f t="shared" ca="1" si="142"/>
        <v>100</v>
      </c>
      <c r="CK326" s="34">
        <f t="shared" si="143"/>
        <v>0</v>
      </c>
      <c r="CL326" s="21"/>
      <c r="CM326" s="35" t="str">
        <f t="shared" ca="1" si="146"/>
        <v>TERMINADO</v>
      </c>
      <c r="CN326" s="82"/>
      <c r="CO326" s="145" t="s">
        <v>2804</v>
      </c>
      <c r="CP326" s="26" t="s">
        <v>123</v>
      </c>
    </row>
    <row r="327" spans="1:94" ht="24.75" customHeight="1">
      <c r="A327" s="48" t="s">
        <v>2805</v>
      </c>
      <c r="B327" s="77" t="s">
        <v>2806</v>
      </c>
      <c r="C327" s="17" t="s">
        <v>1423</v>
      </c>
      <c r="D327" s="18" t="s">
        <v>1424</v>
      </c>
      <c r="E327" s="17" t="s">
        <v>1425</v>
      </c>
      <c r="F327" s="17" t="s">
        <v>1426</v>
      </c>
      <c r="G327" s="17" t="s">
        <v>1427</v>
      </c>
      <c r="H327" s="78" t="s">
        <v>2807</v>
      </c>
      <c r="I327" s="74" t="s">
        <v>2808</v>
      </c>
      <c r="J327" s="16"/>
      <c r="K327" s="16"/>
      <c r="L327" s="20" t="s">
        <v>2809</v>
      </c>
      <c r="M327" s="16" t="s">
        <v>111</v>
      </c>
      <c r="N327" s="22">
        <v>45316</v>
      </c>
      <c r="O327" s="22">
        <v>45316</v>
      </c>
      <c r="P327" s="115">
        <v>45675</v>
      </c>
      <c r="Q327" s="23">
        <f t="shared" si="144"/>
        <v>359</v>
      </c>
      <c r="R327" s="17" t="s">
        <v>242</v>
      </c>
      <c r="S327" s="117" t="s">
        <v>2810</v>
      </c>
      <c r="T327" s="116" t="s">
        <v>2811</v>
      </c>
      <c r="U327" s="67">
        <v>949729040</v>
      </c>
      <c r="V327" s="16" t="s">
        <v>2812</v>
      </c>
      <c r="W327" s="228">
        <v>949729040</v>
      </c>
      <c r="X327" s="24">
        <v>949729040</v>
      </c>
      <c r="Y327" s="24"/>
      <c r="Z327" s="24"/>
      <c r="AA327" s="17" t="s">
        <v>116</v>
      </c>
      <c r="AB327" s="23" t="str">
        <f>IFERROR(VLOOKUP(AA327,Listas!$A$1:$C$14,2,FALSE),"")</f>
        <v>FREDY CÉSPEDES VILLA</v>
      </c>
      <c r="AC327" s="23"/>
      <c r="AD327" s="17" t="s">
        <v>816</v>
      </c>
      <c r="AE327" s="17" t="s">
        <v>2577</v>
      </c>
      <c r="AF327" s="23" t="str">
        <f>IFERROR(VLOOKUP(AE327,Listas!$AD$1:$AF$66,2,FALSE),"")</f>
        <v>VICTOR RAUL BAUTISTA GALINDO</v>
      </c>
      <c r="AG327" s="23">
        <f>IFERROR(VLOOKUP(AE327,Listas!$AD$1:$AF$65,3,FALSE),"")</f>
        <v>79352968</v>
      </c>
      <c r="AH327" s="17" t="s">
        <v>1434</v>
      </c>
      <c r="AI327" s="65"/>
      <c r="AJ327" s="25" t="s">
        <v>1435</v>
      </c>
      <c r="AK327" s="26" t="s">
        <v>2071</v>
      </c>
      <c r="AL327" s="26" t="s">
        <v>2071</v>
      </c>
      <c r="AM327" s="90" t="s">
        <v>1435</v>
      </c>
      <c r="AN327" s="105"/>
      <c r="AO327" s="91" t="str">
        <f t="shared" ca="1" si="145"/>
        <v xml:space="preserve"> </v>
      </c>
      <c r="AP327" s="26" t="s">
        <v>121</v>
      </c>
      <c r="AQ327" s="26" t="s">
        <v>220</v>
      </c>
      <c r="AR327" s="89"/>
      <c r="AS327" s="27"/>
      <c r="AT327" s="16"/>
      <c r="AU327" s="27"/>
      <c r="AV327" s="86"/>
      <c r="AW327" s="27"/>
      <c r="AX327" s="27"/>
      <c r="AY327" s="27"/>
      <c r="AZ327" s="27"/>
      <c r="BA327" s="27"/>
      <c r="BB327" s="27"/>
      <c r="BC327" s="97"/>
      <c r="BD327" s="27"/>
      <c r="BE327" s="16"/>
      <c r="BF327" s="28"/>
      <c r="BG327" s="29"/>
      <c r="BH327" s="27"/>
      <c r="BI327" s="30">
        <f t="shared" si="135"/>
        <v>359</v>
      </c>
      <c r="BJ327" s="31">
        <f t="shared" si="136"/>
        <v>45675</v>
      </c>
      <c r="BK327" s="27"/>
      <c r="BL327" s="16"/>
      <c r="BM327" s="27"/>
      <c r="BN327" s="16"/>
      <c r="BO327" s="27"/>
      <c r="BP327" s="16"/>
      <c r="BQ327" s="27"/>
      <c r="BR327" s="24"/>
      <c r="BS327" s="24"/>
      <c r="BT327" s="32"/>
      <c r="BU327" s="27"/>
      <c r="BV327" s="24"/>
      <c r="BW327" s="24"/>
      <c r="BX327" s="16"/>
      <c r="BY327" s="27"/>
      <c r="BZ327" s="24"/>
      <c r="CA327" s="24"/>
      <c r="CB327" s="16"/>
      <c r="CC327" s="49"/>
      <c r="CD327" s="24"/>
      <c r="CE327" s="49">
        <f t="shared" si="138"/>
        <v>949729040</v>
      </c>
      <c r="CF327" s="50"/>
      <c r="CG327" s="49">
        <f t="shared" ca="1" si="139"/>
        <v>949729040</v>
      </c>
      <c r="CH327" s="33">
        <f t="shared" ca="1" si="140"/>
        <v>1</v>
      </c>
      <c r="CI327" s="33">
        <f t="shared" ca="1" si="141"/>
        <v>1</v>
      </c>
      <c r="CJ327" s="36">
        <f t="shared" ca="1" si="142"/>
        <v>100</v>
      </c>
      <c r="CK327" s="34">
        <f>IFERROR((CF327/CE327)*100,"")</f>
        <v>0</v>
      </c>
      <c r="CL327" s="21"/>
      <c r="CM327" s="35"/>
      <c r="CN327" s="82"/>
      <c r="CP327" s="83" t="s">
        <v>1424</v>
      </c>
    </row>
    <row r="328" spans="1:94" ht="24.75" customHeight="1">
      <c r="A328" s="48" t="s">
        <v>2813</v>
      </c>
      <c r="B328" s="77" t="s">
        <v>2814</v>
      </c>
      <c r="C328" s="17" t="s">
        <v>104</v>
      </c>
      <c r="D328" s="18" t="s">
        <v>2815</v>
      </c>
      <c r="E328" s="17" t="s">
        <v>106</v>
      </c>
      <c r="F328" s="17" t="s">
        <v>107</v>
      </c>
      <c r="G328" s="17" t="s">
        <v>108</v>
      </c>
      <c r="H328" s="78">
        <v>1098676977</v>
      </c>
      <c r="I328" s="74" t="s">
        <v>2816</v>
      </c>
      <c r="J328" s="16"/>
      <c r="K328" s="16"/>
      <c r="L328" s="20" t="s">
        <v>1866</v>
      </c>
      <c r="M328" s="16" t="s">
        <v>111</v>
      </c>
      <c r="N328" s="115">
        <v>45320</v>
      </c>
      <c r="O328" s="115">
        <v>45321</v>
      </c>
      <c r="P328" s="115">
        <v>45657</v>
      </c>
      <c r="Q328" s="23">
        <f t="shared" si="144"/>
        <v>336</v>
      </c>
      <c r="R328" s="17" t="s">
        <v>242</v>
      </c>
      <c r="S328" s="117" t="s">
        <v>2817</v>
      </c>
      <c r="T328" s="116" t="s">
        <v>1145</v>
      </c>
      <c r="U328" s="67">
        <v>70307867</v>
      </c>
      <c r="V328" s="16" t="s">
        <v>2818</v>
      </c>
      <c r="W328" s="224">
        <v>70307867</v>
      </c>
      <c r="X328" s="24">
        <v>6131500</v>
      </c>
      <c r="Y328" s="24"/>
      <c r="Z328" s="24"/>
      <c r="AA328" s="17" t="s">
        <v>116</v>
      </c>
      <c r="AB328" s="23" t="str">
        <f>IFERROR(VLOOKUP(AA328,Listas!$A$1:$C$14,2,FALSE),"")</f>
        <v>FREDY CÉSPEDES VILLA</v>
      </c>
      <c r="AC328" s="23">
        <f>IFERROR(VLOOKUP(AA328,Listas!$A$1:$C$14,3,FALSE),"")</f>
        <v>93363483</v>
      </c>
      <c r="AD328" s="17" t="s">
        <v>427</v>
      </c>
      <c r="AE328" s="17" t="s">
        <v>2561</v>
      </c>
      <c r="AF328" s="23" t="str">
        <f>IFERROR(VLOOKUP(AE328,Listas!$AD$1:$AF$66,2,FALSE),"")</f>
        <v>MARÍA TERESA COMBARIZA MARTÍN</v>
      </c>
      <c r="AG328" s="23">
        <f>IFERROR(VLOOKUP(AE328,Listas!$AD$1:$AF$65,3,FALSE),"")</f>
        <v>51803256</v>
      </c>
      <c r="AH328" s="17" t="s">
        <v>118</v>
      </c>
      <c r="AI328" s="65" t="s">
        <v>2819</v>
      </c>
      <c r="AJ328" s="25" t="s">
        <v>119</v>
      </c>
      <c r="AK328" s="26" t="s">
        <v>120</v>
      </c>
      <c r="AL328" s="26" t="s">
        <v>120</v>
      </c>
      <c r="AM328" s="90" t="s">
        <v>119</v>
      </c>
      <c r="AN328" s="105">
        <v>32726</v>
      </c>
      <c r="AO328" s="91">
        <f t="shared" ca="1" si="145"/>
        <v>36</v>
      </c>
      <c r="AP328" s="26" t="s">
        <v>121</v>
      </c>
      <c r="AQ328" s="26" t="s">
        <v>1272</v>
      </c>
      <c r="AR328" s="89"/>
      <c r="AS328" s="27"/>
      <c r="AT328" s="16"/>
      <c r="AU328" s="27"/>
      <c r="AV328" s="86"/>
      <c r="AW328" s="27"/>
      <c r="AX328" s="27"/>
      <c r="AY328" s="27"/>
      <c r="AZ328" s="27"/>
      <c r="BA328" s="27"/>
      <c r="BB328" s="27"/>
      <c r="BC328" s="97"/>
      <c r="BD328" s="27"/>
      <c r="BE328" s="16"/>
      <c r="BF328" s="28">
        <f t="shared" ref="BF328:BF359" si="147">BC328+BE328</f>
        <v>0</v>
      </c>
      <c r="BG328" s="29"/>
      <c r="BH328" s="27"/>
      <c r="BI328" s="30">
        <f t="shared" ref="BI328:BI359" si="148">BF328+Q328</f>
        <v>336</v>
      </c>
      <c r="BJ328" s="31">
        <f t="shared" ref="BJ328:BJ359" si="149">IF(BH328="",P328+BF328,BH328)</f>
        <v>45657</v>
      </c>
      <c r="BK328" s="27"/>
      <c r="BL328" s="16"/>
      <c r="BM328" s="27"/>
      <c r="BN328" s="16"/>
      <c r="BO328" s="27"/>
      <c r="BP328" s="16"/>
      <c r="BQ328" s="27"/>
      <c r="BR328" s="24"/>
      <c r="BS328" s="24"/>
      <c r="BT328" s="32"/>
      <c r="BU328" s="27"/>
      <c r="BV328" s="24"/>
      <c r="BW328" s="24"/>
      <c r="BX328" s="16"/>
      <c r="BY328" s="27"/>
      <c r="BZ328" s="24"/>
      <c r="CA328" s="24"/>
      <c r="CB328" s="16"/>
      <c r="CC328" s="49">
        <f t="shared" ref="CC328:CC359" si="150">BR328+BV328+BZ328</f>
        <v>0</v>
      </c>
      <c r="CD328" s="24"/>
      <c r="CE328" s="49">
        <f>IF(Y328=0,(W328+CC328)-CD328,IF(Y328&gt;0,(Y328+CC328)-CD328))</f>
        <v>70307867</v>
      </c>
      <c r="CF328" s="50"/>
      <c r="CG328" s="49">
        <f t="shared" ref="CG328:CG359" ca="1" si="151">IFERROR(IF(((CE328/BI328)*(TODAY()-N328))&gt;CE328,CE328,((CE328/BI328)*(TODAY()-N328))),"")</f>
        <v>70307867</v>
      </c>
      <c r="CH328" s="33">
        <f t="shared" ref="CH328:CH359" ca="1" si="152">IF(TODAY()&gt;BJ328,1,+(DAYS360(O328,TODAY())/DAYS360(O328,BJ328)))</f>
        <v>1</v>
      </c>
      <c r="CI328" s="33">
        <f t="shared" ref="CI328:CI363" ca="1" si="153">+IF(CL328&gt;0,DAYS360(O328,CL328)/DAYS360(O328,BJ328),CH328)</f>
        <v>1</v>
      </c>
      <c r="CJ328" s="36">
        <f t="shared" ref="CJ328:CJ359" ca="1" si="154">IFERROR(IF(((CG328/CE328)*100)&gt;100,100,((CG328/CE328)*100)),"")</f>
        <v>100</v>
      </c>
      <c r="CK328" s="34">
        <f t="shared" ref="CK328:CK359" si="155">IFERROR((CF328/CE328)*100,"")</f>
        <v>0</v>
      </c>
      <c r="CL328" s="21"/>
      <c r="CM328" s="35" t="str">
        <f t="shared" ref="CM328:CM359" ca="1" si="156">IF(CL328&gt;1/1/6,"LIQUIDADO",IF(BJ328=$BE$20003,"",IF(BJ328&gt;=TODAY(),"VIGENTE",IF(BJ328&lt;TODAY(),"TERMINADO",))))</f>
        <v>TERMINADO</v>
      </c>
      <c r="CN328" s="82"/>
      <c r="CO328" s="145" t="s">
        <v>2820</v>
      </c>
      <c r="CP328" s="26" t="s">
        <v>123</v>
      </c>
    </row>
    <row r="329" spans="1:94" ht="24.75" customHeight="1">
      <c r="A329" s="48" t="s">
        <v>2821</v>
      </c>
      <c r="B329" s="77" t="s">
        <v>2822</v>
      </c>
      <c r="C329" s="17" t="s">
        <v>104</v>
      </c>
      <c r="D329" s="18" t="s">
        <v>2823</v>
      </c>
      <c r="E329" s="17" t="s">
        <v>106</v>
      </c>
      <c r="F329" s="17" t="s">
        <v>107</v>
      </c>
      <c r="G329" s="17" t="s">
        <v>108</v>
      </c>
      <c r="H329" s="78">
        <v>52145085</v>
      </c>
      <c r="I329" s="74" t="s">
        <v>2824</v>
      </c>
      <c r="J329" s="16"/>
      <c r="K329" s="16"/>
      <c r="L329" s="20" t="s">
        <v>2825</v>
      </c>
      <c r="M329" s="16" t="s">
        <v>111</v>
      </c>
      <c r="N329" s="115">
        <v>45320</v>
      </c>
      <c r="O329" s="115">
        <v>45322</v>
      </c>
      <c r="P329" s="115">
        <v>45657</v>
      </c>
      <c r="Q329" s="23">
        <f t="shared" si="144"/>
        <v>335</v>
      </c>
      <c r="R329" s="17" t="s">
        <v>242</v>
      </c>
      <c r="S329" s="117" t="s">
        <v>2826</v>
      </c>
      <c r="T329" s="116" t="s">
        <v>1145</v>
      </c>
      <c r="U329" s="67">
        <v>134361027</v>
      </c>
      <c r="V329" s="16" t="s">
        <v>2818</v>
      </c>
      <c r="W329" s="224">
        <v>134361027</v>
      </c>
      <c r="X329" s="24">
        <v>11649800</v>
      </c>
      <c r="Y329" s="24"/>
      <c r="Z329" s="24"/>
      <c r="AA329" s="17" t="s">
        <v>116</v>
      </c>
      <c r="AB329" s="23" t="str">
        <f>IFERROR(VLOOKUP(AA329,Listas!$A$1:$C$14,2,FALSE),"")</f>
        <v>FREDY CÉSPEDES VILLA</v>
      </c>
      <c r="AC329" s="23">
        <f>IFERROR(VLOOKUP(AA329,Listas!$A$1:$C$14,3,FALSE),"")</f>
        <v>93363483</v>
      </c>
      <c r="AD329" s="17" t="s">
        <v>427</v>
      </c>
      <c r="AE329" s="17" t="s">
        <v>428</v>
      </c>
      <c r="AF329" s="23" t="str">
        <f>IFERROR(VLOOKUP(AE329,Listas!$AD$1:$AF$66,2,FALSE),"")</f>
        <v>DINORAH PATRICIA ABADIA MURILLO</v>
      </c>
      <c r="AG329" s="23">
        <f>IFERROR(VLOOKUP(AE329,Listas!$AD$1:$AF$65,3,FALSE),"")</f>
        <v>52220857</v>
      </c>
      <c r="AH329" s="17" t="s">
        <v>118</v>
      </c>
      <c r="AI329" s="65" t="s">
        <v>2827</v>
      </c>
      <c r="AJ329" s="25" t="s">
        <v>119</v>
      </c>
      <c r="AK329" s="26" t="s">
        <v>120</v>
      </c>
      <c r="AL329" s="26" t="s">
        <v>120</v>
      </c>
      <c r="AM329" s="90" t="s">
        <v>119</v>
      </c>
      <c r="AN329" s="105">
        <v>26831</v>
      </c>
      <c r="AO329" s="91">
        <f t="shared" ca="1" si="145"/>
        <v>52</v>
      </c>
      <c r="AP329" s="26" t="s">
        <v>121</v>
      </c>
      <c r="AQ329" s="26" t="s">
        <v>1272</v>
      </c>
      <c r="AR329" s="89"/>
      <c r="AS329" s="27"/>
      <c r="AT329" s="16"/>
      <c r="AU329" s="27"/>
      <c r="AV329" s="86"/>
      <c r="AW329" s="27"/>
      <c r="AX329" s="27"/>
      <c r="AY329" s="27"/>
      <c r="AZ329" s="27"/>
      <c r="BA329" s="27"/>
      <c r="BB329" s="27"/>
      <c r="BC329" s="97"/>
      <c r="BD329" s="27"/>
      <c r="BE329" s="16"/>
      <c r="BF329" s="28">
        <f t="shared" si="147"/>
        <v>0</v>
      </c>
      <c r="BG329" s="29"/>
      <c r="BH329" s="27"/>
      <c r="BI329" s="30">
        <f t="shared" si="148"/>
        <v>335</v>
      </c>
      <c r="BJ329" s="31">
        <f t="shared" si="149"/>
        <v>45657</v>
      </c>
      <c r="BK329" s="27"/>
      <c r="BL329" s="16"/>
      <c r="BM329" s="27"/>
      <c r="BN329" s="16"/>
      <c r="BO329" s="27"/>
      <c r="BP329" s="16"/>
      <c r="BQ329" s="27"/>
      <c r="BR329" s="24"/>
      <c r="BS329" s="24"/>
      <c r="BT329" s="32"/>
      <c r="BU329" s="27"/>
      <c r="BV329" s="24"/>
      <c r="BW329" s="24"/>
      <c r="BX329" s="16"/>
      <c r="BY329" s="27"/>
      <c r="BZ329" s="24"/>
      <c r="CA329" s="24"/>
      <c r="CB329" s="16"/>
      <c r="CC329" s="49">
        <f t="shared" si="150"/>
        <v>0</v>
      </c>
      <c r="CD329" s="24"/>
      <c r="CE329" s="49">
        <f>IF(Y329=0,(W329+CC329)-CD329,IF(Y329&gt;0,(Y329+CC329)-CD329))</f>
        <v>134361027</v>
      </c>
      <c r="CF329" s="50"/>
      <c r="CG329" s="49">
        <f t="shared" ca="1" si="151"/>
        <v>134361027</v>
      </c>
      <c r="CH329" s="33">
        <f t="shared" ca="1" si="152"/>
        <v>1</v>
      </c>
      <c r="CI329" s="33">
        <f t="shared" ca="1" si="153"/>
        <v>1</v>
      </c>
      <c r="CJ329" s="36">
        <f t="shared" ca="1" si="154"/>
        <v>100</v>
      </c>
      <c r="CK329" s="34">
        <f t="shared" si="155"/>
        <v>0</v>
      </c>
      <c r="CL329" s="21"/>
      <c r="CM329" s="35" t="str">
        <f t="shared" ca="1" si="156"/>
        <v>TERMINADO</v>
      </c>
      <c r="CN329" s="82"/>
      <c r="CO329" s="145" t="s">
        <v>2828</v>
      </c>
      <c r="CP329" s="26" t="s">
        <v>123</v>
      </c>
    </row>
    <row r="330" spans="1:94" ht="24.75" customHeight="1">
      <c r="A330" s="48" t="s">
        <v>2829</v>
      </c>
      <c r="B330" s="77" t="s">
        <v>2830</v>
      </c>
      <c r="C330" s="17" t="s">
        <v>104</v>
      </c>
      <c r="D330" s="18" t="s">
        <v>2831</v>
      </c>
      <c r="E330" s="17" t="s">
        <v>106</v>
      </c>
      <c r="F330" s="17" t="s">
        <v>107</v>
      </c>
      <c r="G330" s="17" t="s">
        <v>108</v>
      </c>
      <c r="H330" s="78">
        <v>1110494088</v>
      </c>
      <c r="I330" s="74" t="s">
        <v>2832</v>
      </c>
      <c r="J330" s="16"/>
      <c r="K330" s="16"/>
      <c r="L330" s="20" t="s">
        <v>2833</v>
      </c>
      <c r="M330" s="16" t="s">
        <v>111</v>
      </c>
      <c r="N330" s="115">
        <v>45321</v>
      </c>
      <c r="O330" s="115">
        <v>45322</v>
      </c>
      <c r="P330" s="115">
        <v>45656</v>
      </c>
      <c r="Q330" s="23">
        <f t="shared" si="144"/>
        <v>334</v>
      </c>
      <c r="R330" s="17" t="s">
        <v>242</v>
      </c>
      <c r="S330" s="117" t="s">
        <v>2834</v>
      </c>
      <c r="T330" s="116" t="s">
        <v>1128</v>
      </c>
      <c r="U330" s="67">
        <v>134550000</v>
      </c>
      <c r="V330" s="16" t="s">
        <v>1239</v>
      </c>
      <c r="W330" s="224">
        <v>134550000</v>
      </c>
      <c r="X330" s="24">
        <v>11500000</v>
      </c>
      <c r="Y330" s="24"/>
      <c r="Z330" s="24"/>
      <c r="AA330" s="17" t="s">
        <v>116</v>
      </c>
      <c r="AB330" s="23" t="str">
        <f>IFERROR(VLOOKUP(AA330,Listas!$A$1:$C$14,2,FALSE),"")</f>
        <v>FREDY CÉSPEDES VILLA</v>
      </c>
      <c r="AC330" s="23">
        <f>IFERROR(VLOOKUP(AA330,Listas!$A$1:$C$14,3,FALSE),"")</f>
        <v>93363483</v>
      </c>
      <c r="AD330" s="17" t="s">
        <v>816</v>
      </c>
      <c r="AE330" s="17" t="s">
        <v>2835</v>
      </c>
      <c r="AF330" s="23" t="str">
        <f>IFERROR(VLOOKUP(AE330,Listas!$AD$1:$AF$65,2,FALSE),"")</f>
        <v>GUILLERMO ANDRES CARDONA HERRERA</v>
      </c>
      <c r="AG330" s="23">
        <f>IFERROR(VLOOKUP(AE330,Listas!$AD$1:$AF$65,3,FALSE),"")</f>
        <v>80018909</v>
      </c>
      <c r="AH330" s="17" t="s">
        <v>118</v>
      </c>
      <c r="AI330" s="65" t="s">
        <v>2836</v>
      </c>
      <c r="AJ330" s="25" t="s">
        <v>119</v>
      </c>
      <c r="AK330" s="26" t="s">
        <v>120</v>
      </c>
      <c r="AL330" s="26" t="s">
        <v>120</v>
      </c>
      <c r="AM330" s="90" t="s">
        <v>119</v>
      </c>
      <c r="AN330" s="105">
        <v>32918</v>
      </c>
      <c r="AO330" s="91">
        <f t="shared" ca="1" si="145"/>
        <v>35</v>
      </c>
      <c r="AP330" s="26" t="s">
        <v>121</v>
      </c>
      <c r="AQ330" s="26" t="s">
        <v>1641</v>
      </c>
      <c r="AR330" s="89">
        <v>45470</v>
      </c>
      <c r="AS330" s="27" t="s">
        <v>2837</v>
      </c>
      <c r="AT330" s="104">
        <v>84450849</v>
      </c>
      <c r="AU330" s="27" t="s">
        <v>2838</v>
      </c>
      <c r="AV330" s="86">
        <v>70916667</v>
      </c>
      <c r="AW330" s="27"/>
      <c r="AX330" s="27"/>
      <c r="AY330" s="27"/>
      <c r="AZ330" s="27"/>
      <c r="BA330" s="27"/>
      <c r="BB330" s="27"/>
      <c r="BC330" s="97"/>
      <c r="BD330" s="27"/>
      <c r="BE330" s="16"/>
      <c r="BF330" s="28">
        <f t="shared" si="147"/>
        <v>0</v>
      </c>
      <c r="BG330" s="29"/>
      <c r="BH330" s="27"/>
      <c r="BI330" s="30">
        <f t="shared" si="148"/>
        <v>334</v>
      </c>
      <c r="BJ330" s="31">
        <f t="shared" si="149"/>
        <v>45656</v>
      </c>
      <c r="BK330" s="27"/>
      <c r="BL330" s="16"/>
      <c r="BM330" s="27"/>
      <c r="BN330" s="16"/>
      <c r="BO330" s="27"/>
      <c r="BP330" s="16"/>
      <c r="BQ330" s="27"/>
      <c r="BR330" s="24"/>
      <c r="BS330" s="24"/>
      <c r="BT330" s="32"/>
      <c r="BU330" s="27"/>
      <c r="BV330" s="24"/>
      <c r="BW330" s="24"/>
      <c r="BX330" s="16"/>
      <c r="BY330" s="27"/>
      <c r="BZ330" s="24"/>
      <c r="CA330" s="24"/>
      <c r="CB330" s="16"/>
      <c r="CC330" s="49">
        <f t="shared" si="150"/>
        <v>0</v>
      </c>
      <c r="CD330" s="24"/>
      <c r="CE330" s="49">
        <f>IF(Y330=0,(W330+CC330)-CD330,IF(Y330&gt;0,(Y330+CC330)-CD330))</f>
        <v>134550000</v>
      </c>
      <c r="CF330" s="50"/>
      <c r="CG330" s="49">
        <f t="shared" ca="1" si="151"/>
        <v>134550000</v>
      </c>
      <c r="CH330" s="33">
        <f t="shared" ca="1" si="152"/>
        <v>1</v>
      </c>
      <c r="CI330" s="33">
        <f t="shared" ca="1" si="153"/>
        <v>1</v>
      </c>
      <c r="CJ330" s="36">
        <f t="shared" ca="1" si="154"/>
        <v>100</v>
      </c>
      <c r="CK330" s="34">
        <f t="shared" si="155"/>
        <v>0</v>
      </c>
      <c r="CL330" s="21"/>
      <c r="CM330" s="35" t="str">
        <f t="shared" ca="1" si="156"/>
        <v>TERMINADO</v>
      </c>
      <c r="CN330" s="82"/>
      <c r="CO330" s="145" t="s">
        <v>2839</v>
      </c>
      <c r="CP330" s="26" t="s">
        <v>142</v>
      </c>
    </row>
    <row r="331" spans="1:94" ht="24.75" customHeight="1">
      <c r="A331" s="48" t="s">
        <v>2840</v>
      </c>
      <c r="B331" s="77" t="s">
        <v>2841</v>
      </c>
      <c r="C331" s="17" t="s">
        <v>104</v>
      </c>
      <c r="D331" s="18" t="s">
        <v>2842</v>
      </c>
      <c r="E331" s="17" t="s">
        <v>106</v>
      </c>
      <c r="F331" s="17" t="s">
        <v>107</v>
      </c>
      <c r="G331" s="17" t="s">
        <v>108</v>
      </c>
      <c r="H331" s="78">
        <v>1023872551</v>
      </c>
      <c r="I331" s="74" t="s">
        <v>2843</v>
      </c>
      <c r="J331" s="16"/>
      <c r="K331" s="16"/>
      <c r="L331" s="20" t="s">
        <v>2844</v>
      </c>
      <c r="M331" s="16" t="s">
        <v>111</v>
      </c>
      <c r="N331" s="115">
        <v>45316</v>
      </c>
      <c r="O331" s="115">
        <v>45320</v>
      </c>
      <c r="P331" s="115">
        <v>45656</v>
      </c>
      <c r="Q331" s="23">
        <f t="shared" si="144"/>
        <v>336</v>
      </c>
      <c r="R331" s="17" t="s">
        <v>242</v>
      </c>
      <c r="S331" s="117" t="s">
        <v>2845</v>
      </c>
      <c r="T331" s="116" t="s">
        <v>1128</v>
      </c>
      <c r="U331" s="67">
        <v>80940000</v>
      </c>
      <c r="V331" s="16" t="s">
        <v>1239</v>
      </c>
      <c r="W331" s="224">
        <v>80940000</v>
      </c>
      <c r="X331" s="24">
        <v>7100000</v>
      </c>
      <c r="Y331" s="24"/>
      <c r="Z331" s="24"/>
      <c r="AA331" s="17" t="s">
        <v>116</v>
      </c>
      <c r="AB331" s="23" t="str">
        <f>IFERROR(VLOOKUP(AA331,Listas!$A$1:$C$14,2,FALSE),"")</f>
        <v>FREDY CÉSPEDES VILLA</v>
      </c>
      <c r="AC331" s="23">
        <f>IFERROR(VLOOKUP(AA331,Listas!$A$1:$C$14,3,FALSE),"")</f>
        <v>93363483</v>
      </c>
      <c r="AD331" s="17" t="s">
        <v>816</v>
      </c>
      <c r="AE331" s="17" t="s">
        <v>817</v>
      </c>
      <c r="AF331" s="23" t="str">
        <f>IFERROR(VLOOKUP(AE331,Listas!$AD$1:$AF$65,2,FALSE),"")</f>
        <v>JOSÉ EDUARDO PARADA JIMÉNEZ</v>
      </c>
      <c r="AG331" s="23">
        <f>IFERROR(VLOOKUP(AE331,Listas!$AD$1:$AF$65,3,FALSE),"")</f>
        <v>79434805</v>
      </c>
      <c r="AH331" s="17" t="s">
        <v>118</v>
      </c>
      <c r="AI331" s="65"/>
      <c r="AJ331" s="25" t="s">
        <v>119</v>
      </c>
      <c r="AK331" s="26" t="s">
        <v>120</v>
      </c>
      <c r="AL331" s="26" t="s">
        <v>120</v>
      </c>
      <c r="AM331" s="90" t="s">
        <v>119</v>
      </c>
      <c r="AN331" s="105">
        <v>31767</v>
      </c>
      <c r="AO331" s="91">
        <f t="shared" ca="1" si="145"/>
        <v>39</v>
      </c>
      <c r="AP331" s="26" t="s">
        <v>121</v>
      </c>
      <c r="AQ331" s="26" t="s">
        <v>819</v>
      </c>
      <c r="AR331" s="89"/>
      <c r="AS331" s="27"/>
      <c r="AT331" s="16"/>
      <c r="AU331" s="27"/>
      <c r="AV331" s="86"/>
      <c r="AW331" s="27"/>
      <c r="AX331" s="27"/>
      <c r="AY331" s="27"/>
      <c r="AZ331" s="27"/>
      <c r="BA331" s="27"/>
      <c r="BB331" s="27"/>
      <c r="BC331" s="97"/>
      <c r="BD331" s="27"/>
      <c r="BE331" s="16"/>
      <c r="BF331" s="28">
        <f t="shared" si="147"/>
        <v>0</v>
      </c>
      <c r="BG331" s="29"/>
      <c r="BH331" s="27"/>
      <c r="BI331" s="30">
        <f t="shared" si="148"/>
        <v>336</v>
      </c>
      <c r="BJ331" s="31">
        <f t="shared" si="149"/>
        <v>45656</v>
      </c>
      <c r="BK331" s="27"/>
      <c r="BL331" s="16"/>
      <c r="BM331" s="27"/>
      <c r="BN331" s="16"/>
      <c r="BO331" s="27"/>
      <c r="BP331" s="16"/>
      <c r="BQ331" s="27"/>
      <c r="BR331" s="24"/>
      <c r="BS331" s="24"/>
      <c r="BT331" s="32"/>
      <c r="BU331" s="27"/>
      <c r="BV331" s="24"/>
      <c r="BW331" s="24"/>
      <c r="BX331" s="16"/>
      <c r="BY331" s="27"/>
      <c r="BZ331" s="24"/>
      <c r="CA331" s="24"/>
      <c r="CB331" s="16"/>
      <c r="CC331" s="49">
        <f t="shared" si="150"/>
        <v>0</v>
      </c>
      <c r="CD331" s="24"/>
      <c r="CE331" s="49">
        <f>IF(Y331=0,(W331+CC331)-CD331,IF(Y331&gt;0,(Y331+CC331)-CD331))</f>
        <v>80940000</v>
      </c>
      <c r="CF331" s="50"/>
      <c r="CG331" s="49">
        <f t="shared" ca="1" si="151"/>
        <v>80940000</v>
      </c>
      <c r="CH331" s="33">
        <f t="shared" ca="1" si="152"/>
        <v>1</v>
      </c>
      <c r="CI331" s="33">
        <f t="shared" ca="1" si="153"/>
        <v>1</v>
      </c>
      <c r="CJ331" s="36">
        <f t="shared" ca="1" si="154"/>
        <v>100</v>
      </c>
      <c r="CK331" s="34">
        <f t="shared" si="155"/>
        <v>0</v>
      </c>
      <c r="CL331" s="21"/>
      <c r="CM331" s="35" t="str">
        <f t="shared" ca="1" si="156"/>
        <v>TERMINADO</v>
      </c>
      <c r="CN331" s="82"/>
      <c r="CO331" s="145" t="s">
        <v>2846</v>
      </c>
      <c r="CP331" s="26" t="s">
        <v>123</v>
      </c>
    </row>
    <row r="332" spans="1:94" ht="24.75" customHeight="1">
      <c r="A332" s="48" t="s">
        <v>2847</v>
      </c>
      <c r="B332" s="77" t="s">
        <v>2848</v>
      </c>
      <c r="C332" s="17" t="s">
        <v>104</v>
      </c>
      <c r="D332" s="18" t="s">
        <v>2849</v>
      </c>
      <c r="E332" s="17" t="s">
        <v>106</v>
      </c>
      <c r="F332" s="17" t="s">
        <v>107</v>
      </c>
      <c r="G332" s="17" t="s">
        <v>108</v>
      </c>
      <c r="H332" s="78">
        <v>52375350</v>
      </c>
      <c r="I332" s="74" t="s">
        <v>2850</v>
      </c>
      <c r="J332" s="16"/>
      <c r="K332" s="16"/>
      <c r="L332" s="20" t="s">
        <v>2851</v>
      </c>
      <c r="M332" s="16" t="s">
        <v>111</v>
      </c>
      <c r="N332" s="115">
        <v>45316</v>
      </c>
      <c r="O332" s="115">
        <v>45321</v>
      </c>
      <c r="P332" s="115">
        <v>45656</v>
      </c>
      <c r="Q332" s="23">
        <f t="shared" si="144"/>
        <v>335</v>
      </c>
      <c r="R332" s="17" t="s">
        <v>242</v>
      </c>
      <c r="S332" s="117" t="s">
        <v>2852</v>
      </c>
      <c r="T332" s="116" t="s">
        <v>1128</v>
      </c>
      <c r="U332" s="67">
        <v>80940000</v>
      </c>
      <c r="V332" s="16" t="s">
        <v>1239</v>
      </c>
      <c r="W332" s="224">
        <v>73173333</v>
      </c>
      <c r="X332" s="24">
        <v>6400000</v>
      </c>
      <c r="Y332" s="24"/>
      <c r="Z332" s="24"/>
      <c r="AA332" s="17" t="s">
        <v>116</v>
      </c>
      <c r="AB332" s="23" t="str">
        <f>IFERROR(VLOOKUP(AA332,Listas!$A$1:$C$14,2,FALSE),"")</f>
        <v>FREDY CÉSPEDES VILLA</v>
      </c>
      <c r="AC332" s="23">
        <f>IFERROR(VLOOKUP(AA332,Listas!$A$1:$C$14,3,FALSE),"")</f>
        <v>93363483</v>
      </c>
      <c r="AD332" s="17" t="s">
        <v>816</v>
      </c>
      <c r="AE332" s="17" t="s">
        <v>817</v>
      </c>
      <c r="AF332" s="23" t="str">
        <f>IFERROR(VLOOKUP(AE332,Listas!$AD$1:$AF$65,2,FALSE),"")</f>
        <v>JOSÉ EDUARDO PARADA JIMÉNEZ</v>
      </c>
      <c r="AG332" s="23">
        <f>IFERROR(VLOOKUP(AE332,Listas!$AD$1:$AF$65,3,FALSE),"")</f>
        <v>79434805</v>
      </c>
      <c r="AH332" s="17" t="s">
        <v>118</v>
      </c>
      <c r="AI332" s="65" t="s">
        <v>2853</v>
      </c>
      <c r="AJ332" s="25" t="s">
        <v>119</v>
      </c>
      <c r="AK332" s="26" t="s">
        <v>120</v>
      </c>
      <c r="AL332" s="26" t="s">
        <v>120</v>
      </c>
      <c r="AM332" s="90" t="s">
        <v>119</v>
      </c>
      <c r="AN332" s="105">
        <v>27936</v>
      </c>
      <c r="AO332" s="91">
        <f t="shared" ca="1" si="145"/>
        <v>49</v>
      </c>
      <c r="AP332" s="26" t="s">
        <v>121</v>
      </c>
      <c r="AQ332" s="26" t="s">
        <v>819</v>
      </c>
      <c r="AR332" s="89"/>
      <c r="AS332" s="27"/>
      <c r="AT332" s="16"/>
      <c r="AU332" s="27"/>
      <c r="AV332" s="86"/>
      <c r="AW332" s="27"/>
      <c r="AX332" s="27"/>
      <c r="AY332" s="27"/>
      <c r="AZ332" s="27"/>
      <c r="BA332" s="27"/>
      <c r="BB332" s="27"/>
      <c r="BC332" s="97"/>
      <c r="BD332" s="27"/>
      <c r="BE332" s="16"/>
      <c r="BF332" s="28">
        <f t="shared" si="147"/>
        <v>0</v>
      </c>
      <c r="BG332" s="29"/>
      <c r="BH332" s="27"/>
      <c r="BI332" s="30">
        <f t="shared" si="148"/>
        <v>335</v>
      </c>
      <c r="BJ332" s="31">
        <f t="shared" si="149"/>
        <v>45656</v>
      </c>
      <c r="BK332" s="27"/>
      <c r="BL332" s="16"/>
      <c r="BM332" s="27"/>
      <c r="BN332" s="16"/>
      <c r="BO332" s="27"/>
      <c r="BP332" s="16"/>
      <c r="BQ332" s="27"/>
      <c r="BR332" s="24"/>
      <c r="BS332" s="24"/>
      <c r="BT332" s="32"/>
      <c r="BU332" s="27"/>
      <c r="BV332" s="24"/>
      <c r="BW332" s="24"/>
      <c r="BX332" s="16"/>
      <c r="BY332" s="27"/>
      <c r="BZ332" s="24"/>
      <c r="CA332" s="24"/>
      <c r="CB332" s="16"/>
      <c r="CC332" s="49">
        <f t="shared" si="150"/>
        <v>0</v>
      </c>
      <c r="CD332" s="24"/>
      <c r="CE332" s="49">
        <f>IF(Y332=0,(W332+CC332)-CD332,IF(Y332&gt;0,(Y332+CC332)-CD332))</f>
        <v>73173333</v>
      </c>
      <c r="CF332" s="50"/>
      <c r="CG332" s="49">
        <f t="shared" ca="1" si="151"/>
        <v>73173333</v>
      </c>
      <c r="CH332" s="33">
        <f t="shared" ca="1" si="152"/>
        <v>1</v>
      </c>
      <c r="CI332" s="33">
        <f t="shared" ca="1" si="153"/>
        <v>1</v>
      </c>
      <c r="CJ332" s="36">
        <f t="shared" ca="1" si="154"/>
        <v>100</v>
      </c>
      <c r="CK332" s="34">
        <f t="shared" si="155"/>
        <v>0</v>
      </c>
      <c r="CL332" s="21"/>
      <c r="CM332" s="35" t="str">
        <f t="shared" ca="1" si="156"/>
        <v>TERMINADO</v>
      </c>
      <c r="CN332" s="82"/>
      <c r="CO332" s="145" t="s">
        <v>2854</v>
      </c>
      <c r="CP332" s="26" t="s">
        <v>123</v>
      </c>
    </row>
    <row r="333" spans="1:94" ht="24.75" customHeight="1">
      <c r="A333" s="48" t="s">
        <v>2855</v>
      </c>
      <c r="B333" s="77" t="s">
        <v>2856</v>
      </c>
      <c r="C333" s="17" t="s">
        <v>104</v>
      </c>
      <c r="D333" s="18" t="s">
        <v>2857</v>
      </c>
      <c r="E333" s="17" t="s">
        <v>106</v>
      </c>
      <c r="F333" s="17" t="s">
        <v>107</v>
      </c>
      <c r="G333" s="17" t="s">
        <v>108</v>
      </c>
      <c r="H333" s="78">
        <v>1014241128</v>
      </c>
      <c r="I333" s="74" t="s">
        <v>2858</v>
      </c>
      <c r="J333" s="16"/>
      <c r="K333" s="16"/>
      <c r="L333" s="20" t="s">
        <v>2187</v>
      </c>
      <c r="M333" s="16" t="s">
        <v>111</v>
      </c>
      <c r="N333" s="115">
        <v>45320</v>
      </c>
      <c r="O333" s="115">
        <v>45322</v>
      </c>
      <c r="P333" s="115">
        <v>45657</v>
      </c>
      <c r="Q333" s="23">
        <f t="shared" si="144"/>
        <v>335</v>
      </c>
      <c r="R333" s="17" t="s">
        <v>242</v>
      </c>
      <c r="S333" s="117" t="s">
        <v>2859</v>
      </c>
      <c r="T333" s="116" t="s">
        <v>1145</v>
      </c>
      <c r="U333" s="67">
        <v>70512250</v>
      </c>
      <c r="V333" s="16" t="s">
        <v>426</v>
      </c>
      <c r="W333" s="224">
        <v>70512250</v>
      </c>
      <c r="X333" s="24">
        <v>6131500</v>
      </c>
      <c r="Y333" s="24"/>
      <c r="Z333" s="24"/>
      <c r="AA333" s="17" t="s">
        <v>116</v>
      </c>
      <c r="AB333" s="23" t="str">
        <f>IFERROR(VLOOKUP(AA333,Listas!$A$1:$C$14,2,FALSE),"")</f>
        <v>FREDY CÉSPEDES VILLA</v>
      </c>
      <c r="AC333" s="23">
        <f>IFERROR(VLOOKUP(AA333,Listas!$A$1:$C$14,3,FALSE),"")</f>
        <v>93363483</v>
      </c>
      <c r="AD333" s="17" t="s">
        <v>427</v>
      </c>
      <c r="AE333" s="17" t="s">
        <v>2561</v>
      </c>
      <c r="AF333" s="23" t="str">
        <f>IFERROR(VLOOKUP(AE333,Listas!$AD$1:$AF$65,2,FALSE),"")</f>
        <v>MARÍA TERESA COMBARIZA MARTÍN</v>
      </c>
      <c r="AG333" s="23">
        <f>IFERROR(VLOOKUP(AE333,Listas!$AD$1:$AF$65,3,FALSE),"")</f>
        <v>51803256</v>
      </c>
      <c r="AH333" s="17" t="s">
        <v>118</v>
      </c>
      <c r="AI333" s="65"/>
      <c r="AJ333" s="25" t="s">
        <v>119</v>
      </c>
      <c r="AK333" s="26" t="s">
        <v>120</v>
      </c>
      <c r="AL333" s="26" t="s">
        <v>120</v>
      </c>
      <c r="AM333" s="90" t="s">
        <v>119</v>
      </c>
      <c r="AN333" s="105">
        <v>33966</v>
      </c>
      <c r="AO333" s="91">
        <f t="shared" ca="1" si="145"/>
        <v>33</v>
      </c>
      <c r="AP333" s="26" t="s">
        <v>121</v>
      </c>
      <c r="AQ333" s="26" t="s">
        <v>1272</v>
      </c>
      <c r="AR333" s="89"/>
      <c r="AS333" s="27"/>
      <c r="AT333" s="16"/>
      <c r="AU333" s="27"/>
      <c r="AV333" s="86"/>
      <c r="AW333" s="27"/>
      <c r="AX333" s="27"/>
      <c r="AY333" s="27"/>
      <c r="AZ333" s="27"/>
      <c r="BA333" s="27"/>
      <c r="BB333" s="27"/>
      <c r="BC333" s="97"/>
      <c r="BD333" s="27"/>
      <c r="BE333" s="16"/>
      <c r="BF333" s="28">
        <f t="shared" si="147"/>
        <v>0</v>
      </c>
      <c r="BG333" s="29"/>
      <c r="BH333" s="27"/>
      <c r="BI333" s="30">
        <f t="shared" si="148"/>
        <v>335</v>
      </c>
      <c r="BJ333" s="31">
        <f t="shared" si="149"/>
        <v>45657</v>
      </c>
      <c r="BK333" s="27"/>
      <c r="BL333" s="16"/>
      <c r="BM333" s="27"/>
      <c r="BN333" s="16"/>
      <c r="BO333" s="27"/>
      <c r="BP333" s="16"/>
      <c r="BQ333" s="27"/>
      <c r="BR333" s="24"/>
      <c r="BS333" s="24"/>
      <c r="BT333" s="32"/>
      <c r="BU333" s="27"/>
      <c r="BV333" s="24"/>
      <c r="BW333" s="24"/>
      <c r="BX333" s="16"/>
      <c r="BY333" s="27"/>
      <c r="BZ333" s="24"/>
      <c r="CA333" s="24"/>
      <c r="CB333" s="16"/>
      <c r="CC333" s="49">
        <f t="shared" si="150"/>
        <v>0</v>
      </c>
      <c r="CD333" s="24"/>
      <c r="CE333" s="49">
        <f>IF(Y333=0,(X333+CC333)-CD333,IF(Y333&gt;0,(Y333+CC333)-CD333))</f>
        <v>6131500</v>
      </c>
      <c r="CF333" s="50"/>
      <c r="CG333" s="49">
        <f t="shared" ca="1" si="151"/>
        <v>6131500</v>
      </c>
      <c r="CH333" s="33">
        <f t="shared" ca="1" si="152"/>
        <v>1</v>
      </c>
      <c r="CI333" s="33">
        <f t="shared" ca="1" si="153"/>
        <v>1</v>
      </c>
      <c r="CJ333" s="36">
        <f t="shared" ca="1" si="154"/>
        <v>100</v>
      </c>
      <c r="CK333" s="34">
        <f t="shared" si="155"/>
        <v>0</v>
      </c>
      <c r="CL333" s="21"/>
      <c r="CM333" s="35" t="str">
        <f t="shared" ca="1" si="156"/>
        <v>TERMINADO</v>
      </c>
      <c r="CN333" s="82"/>
      <c r="CO333" s="145" t="s">
        <v>2860</v>
      </c>
      <c r="CP333" s="26" t="s">
        <v>123</v>
      </c>
    </row>
    <row r="334" spans="1:94" ht="24.75" customHeight="1">
      <c r="A334" s="48" t="s">
        <v>2861</v>
      </c>
      <c r="B334" s="77" t="s">
        <v>2862</v>
      </c>
      <c r="C334" s="17" t="s">
        <v>104</v>
      </c>
      <c r="D334" s="18" t="s">
        <v>2863</v>
      </c>
      <c r="E334" s="17" t="s">
        <v>106</v>
      </c>
      <c r="F334" s="17" t="s">
        <v>107</v>
      </c>
      <c r="G334" s="17" t="s">
        <v>108</v>
      </c>
      <c r="H334" s="78">
        <v>1030553113</v>
      </c>
      <c r="I334" s="74" t="s">
        <v>2864</v>
      </c>
      <c r="J334" s="16"/>
      <c r="K334" s="16"/>
      <c r="L334" s="20" t="s">
        <v>2865</v>
      </c>
      <c r="M334" s="16" t="s">
        <v>111</v>
      </c>
      <c r="N334" s="115">
        <v>45317</v>
      </c>
      <c r="O334" s="115">
        <v>45321</v>
      </c>
      <c r="P334" s="115">
        <v>45656</v>
      </c>
      <c r="Q334" s="23">
        <f t="shared" si="144"/>
        <v>335</v>
      </c>
      <c r="R334" s="17" t="s">
        <v>242</v>
      </c>
      <c r="S334" s="117" t="s">
        <v>2866</v>
      </c>
      <c r="T334" s="116" t="s">
        <v>1128</v>
      </c>
      <c r="U334" s="67">
        <v>83220000</v>
      </c>
      <c r="V334" s="16" t="s">
        <v>815</v>
      </c>
      <c r="W334" s="224">
        <v>83220000</v>
      </c>
      <c r="X334" s="24">
        <v>7300000</v>
      </c>
      <c r="Y334" s="24"/>
      <c r="Z334" s="24"/>
      <c r="AA334" s="17" t="s">
        <v>116</v>
      </c>
      <c r="AB334" s="23" t="str">
        <f>IFERROR(VLOOKUP(AA334,Listas!$A$1:$C$14,2,FALSE),"")</f>
        <v>FREDY CÉSPEDES VILLA</v>
      </c>
      <c r="AC334" s="23">
        <f>IFERROR(VLOOKUP(AA334,Listas!$A$1:$C$14,3,FALSE),"")</f>
        <v>93363483</v>
      </c>
      <c r="AD334" s="17" t="s">
        <v>816</v>
      </c>
      <c r="AE334" s="17" t="s">
        <v>817</v>
      </c>
      <c r="AF334" s="23" t="str">
        <f>IFERROR(VLOOKUP(AE334,Listas!$AD$1:$AF$65,2,FALSE),"")</f>
        <v>JOSÉ EDUARDO PARADA JIMÉNEZ</v>
      </c>
      <c r="AG334" s="23">
        <f>IFERROR(VLOOKUP(AE334,Listas!$AD$1:$AF$65,3,FALSE),"")</f>
        <v>79434805</v>
      </c>
      <c r="AH334" s="17" t="s">
        <v>118</v>
      </c>
      <c r="AI334" s="65" t="s">
        <v>2867</v>
      </c>
      <c r="AJ334" s="25" t="s">
        <v>119</v>
      </c>
      <c r="AK334" s="26" t="s">
        <v>120</v>
      </c>
      <c r="AL334" s="26" t="s">
        <v>120</v>
      </c>
      <c r="AM334" s="90" t="s">
        <v>119</v>
      </c>
      <c r="AN334" s="105">
        <v>32532</v>
      </c>
      <c r="AO334" s="91">
        <f t="shared" ca="1" si="145"/>
        <v>36</v>
      </c>
      <c r="AP334" s="26" t="s">
        <v>121</v>
      </c>
      <c r="AQ334" s="26" t="s">
        <v>819</v>
      </c>
      <c r="AR334" s="89"/>
      <c r="AS334" s="27"/>
      <c r="AT334" s="16"/>
      <c r="AU334" s="27"/>
      <c r="AV334" s="86"/>
      <c r="AW334" s="27"/>
      <c r="AX334" s="27"/>
      <c r="AY334" s="27"/>
      <c r="AZ334" s="27"/>
      <c r="BA334" s="27"/>
      <c r="BB334" s="27"/>
      <c r="BC334" s="97"/>
      <c r="BD334" s="27"/>
      <c r="BE334" s="16"/>
      <c r="BF334" s="28">
        <f t="shared" si="147"/>
        <v>0</v>
      </c>
      <c r="BG334" s="29"/>
      <c r="BH334" s="27"/>
      <c r="BI334" s="30">
        <f t="shared" si="148"/>
        <v>335</v>
      </c>
      <c r="BJ334" s="31">
        <f t="shared" si="149"/>
        <v>45656</v>
      </c>
      <c r="BK334" s="27"/>
      <c r="BL334" s="16"/>
      <c r="BM334" s="27"/>
      <c r="BN334" s="16"/>
      <c r="BO334" s="27"/>
      <c r="BP334" s="16"/>
      <c r="BQ334" s="27"/>
      <c r="BR334" s="24"/>
      <c r="BS334" s="24"/>
      <c r="BT334" s="32"/>
      <c r="BU334" s="27"/>
      <c r="BV334" s="24"/>
      <c r="BW334" s="24"/>
      <c r="BX334" s="16"/>
      <c r="BY334" s="27"/>
      <c r="BZ334" s="24"/>
      <c r="CA334" s="24"/>
      <c r="CB334" s="16"/>
      <c r="CC334" s="49">
        <f t="shared" si="150"/>
        <v>0</v>
      </c>
      <c r="CD334" s="24"/>
      <c r="CE334" s="49">
        <f>IF(Y334=0,(W334+CC334)-CD334,IF(Y334&gt;0,(Y334+CC334)-CD334))</f>
        <v>83220000</v>
      </c>
      <c r="CF334" s="50"/>
      <c r="CG334" s="49">
        <f t="shared" ca="1" si="151"/>
        <v>83220000</v>
      </c>
      <c r="CH334" s="33">
        <f t="shared" ca="1" si="152"/>
        <v>1</v>
      </c>
      <c r="CI334" s="33">
        <f t="shared" ca="1" si="153"/>
        <v>1</v>
      </c>
      <c r="CJ334" s="36">
        <f t="shared" ca="1" si="154"/>
        <v>100</v>
      </c>
      <c r="CK334" s="34">
        <f t="shared" si="155"/>
        <v>0</v>
      </c>
      <c r="CL334" s="21"/>
      <c r="CM334" s="35" t="str">
        <f t="shared" ca="1" si="156"/>
        <v>TERMINADO</v>
      </c>
      <c r="CN334" s="82"/>
      <c r="CO334" s="145" t="s">
        <v>2868</v>
      </c>
      <c r="CP334" s="26" t="s">
        <v>123</v>
      </c>
    </row>
    <row r="335" spans="1:94" ht="24.75" customHeight="1">
      <c r="A335" s="48" t="s">
        <v>2869</v>
      </c>
      <c r="B335" s="77" t="s">
        <v>2870</v>
      </c>
      <c r="C335" s="17" t="s">
        <v>104</v>
      </c>
      <c r="D335" s="18" t="s">
        <v>2871</v>
      </c>
      <c r="E335" s="17" t="s">
        <v>106</v>
      </c>
      <c r="F335" s="17" t="s">
        <v>107</v>
      </c>
      <c r="G335" s="17" t="s">
        <v>108</v>
      </c>
      <c r="H335" s="78">
        <v>42098269</v>
      </c>
      <c r="I335" s="74" t="s">
        <v>2872</v>
      </c>
      <c r="J335" s="16"/>
      <c r="K335" s="16"/>
      <c r="L335" s="20" t="s">
        <v>2873</v>
      </c>
      <c r="M335" s="16" t="s">
        <v>111</v>
      </c>
      <c r="N335" s="115">
        <v>45316</v>
      </c>
      <c r="O335" s="115">
        <v>45321</v>
      </c>
      <c r="P335" s="115">
        <v>45656</v>
      </c>
      <c r="Q335" s="23">
        <f t="shared" si="144"/>
        <v>335</v>
      </c>
      <c r="R335" s="17" t="s">
        <v>242</v>
      </c>
      <c r="S335" s="117" t="s">
        <v>2874</v>
      </c>
      <c r="T335" s="116" t="s">
        <v>732</v>
      </c>
      <c r="U335" s="67">
        <v>139771168</v>
      </c>
      <c r="V335" s="16" t="s">
        <v>894</v>
      </c>
      <c r="W335" s="224">
        <v>139771168</v>
      </c>
      <c r="X335" s="24">
        <v>11647597</v>
      </c>
      <c r="Y335" s="24"/>
      <c r="Z335" s="24"/>
      <c r="AA335" s="17" t="s">
        <v>116</v>
      </c>
      <c r="AB335" s="23" t="str">
        <f>IFERROR(VLOOKUP(AA335,Listas!$A$1:$C$14,2,FALSE),"")</f>
        <v>FREDY CÉSPEDES VILLA</v>
      </c>
      <c r="AC335" s="23">
        <f>IFERROR(VLOOKUP(AA335,Listas!$A$1:$C$14,3,FALSE),"")</f>
        <v>93363483</v>
      </c>
      <c r="AD335" s="17" t="s">
        <v>588</v>
      </c>
      <c r="AE335" s="17" t="s">
        <v>589</v>
      </c>
      <c r="AF335" s="23" t="str">
        <f>IFERROR(VLOOKUP(AE335,Listas!$AD$1:$AF$65,2,FALSE),"")</f>
        <v>ANA LUCY CASTRO CASTRO</v>
      </c>
      <c r="AG335" s="23">
        <f>IFERROR(VLOOKUP(AE335,Listas!$AD$1:$AF$65,3,FALSE),"")</f>
        <v>51743499</v>
      </c>
      <c r="AH335" s="17" t="s">
        <v>118</v>
      </c>
      <c r="AI335" s="65" t="s">
        <v>2875</v>
      </c>
      <c r="AJ335" s="25" t="s">
        <v>119</v>
      </c>
      <c r="AK335" s="26" t="s">
        <v>120</v>
      </c>
      <c r="AL335" s="26" t="s">
        <v>120</v>
      </c>
      <c r="AM335" s="90" t="s">
        <v>119</v>
      </c>
      <c r="AN335" s="105">
        <v>25871</v>
      </c>
      <c r="AO335" s="91">
        <f t="shared" ca="1" si="145"/>
        <v>55</v>
      </c>
      <c r="AP335" s="26" t="s">
        <v>121</v>
      </c>
      <c r="AQ335" s="26" t="s">
        <v>486</v>
      </c>
      <c r="AR335" s="89"/>
      <c r="AS335" s="27"/>
      <c r="AT335" s="16"/>
      <c r="AU335" s="27"/>
      <c r="AV335" s="86"/>
      <c r="AW335" s="27"/>
      <c r="AX335" s="27"/>
      <c r="AY335" s="27"/>
      <c r="AZ335" s="27"/>
      <c r="BA335" s="27"/>
      <c r="BB335" s="27"/>
      <c r="BC335" s="97"/>
      <c r="BD335" s="27"/>
      <c r="BE335" s="16"/>
      <c r="BF335" s="28">
        <f t="shared" si="147"/>
        <v>0</v>
      </c>
      <c r="BG335" s="29"/>
      <c r="BH335" s="27"/>
      <c r="BI335" s="30">
        <f t="shared" si="148"/>
        <v>335</v>
      </c>
      <c r="BJ335" s="31">
        <f t="shared" si="149"/>
        <v>45656</v>
      </c>
      <c r="BK335" s="27"/>
      <c r="BL335" s="16"/>
      <c r="BM335" s="27"/>
      <c r="BN335" s="16"/>
      <c r="BO335" s="27"/>
      <c r="BP335" s="16"/>
      <c r="BQ335" s="27"/>
      <c r="BR335" s="24"/>
      <c r="BS335" s="24"/>
      <c r="BT335" s="32"/>
      <c r="BU335" s="27"/>
      <c r="BV335" s="24"/>
      <c r="BW335" s="24"/>
      <c r="BX335" s="16"/>
      <c r="BY335" s="27"/>
      <c r="BZ335" s="24"/>
      <c r="CA335" s="24"/>
      <c r="CB335" s="16"/>
      <c r="CC335" s="49">
        <f t="shared" si="150"/>
        <v>0</v>
      </c>
      <c r="CD335" s="24"/>
      <c r="CE335" s="49">
        <f>IF(Y335=0,(W335+CC335)-CD335,IF(Y335&gt;0,(Y335+CC335)-CD335))</f>
        <v>139771168</v>
      </c>
      <c r="CF335" s="50"/>
      <c r="CG335" s="49">
        <f t="shared" ca="1" si="151"/>
        <v>139771168</v>
      </c>
      <c r="CH335" s="33">
        <f t="shared" ca="1" si="152"/>
        <v>1</v>
      </c>
      <c r="CI335" s="33">
        <f t="shared" ca="1" si="153"/>
        <v>1</v>
      </c>
      <c r="CJ335" s="36">
        <f t="shared" ca="1" si="154"/>
        <v>100</v>
      </c>
      <c r="CK335" s="34">
        <f t="shared" si="155"/>
        <v>0</v>
      </c>
      <c r="CL335" s="21"/>
      <c r="CM335" s="35" t="str">
        <f t="shared" ca="1" si="156"/>
        <v>TERMINADO</v>
      </c>
      <c r="CN335" s="82"/>
      <c r="CO335" s="145" t="s">
        <v>2876</v>
      </c>
      <c r="CP335" s="26" t="s">
        <v>123</v>
      </c>
    </row>
    <row r="336" spans="1:94" ht="24.75" customHeight="1">
      <c r="A336" s="48" t="s">
        <v>2877</v>
      </c>
      <c r="B336" s="77" t="s">
        <v>2878</v>
      </c>
      <c r="C336" s="17" t="s">
        <v>104</v>
      </c>
      <c r="D336" s="18" t="s">
        <v>2879</v>
      </c>
      <c r="E336" s="17" t="s">
        <v>106</v>
      </c>
      <c r="F336" s="17" t="s">
        <v>107</v>
      </c>
      <c r="G336" s="17" t="s">
        <v>108</v>
      </c>
      <c r="H336" s="78">
        <v>88245744</v>
      </c>
      <c r="I336" s="74" t="s">
        <v>2880</v>
      </c>
      <c r="J336" s="16"/>
      <c r="K336" s="16"/>
      <c r="L336" s="20" t="s">
        <v>2881</v>
      </c>
      <c r="M336" s="16" t="s">
        <v>111</v>
      </c>
      <c r="N336" s="115">
        <v>45317</v>
      </c>
      <c r="O336" s="115">
        <v>45321</v>
      </c>
      <c r="P336" s="115">
        <v>45656</v>
      </c>
      <c r="Q336" s="23">
        <f t="shared" si="144"/>
        <v>335</v>
      </c>
      <c r="R336" s="17" t="s">
        <v>112</v>
      </c>
      <c r="S336" s="117" t="s">
        <v>2882</v>
      </c>
      <c r="T336" s="116" t="s">
        <v>1495</v>
      </c>
      <c r="U336" s="67">
        <v>132000000</v>
      </c>
      <c r="V336" s="16" t="s">
        <v>1418</v>
      </c>
      <c r="W336" s="224">
        <v>132000000</v>
      </c>
      <c r="X336" s="24">
        <v>11000000</v>
      </c>
      <c r="Y336" s="24"/>
      <c r="Z336" s="24"/>
      <c r="AA336" s="17" t="s">
        <v>116</v>
      </c>
      <c r="AB336" s="23" t="str">
        <f>IFERROR(VLOOKUP(AA336,Listas!$A$1:$C$14,2,FALSE),"")</f>
        <v>FREDY CÉSPEDES VILLA</v>
      </c>
      <c r="AC336" s="23">
        <f>IFERROR(VLOOKUP(AA336,Listas!$A$1:$C$14,3,FALSE),"")</f>
        <v>93363483</v>
      </c>
      <c r="AD336" s="17" t="s">
        <v>116</v>
      </c>
      <c r="AE336" s="17" t="s">
        <v>484</v>
      </c>
      <c r="AF336" s="23" t="str">
        <f>IFERROR(VLOOKUP(AE336,Listas!$AD$1:$AF$65,2,FALSE),"")</f>
        <v>JAIME ANDRES GIL ACOSTA</v>
      </c>
      <c r="AG336" s="23">
        <f>IFERROR(VLOOKUP(AE336,Listas!$AD$1:$AF$65,3,FALSE),"")</f>
        <v>98622827</v>
      </c>
      <c r="AH336" s="17" t="s">
        <v>118</v>
      </c>
      <c r="AI336" s="65" t="s">
        <v>2883</v>
      </c>
      <c r="AJ336" s="25" t="s">
        <v>119</v>
      </c>
      <c r="AK336" s="26" t="s">
        <v>120</v>
      </c>
      <c r="AL336" s="26" t="s">
        <v>120</v>
      </c>
      <c r="AM336" s="90" t="s">
        <v>119</v>
      </c>
      <c r="AN336" s="105">
        <v>29432</v>
      </c>
      <c r="AO336" s="91">
        <f t="shared" ca="1" si="145"/>
        <v>45</v>
      </c>
      <c r="AP336" s="26" t="s">
        <v>121</v>
      </c>
      <c r="AQ336" s="26" t="s">
        <v>486</v>
      </c>
      <c r="AR336" s="89"/>
      <c r="AS336" s="27"/>
      <c r="AT336" s="16"/>
      <c r="AU336" s="27"/>
      <c r="AV336" s="86"/>
      <c r="AW336" s="27"/>
      <c r="AX336" s="27"/>
      <c r="AY336" s="27"/>
      <c r="AZ336" s="27"/>
      <c r="BA336" s="27"/>
      <c r="BB336" s="27"/>
      <c r="BC336" s="97"/>
      <c r="BD336" s="27"/>
      <c r="BE336" s="16"/>
      <c r="BF336" s="28">
        <f t="shared" si="147"/>
        <v>0</v>
      </c>
      <c r="BG336" s="29"/>
      <c r="BH336" s="27"/>
      <c r="BI336" s="30">
        <f t="shared" si="148"/>
        <v>335</v>
      </c>
      <c r="BJ336" s="31">
        <f t="shared" si="149"/>
        <v>45656</v>
      </c>
      <c r="BK336" s="27"/>
      <c r="BL336" s="16"/>
      <c r="BM336" s="27"/>
      <c r="BN336" s="16"/>
      <c r="BO336" s="27"/>
      <c r="BP336" s="16"/>
      <c r="BQ336" s="27"/>
      <c r="BR336" s="24"/>
      <c r="BS336" s="24"/>
      <c r="BT336" s="32"/>
      <c r="BU336" s="27"/>
      <c r="BV336" s="24"/>
      <c r="BW336" s="24"/>
      <c r="BX336" s="16"/>
      <c r="BY336" s="27"/>
      <c r="BZ336" s="24"/>
      <c r="CA336" s="24"/>
      <c r="CB336" s="16"/>
      <c r="CC336" s="49">
        <f t="shared" si="150"/>
        <v>0</v>
      </c>
      <c r="CD336" s="24"/>
      <c r="CE336" s="49">
        <f>IF(Y336=0,(W336+CC336)-CD336,IF(Y336&gt;0,(Y336+CC336)-CD336))</f>
        <v>132000000</v>
      </c>
      <c r="CF336" s="50"/>
      <c r="CG336" s="49">
        <f t="shared" ca="1" si="151"/>
        <v>132000000</v>
      </c>
      <c r="CH336" s="33">
        <f t="shared" ca="1" si="152"/>
        <v>1</v>
      </c>
      <c r="CI336" s="33">
        <f t="shared" ca="1" si="153"/>
        <v>1</v>
      </c>
      <c r="CJ336" s="36">
        <f t="shared" ca="1" si="154"/>
        <v>100</v>
      </c>
      <c r="CK336" s="34">
        <f t="shared" si="155"/>
        <v>0</v>
      </c>
      <c r="CL336" s="21"/>
      <c r="CM336" s="35" t="str">
        <f t="shared" ca="1" si="156"/>
        <v>TERMINADO</v>
      </c>
      <c r="CN336" s="82"/>
      <c r="CO336" s="145" t="s">
        <v>2884</v>
      </c>
      <c r="CP336" s="26" t="s">
        <v>142</v>
      </c>
    </row>
    <row r="337" spans="1:94" ht="24.75" customHeight="1">
      <c r="A337" s="48" t="s">
        <v>2885</v>
      </c>
      <c r="B337" s="77" t="s">
        <v>2886</v>
      </c>
      <c r="C337" s="17" t="s">
        <v>104</v>
      </c>
      <c r="D337" s="18" t="s">
        <v>2887</v>
      </c>
      <c r="E337" s="17" t="s">
        <v>106</v>
      </c>
      <c r="F337" s="17" t="s">
        <v>107</v>
      </c>
      <c r="G337" s="17" t="s">
        <v>108</v>
      </c>
      <c r="H337" s="78">
        <v>80366039</v>
      </c>
      <c r="I337" s="74" t="s">
        <v>2888</v>
      </c>
      <c r="J337" s="16"/>
      <c r="K337" s="16"/>
      <c r="L337" s="20" t="s">
        <v>2889</v>
      </c>
      <c r="M337" s="16" t="s">
        <v>111</v>
      </c>
      <c r="N337" s="115">
        <v>45317</v>
      </c>
      <c r="O337" s="115">
        <v>45317</v>
      </c>
      <c r="P337" s="115">
        <v>45656</v>
      </c>
      <c r="Q337" s="23">
        <f t="shared" si="144"/>
        <v>339</v>
      </c>
      <c r="R337" s="17" t="s">
        <v>112</v>
      </c>
      <c r="S337" s="117" t="s">
        <v>2890</v>
      </c>
      <c r="T337" s="116" t="s">
        <v>1495</v>
      </c>
      <c r="U337" s="67">
        <v>106200000</v>
      </c>
      <c r="V337" s="16" t="s">
        <v>1418</v>
      </c>
      <c r="W337" s="224">
        <v>106200000</v>
      </c>
      <c r="X337" s="24">
        <v>8850000</v>
      </c>
      <c r="Y337" s="24"/>
      <c r="Z337" s="24"/>
      <c r="AA337" s="17" t="s">
        <v>116</v>
      </c>
      <c r="AB337" s="23" t="str">
        <f>IFERROR(VLOOKUP(AA337,Listas!$A$1:$C$14,2,FALSE),"")</f>
        <v>FREDY CÉSPEDES VILLA</v>
      </c>
      <c r="AC337" s="23">
        <f>IFERROR(VLOOKUP(AA337,Listas!$A$1:$C$14,3,FALSE),"")</f>
        <v>93363483</v>
      </c>
      <c r="AD337" s="17" t="s">
        <v>116</v>
      </c>
      <c r="AE337" s="17" t="s">
        <v>484</v>
      </c>
      <c r="AF337" s="23" t="str">
        <f>IFERROR(VLOOKUP(AE337,Listas!$AD$1:$AF$65,2,FALSE),"")</f>
        <v>JAIME ANDRES GIL ACOSTA</v>
      </c>
      <c r="AG337" s="23">
        <f>IFERROR(VLOOKUP(AE337,Listas!$AD$1:$AF$65,3,FALSE),"")</f>
        <v>98622827</v>
      </c>
      <c r="AH337" s="17" t="s">
        <v>118</v>
      </c>
      <c r="AI337" s="65" t="s">
        <v>2891</v>
      </c>
      <c r="AJ337" s="25" t="s">
        <v>119</v>
      </c>
      <c r="AK337" s="26" t="s">
        <v>120</v>
      </c>
      <c r="AL337" s="26" t="s">
        <v>120</v>
      </c>
      <c r="AM337" s="90" t="s">
        <v>119</v>
      </c>
      <c r="AN337" s="105">
        <v>24534</v>
      </c>
      <c r="AO337" s="91">
        <f t="shared" ca="1" si="145"/>
        <v>58</v>
      </c>
      <c r="AP337" s="26" t="s">
        <v>121</v>
      </c>
      <c r="AQ337" s="26" t="s">
        <v>122</v>
      </c>
      <c r="AR337" s="89"/>
      <c r="AS337" s="27"/>
      <c r="AT337" s="16"/>
      <c r="AU337" s="27"/>
      <c r="AV337" s="86"/>
      <c r="AW337" s="27"/>
      <c r="AX337" s="27"/>
      <c r="AY337" s="27"/>
      <c r="AZ337" s="27"/>
      <c r="BA337" s="27"/>
      <c r="BB337" s="27"/>
      <c r="BC337" s="97"/>
      <c r="BD337" s="27"/>
      <c r="BE337" s="16"/>
      <c r="BF337" s="28">
        <f t="shared" si="147"/>
        <v>0</v>
      </c>
      <c r="BG337" s="29"/>
      <c r="BH337" s="27"/>
      <c r="BI337" s="30">
        <f t="shared" si="148"/>
        <v>339</v>
      </c>
      <c r="BJ337" s="31">
        <f t="shared" si="149"/>
        <v>45656</v>
      </c>
      <c r="BK337" s="27"/>
      <c r="BL337" s="16"/>
      <c r="BM337" s="27"/>
      <c r="BN337" s="16"/>
      <c r="BO337" s="27"/>
      <c r="BP337" s="16"/>
      <c r="BQ337" s="27"/>
      <c r="BR337" s="24"/>
      <c r="BS337" s="24"/>
      <c r="BT337" s="32"/>
      <c r="BU337" s="27"/>
      <c r="BV337" s="24"/>
      <c r="BW337" s="24"/>
      <c r="BX337" s="16"/>
      <c r="BY337" s="27"/>
      <c r="BZ337" s="24"/>
      <c r="CA337" s="24"/>
      <c r="CB337" s="16"/>
      <c r="CC337" s="49">
        <f t="shared" si="150"/>
        <v>0</v>
      </c>
      <c r="CD337" s="24"/>
      <c r="CE337" s="49">
        <f>IF(Y337=0,(W337+CC337)-CD337,IF(Y337&gt;0,(Y337+CC337)-CD337))</f>
        <v>106200000</v>
      </c>
      <c r="CF337" s="50"/>
      <c r="CG337" s="49">
        <f t="shared" ca="1" si="151"/>
        <v>106200000</v>
      </c>
      <c r="CH337" s="33">
        <f t="shared" ca="1" si="152"/>
        <v>1</v>
      </c>
      <c r="CI337" s="33">
        <f t="shared" ca="1" si="153"/>
        <v>1</v>
      </c>
      <c r="CJ337" s="36">
        <f t="shared" ca="1" si="154"/>
        <v>100</v>
      </c>
      <c r="CK337" s="34">
        <f t="shared" si="155"/>
        <v>0</v>
      </c>
      <c r="CL337" s="21"/>
      <c r="CM337" s="35" t="str">
        <f t="shared" ca="1" si="156"/>
        <v>TERMINADO</v>
      </c>
      <c r="CN337" s="82"/>
      <c r="CO337" s="145" t="s">
        <v>2892</v>
      </c>
      <c r="CP337" s="26" t="s">
        <v>142</v>
      </c>
    </row>
    <row r="338" spans="1:94" ht="24.75" customHeight="1">
      <c r="A338" s="148" t="s">
        <v>2893</v>
      </c>
      <c r="B338" s="77" t="s">
        <v>2894</v>
      </c>
      <c r="C338" s="17" t="s">
        <v>104</v>
      </c>
      <c r="D338" s="18" t="s">
        <v>2895</v>
      </c>
      <c r="E338" s="17" t="s">
        <v>106</v>
      </c>
      <c r="F338" s="17" t="s">
        <v>107</v>
      </c>
      <c r="G338" s="17" t="s">
        <v>108</v>
      </c>
      <c r="H338" s="78">
        <v>1026562547</v>
      </c>
      <c r="I338" s="74" t="s">
        <v>2896</v>
      </c>
      <c r="J338" s="16"/>
      <c r="K338" s="16"/>
      <c r="L338" s="20" t="s">
        <v>2897</v>
      </c>
      <c r="M338" s="16" t="s">
        <v>111</v>
      </c>
      <c r="N338" s="115">
        <v>45317</v>
      </c>
      <c r="O338" s="115">
        <v>45322</v>
      </c>
      <c r="P338" s="115">
        <v>45656</v>
      </c>
      <c r="Q338" s="23">
        <f t="shared" si="144"/>
        <v>334</v>
      </c>
      <c r="R338" s="17" t="s">
        <v>242</v>
      </c>
      <c r="S338" s="117" t="s">
        <v>2898</v>
      </c>
      <c r="T338" s="116" t="s">
        <v>949</v>
      </c>
      <c r="U338" s="67">
        <v>69149940</v>
      </c>
      <c r="V338" s="16" t="s">
        <v>950</v>
      </c>
      <c r="W338" s="224">
        <v>69149940</v>
      </c>
      <c r="X338" s="24">
        <v>5762495</v>
      </c>
      <c r="Y338" s="24"/>
      <c r="Z338" s="24"/>
      <c r="AA338" s="17" t="s">
        <v>116</v>
      </c>
      <c r="AB338" s="23" t="str">
        <f>IFERROR(VLOOKUP(AA338,Listas!$A$1:$C$14,2,FALSE),"")</f>
        <v>FREDY CÉSPEDES VILLA</v>
      </c>
      <c r="AC338" s="23">
        <f>IFERROR(VLOOKUP(AA338,Listas!$A$1:$C$14,3,FALSE),"")</f>
        <v>93363483</v>
      </c>
      <c r="AD338" s="17" t="s">
        <v>951</v>
      </c>
      <c r="AE338" s="17" t="s">
        <v>952</v>
      </c>
      <c r="AF338" s="23" t="str">
        <f>IFERROR(VLOOKUP(AE338,Listas!$AD$1:$AF$65,2,FALSE),"")</f>
        <v>ANDRES MAURICIO LUQUE AYALA</v>
      </c>
      <c r="AG338" s="23">
        <f>IFERROR(VLOOKUP(AE338,Listas!$AD$1:$AF$65,3,FALSE),"")</f>
        <v>11443937</v>
      </c>
      <c r="AH338" s="17" t="s">
        <v>118</v>
      </c>
      <c r="AI338" s="65" t="s">
        <v>2899</v>
      </c>
      <c r="AJ338" s="25" t="s">
        <v>119</v>
      </c>
      <c r="AK338" s="26" t="s">
        <v>120</v>
      </c>
      <c r="AL338" s="26" t="s">
        <v>120</v>
      </c>
      <c r="AM338" s="90" t="s">
        <v>119</v>
      </c>
      <c r="AN338" s="105">
        <v>32880</v>
      </c>
      <c r="AO338" s="91">
        <f t="shared" ca="1" si="145"/>
        <v>35</v>
      </c>
      <c r="AP338" s="26" t="s">
        <v>121</v>
      </c>
      <c r="AQ338" s="26" t="s">
        <v>122</v>
      </c>
      <c r="AR338" s="89"/>
      <c r="AS338" s="27"/>
      <c r="AT338" s="16"/>
      <c r="AU338" s="27"/>
      <c r="AV338" s="86"/>
      <c r="AW338" s="27"/>
      <c r="AX338" s="27"/>
      <c r="AY338" s="27"/>
      <c r="AZ338" s="27"/>
      <c r="BA338" s="27"/>
      <c r="BB338" s="27"/>
      <c r="BC338" s="97"/>
      <c r="BD338" s="27"/>
      <c r="BE338" s="16"/>
      <c r="BF338" s="28">
        <f t="shared" si="147"/>
        <v>0</v>
      </c>
      <c r="BG338" s="29"/>
      <c r="BH338" s="27"/>
      <c r="BI338" s="30">
        <f t="shared" si="148"/>
        <v>334</v>
      </c>
      <c r="BJ338" s="31">
        <f t="shared" si="149"/>
        <v>45656</v>
      </c>
      <c r="BK338" s="27"/>
      <c r="BL338" s="16"/>
      <c r="BM338" s="27"/>
      <c r="BN338" s="16"/>
      <c r="BO338" s="27"/>
      <c r="BP338" s="16"/>
      <c r="BQ338" s="27"/>
      <c r="BR338" s="24"/>
      <c r="BS338" s="24"/>
      <c r="BT338" s="32"/>
      <c r="BU338" s="27"/>
      <c r="BV338" s="24"/>
      <c r="BW338" s="24"/>
      <c r="BX338" s="16"/>
      <c r="BY338" s="27"/>
      <c r="BZ338" s="24"/>
      <c r="CA338" s="24"/>
      <c r="CB338" s="16"/>
      <c r="CC338" s="49">
        <f t="shared" si="150"/>
        <v>0</v>
      </c>
      <c r="CD338" s="24"/>
      <c r="CE338" s="49">
        <f>IF(Y338=0,(W339+CC338)-CD338,IF(Y338&gt;0,(Y338+CC338)-CD338))</f>
        <v>88260480</v>
      </c>
      <c r="CF338" s="50"/>
      <c r="CG338" s="49">
        <f t="shared" ca="1" si="151"/>
        <v>88260480</v>
      </c>
      <c r="CH338" s="33">
        <f t="shared" ca="1" si="152"/>
        <v>1</v>
      </c>
      <c r="CI338" s="33">
        <f t="shared" ca="1" si="153"/>
        <v>1</v>
      </c>
      <c r="CJ338" s="36">
        <f t="shared" ca="1" si="154"/>
        <v>100</v>
      </c>
      <c r="CK338" s="34">
        <f t="shared" si="155"/>
        <v>0</v>
      </c>
      <c r="CL338" s="21"/>
      <c r="CM338" s="35" t="str">
        <f t="shared" ca="1" si="156"/>
        <v>TERMINADO</v>
      </c>
      <c r="CN338" s="82"/>
      <c r="CO338" s="145" t="s">
        <v>2900</v>
      </c>
      <c r="CP338" s="26" t="s">
        <v>142</v>
      </c>
    </row>
    <row r="339" spans="1:94" ht="24.75" customHeight="1">
      <c r="A339" s="48" t="s">
        <v>2901</v>
      </c>
      <c r="B339" s="77" t="s">
        <v>2902</v>
      </c>
      <c r="C339" s="17" t="s">
        <v>104</v>
      </c>
      <c r="D339" s="18" t="s">
        <v>2903</v>
      </c>
      <c r="E339" s="17" t="s">
        <v>106</v>
      </c>
      <c r="F339" s="17" t="s">
        <v>107</v>
      </c>
      <c r="G339" s="17" t="s">
        <v>108</v>
      </c>
      <c r="H339" s="78">
        <v>1024525480</v>
      </c>
      <c r="I339" s="74" t="s">
        <v>2904</v>
      </c>
      <c r="J339" s="16"/>
      <c r="K339" s="16"/>
      <c r="L339" s="20" t="s">
        <v>2905</v>
      </c>
      <c r="M339" s="16" t="s">
        <v>111</v>
      </c>
      <c r="N339" s="115">
        <v>45317</v>
      </c>
      <c r="O339" s="115">
        <v>45327</v>
      </c>
      <c r="P339" s="115">
        <v>45656</v>
      </c>
      <c r="Q339" s="23">
        <f t="shared" si="144"/>
        <v>329</v>
      </c>
      <c r="R339" s="17" t="s">
        <v>242</v>
      </c>
      <c r="S339" s="117" t="s">
        <v>2874</v>
      </c>
      <c r="T339" s="16" t="s">
        <v>2906</v>
      </c>
      <c r="U339" s="67">
        <v>88260480</v>
      </c>
      <c r="V339" s="116" t="s">
        <v>606</v>
      </c>
      <c r="W339" s="224">
        <v>88260480</v>
      </c>
      <c r="X339" s="24">
        <v>7355040</v>
      </c>
      <c r="Y339" s="24"/>
      <c r="Z339" s="24"/>
      <c r="AA339" s="17" t="s">
        <v>116</v>
      </c>
      <c r="AB339" s="23" t="str">
        <f>IFERROR(VLOOKUP(AA339,Listas!$A$1:$C$14,2,FALSE),"")</f>
        <v>FREDY CÉSPEDES VILLA</v>
      </c>
      <c r="AC339" s="23">
        <f>IFERROR(VLOOKUP(AA339,Listas!$A$1:$C$14,3,FALSE),"")</f>
        <v>93363483</v>
      </c>
      <c r="AD339" s="17" t="s">
        <v>607</v>
      </c>
      <c r="AE339" s="17" t="s">
        <v>589</v>
      </c>
      <c r="AF339" s="23" t="str">
        <f>IFERROR(VLOOKUP(AE339,Listas!$AD$1:$AF$65,2,FALSE),"")</f>
        <v>ANA LUCY CASTRO CASTRO</v>
      </c>
      <c r="AG339" s="23">
        <f>IFERROR(VLOOKUP(AE339,Listas!$AD$1:$AF$65,3,FALSE),"")</f>
        <v>51743499</v>
      </c>
      <c r="AH339" s="17" t="s">
        <v>118</v>
      </c>
      <c r="AI339" s="65" t="s">
        <v>2907</v>
      </c>
      <c r="AJ339" s="25" t="s">
        <v>119</v>
      </c>
      <c r="AK339" s="26" t="s">
        <v>120</v>
      </c>
      <c r="AL339" s="26" t="s">
        <v>120</v>
      </c>
      <c r="AM339" s="90" t="s">
        <v>119</v>
      </c>
      <c r="AN339" s="105">
        <v>33608</v>
      </c>
      <c r="AO339" s="91">
        <f t="shared" ca="1" si="145"/>
        <v>33</v>
      </c>
      <c r="AP339" s="26" t="s">
        <v>121</v>
      </c>
      <c r="AQ339" s="26" t="s">
        <v>486</v>
      </c>
      <c r="AR339" s="89">
        <v>45485</v>
      </c>
      <c r="AS339" s="27" t="s">
        <v>2908</v>
      </c>
      <c r="AT339" s="104">
        <v>1022976104</v>
      </c>
      <c r="AU339" s="27" t="s">
        <v>2909</v>
      </c>
      <c r="AV339" s="86">
        <v>41433392</v>
      </c>
      <c r="AW339" s="27"/>
      <c r="AX339" s="27"/>
      <c r="AY339" s="27"/>
      <c r="AZ339" s="27"/>
      <c r="BA339" s="27"/>
      <c r="BB339" s="27"/>
      <c r="BC339" s="97"/>
      <c r="BD339" s="27"/>
      <c r="BE339" s="16"/>
      <c r="BF339" s="28">
        <f t="shared" si="147"/>
        <v>0</v>
      </c>
      <c r="BG339" s="29"/>
      <c r="BH339" s="27"/>
      <c r="BI339" s="30">
        <f t="shared" si="148"/>
        <v>329</v>
      </c>
      <c r="BJ339" s="31">
        <f t="shared" si="149"/>
        <v>45656</v>
      </c>
      <c r="BK339" s="27"/>
      <c r="BL339" s="16"/>
      <c r="BM339" s="27"/>
      <c r="BN339" s="16"/>
      <c r="BO339" s="27"/>
      <c r="BP339" s="16"/>
      <c r="BQ339" s="27"/>
      <c r="BR339" s="24"/>
      <c r="BS339" s="24"/>
      <c r="BT339" s="32"/>
      <c r="BU339" s="27"/>
      <c r="BV339" s="24"/>
      <c r="BW339" s="24"/>
      <c r="BX339" s="16"/>
      <c r="BY339" s="27"/>
      <c r="BZ339" s="24"/>
      <c r="CA339" s="24"/>
      <c r="CB339" s="16"/>
      <c r="CC339" s="49">
        <f t="shared" si="150"/>
        <v>0</v>
      </c>
      <c r="CD339" s="24"/>
      <c r="CE339" s="49">
        <f t="shared" ref="CE339:CE366" si="157">IF(Y339=0,(W339+CC339)-CD339,IF(Y339&gt;0,(Y339+CC339)-CD339))</f>
        <v>88260480</v>
      </c>
      <c r="CF339" s="50"/>
      <c r="CG339" s="49">
        <f t="shared" ca="1" si="151"/>
        <v>88260480</v>
      </c>
      <c r="CH339" s="33">
        <f t="shared" ca="1" si="152"/>
        <v>1</v>
      </c>
      <c r="CI339" s="33">
        <f t="shared" ca="1" si="153"/>
        <v>1</v>
      </c>
      <c r="CJ339" s="36">
        <f t="shared" ca="1" si="154"/>
        <v>100</v>
      </c>
      <c r="CK339" s="34">
        <f t="shared" si="155"/>
        <v>0</v>
      </c>
      <c r="CL339" s="21"/>
      <c r="CM339" s="35" t="str">
        <f t="shared" ca="1" si="156"/>
        <v>TERMINADO</v>
      </c>
      <c r="CN339" s="82"/>
      <c r="CO339" s="145" t="s">
        <v>2910</v>
      </c>
      <c r="CP339" s="26" t="s">
        <v>123</v>
      </c>
    </row>
    <row r="340" spans="1:94" ht="24.75" customHeight="1">
      <c r="A340" s="48" t="s">
        <v>2911</v>
      </c>
      <c r="B340" s="77" t="s">
        <v>2912</v>
      </c>
      <c r="C340" s="17" t="s">
        <v>104</v>
      </c>
      <c r="D340" s="18" t="s">
        <v>2913</v>
      </c>
      <c r="E340" s="17" t="s">
        <v>106</v>
      </c>
      <c r="F340" s="17" t="s">
        <v>107</v>
      </c>
      <c r="G340" s="17" t="s">
        <v>108</v>
      </c>
      <c r="H340" s="78">
        <v>1022937863</v>
      </c>
      <c r="I340" s="74" t="s">
        <v>2914</v>
      </c>
      <c r="J340" s="16"/>
      <c r="K340" s="16"/>
      <c r="L340" s="20" t="s">
        <v>2915</v>
      </c>
      <c r="M340" s="16" t="s">
        <v>111</v>
      </c>
      <c r="N340" s="115">
        <v>45317</v>
      </c>
      <c r="O340" s="22">
        <v>45323</v>
      </c>
      <c r="P340" s="115">
        <v>45656</v>
      </c>
      <c r="Q340" s="23">
        <f t="shared" si="144"/>
        <v>333</v>
      </c>
      <c r="R340" s="17" t="s">
        <v>242</v>
      </c>
      <c r="S340" s="117" t="s">
        <v>2916</v>
      </c>
      <c r="T340" s="16" t="s">
        <v>949</v>
      </c>
      <c r="U340" s="67">
        <v>83862696</v>
      </c>
      <c r="V340" s="116" t="s">
        <v>950</v>
      </c>
      <c r="W340" s="224">
        <v>83862696</v>
      </c>
      <c r="X340" s="24">
        <v>6988588</v>
      </c>
      <c r="Y340" s="24"/>
      <c r="Z340" s="24"/>
      <c r="AA340" s="17" t="s">
        <v>116</v>
      </c>
      <c r="AB340" s="23" t="str">
        <f>IFERROR(VLOOKUP(AA340,Listas!$A$1:$C$14,2,FALSE),"")</f>
        <v>FREDY CÉSPEDES VILLA</v>
      </c>
      <c r="AC340" s="23">
        <f>IFERROR(VLOOKUP(AA340,Listas!$A$1:$C$14,3,FALSE),"")</f>
        <v>93363483</v>
      </c>
      <c r="AD340" s="17" t="s">
        <v>951</v>
      </c>
      <c r="AE340" s="17" t="s">
        <v>952</v>
      </c>
      <c r="AF340" s="23" t="str">
        <f>IFERROR(VLOOKUP(AE340,Listas!$AD$1:$AF$65,2,FALSE),"")</f>
        <v>ANDRES MAURICIO LUQUE AYALA</v>
      </c>
      <c r="AG340" s="23">
        <f>IFERROR(VLOOKUP(AE340,Listas!$AD$1:$AF$65,3,FALSE),"")</f>
        <v>11443937</v>
      </c>
      <c r="AH340" s="17" t="s">
        <v>118</v>
      </c>
      <c r="AI340" s="65" t="s">
        <v>2917</v>
      </c>
      <c r="AJ340" s="25" t="s">
        <v>119</v>
      </c>
      <c r="AK340" s="26" t="s">
        <v>120</v>
      </c>
      <c r="AL340" s="26" t="s">
        <v>120</v>
      </c>
      <c r="AM340" s="90" t="s">
        <v>119</v>
      </c>
      <c r="AN340" s="105">
        <v>32077</v>
      </c>
      <c r="AO340" s="91">
        <f t="shared" ca="1" si="145"/>
        <v>38</v>
      </c>
      <c r="AP340" s="26" t="s">
        <v>121</v>
      </c>
      <c r="AQ340" s="26" t="s">
        <v>886</v>
      </c>
      <c r="AW340" s="27"/>
      <c r="AX340" s="27"/>
      <c r="AY340" s="27"/>
      <c r="AZ340" s="27"/>
      <c r="BA340" s="27"/>
      <c r="BB340" s="27"/>
      <c r="BC340" s="97"/>
      <c r="BD340" s="27"/>
      <c r="BE340" s="16"/>
      <c r="BF340" s="28">
        <f t="shared" si="147"/>
        <v>0</v>
      </c>
      <c r="BG340" s="29"/>
      <c r="BH340" s="27"/>
      <c r="BI340" s="30">
        <f t="shared" si="148"/>
        <v>333</v>
      </c>
      <c r="BJ340" s="31">
        <f t="shared" si="149"/>
        <v>45656</v>
      </c>
      <c r="BK340" s="27"/>
      <c r="BL340" s="16"/>
      <c r="BM340" s="27"/>
      <c r="BN340" s="16"/>
      <c r="BO340" s="27"/>
      <c r="BP340" s="16"/>
      <c r="BQ340" s="27"/>
      <c r="BR340" s="24"/>
      <c r="BS340" s="24"/>
      <c r="BT340" s="32"/>
      <c r="BU340" s="27"/>
      <c r="BV340" s="24"/>
      <c r="BW340" s="24"/>
      <c r="BX340" s="16"/>
      <c r="BY340" s="27"/>
      <c r="BZ340" s="24"/>
      <c r="CA340" s="24"/>
      <c r="CB340" s="16"/>
      <c r="CC340" s="49">
        <f t="shared" si="150"/>
        <v>0</v>
      </c>
      <c r="CD340" s="24"/>
      <c r="CE340" s="49">
        <f t="shared" si="157"/>
        <v>83862696</v>
      </c>
      <c r="CF340" s="50"/>
      <c r="CG340" s="49">
        <f t="shared" ca="1" si="151"/>
        <v>83862696</v>
      </c>
      <c r="CH340" s="33">
        <f t="shared" ca="1" si="152"/>
        <v>1</v>
      </c>
      <c r="CI340" s="33">
        <f t="shared" ca="1" si="153"/>
        <v>1</v>
      </c>
      <c r="CJ340" s="36">
        <f t="shared" ca="1" si="154"/>
        <v>100</v>
      </c>
      <c r="CK340" s="34">
        <f t="shared" si="155"/>
        <v>0</v>
      </c>
      <c r="CL340" s="21"/>
      <c r="CM340" s="35" t="str">
        <f t="shared" ca="1" si="156"/>
        <v>TERMINADO</v>
      </c>
      <c r="CN340" s="82"/>
      <c r="CO340" s="145" t="s">
        <v>2918</v>
      </c>
      <c r="CP340" s="26" t="s">
        <v>123</v>
      </c>
    </row>
    <row r="341" spans="1:94" ht="24.75" customHeight="1">
      <c r="A341" s="48" t="s">
        <v>2919</v>
      </c>
      <c r="B341" s="77" t="s">
        <v>2920</v>
      </c>
      <c r="C341" s="17" t="s">
        <v>104</v>
      </c>
      <c r="D341" s="18" t="s">
        <v>2921</v>
      </c>
      <c r="E341" s="17" t="s">
        <v>106</v>
      </c>
      <c r="F341" s="17" t="s">
        <v>107</v>
      </c>
      <c r="G341" s="17" t="s">
        <v>108</v>
      </c>
      <c r="H341" s="78">
        <v>91276380</v>
      </c>
      <c r="I341" s="74" t="s">
        <v>2922</v>
      </c>
      <c r="J341" s="16"/>
      <c r="K341" s="16"/>
      <c r="L341" s="20" t="s">
        <v>2923</v>
      </c>
      <c r="M341" s="16" t="s">
        <v>1519</v>
      </c>
      <c r="N341" s="115">
        <v>45317</v>
      </c>
      <c r="O341" s="115">
        <v>45322</v>
      </c>
      <c r="P341" s="115">
        <v>45656</v>
      </c>
      <c r="Q341" s="23">
        <f t="shared" si="144"/>
        <v>334</v>
      </c>
      <c r="R341" s="17" t="s">
        <v>242</v>
      </c>
      <c r="S341" s="117" t="s">
        <v>2924</v>
      </c>
      <c r="T341" s="16" t="s">
        <v>343</v>
      </c>
      <c r="U341" s="67">
        <v>63579528</v>
      </c>
      <c r="V341" s="116" t="s">
        <v>437</v>
      </c>
      <c r="W341" s="224">
        <v>63579528</v>
      </c>
      <c r="X341" s="24">
        <v>5762495</v>
      </c>
      <c r="Y341" s="24"/>
      <c r="Z341" s="24"/>
      <c r="AA341" s="17" t="s">
        <v>116</v>
      </c>
      <c r="AB341" s="23" t="str">
        <f>IFERROR(VLOOKUP(AA341,Listas!$A$1:$C$14,2,FALSE),"")</f>
        <v>FREDY CÉSPEDES VILLA</v>
      </c>
      <c r="AC341" s="23">
        <f>IFERROR(VLOOKUP(AA341,Listas!$A$1:$C$14,3,FALSE),"")</f>
        <v>93363483</v>
      </c>
      <c r="AD341" s="17" t="s">
        <v>1523</v>
      </c>
      <c r="AE341" s="17" t="s">
        <v>1524</v>
      </c>
      <c r="AF341" s="23" t="str">
        <f>IFERROR(VLOOKUP(AE341,Listas!$AD$1:$AF$65,2,FALSE),"")</f>
        <v>IVETTE FRASSER SÁNCHEZ</v>
      </c>
      <c r="AG341" s="23">
        <f>IFERROR(VLOOKUP(AE341,Listas!$AD$1:$AF$65,3,FALSE),"")</f>
        <v>38285903</v>
      </c>
      <c r="AH341" s="17" t="s">
        <v>118</v>
      </c>
      <c r="AI341" s="65" t="s">
        <v>2646</v>
      </c>
      <c r="AJ341" s="25" t="s">
        <v>119</v>
      </c>
      <c r="AK341" s="26" t="s">
        <v>120</v>
      </c>
      <c r="AL341" s="26" t="s">
        <v>120</v>
      </c>
      <c r="AM341" s="90" t="s">
        <v>119</v>
      </c>
      <c r="AN341" s="105">
        <v>25837</v>
      </c>
      <c r="AO341" s="91">
        <f t="shared" ca="1" si="145"/>
        <v>55</v>
      </c>
      <c r="AP341" s="26" t="s">
        <v>121</v>
      </c>
      <c r="AQ341" s="26" t="s">
        <v>327</v>
      </c>
      <c r="AR341" s="89"/>
      <c r="AS341" s="27"/>
      <c r="AT341" s="16"/>
      <c r="AU341" s="27"/>
      <c r="AV341" s="86"/>
      <c r="AW341" s="27"/>
      <c r="AX341" s="27"/>
      <c r="AY341" s="27"/>
      <c r="AZ341" s="27"/>
      <c r="BA341" s="27"/>
      <c r="BB341" s="27"/>
      <c r="BC341" s="97"/>
      <c r="BD341" s="27"/>
      <c r="BE341" s="16"/>
      <c r="BF341" s="28">
        <f t="shared" si="147"/>
        <v>0</v>
      </c>
      <c r="BG341" s="29"/>
      <c r="BH341" s="27"/>
      <c r="BI341" s="30">
        <f t="shared" si="148"/>
        <v>334</v>
      </c>
      <c r="BJ341" s="31">
        <f t="shared" si="149"/>
        <v>45656</v>
      </c>
      <c r="BK341" s="27"/>
      <c r="BL341" s="16"/>
      <c r="BM341" s="27"/>
      <c r="BN341" s="16"/>
      <c r="BO341" s="27"/>
      <c r="BP341" s="16"/>
      <c r="BQ341" s="27"/>
      <c r="BR341" s="24"/>
      <c r="BS341" s="24"/>
      <c r="BT341" s="32"/>
      <c r="BU341" s="27"/>
      <c r="BV341" s="24"/>
      <c r="BW341" s="24"/>
      <c r="BX341" s="16"/>
      <c r="BY341" s="27"/>
      <c r="BZ341" s="24"/>
      <c r="CA341" s="24"/>
      <c r="CB341" s="16"/>
      <c r="CC341" s="49">
        <f t="shared" si="150"/>
        <v>0</v>
      </c>
      <c r="CD341" s="24"/>
      <c r="CE341" s="49">
        <f t="shared" si="157"/>
        <v>63579528</v>
      </c>
      <c r="CF341" s="50"/>
      <c r="CG341" s="49">
        <f t="shared" ca="1" si="151"/>
        <v>63579528</v>
      </c>
      <c r="CH341" s="33">
        <f t="shared" ca="1" si="152"/>
        <v>1</v>
      </c>
      <c r="CI341" s="33">
        <f t="shared" ca="1" si="153"/>
        <v>1</v>
      </c>
      <c r="CJ341" s="36">
        <f t="shared" ca="1" si="154"/>
        <v>100</v>
      </c>
      <c r="CK341" s="34">
        <f t="shared" si="155"/>
        <v>0</v>
      </c>
      <c r="CL341" s="21"/>
      <c r="CM341" s="35" t="str">
        <f t="shared" ca="1" si="156"/>
        <v>TERMINADO</v>
      </c>
      <c r="CN341" s="82"/>
      <c r="CO341" s="145" t="s">
        <v>2925</v>
      </c>
      <c r="CP341" s="26" t="s">
        <v>142</v>
      </c>
    </row>
    <row r="342" spans="1:94" ht="24.75" customHeight="1">
      <c r="A342" s="48" t="s">
        <v>1424</v>
      </c>
      <c r="B342" s="77" t="s">
        <v>2926</v>
      </c>
      <c r="C342" s="17" t="s">
        <v>2927</v>
      </c>
      <c r="D342" s="18" t="s">
        <v>2928</v>
      </c>
      <c r="E342" s="17" t="s">
        <v>2929</v>
      </c>
      <c r="F342" s="17" t="s">
        <v>1426</v>
      </c>
      <c r="G342" s="17" t="s">
        <v>1427</v>
      </c>
      <c r="H342" s="78" t="s">
        <v>2930</v>
      </c>
      <c r="I342" s="74" t="s">
        <v>2931</v>
      </c>
      <c r="J342" s="16" t="s">
        <v>2932</v>
      </c>
      <c r="K342" s="104">
        <v>32786957</v>
      </c>
      <c r="L342" s="20" t="s">
        <v>2933</v>
      </c>
      <c r="M342" s="16"/>
      <c r="N342" s="115">
        <v>45317</v>
      </c>
      <c r="O342" s="115">
        <v>45317</v>
      </c>
      <c r="P342" s="115">
        <v>45682</v>
      </c>
      <c r="Q342" s="23">
        <f t="shared" si="144"/>
        <v>365</v>
      </c>
      <c r="R342" s="17" t="s">
        <v>2934</v>
      </c>
      <c r="S342" s="117" t="s">
        <v>1424</v>
      </c>
      <c r="T342" s="16" t="s">
        <v>1424</v>
      </c>
      <c r="U342" s="24" t="s">
        <v>1424</v>
      </c>
      <c r="V342" s="116" t="s">
        <v>1424</v>
      </c>
      <c r="W342" s="227">
        <v>0</v>
      </c>
      <c r="X342" s="24"/>
      <c r="Y342" s="24" t="s">
        <v>2935</v>
      </c>
      <c r="Z342" s="24"/>
      <c r="AA342" s="17" t="s">
        <v>406</v>
      </c>
      <c r="AB342" s="23" t="str">
        <f>IFERROR(VLOOKUP(AA342,Listas!$A$1:$C$14,2,FALSE),"")</f>
        <v>EDUARDO ELÍAS BARCHA BOLÍVAR</v>
      </c>
      <c r="AC342" s="23">
        <f>IFERROR(VLOOKUP(AA342,Listas!$A$1:$C$14,3,FALSE),"")</f>
        <v>72133921</v>
      </c>
      <c r="AD342" s="17" t="s">
        <v>903</v>
      </c>
      <c r="AE342" s="17" t="s">
        <v>904</v>
      </c>
      <c r="AF342" s="23" t="str">
        <f>IFERROR(VLOOKUP(AE342,Listas!$AD$1:$AF$65,2,FALSE),"")</f>
        <v>VIVIANA MARGARITA ROMERO</v>
      </c>
      <c r="AG342" s="23">
        <f>IFERROR(VLOOKUP(AE342,Listas!$AD$1:$AF$65,3,FALSE),"")</f>
        <v>32794946</v>
      </c>
      <c r="AH342" s="17" t="s">
        <v>2936</v>
      </c>
      <c r="AI342" s="65"/>
      <c r="AJ342" s="25" t="s">
        <v>1435</v>
      </c>
      <c r="AK342" s="26" t="s">
        <v>2071</v>
      </c>
      <c r="AL342" s="26" t="s">
        <v>2071</v>
      </c>
      <c r="AM342" s="90" t="s">
        <v>1435</v>
      </c>
      <c r="AN342" s="105"/>
      <c r="AO342" s="91" t="str">
        <f t="shared" ca="1" si="145"/>
        <v xml:space="preserve"> </v>
      </c>
      <c r="AP342" s="26" t="s">
        <v>2937</v>
      </c>
      <c r="AQ342" s="26" t="s">
        <v>2938</v>
      </c>
      <c r="AR342" s="89"/>
      <c r="AS342" s="27"/>
      <c r="AT342" s="16"/>
      <c r="AU342" s="27"/>
      <c r="AV342" s="86"/>
      <c r="AW342" s="27"/>
      <c r="AX342" s="27"/>
      <c r="AY342" s="27"/>
      <c r="AZ342" s="27"/>
      <c r="BA342" s="27"/>
      <c r="BB342" s="344">
        <v>45681</v>
      </c>
      <c r="BC342" s="97">
        <v>340</v>
      </c>
      <c r="BD342" s="27"/>
      <c r="BE342" s="16"/>
      <c r="BF342" s="28">
        <f t="shared" si="147"/>
        <v>340</v>
      </c>
      <c r="BG342" s="29"/>
      <c r="BH342" s="27"/>
      <c r="BI342" s="30">
        <f t="shared" si="148"/>
        <v>705</v>
      </c>
      <c r="BJ342" s="31">
        <f t="shared" si="149"/>
        <v>46022</v>
      </c>
      <c r="BK342" s="27">
        <v>45681</v>
      </c>
      <c r="BL342" s="16" t="s">
        <v>2939</v>
      </c>
      <c r="BM342" s="27"/>
      <c r="BN342" s="16"/>
      <c r="BO342" s="27"/>
      <c r="BP342" s="16"/>
      <c r="BQ342" s="27"/>
      <c r="BR342" s="24"/>
      <c r="BS342" s="24"/>
      <c r="BT342" s="32"/>
      <c r="BU342" s="27"/>
      <c r="BV342" s="24"/>
      <c r="BW342" s="24"/>
      <c r="BX342" s="16"/>
      <c r="BY342" s="27"/>
      <c r="BZ342" s="24"/>
      <c r="CA342" s="24"/>
      <c r="CB342" s="16"/>
      <c r="CC342" s="49">
        <f t="shared" si="150"/>
        <v>0</v>
      </c>
      <c r="CD342" s="24"/>
      <c r="CE342" s="49"/>
      <c r="CF342" s="50">
        <v>259174337.950001</v>
      </c>
      <c r="CG342" s="49">
        <f t="shared" ca="1" si="151"/>
        <v>0</v>
      </c>
      <c r="CH342" s="33">
        <f t="shared" ca="1" si="152"/>
        <v>0.89784172661870498</v>
      </c>
      <c r="CI342" s="33">
        <f t="shared" ca="1" si="153"/>
        <v>0.89784172661870498</v>
      </c>
      <c r="CJ342" s="36" t="str">
        <f t="shared" ca="1" si="154"/>
        <v/>
      </c>
      <c r="CK342" s="34" t="str">
        <f t="shared" si="155"/>
        <v/>
      </c>
      <c r="CL342" s="21"/>
      <c r="CM342" s="35" t="str">
        <f t="shared" ca="1" si="156"/>
        <v>VIGENTE</v>
      </c>
      <c r="CN342" s="82"/>
      <c r="CP342" s="83" t="s">
        <v>1424</v>
      </c>
    </row>
    <row r="343" spans="1:94" ht="24.75" customHeight="1">
      <c r="A343" s="48" t="s">
        <v>2940</v>
      </c>
      <c r="B343" s="77" t="s">
        <v>2941</v>
      </c>
      <c r="C343" s="17" t="s">
        <v>104</v>
      </c>
      <c r="D343" s="18" t="s">
        <v>2942</v>
      </c>
      <c r="E343" s="17" t="s">
        <v>106</v>
      </c>
      <c r="F343" s="17" t="s">
        <v>107</v>
      </c>
      <c r="G343" s="17" t="s">
        <v>108</v>
      </c>
      <c r="H343" s="78">
        <v>53100688</v>
      </c>
      <c r="I343" s="74" t="s">
        <v>2943</v>
      </c>
      <c r="J343" s="16"/>
      <c r="K343" s="16"/>
      <c r="L343" s="20" t="s">
        <v>2944</v>
      </c>
      <c r="M343" s="16" t="s">
        <v>111</v>
      </c>
      <c r="N343" s="115">
        <v>45317</v>
      </c>
      <c r="O343" s="115">
        <v>45322</v>
      </c>
      <c r="P343" s="115">
        <v>45656</v>
      </c>
      <c r="Q343" s="23">
        <f t="shared" si="144"/>
        <v>334</v>
      </c>
      <c r="R343" s="17" t="s">
        <v>242</v>
      </c>
      <c r="S343" s="117" t="s">
        <v>2945</v>
      </c>
      <c r="T343" s="16" t="s">
        <v>1128</v>
      </c>
      <c r="U343" s="24">
        <v>117000000</v>
      </c>
      <c r="V343" s="116" t="s">
        <v>1239</v>
      </c>
      <c r="W343" s="227">
        <v>117000000</v>
      </c>
      <c r="X343" s="24">
        <v>10000000</v>
      </c>
      <c r="Y343" s="24"/>
      <c r="Z343" s="24"/>
      <c r="AA343" s="17" t="s">
        <v>116</v>
      </c>
      <c r="AB343" s="23" t="str">
        <f>IFERROR(VLOOKUP(AA343,Listas!$A$1:$C$14,2,FALSE),"")</f>
        <v>FREDY CÉSPEDES VILLA</v>
      </c>
      <c r="AC343" s="23">
        <f>IFERROR(VLOOKUP(AA343,Listas!$A$1:$C$14,3,FALSE),"")</f>
        <v>93363483</v>
      </c>
      <c r="AD343" s="17" t="s">
        <v>816</v>
      </c>
      <c r="AE343" s="17" t="s">
        <v>867</v>
      </c>
      <c r="AF343" s="23" t="str">
        <f>IFERROR(VLOOKUP(AE343,Listas!$AD$1:$AF$65,2,FALSE),"")</f>
        <v>CARLOS EDUARDO CRUZ GONZALEZ</v>
      </c>
      <c r="AG343" s="23">
        <f>IFERROR(VLOOKUP(AE343,Listas!$AD$1:$AF$65,3,FALSE),"")</f>
        <v>79451906</v>
      </c>
      <c r="AH343" s="17" t="s">
        <v>118</v>
      </c>
      <c r="AI343" s="65" t="s">
        <v>2946</v>
      </c>
      <c r="AJ343" s="25" t="s">
        <v>119</v>
      </c>
      <c r="AK343" s="26" t="s">
        <v>120</v>
      </c>
      <c r="AL343" s="26" t="s">
        <v>120</v>
      </c>
      <c r="AM343" s="90" t="s">
        <v>119</v>
      </c>
      <c r="AN343" s="105">
        <v>31152</v>
      </c>
      <c r="AO343" s="91">
        <f t="shared" ca="1" si="145"/>
        <v>40</v>
      </c>
      <c r="AP343" s="26" t="s">
        <v>121</v>
      </c>
      <c r="AQ343" s="26" t="s">
        <v>515</v>
      </c>
      <c r="AR343" s="89"/>
      <c r="AS343" s="27"/>
      <c r="AT343" s="16"/>
      <c r="AU343" s="27"/>
      <c r="AV343" s="86"/>
      <c r="AW343" s="27"/>
      <c r="AX343" s="27"/>
      <c r="AY343" s="27"/>
      <c r="AZ343" s="27"/>
      <c r="BA343" s="27"/>
      <c r="BB343" s="27"/>
      <c r="BC343" s="97"/>
      <c r="BD343" s="27"/>
      <c r="BE343" s="16"/>
      <c r="BF343" s="28">
        <f t="shared" si="147"/>
        <v>0</v>
      </c>
      <c r="BG343" s="29"/>
      <c r="BH343" s="27"/>
      <c r="BI343" s="30">
        <f t="shared" si="148"/>
        <v>334</v>
      </c>
      <c r="BJ343" s="31">
        <f t="shared" si="149"/>
        <v>45656</v>
      </c>
      <c r="BK343" s="27"/>
      <c r="BL343" s="16"/>
      <c r="BM343" s="27"/>
      <c r="BN343" s="16"/>
      <c r="BO343" s="27"/>
      <c r="BP343" s="16"/>
      <c r="BQ343" s="27"/>
      <c r="BR343" s="24"/>
      <c r="BS343" s="24"/>
      <c r="BT343" s="32"/>
      <c r="BU343" s="27"/>
      <c r="BV343" s="24"/>
      <c r="BW343" s="24"/>
      <c r="BX343" s="16"/>
      <c r="BY343" s="27"/>
      <c r="BZ343" s="24"/>
      <c r="CA343" s="24"/>
      <c r="CB343" s="16"/>
      <c r="CC343" s="49">
        <f t="shared" si="150"/>
        <v>0</v>
      </c>
      <c r="CD343" s="24"/>
      <c r="CE343" s="49">
        <f t="shared" si="157"/>
        <v>117000000</v>
      </c>
      <c r="CF343" s="50"/>
      <c r="CG343" s="49">
        <f t="shared" ca="1" si="151"/>
        <v>117000000</v>
      </c>
      <c r="CH343" s="33">
        <f t="shared" ca="1" si="152"/>
        <v>1</v>
      </c>
      <c r="CI343" s="33">
        <f t="shared" ca="1" si="153"/>
        <v>1</v>
      </c>
      <c r="CJ343" s="36">
        <f t="shared" ca="1" si="154"/>
        <v>100</v>
      </c>
      <c r="CK343" s="34">
        <f t="shared" si="155"/>
        <v>0</v>
      </c>
      <c r="CL343" s="21"/>
      <c r="CM343" s="35" t="str">
        <f t="shared" ca="1" si="156"/>
        <v>TERMINADO</v>
      </c>
      <c r="CN343" s="83"/>
      <c r="CO343" s="145" t="s">
        <v>2947</v>
      </c>
      <c r="CP343" s="26" t="s">
        <v>123</v>
      </c>
    </row>
    <row r="344" spans="1:94" ht="24.75" customHeight="1">
      <c r="A344" s="48" t="s">
        <v>2948</v>
      </c>
      <c r="B344" s="77" t="s">
        <v>2949</v>
      </c>
      <c r="C344" s="17" t="s">
        <v>104</v>
      </c>
      <c r="D344" s="18" t="s">
        <v>2950</v>
      </c>
      <c r="E344" s="17" t="s">
        <v>106</v>
      </c>
      <c r="F344" s="17" t="s">
        <v>107</v>
      </c>
      <c r="G344" s="17" t="s">
        <v>108</v>
      </c>
      <c r="H344" s="78">
        <v>79973743</v>
      </c>
      <c r="I344" s="74" t="s">
        <v>2951</v>
      </c>
      <c r="J344" s="16"/>
      <c r="K344" s="16"/>
      <c r="L344" s="20" t="s">
        <v>2952</v>
      </c>
      <c r="M344" s="16" t="s">
        <v>111</v>
      </c>
      <c r="N344" s="115">
        <v>45317</v>
      </c>
      <c r="O344" s="22">
        <v>45323</v>
      </c>
      <c r="P344" s="115">
        <v>45656</v>
      </c>
      <c r="Q344" s="23">
        <f t="shared" si="144"/>
        <v>333</v>
      </c>
      <c r="R344" s="17" t="s">
        <v>242</v>
      </c>
      <c r="S344" s="117" t="s">
        <v>2953</v>
      </c>
      <c r="T344" s="16" t="s">
        <v>949</v>
      </c>
      <c r="U344" s="24">
        <v>60322284</v>
      </c>
      <c r="V344" s="116" t="s">
        <v>1071</v>
      </c>
      <c r="W344" s="227">
        <v>60322284</v>
      </c>
      <c r="X344" s="24">
        <v>5026827</v>
      </c>
      <c r="Y344" s="24"/>
      <c r="Z344" s="24"/>
      <c r="AA344" s="17" t="s">
        <v>116</v>
      </c>
      <c r="AB344" s="23" t="str">
        <f>IFERROR(VLOOKUP(AA344,Listas!$A$1:$C$14,2,FALSE),"")</f>
        <v>FREDY CÉSPEDES VILLA</v>
      </c>
      <c r="AC344" s="23">
        <f>IFERROR(VLOOKUP(AA344,Listas!$A$1:$C$14,3,FALSE),"")</f>
        <v>93363483</v>
      </c>
      <c r="AD344" s="17" t="s">
        <v>951</v>
      </c>
      <c r="AE344" s="17" t="s">
        <v>952</v>
      </c>
      <c r="AF344" s="23" t="str">
        <f>IFERROR(VLOOKUP(AE344,Listas!$AD$1:$AF$65,2,FALSE),"")</f>
        <v>ANDRES MAURICIO LUQUE AYALA</v>
      </c>
      <c r="AG344" s="23">
        <f>IFERROR(VLOOKUP(AE344,Listas!$AD$1:$AF$65,3,FALSE),"")</f>
        <v>11443937</v>
      </c>
      <c r="AH344" s="17" t="s">
        <v>118</v>
      </c>
      <c r="AI344" s="65" t="s">
        <v>2954</v>
      </c>
      <c r="AJ344" s="25" t="s">
        <v>119</v>
      </c>
      <c r="AK344" s="26" t="s">
        <v>120</v>
      </c>
      <c r="AL344" s="26" t="s">
        <v>120</v>
      </c>
      <c r="AM344" s="90" t="s">
        <v>119</v>
      </c>
      <c r="AN344" s="105">
        <v>29150</v>
      </c>
      <c r="AO344" s="91">
        <f t="shared" ca="1" si="145"/>
        <v>46</v>
      </c>
      <c r="AP344" s="26" t="s">
        <v>121</v>
      </c>
      <c r="AQ344" s="26" t="s">
        <v>886</v>
      </c>
      <c r="AR344" s="89"/>
      <c r="AS344" s="27"/>
      <c r="AT344" s="16"/>
      <c r="AU344" s="27"/>
      <c r="AV344" s="86"/>
      <c r="AW344" s="27"/>
      <c r="AX344" s="27"/>
      <c r="AY344" s="27"/>
      <c r="AZ344" s="27"/>
      <c r="BA344" s="27"/>
      <c r="BB344" s="27"/>
      <c r="BC344" s="97"/>
      <c r="BD344" s="27"/>
      <c r="BE344" s="16"/>
      <c r="BF344" s="28">
        <f t="shared" si="147"/>
        <v>0</v>
      </c>
      <c r="BG344" s="29"/>
      <c r="BH344" s="27"/>
      <c r="BI344" s="30">
        <f t="shared" si="148"/>
        <v>333</v>
      </c>
      <c r="BJ344" s="31">
        <f t="shared" si="149"/>
        <v>45656</v>
      </c>
      <c r="BK344" s="27"/>
      <c r="BL344" s="16"/>
      <c r="BM344" s="27"/>
      <c r="BN344" s="16"/>
      <c r="BO344" s="27"/>
      <c r="BP344" s="16"/>
      <c r="BQ344" s="27"/>
      <c r="BR344" s="24"/>
      <c r="BS344" s="24"/>
      <c r="BT344" s="32"/>
      <c r="BU344" s="27"/>
      <c r="BV344" s="24"/>
      <c r="BW344" s="24"/>
      <c r="BX344" s="16"/>
      <c r="BY344" s="27"/>
      <c r="BZ344" s="24"/>
      <c r="CA344" s="24"/>
      <c r="CB344" s="16"/>
      <c r="CC344" s="49">
        <f t="shared" si="150"/>
        <v>0</v>
      </c>
      <c r="CD344" s="24"/>
      <c r="CE344" s="49">
        <f t="shared" si="157"/>
        <v>60322284</v>
      </c>
      <c r="CF344" s="50"/>
      <c r="CG344" s="49">
        <f t="shared" ca="1" si="151"/>
        <v>60322284</v>
      </c>
      <c r="CH344" s="33">
        <f t="shared" ca="1" si="152"/>
        <v>1</v>
      </c>
      <c r="CI344" s="33">
        <f t="shared" ca="1" si="153"/>
        <v>1</v>
      </c>
      <c r="CJ344" s="36">
        <f t="shared" ca="1" si="154"/>
        <v>100</v>
      </c>
      <c r="CK344" s="34">
        <f t="shared" si="155"/>
        <v>0</v>
      </c>
      <c r="CL344" s="21"/>
      <c r="CM344" s="35" t="str">
        <f t="shared" ca="1" si="156"/>
        <v>TERMINADO</v>
      </c>
      <c r="CN344" s="82"/>
      <c r="CO344" s="145" t="s">
        <v>2955</v>
      </c>
      <c r="CP344" s="26" t="s">
        <v>142</v>
      </c>
    </row>
    <row r="345" spans="1:94" ht="24.75" customHeight="1">
      <c r="A345" s="48" t="s">
        <v>2956</v>
      </c>
      <c r="B345" s="77" t="s">
        <v>2957</v>
      </c>
      <c r="C345" s="17" t="s">
        <v>104</v>
      </c>
      <c r="D345" s="18" t="s">
        <v>2958</v>
      </c>
      <c r="E345" s="17" t="s">
        <v>106</v>
      </c>
      <c r="F345" s="17" t="s">
        <v>107</v>
      </c>
      <c r="G345" s="17" t="s">
        <v>108</v>
      </c>
      <c r="H345" s="78">
        <v>1013660456</v>
      </c>
      <c r="I345" s="74" t="s">
        <v>2959</v>
      </c>
      <c r="J345" s="16"/>
      <c r="K345" s="16"/>
      <c r="L345" s="20" t="s">
        <v>2960</v>
      </c>
      <c r="M345" s="16" t="s">
        <v>111</v>
      </c>
      <c r="N345" s="115">
        <v>45317</v>
      </c>
      <c r="O345" s="115">
        <v>45320</v>
      </c>
      <c r="P345" s="115">
        <v>45656</v>
      </c>
      <c r="Q345" s="23">
        <f t="shared" si="144"/>
        <v>336</v>
      </c>
      <c r="R345" s="17" t="s">
        <v>112</v>
      </c>
      <c r="S345" s="117" t="s">
        <v>2961</v>
      </c>
      <c r="T345" s="16" t="s">
        <v>364</v>
      </c>
      <c r="U345" s="24">
        <v>56635931</v>
      </c>
      <c r="V345" s="116" t="s">
        <v>365</v>
      </c>
      <c r="W345" s="227">
        <v>56635931</v>
      </c>
      <c r="X345" s="24">
        <v>5026858</v>
      </c>
      <c r="Y345" s="24"/>
      <c r="Z345" s="24"/>
      <c r="AA345" s="17" t="s">
        <v>116</v>
      </c>
      <c r="AB345" s="23" t="str">
        <f>IFERROR(VLOOKUP(AA345,Listas!$A$1:$C$14,2,FALSE),"")</f>
        <v>FREDY CÉSPEDES VILLA</v>
      </c>
      <c r="AC345" s="23">
        <f>IFERROR(VLOOKUP(AA345,Listas!$A$1:$C$14,3,FALSE),"")</f>
        <v>93363483</v>
      </c>
      <c r="AD345" s="17" t="s">
        <v>345</v>
      </c>
      <c r="AE345" s="17" t="s">
        <v>346</v>
      </c>
      <c r="AF345" s="23" t="str">
        <f>IFERROR(VLOOKUP(AE345,Listas!$AD$1:$AF$65,2,FALSE),"")</f>
        <v>RODOLFO GIOVANNI CANCHILA SUÁREZ</v>
      </c>
      <c r="AG345" s="23">
        <f>IFERROR(VLOOKUP(AE345,Listas!$AD$1:$AF$65,3,FALSE),"")</f>
        <v>79672493</v>
      </c>
      <c r="AH345" s="17" t="s">
        <v>118</v>
      </c>
      <c r="AI345" s="65" t="s">
        <v>2962</v>
      </c>
      <c r="AJ345" s="25" t="s">
        <v>119</v>
      </c>
      <c r="AK345" s="26" t="s">
        <v>120</v>
      </c>
      <c r="AL345" s="26" t="s">
        <v>120</v>
      </c>
      <c r="AM345" s="90" t="s">
        <v>119</v>
      </c>
      <c r="AN345" s="105">
        <v>34913</v>
      </c>
      <c r="AO345" s="91">
        <f t="shared" ca="1" si="145"/>
        <v>30</v>
      </c>
      <c r="AP345" s="26" t="s">
        <v>121</v>
      </c>
      <c r="AQ345" s="26" t="s">
        <v>367</v>
      </c>
      <c r="AR345" s="89"/>
      <c r="AS345" s="27"/>
      <c r="AT345" s="16"/>
      <c r="AU345" s="27"/>
      <c r="AV345" s="86"/>
      <c r="AW345" s="27"/>
      <c r="AX345" s="27"/>
      <c r="AY345" s="27"/>
      <c r="AZ345" s="27"/>
      <c r="BA345" s="27"/>
      <c r="BB345" s="27"/>
      <c r="BC345" s="97"/>
      <c r="BD345" s="27"/>
      <c r="BE345" s="16"/>
      <c r="BF345" s="28">
        <f t="shared" si="147"/>
        <v>0</v>
      </c>
      <c r="BG345" s="29"/>
      <c r="BH345" s="27"/>
      <c r="BI345" s="30">
        <f t="shared" si="148"/>
        <v>336</v>
      </c>
      <c r="BJ345" s="31">
        <f t="shared" si="149"/>
        <v>45656</v>
      </c>
      <c r="BK345" s="27"/>
      <c r="BL345" s="16"/>
      <c r="BM345" s="27"/>
      <c r="BN345" s="16"/>
      <c r="BO345" s="27"/>
      <c r="BP345" s="16"/>
      <c r="BQ345" s="27"/>
      <c r="BR345" s="24"/>
      <c r="BS345" s="24"/>
      <c r="BT345" s="32"/>
      <c r="BU345" s="27"/>
      <c r="BV345" s="24"/>
      <c r="BW345" s="24"/>
      <c r="BX345" s="16"/>
      <c r="BY345" s="27"/>
      <c r="BZ345" s="24"/>
      <c r="CA345" s="24"/>
      <c r="CB345" s="16"/>
      <c r="CC345" s="49">
        <f t="shared" si="150"/>
        <v>0</v>
      </c>
      <c r="CD345" s="24"/>
      <c r="CE345" s="49">
        <f t="shared" si="157"/>
        <v>56635931</v>
      </c>
      <c r="CF345" s="50"/>
      <c r="CG345" s="49">
        <f t="shared" ca="1" si="151"/>
        <v>56635931</v>
      </c>
      <c r="CH345" s="33">
        <f t="shared" ca="1" si="152"/>
        <v>1</v>
      </c>
      <c r="CI345" s="33">
        <f t="shared" ca="1" si="153"/>
        <v>1</v>
      </c>
      <c r="CJ345" s="36">
        <f t="shared" ca="1" si="154"/>
        <v>100</v>
      </c>
      <c r="CK345" s="34">
        <f t="shared" si="155"/>
        <v>0</v>
      </c>
      <c r="CL345" s="21"/>
      <c r="CM345" s="35" t="str">
        <f t="shared" ca="1" si="156"/>
        <v>TERMINADO</v>
      </c>
      <c r="CN345" s="82"/>
      <c r="CO345" s="145" t="s">
        <v>2963</v>
      </c>
      <c r="CP345" s="26" t="s">
        <v>142</v>
      </c>
    </row>
    <row r="346" spans="1:94" ht="24.75" customHeight="1">
      <c r="A346" s="48" t="s">
        <v>2964</v>
      </c>
      <c r="B346" s="77" t="s">
        <v>2965</v>
      </c>
      <c r="C346" s="17" t="s">
        <v>104</v>
      </c>
      <c r="D346" s="18" t="s">
        <v>2966</v>
      </c>
      <c r="E346" s="17" t="s">
        <v>106</v>
      </c>
      <c r="F346" s="17" t="s">
        <v>107</v>
      </c>
      <c r="G346" s="17" t="s">
        <v>108</v>
      </c>
      <c r="H346" s="78">
        <v>52220562</v>
      </c>
      <c r="I346" s="74" t="s">
        <v>2967</v>
      </c>
      <c r="J346" s="16"/>
      <c r="K346" s="16"/>
      <c r="L346" s="20" t="s">
        <v>2968</v>
      </c>
      <c r="M346" s="16" t="s">
        <v>111</v>
      </c>
      <c r="N346" s="115">
        <v>45317</v>
      </c>
      <c r="O346" s="115">
        <v>45320</v>
      </c>
      <c r="P346" s="115">
        <v>45656</v>
      </c>
      <c r="Q346" s="23">
        <f t="shared" si="144"/>
        <v>336</v>
      </c>
      <c r="R346" s="17" t="s">
        <v>242</v>
      </c>
      <c r="S346" s="117" t="s">
        <v>2969</v>
      </c>
      <c r="T346" s="16" t="s">
        <v>343</v>
      </c>
      <c r="U346" s="24">
        <v>69272553</v>
      </c>
      <c r="V346" s="116" t="s">
        <v>344</v>
      </c>
      <c r="W346" s="227">
        <v>69272553</v>
      </c>
      <c r="X346" s="24">
        <v>6130314</v>
      </c>
      <c r="Y346" s="24"/>
      <c r="Z346" s="24"/>
      <c r="AA346" s="17" t="s">
        <v>116</v>
      </c>
      <c r="AB346" s="23" t="str">
        <f>IFERROR(VLOOKUP(AA346,Listas!$A$1:$C$14,2,FALSE),"")</f>
        <v>FREDY CÉSPEDES VILLA</v>
      </c>
      <c r="AC346" s="23">
        <f>IFERROR(VLOOKUP(AA346,Listas!$A$1:$C$14,3,FALSE),"")</f>
        <v>93363483</v>
      </c>
      <c r="AD346" s="17" t="s">
        <v>345</v>
      </c>
      <c r="AE346" s="17" t="s">
        <v>346</v>
      </c>
      <c r="AF346" s="23" t="str">
        <f>IFERROR(VLOOKUP(AE346,Listas!$AD$1:$AF$65,2,FALSE),"")</f>
        <v>RODOLFO GIOVANNI CANCHILA SUÁREZ</v>
      </c>
      <c r="AG346" s="23">
        <f>IFERROR(VLOOKUP(AE346,Listas!$AD$1:$AF$65,3,FALSE),"")</f>
        <v>79672493</v>
      </c>
      <c r="AH346" s="17" t="s">
        <v>118</v>
      </c>
      <c r="AI346" s="65" t="s">
        <v>2970</v>
      </c>
      <c r="AJ346" s="25" t="s">
        <v>119</v>
      </c>
      <c r="AK346" s="26" t="s">
        <v>120</v>
      </c>
      <c r="AL346" s="26" t="s">
        <v>120</v>
      </c>
      <c r="AM346" s="90" t="s">
        <v>119</v>
      </c>
      <c r="AN346" s="105">
        <v>27130</v>
      </c>
      <c r="AO346" s="91">
        <f t="shared" ca="1" si="145"/>
        <v>51</v>
      </c>
      <c r="AP346" s="26" t="s">
        <v>121</v>
      </c>
      <c r="AQ346" s="26" t="s">
        <v>367</v>
      </c>
      <c r="AR346" s="89"/>
      <c r="AS346" s="27"/>
      <c r="AT346" s="16"/>
      <c r="AU346" s="27"/>
      <c r="AV346" s="86"/>
      <c r="AW346" s="27"/>
      <c r="AX346" s="27"/>
      <c r="AY346" s="27"/>
      <c r="AZ346" s="27"/>
      <c r="BA346" s="27"/>
      <c r="BB346" s="27"/>
      <c r="BC346" s="97"/>
      <c r="BD346" s="27"/>
      <c r="BE346" s="16"/>
      <c r="BF346" s="28">
        <f t="shared" si="147"/>
        <v>0</v>
      </c>
      <c r="BG346" s="29"/>
      <c r="BH346" s="27"/>
      <c r="BI346" s="30">
        <f t="shared" si="148"/>
        <v>336</v>
      </c>
      <c r="BJ346" s="31">
        <f t="shared" si="149"/>
        <v>45656</v>
      </c>
      <c r="BK346" s="27"/>
      <c r="BL346" s="16"/>
      <c r="BM346" s="27"/>
      <c r="BN346" s="16"/>
      <c r="BO346" s="27"/>
      <c r="BP346" s="16"/>
      <c r="BQ346" s="27"/>
      <c r="BR346" s="24"/>
      <c r="BS346" s="24"/>
      <c r="BT346" s="32"/>
      <c r="BU346" s="27"/>
      <c r="BV346" s="24"/>
      <c r="BW346" s="24"/>
      <c r="BX346" s="16"/>
      <c r="BY346" s="27"/>
      <c r="BZ346" s="24"/>
      <c r="CA346" s="24"/>
      <c r="CB346" s="16"/>
      <c r="CC346" s="49">
        <f t="shared" si="150"/>
        <v>0</v>
      </c>
      <c r="CD346" s="24"/>
      <c r="CE346" s="49">
        <f t="shared" si="157"/>
        <v>69272553</v>
      </c>
      <c r="CF346" s="50"/>
      <c r="CG346" s="49">
        <f t="shared" ca="1" si="151"/>
        <v>69272553</v>
      </c>
      <c r="CH346" s="33">
        <f t="shared" ca="1" si="152"/>
        <v>1</v>
      </c>
      <c r="CI346" s="33">
        <f t="shared" ca="1" si="153"/>
        <v>1</v>
      </c>
      <c r="CJ346" s="36">
        <f t="shared" ca="1" si="154"/>
        <v>100</v>
      </c>
      <c r="CK346" s="34">
        <f t="shared" si="155"/>
        <v>0</v>
      </c>
      <c r="CL346" s="21"/>
      <c r="CM346" s="35" t="str">
        <f t="shared" ca="1" si="156"/>
        <v>TERMINADO</v>
      </c>
      <c r="CN346" s="82"/>
      <c r="CO346" s="145" t="s">
        <v>2971</v>
      </c>
      <c r="CP346" s="26" t="s">
        <v>123</v>
      </c>
    </row>
    <row r="347" spans="1:94" ht="24.75" customHeight="1">
      <c r="A347" s="48" t="s">
        <v>2972</v>
      </c>
      <c r="B347" s="77" t="s">
        <v>2973</v>
      </c>
      <c r="C347" s="17" t="s">
        <v>104</v>
      </c>
      <c r="D347" s="18" t="s">
        <v>2974</v>
      </c>
      <c r="E347" s="17" t="s">
        <v>106</v>
      </c>
      <c r="F347" s="17" t="s">
        <v>107</v>
      </c>
      <c r="G347" s="17" t="s">
        <v>108</v>
      </c>
      <c r="H347" s="78">
        <v>1020760447</v>
      </c>
      <c r="I347" s="74" t="s">
        <v>2975</v>
      </c>
      <c r="J347" s="16"/>
      <c r="K347" s="16"/>
      <c r="L347" s="20" t="s">
        <v>2976</v>
      </c>
      <c r="M347" s="16" t="s">
        <v>111</v>
      </c>
      <c r="N347" s="115">
        <v>45317</v>
      </c>
      <c r="O347" s="115">
        <v>45322</v>
      </c>
      <c r="P347" s="115">
        <v>45657</v>
      </c>
      <c r="Q347" s="23">
        <f t="shared" si="144"/>
        <v>335</v>
      </c>
      <c r="R347" s="17" t="s">
        <v>242</v>
      </c>
      <c r="S347" s="117" t="s">
        <v>2977</v>
      </c>
      <c r="T347" s="16" t="s">
        <v>1145</v>
      </c>
      <c r="U347" s="24">
        <v>158270934</v>
      </c>
      <c r="V347" s="116" t="s">
        <v>426</v>
      </c>
      <c r="W347" s="227">
        <v>158270934</v>
      </c>
      <c r="X347" s="24">
        <v>13489000</v>
      </c>
      <c r="Y347" s="24"/>
      <c r="Z347" s="24"/>
      <c r="AA347" s="17" t="s">
        <v>116</v>
      </c>
      <c r="AB347" s="23" t="str">
        <f>IFERROR(VLOOKUP(AA347,Listas!$A$1:$C$14,2,FALSE),"")</f>
        <v>FREDY CÉSPEDES VILLA</v>
      </c>
      <c r="AC347" s="23">
        <f>IFERROR(VLOOKUP(AA347,Listas!$A$1:$C$14,3,FALSE),"")</f>
        <v>93363483</v>
      </c>
      <c r="AD347" s="17" t="s">
        <v>427</v>
      </c>
      <c r="AE347" s="17" t="s">
        <v>428</v>
      </c>
      <c r="AF347" s="23" t="str">
        <f>IFERROR(VLOOKUP(AE347,Listas!$AD$1:$AF$65,2,FALSE),"")</f>
        <v>DINORAH PATRICIA ABADIA MURILLO</v>
      </c>
      <c r="AG347" s="23">
        <f>IFERROR(VLOOKUP(AE347,Listas!$AD$1:$AF$65,3,FALSE),"")</f>
        <v>52220857</v>
      </c>
      <c r="AH347" s="17" t="s">
        <v>118</v>
      </c>
      <c r="AI347" s="65" t="s">
        <v>2978</v>
      </c>
      <c r="AJ347" s="25" t="s">
        <v>119</v>
      </c>
      <c r="AK347" s="26" t="s">
        <v>120</v>
      </c>
      <c r="AL347" s="26" t="s">
        <v>120</v>
      </c>
      <c r="AM347" s="90" t="s">
        <v>119</v>
      </c>
      <c r="AN347" s="105">
        <v>33313</v>
      </c>
      <c r="AO347" s="91">
        <f t="shared" ca="1" si="145"/>
        <v>34</v>
      </c>
      <c r="AP347" s="26" t="s">
        <v>121</v>
      </c>
      <c r="AQ347" s="26" t="s">
        <v>1272</v>
      </c>
      <c r="AR347" s="89"/>
      <c r="AS347" s="27"/>
      <c r="AT347" s="16"/>
      <c r="AU347" s="27"/>
      <c r="AV347" s="86"/>
      <c r="AW347" s="27"/>
      <c r="AX347" s="27"/>
      <c r="AY347" s="27"/>
      <c r="AZ347" s="27"/>
      <c r="BA347" s="27"/>
      <c r="BB347" s="27"/>
      <c r="BC347" s="97"/>
      <c r="BD347" s="27"/>
      <c r="BE347" s="16"/>
      <c r="BF347" s="28">
        <f t="shared" si="147"/>
        <v>0</v>
      </c>
      <c r="BG347" s="29"/>
      <c r="BH347" s="27"/>
      <c r="BI347" s="30">
        <f t="shared" si="148"/>
        <v>335</v>
      </c>
      <c r="BJ347" s="31">
        <f t="shared" si="149"/>
        <v>45657</v>
      </c>
      <c r="BK347" s="27"/>
      <c r="BL347" s="16"/>
      <c r="BM347" s="27"/>
      <c r="BN347" s="16"/>
      <c r="BO347" s="27"/>
      <c r="BP347" s="16"/>
      <c r="BQ347" s="27"/>
      <c r="BR347" s="24"/>
      <c r="BS347" s="24"/>
      <c r="BT347" s="32"/>
      <c r="BU347" s="27"/>
      <c r="BV347" s="24"/>
      <c r="BW347" s="24"/>
      <c r="BX347" s="16"/>
      <c r="BY347" s="27"/>
      <c r="BZ347" s="24"/>
      <c r="CA347" s="24"/>
      <c r="CB347" s="16"/>
      <c r="CC347" s="49">
        <f t="shared" si="150"/>
        <v>0</v>
      </c>
      <c r="CD347" s="24"/>
      <c r="CE347" s="49">
        <f t="shared" si="157"/>
        <v>158270934</v>
      </c>
      <c r="CF347" s="50"/>
      <c r="CG347" s="49">
        <f t="shared" ca="1" si="151"/>
        <v>158270934</v>
      </c>
      <c r="CH347" s="33">
        <f t="shared" ca="1" si="152"/>
        <v>1</v>
      </c>
      <c r="CI347" s="33">
        <f t="shared" ca="1" si="153"/>
        <v>1</v>
      </c>
      <c r="CJ347" s="36">
        <f t="shared" ca="1" si="154"/>
        <v>100</v>
      </c>
      <c r="CK347" s="34">
        <f t="shared" si="155"/>
        <v>0</v>
      </c>
      <c r="CL347" s="21"/>
      <c r="CM347" s="35" t="str">
        <f t="shared" ca="1" si="156"/>
        <v>TERMINADO</v>
      </c>
      <c r="CN347" s="82"/>
      <c r="CP347" s="26" t="s">
        <v>123</v>
      </c>
    </row>
    <row r="348" spans="1:94" ht="24.75" customHeight="1">
      <c r="A348" s="48" t="s">
        <v>2979</v>
      </c>
      <c r="B348" s="77" t="s">
        <v>2980</v>
      </c>
      <c r="C348" s="17" t="s">
        <v>104</v>
      </c>
      <c r="D348" s="18" t="s">
        <v>2981</v>
      </c>
      <c r="E348" s="17" t="s">
        <v>106</v>
      </c>
      <c r="F348" s="17" t="s">
        <v>107</v>
      </c>
      <c r="G348" s="17" t="s">
        <v>108</v>
      </c>
      <c r="H348" s="78">
        <v>1026304523</v>
      </c>
      <c r="I348" s="74" t="s">
        <v>2982</v>
      </c>
      <c r="J348" s="16"/>
      <c r="K348" s="16"/>
      <c r="L348" s="20" t="s">
        <v>2983</v>
      </c>
      <c r="M348" s="16" t="s">
        <v>111</v>
      </c>
      <c r="N348" s="115">
        <v>45319</v>
      </c>
      <c r="O348" s="115">
        <v>45323</v>
      </c>
      <c r="P348" s="115">
        <v>45656</v>
      </c>
      <c r="Q348" s="23">
        <f t="shared" si="144"/>
        <v>333</v>
      </c>
      <c r="R348" s="17" t="s">
        <v>242</v>
      </c>
      <c r="S348" s="117" t="s">
        <v>2984</v>
      </c>
      <c r="T348" s="16" t="s">
        <v>2906</v>
      </c>
      <c r="U348" s="24">
        <v>58840320</v>
      </c>
      <c r="V348" s="116" t="s">
        <v>606</v>
      </c>
      <c r="W348" s="227">
        <v>58840320</v>
      </c>
      <c r="X348" s="24">
        <v>4659900</v>
      </c>
      <c r="Y348" s="24"/>
      <c r="Z348" s="24"/>
      <c r="AA348" s="17" t="s">
        <v>116</v>
      </c>
      <c r="AB348" s="23" t="str">
        <f>IFERROR(VLOOKUP(AA348,Listas!$A$1:$C$14,2,FALSE),"")</f>
        <v>FREDY CÉSPEDES VILLA</v>
      </c>
      <c r="AC348" s="23">
        <f>IFERROR(VLOOKUP(AA348,Listas!$A$1:$C$14,3,FALSE),"")</f>
        <v>93363483</v>
      </c>
      <c r="AD348" s="17" t="s">
        <v>607</v>
      </c>
      <c r="AE348" s="17" t="s">
        <v>1155</v>
      </c>
      <c r="AF348" s="23" t="str">
        <f>IFERROR(VLOOKUP(AE348,Listas!$AD$1:$AF$65,2,FALSE),"")</f>
        <v>MARÍA FRANCISCA CEPEDA QUINTERO</v>
      </c>
      <c r="AG348" s="23">
        <f>IFERROR(VLOOKUP(AE348,Listas!$AD$1:$AF$65,3,FALSE),"")</f>
        <v>53062608</v>
      </c>
      <c r="AH348" s="17" t="s">
        <v>118</v>
      </c>
      <c r="AI348" s="65" t="s">
        <v>2985</v>
      </c>
      <c r="AJ348" s="25" t="s">
        <v>119</v>
      </c>
      <c r="AK348" s="26" t="s">
        <v>120</v>
      </c>
      <c r="AL348" s="26" t="s">
        <v>120</v>
      </c>
      <c r="AM348" s="90" t="s">
        <v>119</v>
      </c>
      <c r="AN348" s="105">
        <v>36200</v>
      </c>
      <c r="AO348" s="91">
        <f t="shared" ca="1" si="145"/>
        <v>26</v>
      </c>
      <c r="AP348" s="26" t="s">
        <v>121</v>
      </c>
      <c r="AQ348" s="26" t="s">
        <v>486</v>
      </c>
      <c r="AR348" s="89"/>
      <c r="AS348" s="27"/>
      <c r="AT348" s="16"/>
      <c r="AU348" s="27"/>
      <c r="AV348" s="86"/>
      <c r="AW348" s="27"/>
      <c r="AX348" s="27"/>
      <c r="AY348" s="27"/>
      <c r="AZ348" s="27"/>
      <c r="BA348" s="27"/>
      <c r="BB348" s="27"/>
      <c r="BC348" s="97"/>
      <c r="BD348" s="27"/>
      <c r="BE348" s="16"/>
      <c r="BF348" s="28">
        <f t="shared" si="147"/>
        <v>0</v>
      </c>
      <c r="BG348" s="29"/>
      <c r="BH348" s="27"/>
      <c r="BI348" s="30">
        <f t="shared" si="148"/>
        <v>333</v>
      </c>
      <c r="BJ348" s="31">
        <f t="shared" si="149"/>
        <v>45656</v>
      </c>
      <c r="BK348" s="27"/>
      <c r="BL348" s="16"/>
      <c r="BM348" s="27"/>
      <c r="BN348" s="16"/>
      <c r="BO348" s="27"/>
      <c r="BP348" s="16"/>
      <c r="BQ348" s="27"/>
      <c r="BR348" s="24"/>
      <c r="BS348" s="24"/>
      <c r="BT348" s="32"/>
      <c r="BU348" s="27"/>
      <c r="BV348" s="24"/>
      <c r="BW348" s="24"/>
      <c r="BX348" s="16"/>
      <c r="BY348" s="27"/>
      <c r="BZ348" s="24"/>
      <c r="CA348" s="24"/>
      <c r="CB348" s="16"/>
      <c r="CC348" s="49">
        <f t="shared" si="150"/>
        <v>0</v>
      </c>
      <c r="CD348" s="24"/>
      <c r="CE348" s="49">
        <f t="shared" si="157"/>
        <v>58840320</v>
      </c>
      <c r="CF348" s="50"/>
      <c r="CG348" s="49">
        <f t="shared" ca="1" si="151"/>
        <v>58840320</v>
      </c>
      <c r="CH348" s="33">
        <f t="shared" ca="1" si="152"/>
        <v>1</v>
      </c>
      <c r="CI348" s="33">
        <f t="shared" ca="1" si="153"/>
        <v>1</v>
      </c>
      <c r="CJ348" s="36">
        <f t="shared" ca="1" si="154"/>
        <v>100</v>
      </c>
      <c r="CK348" s="34">
        <f t="shared" si="155"/>
        <v>0</v>
      </c>
      <c r="CL348" s="21"/>
      <c r="CM348" s="35" t="str">
        <f t="shared" ca="1" si="156"/>
        <v>TERMINADO</v>
      </c>
      <c r="CN348" s="82"/>
      <c r="CO348" s="145" t="s">
        <v>2986</v>
      </c>
      <c r="CP348" s="26" t="s">
        <v>142</v>
      </c>
    </row>
    <row r="349" spans="1:94" ht="24.75" customHeight="1">
      <c r="A349" s="48" t="s">
        <v>2987</v>
      </c>
      <c r="B349" s="77" t="s">
        <v>2988</v>
      </c>
      <c r="C349" s="17" t="s">
        <v>104</v>
      </c>
      <c r="D349" s="18" t="s">
        <v>2989</v>
      </c>
      <c r="E349" s="17" t="s">
        <v>106</v>
      </c>
      <c r="F349" s="17" t="s">
        <v>107</v>
      </c>
      <c r="G349" s="17" t="s">
        <v>108</v>
      </c>
      <c r="H349" s="78">
        <v>80087818</v>
      </c>
      <c r="I349" s="74" t="s">
        <v>2990</v>
      </c>
      <c r="J349" s="16"/>
      <c r="K349" s="16"/>
      <c r="L349" s="20" t="s">
        <v>2991</v>
      </c>
      <c r="M349" s="16" t="s">
        <v>111</v>
      </c>
      <c r="N349" s="115">
        <v>45320</v>
      </c>
      <c r="O349" s="115">
        <v>45323</v>
      </c>
      <c r="P349" s="115">
        <v>45656</v>
      </c>
      <c r="Q349" s="23">
        <f t="shared" si="144"/>
        <v>333</v>
      </c>
      <c r="R349" s="17" t="s">
        <v>112</v>
      </c>
      <c r="S349" s="117" t="s">
        <v>2992</v>
      </c>
      <c r="T349" s="16" t="s">
        <v>114</v>
      </c>
      <c r="U349" s="24">
        <v>132480000</v>
      </c>
      <c r="V349" s="116" t="s">
        <v>115</v>
      </c>
      <c r="W349" s="227">
        <v>132480000</v>
      </c>
      <c r="X349" s="24">
        <v>11040000</v>
      </c>
      <c r="Y349" s="24"/>
      <c r="Z349" s="24"/>
      <c r="AA349" s="17" t="s">
        <v>116</v>
      </c>
      <c r="AB349" s="23" t="str">
        <f>IFERROR(VLOOKUP(AA349,Listas!$A$1:$C$14,2,FALSE),"")</f>
        <v>FREDY CÉSPEDES VILLA</v>
      </c>
      <c r="AC349" s="23">
        <f>IFERROR(VLOOKUP(AA349,Listas!$A$1:$C$14,3,FALSE),"")</f>
        <v>93363483</v>
      </c>
      <c r="AD349" s="17" t="s">
        <v>116</v>
      </c>
      <c r="AE349" s="17" t="s">
        <v>743</v>
      </c>
      <c r="AF349" s="23" t="str">
        <f>IFERROR(VLOOKUP(AE349,Listas!$AD$1:$AF$65,2,FALSE),"")</f>
        <v>FREDY CÉSPEDES VILLA</v>
      </c>
      <c r="AG349" s="23">
        <f>IFERROR(VLOOKUP(AE349,Listas!$AD$1:$AF$65,3,FALSE),"")</f>
        <v>93363483</v>
      </c>
      <c r="AH349" s="17" t="s">
        <v>118</v>
      </c>
      <c r="AI349" s="65" t="s">
        <v>2993</v>
      </c>
      <c r="AJ349" s="25" t="s">
        <v>119</v>
      </c>
      <c r="AK349" s="26" t="s">
        <v>120</v>
      </c>
      <c r="AL349" s="26" t="s">
        <v>120</v>
      </c>
      <c r="AM349" s="90" t="s">
        <v>119</v>
      </c>
      <c r="AN349" s="105">
        <v>29588</v>
      </c>
      <c r="AO349" s="91">
        <f t="shared" ca="1" si="145"/>
        <v>44</v>
      </c>
      <c r="AP349" s="26" t="s">
        <v>121</v>
      </c>
      <c r="AQ349" s="26" t="s">
        <v>285</v>
      </c>
      <c r="AR349" s="89"/>
      <c r="AS349" s="27"/>
      <c r="AT349" s="16"/>
      <c r="AU349" s="27"/>
      <c r="AV349" s="86"/>
      <c r="AW349" s="27"/>
      <c r="AX349" s="27"/>
      <c r="AY349" s="27"/>
      <c r="AZ349" s="27"/>
      <c r="BA349" s="27"/>
      <c r="BB349" s="27"/>
      <c r="BC349" s="97"/>
      <c r="BD349" s="27"/>
      <c r="BE349" s="16"/>
      <c r="BF349" s="28">
        <f t="shared" si="147"/>
        <v>0</v>
      </c>
      <c r="BG349" s="29"/>
      <c r="BH349" s="27"/>
      <c r="BI349" s="30">
        <f t="shared" si="148"/>
        <v>333</v>
      </c>
      <c r="BJ349" s="31">
        <f t="shared" si="149"/>
        <v>45656</v>
      </c>
      <c r="BK349" s="27"/>
      <c r="BL349" s="16"/>
      <c r="BM349" s="27"/>
      <c r="BN349" s="16"/>
      <c r="BO349" s="27"/>
      <c r="BP349" s="16"/>
      <c r="BQ349" s="27"/>
      <c r="BR349" s="24"/>
      <c r="BS349" s="24"/>
      <c r="BT349" s="32"/>
      <c r="BU349" s="27"/>
      <c r="BV349" s="24"/>
      <c r="BW349" s="24"/>
      <c r="BX349" s="16"/>
      <c r="BY349" s="27"/>
      <c r="BZ349" s="24"/>
      <c r="CA349" s="24"/>
      <c r="CB349" s="16"/>
      <c r="CC349" s="49">
        <f t="shared" si="150"/>
        <v>0</v>
      </c>
      <c r="CD349" s="24"/>
      <c r="CE349" s="49">
        <f t="shared" si="157"/>
        <v>132480000</v>
      </c>
      <c r="CF349" s="50"/>
      <c r="CG349" s="49">
        <f t="shared" ca="1" si="151"/>
        <v>132480000</v>
      </c>
      <c r="CH349" s="33">
        <f t="shared" ca="1" si="152"/>
        <v>1</v>
      </c>
      <c r="CI349" s="33">
        <f t="shared" ca="1" si="153"/>
        <v>1</v>
      </c>
      <c r="CJ349" s="36">
        <f t="shared" ca="1" si="154"/>
        <v>100</v>
      </c>
      <c r="CK349" s="34">
        <f t="shared" si="155"/>
        <v>0</v>
      </c>
      <c r="CL349" s="21"/>
      <c r="CM349" s="35" t="str">
        <f t="shared" ca="1" si="156"/>
        <v>TERMINADO</v>
      </c>
      <c r="CN349" s="82"/>
      <c r="CO349" s="145" t="s">
        <v>2994</v>
      </c>
      <c r="CP349" s="26" t="s">
        <v>142</v>
      </c>
    </row>
    <row r="350" spans="1:94" ht="24.75" customHeight="1">
      <c r="A350" s="48" t="s">
        <v>2995</v>
      </c>
      <c r="B350" s="77" t="s">
        <v>2996</v>
      </c>
      <c r="C350" s="17" t="s">
        <v>104</v>
      </c>
      <c r="D350" s="18" t="s">
        <v>2997</v>
      </c>
      <c r="E350" s="17" t="s">
        <v>106</v>
      </c>
      <c r="F350" s="17" t="s">
        <v>107</v>
      </c>
      <c r="G350" s="17" t="s">
        <v>108</v>
      </c>
      <c r="H350" s="78">
        <v>79777626</v>
      </c>
      <c r="I350" s="74" t="s">
        <v>2998</v>
      </c>
      <c r="J350" s="16"/>
      <c r="K350" s="16"/>
      <c r="L350" s="20" t="s">
        <v>2999</v>
      </c>
      <c r="M350" s="16" t="s">
        <v>111</v>
      </c>
      <c r="N350" s="115">
        <v>45320</v>
      </c>
      <c r="O350" s="115">
        <v>45323</v>
      </c>
      <c r="P350" s="115">
        <v>45617</v>
      </c>
      <c r="Q350" s="23">
        <f t="shared" si="144"/>
        <v>294</v>
      </c>
      <c r="R350" s="17" t="s">
        <v>112</v>
      </c>
      <c r="S350" s="117" t="s">
        <v>3000</v>
      </c>
      <c r="T350" s="16" t="s">
        <v>114</v>
      </c>
      <c r="U350" s="24">
        <v>92736000</v>
      </c>
      <c r="V350" s="116" t="s">
        <v>115</v>
      </c>
      <c r="W350" s="227">
        <v>90000000</v>
      </c>
      <c r="X350" s="24">
        <v>9000000</v>
      </c>
      <c r="Y350" s="24"/>
      <c r="Z350" s="24"/>
      <c r="AA350" s="17" t="s">
        <v>116</v>
      </c>
      <c r="AB350" s="23" t="str">
        <f>IFERROR(VLOOKUP(AA350,Listas!$A$1:$C$14,2,FALSE),"")</f>
        <v>FREDY CÉSPEDES VILLA</v>
      </c>
      <c r="AC350" s="23">
        <f>IFERROR(VLOOKUP(AA350,Listas!$A$1:$C$14,3,FALSE),"")</f>
        <v>93363483</v>
      </c>
      <c r="AD350" s="17" t="s">
        <v>116</v>
      </c>
      <c r="AE350" s="17" t="s">
        <v>743</v>
      </c>
      <c r="AF350" s="23" t="str">
        <f>IFERROR(VLOOKUP(AE350,Listas!$AD$1:$AF$65,2,FALSE),"")</f>
        <v>FREDY CÉSPEDES VILLA</v>
      </c>
      <c r="AG350" s="23">
        <f>IFERROR(VLOOKUP(AE350,Listas!$AD$1:$AF$65,3,FALSE),"")</f>
        <v>93363483</v>
      </c>
      <c r="AH350" s="17" t="s">
        <v>118</v>
      </c>
      <c r="AI350" s="65" t="s">
        <v>3001</v>
      </c>
      <c r="AJ350" s="25" t="s">
        <v>119</v>
      </c>
      <c r="AK350" s="26" t="s">
        <v>120</v>
      </c>
      <c r="AL350" s="26" t="s">
        <v>120</v>
      </c>
      <c r="AM350" s="90" t="s">
        <v>119</v>
      </c>
      <c r="AN350" s="105">
        <v>27603</v>
      </c>
      <c r="AO350" s="91">
        <f t="shared" ca="1" si="145"/>
        <v>50</v>
      </c>
      <c r="AP350" s="26" t="s">
        <v>121</v>
      </c>
      <c r="AQ350" s="26" t="s">
        <v>285</v>
      </c>
      <c r="AR350" s="89"/>
      <c r="AS350" s="27"/>
      <c r="AT350" s="16"/>
      <c r="AU350" s="27"/>
      <c r="AV350" s="86"/>
      <c r="AW350" s="27"/>
      <c r="AX350" s="27"/>
      <c r="AY350" s="27"/>
      <c r="AZ350" s="27"/>
      <c r="BA350" s="27"/>
      <c r="BB350" s="27">
        <v>45590</v>
      </c>
      <c r="BC350" s="78">
        <v>40</v>
      </c>
      <c r="BD350" s="27"/>
      <c r="BE350" s="16"/>
      <c r="BF350" s="28">
        <f t="shared" si="147"/>
        <v>40</v>
      </c>
      <c r="BG350" s="29"/>
      <c r="BH350" s="27"/>
      <c r="BI350" s="30">
        <f t="shared" si="148"/>
        <v>334</v>
      </c>
      <c r="BJ350" s="31">
        <f t="shared" si="149"/>
        <v>45657</v>
      </c>
      <c r="BK350" s="27"/>
      <c r="BL350" s="16"/>
      <c r="BM350" s="27"/>
      <c r="BN350" s="16"/>
      <c r="BO350" s="27"/>
      <c r="BP350" s="16"/>
      <c r="BQ350" s="27">
        <v>45575</v>
      </c>
      <c r="BR350" s="24">
        <v>11700000</v>
      </c>
      <c r="BS350" s="24" t="s">
        <v>3002</v>
      </c>
      <c r="BT350" s="32" t="s">
        <v>3003</v>
      </c>
      <c r="BU350" s="27"/>
      <c r="BV350" s="24"/>
      <c r="BW350" s="24"/>
      <c r="BX350" s="16"/>
      <c r="BY350" s="27"/>
      <c r="BZ350" s="24"/>
      <c r="CA350" s="24"/>
      <c r="CB350" s="16"/>
      <c r="CC350" s="49">
        <f t="shared" si="150"/>
        <v>11700000</v>
      </c>
      <c r="CD350" s="24"/>
      <c r="CE350" s="49">
        <f t="shared" si="157"/>
        <v>101700000</v>
      </c>
      <c r="CF350" s="50"/>
      <c r="CG350" s="49">
        <f t="shared" ca="1" si="151"/>
        <v>101700000</v>
      </c>
      <c r="CH350" s="33">
        <f t="shared" ca="1" si="152"/>
        <v>1</v>
      </c>
      <c r="CI350" s="33">
        <f t="shared" ca="1" si="153"/>
        <v>1</v>
      </c>
      <c r="CJ350" s="36">
        <f t="shared" ca="1" si="154"/>
        <v>100</v>
      </c>
      <c r="CK350" s="34">
        <f t="shared" si="155"/>
        <v>0</v>
      </c>
      <c r="CL350" s="21"/>
      <c r="CM350" s="35" t="str">
        <f t="shared" ca="1" si="156"/>
        <v>TERMINADO</v>
      </c>
      <c r="CN350" s="82"/>
      <c r="CO350" s="145" t="s">
        <v>3004</v>
      </c>
      <c r="CP350" s="26" t="s">
        <v>142</v>
      </c>
    </row>
    <row r="351" spans="1:94" ht="24.75" customHeight="1">
      <c r="A351" s="48" t="s">
        <v>3005</v>
      </c>
      <c r="B351" s="77" t="s">
        <v>3006</v>
      </c>
      <c r="C351" s="17" t="s">
        <v>104</v>
      </c>
      <c r="D351" s="18" t="s">
        <v>3007</v>
      </c>
      <c r="E351" s="17" t="s">
        <v>106</v>
      </c>
      <c r="F351" s="17" t="s">
        <v>107</v>
      </c>
      <c r="G351" s="17" t="s">
        <v>108</v>
      </c>
      <c r="H351" s="78">
        <v>1094970436</v>
      </c>
      <c r="I351" s="74" t="s">
        <v>3008</v>
      </c>
      <c r="J351" s="16"/>
      <c r="K351" s="16"/>
      <c r="L351" s="20" t="s">
        <v>3009</v>
      </c>
      <c r="M351" s="16" t="s">
        <v>111</v>
      </c>
      <c r="N351" s="115">
        <v>45317</v>
      </c>
      <c r="O351" s="115">
        <v>45322</v>
      </c>
      <c r="P351" s="115">
        <v>45656</v>
      </c>
      <c r="Q351" s="23">
        <f t="shared" si="144"/>
        <v>334</v>
      </c>
      <c r="R351" s="17" t="s">
        <v>242</v>
      </c>
      <c r="S351" s="117" t="s">
        <v>3010</v>
      </c>
      <c r="T351" s="16" t="s">
        <v>1345</v>
      </c>
      <c r="U351" s="24">
        <v>64732038</v>
      </c>
      <c r="V351" s="116" t="s">
        <v>437</v>
      </c>
      <c r="W351" s="227">
        <v>64732038</v>
      </c>
      <c r="X351" s="24">
        <v>5762496</v>
      </c>
      <c r="Y351" s="24"/>
      <c r="Z351" s="24"/>
      <c r="AA351" s="17" t="s">
        <v>116</v>
      </c>
      <c r="AB351" s="23" t="str">
        <f>IFERROR(VLOOKUP(AA351,Listas!$A$1:$C$14,2,FALSE),"")</f>
        <v>FREDY CÉSPEDES VILLA</v>
      </c>
      <c r="AC351" s="23">
        <f>IFERROR(VLOOKUP(AA351,Listas!$A$1:$C$14,3,FALSE),"")</f>
        <v>93363483</v>
      </c>
      <c r="AD351" s="17" t="s">
        <v>345</v>
      </c>
      <c r="AE351" s="17" t="s">
        <v>346</v>
      </c>
      <c r="AF351" s="23" t="str">
        <f>IFERROR(VLOOKUP(AE351,Listas!$AD$1:$AF$65,2,FALSE),"")</f>
        <v>RODOLFO GIOVANNI CANCHILA SUÁREZ</v>
      </c>
      <c r="AG351" s="23">
        <f>IFERROR(VLOOKUP(AE351,Listas!$AD$1:$AF$65,3,FALSE),"")</f>
        <v>79672493</v>
      </c>
      <c r="AH351" s="17" t="s">
        <v>118</v>
      </c>
      <c r="AI351" s="65" t="s">
        <v>3011</v>
      </c>
      <c r="AJ351" s="25" t="s">
        <v>119</v>
      </c>
      <c r="AK351" s="26" t="s">
        <v>120</v>
      </c>
      <c r="AL351" s="26" t="s">
        <v>120</v>
      </c>
      <c r="AM351" s="90" t="s">
        <v>119</v>
      </c>
      <c r="AN351" s="105">
        <v>36059</v>
      </c>
      <c r="AO351" s="91">
        <f t="shared" ca="1" si="145"/>
        <v>27</v>
      </c>
      <c r="AP351" s="26" t="s">
        <v>121</v>
      </c>
      <c r="AQ351" s="26" t="s">
        <v>347</v>
      </c>
      <c r="AR351" s="89"/>
      <c r="AS351" s="27"/>
      <c r="AT351" s="16"/>
      <c r="AU351" s="27"/>
      <c r="AV351" s="86"/>
      <c r="AW351" s="27"/>
      <c r="AX351" s="27"/>
      <c r="AY351" s="27"/>
      <c r="AZ351" s="27"/>
      <c r="BA351" s="27"/>
      <c r="BB351" s="27"/>
      <c r="BC351" s="97"/>
      <c r="BD351" s="27"/>
      <c r="BE351" s="16"/>
      <c r="BF351" s="28">
        <f t="shared" si="147"/>
        <v>0</v>
      </c>
      <c r="BG351" s="29"/>
      <c r="BH351" s="27"/>
      <c r="BI351" s="30">
        <f t="shared" si="148"/>
        <v>334</v>
      </c>
      <c r="BJ351" s="31">
        <f t="shared" si="149"/>
        <v>45656</v>
      </c>
      <c r="BK351" s="27"/>
      <c r="BL351" s="16"/>
      <c r="BM351" s="27"/>
      <c r="BN351" s="16"/>
      <c r="BO351" s="27"/>
      <c r="BP351" s="16"/>
      <c r="BQ351" s="27"/>
      <c r="BR351" s="24"/>
      <c r="BS351" s="24"/>
      <c r="BT351" s="32"/>
      <c r="BU351" s="27"/>
      <c r="BV351" s="24"/>
      <c r="BW351" s="24"/>
      <c r="BX351" s="16"/>
      <c r="BY351" s="27"/>
      <c r="BZ351" s="24"/>
      <c r="CA351" s="24"/>
      <c r="CB351" s="16"/>
      <c r="CC351" s="49">
        <f t="shared" si="150"/>
        <v>0</v>
      </c>
      <c r="CD351" s="24"/>
      <c r="CE351" s="49">
        <f t="shared" si="157"/>
        <v>64732038</v>
      </c>
      <c r="CF351" s="50"/>
      <c r="CG351" s="49">
        <f t="shared" ca="1" si="151"/>
        <v>64732038</v>
      </c>
      <c r="CH351" s="33">
        <f t="shared" ca="1" si="152"/>
        <v>1</v>
      </c>
      <c r="CI351" s="33">
        <f t="shared" ca="1" si="153"/>
        <v>1</v>
      </c>
      <c r="CJ351" s="36">
        <f t="shared" ca="1" si="154"/>
        <v>100</v>
      </c>
      <c r="CK351" s="34">
        <f t="shared" si="155"/>
        <v>0</v>
      </c>
      <c r="CL351" s="21"/>
      <c r="CM351" s="35" t="str">
        <f t="shared" ca="1" si="156"/>
        <v>TERMINADO</v>
      </c>
      <c r="CN351" s="82"/>
      <c r="CO351" s="145" t="s">
        <v>3012</v>
      </c>
      <c r="CP351" s="26" t="s">
        <v>142</v>
      </c>
    </row>
    <row r="352" spans="1:94" ht="24.75" customHeight="1">
      <c r="A352" s="148" t="s">
        <v>3013</v>
      </c>
      <c r="B352" s="77" t="s">
        <v>3014</v>
      </c>
      <c r="C352" s="17" t="s">
        <v>104</v>
      </c>
      <c r="D352" s="18" t="s">
        <v>3015</v>
      </c>
      <c r="E352" s="17" t="s">
        <v>106</v>
      </c>
      <c r="F352" s="17" t="s">
        <v>107</v>
      </c>
      <c r="G352" s="17" t="s">
        <v>108</v>
      </c>
      <c r="H352" s="78">
        <v>1019023824</v>
      </c>
      <c r="I352" s="74" t="s">
        <v>3016</v>
      </c>
      <c r="J352" s="16"/>
      <c r="K352" s="16"/>
      <c r="L352" s="20" t="s">
        <v>3017</v>
      </c>
      <c r="M352" s="16" t="s">
        <v>111</v>
      </c>
      <c r="N352" s="115">
        <v>45322</v>
      </c>
      <c r="O352" s="115">
        <v>45329</v>
      </c>
      <c r="P352" s="115">
        <v>45451</v>
      </c>
      <c r="Q352" s="23">
        <f t="shared" si="144"/>
        <v>122</v>
      </c>
      <c r="R352" s="17" t="s">
        <v>242</v>
      </c>
      <c r="S352" s="117" t="s">
        <v>3018</v>
      </c>
      <c r="T352" s="16" t="s">
        <v>1128</v>
      </c>
      <c r="U352" s="24">
        <v>25600000</v>
      </c>
      <c r="V352" s="116" t="s">
        <v>1239</v>
      </c>
      <c r="W352" s="227">
        <v>25600000</v>
      </c>
      <c r="X352" s="24">
        <v>6400000</v>
      </c>
      <c r="Y352" s="24"/>
      <c r="Z352" s="24"/>
      <c r="AA352" s="17" t="s">
        <v>116</v>
      </c>
      <c r="AB352" s="23" t="str">
        <f>IFERROR(VLOOKUP(AA352,Listas!$A$1:$C$14,2,FALSE),"")</f>
        <v>FREDY CÉSPEDES VILLA</v>
      </c>
      <c r="AC352" s="23">
        <f>IFERROR(VLOOKUP(AA352,Listas!$A$1:$C$14,3,FALSE),"")</f>
        <v>93363483</v>
      </c>
      <c r="AD352" s="17" t="s">
        <v>816</v>
      </c>
      <c r="AE352" s="17" t="s">
        <v>1450</v>
      </c>
      <c r="AF352" s="23" t="str">
        <f>IFERROR(VLOOKUP(AE352,Listas!$AD$1:$AF$65,2,FALSE),"")</f>
        <v>LINA MARIA CRUZ SILVA</v>
      </c>
      <c r="AG352" s="23">
        <f>IFERROR(VLOOKUP(AE352,Listas!$AD$1:$AF$65,3,FALSE),"")</f>
        <v>52423537</v>
      </c>
      <c r="AH352" s="17" t="s">
        <v>118</v>
      </c>
      <c r="AI352" s="65" t="s">
        <v>3019</v>
      </c>
      <c r="AJ352" s="25" t="s">
        <v>119</v>
      </c>
      <c r="AK352" s="26" t="s">
        <v>120</v>
      </c>
      <c r="AL352" s="26" t="s">
        <v>120</v>
      </c>
      <c r="AM352" s="90" t="s">
        <v>119</v>
      </c>
      <c r="AN352" s="105">
        <v>32231</v>
      </c>
      <c r="AO352" s="91">
        <f t="shared" ca="1" si="145"/>
        <v>37</v>
      </c>
      <c r="AP352" s="26" t="s">
        <v>121</v>
      </c>
      <c r="AQ352" s="26" t="s">
        <v>1641</v>
      </c>
      <c r="AR352" s="89"/>
      <c r="AS352" s="27"/>
      <c r="AT352" s="16"/>
      <c r="AU352" s="27"/>
      <c r="AV352" s="86"/>
      <c r="AW352" s="27"/>
      <c r="AX352" s="27"/>
      <c r="AY352" s="27"/>
      <c r="AZ352" s="27"/>
      <c r="BA352" s="27"/>
      <c r="BB352" s="27"/>
      <c r="BC352" s="97"/>
      <c r="BD352" s="27"/>
      <c r="BE352" s="16"/>
      <c r="BF352" s="28">
        <f t="shared" si="147"/>
        <v>0</v>
      </c>
      <c r="BG352" s="29"/>
      <c r="BH352" s="27"/>
      <c r="BI352" s="30">
        <f t="shared" si="148"/>
        <v>122</v>
      </c>
      <c r="BJ352" s="31">
        <f t="shared" si="149"/>
        <v>45451</v>
      </c>
      <c r="BK352" s="27"/>
      <c r="BL352" s="16"/>
      <c r="BM352" s="27"/>
      <c r="BN352" s="16"/>
      <c r="BO352" s="27"/>
      <c r="BP352" s="16"/>
      <c r="BQ352" s="27"/>
      <c r="BR352" s="24"/>
      <c r="BS352" s="24"/>
      <c r="BT352" s="32"/>
      <c r="BU352" s="27"/>
      <c r="BV352" s="24"/>
      <c r="BW352" s="24"/>
      <c r="BX352" s="16"/>
      <c r="BY352" s="27"/>
      <c r="BZ352" s="24"/>
      <c r="CA352" s="24"/>
      <c r="CB352" s="16"/>
      <c r="CC352" s="49">
        <f t="shared" si="150"/>
        <v>0</v>
      </c>
      <c r="CD352" s="24"/>
      <c r="CE352" s="49">
        <f t="shared" si="157"/>
        <v>25600000</v>
      </c>
      <c r="CF352" s="50"/>
      <c r="CG352" s="49">
        <f t="shared" ca="1" si="151"/>
        <v>25600000</v>
      </c>
      <c r="CH352" s="33">
        <f t="shared" ca="1" si="152"/>
        <v>1</v>
      </c>
      <c r="CI352" s="33">
        <f t="shared" ca="1" si="153"/>
        <v>1</v>
      </c>
      <c r="CJ352" s="36">
        <f t="shared" ca="1" si="154"/>
        <v>100</v>
      </c>
      <c r="CK352" s="34">
        <f t="shared" si="155"/>
        <v>0</v>
      </c>
      <c r="CL352" s="21"/>
      <c r="CM352" s="35" t="str">
        <f t="shared" ca="1" si="156"/>
        <v>TERMINADO</v>
      </c>
      <c r="CN352" s="82"/>
      <c r="CO352" s="145" t="s">
        <v>3020</v>
      </c>
      <c r="CP352" s="26" t="s">
        <v>123</v>
      </c>
    </row>
    <row r="353" spans="1:97" ht="24.75" customHeight="1">
      <c r="A353" s="48" t="s">
        <v>3021</v>
      </c>
      <c r="B353" s="77" t="s">
        <v>3022</v>
      </c>
      <c r="C353" s="17" t="s">
        <v>104</v>
      </c>
      <c r="D353" s="18" t="s">
        <v>3023</v>
      </c>
      <c r="E353" s="17" t="s">
        <v>106</v>
      </c>
      <c r="F353" s="17" t="s">
        <v>107</v>
      </c>
      <c r="G353" s="17" t="s">
        <v>108</v>
      </c>
      <c r="H353" s="78">
        <v>1020726540</v>
      </c>
      <c r="I353" s="74" t="s">
        <v>3024</v>
      </c>
      <c r="J353" s="16"/>
      <c r="K353" s="16"/>
      <c r="L353" s="20" t="s">
        <v>3025</v>
      </c>
      <c r="M353" s="16" t="s">
        <v>111</v>
      </c>
      <c r="N353" s="115">
        <v>45319</v>
      </c>
      <c r="O353" s="115">
        <v>45323</v>
      </c>
      <c r="P353" s="115">
        <v>45656</v>
      </c>
      <c r="Q353" s="23">
        <f t="shared" si="144"/>
        <v>333</v>
      </c>
      <c r="R353" s="17" t="s">
        <v>242</v>
      </c>
      <c r="S353" s="117" t="s">
        <v>3026</v>
      </c>
      <c r="T353" s="16" t="s">
        <v>2906</v>
      </c>
      <c r="U353" s="24">
        <v>88260480</v>
      </c>
      <c r="V353" s="116" t="s">
        <v>606</v>
      </c>
      <c r="W353" s="227">
        <v>88260480</v>
      </c>
      <c r="X353" s="24">
        <v>7355040</v>
      </c>
      <c r="Y353" s="24"/>
      <c r="Z353" s="24"/>
      <c r="AA353" s="17" t="s">
        <v>116</v>
      </c>
      <c r="AB353" s="23" t="str">
        <f>IFERROR(VLOOKUP(AA353,Listas!$A$1:$C$14,2,FALSE),"")</f>
        <v>FREDY CÉSPEDES VILLA</v>
      </c>
      <c r="AC353" s="23">
        <f>IFERROR(VLOOKUP(AA353,Listas!$A$1:$C$14,3,FALSE),"")</f>
        <v>93363483</v>
      </c>
      <c r="AD353" s="17" t="s">
        <v>607</v>
      </c>
      <c r="AE353" s="17" t="s">
        <v>1155</v>
      </c>
      <c r="AF353" s="23" t="str">
        <f>IFERROR(VLOOKUP(AE353,Listas!$AD$1:$AF$65,2,FALSE),"")</f>
        <v>MARÍA FRANCISCA CEPEDA QUINTERO</v>
      </c>
      <c r="AG353" s="23">
        <f>IFERROR(VLOOKUP(AE353,Listas!$AD$1:$AF$65,3,FALSE),"")</f>
        <v>53062608</v>
      </c>
      <c r="AH353" s="17" t="s">
        <v>118</v>
      </c>
      <c r="AI353" s="65" t="s">
        <v>3027</v>
      </c>
      <c r="AJ353" s="25" t="s">
        <v>119</v>
      </c>
      <c r="AK353" s="26" t="s">
        <v>120</v>
      </c>
      <c r="AL353" s="26" t="s">
        <v>120</v>
      </c>
      <c r="AM353" s="90" t="s">
        <v>119</v>
      </c>
      <c r="AN353" s="105">
        <v>31968</v>
      </c>
      <c r="AO353" s="91">
        <f t="shared" ca="1" si="145"/>
        <v>38</v>
      </c>
      <c r="AP353" s="26" t="s">
        <v>121</v>
      </c>
      <c r="AQ353" s="26" t="s">
        <v>486</v>
      </c>
      <c r="AR353" s="89"/>
      <c r="AS353" s="27"/>
      <c r="AT353" s="16"/>
      <c r="AU353" s="27"/>
      <c r="AV353" s="86"/>
      <c r="AW353" s="27"/>
      <c r="AX353" s="27"/>
      <c r="AY353" s="27"/>
      <c r="AZ353" s="27"/>
      <c r="BA353" s="27"/>
      <c r="BB353" s="27"/>
      <c r="BC353" s="97"/>
      <c r="BD353" s="27"/>
      <c r="BE353" s="16"/>
      <c r="BF353" s="28">
        <f t="shared" si="147"/>
        <v>0</v>
      </c>
      <c r="BG353" s="29"/>
      <c r="BH353" s="27"/>
      <c r="BI353" s="30">
        <f t="shared" si="148"/>
        <v>333</v>
      </c>
      <c r="BJ353" s="31">
        <f t="shared" si="149"/>
        <v>45656</v>
      </c>
      <c r="BK353" s="27"/>
      <c r="BL353" s="16"/>
      <c r="BM353" s="27"/>
      <c r="BN353" s="16"/>
      <c r="BO353" s="27"/>
      <c r="BP353" s="16"/>
      <c r="BQ353" s="27"/>
      <c r="BR353" s="24"/>
      <c r="BS353" s="24"/>
      <c r="BT353" s="32"/>
      <c r="BU353" s="27"/>
      <c r="BV353" s="24"/>
      <c r="BW353" s="24"/>
      <c r="BX353" s="16"/>
      <c r="BY353" s="27"/>
      <c r="BZ353" s="24"/>
      <c r="CA353" s="24"/>
      <c r="CB353" s="16"/>
      <c r="CC353" s="49">
        <f t="shared" si="150"/>
        <v>0</v>
      </c>
      <c r="CD353" s="24"/>
      <c r="CE353" s="49">
        <f t="shared" si="157"/>
        <v>88260480</v>
      </c>
      <c r="CF353" s="50"/>
      <c r="CG353" s="49">
        <f t="shared" ca="1" si="151"/>
        <v>88260480</v>
      </c>
      <c r="CH353" s="33">
        <f t="shared" ca="1" si="152"/>
        <v>1</v>
      </c>
      <c r="CI353" s="33">
        <f t="shared" ca="1" si="153"/>
        <v>1</v>
      </c>
      <c r="CJ353" s="36">
        <f t="shared" ca="1" si="154"/>
        <v>100</v>
      </c>
      <c r="CK353" s="34">
        <f t="shared" si="155"/>
        <v>0</v>
      </c>
      <c r="CL353" s="21"/>
      <c r="CM353" s="35" t="str">
        <f t="shared" ca="1" si="156"/>
        <v>TERMINADO</v>
      </c>
      <c r="CN353" s="82"/>
      <c r="CO353" s="145" t="s">
        <v>3028</v>
      </c>
      <c r="CP353" s="26" t="s">
        <v>142</v>
      </c>
    </row>
    <row r="354" spans="1:97" ht="24.75" customHeight="1">
      <c r="A354" s="48" t="s">
        <v>3029</v>
      </c>
      <c r="B354" s="77" t="s">
        <v>3030</v>
      </c>
      <c r="C354" s="17" t="s">
        <v>104</v>
      </c>
      <c r="D354" s="18" t="s">
        <v>3031</v>
      </c>
      <c r="E354" s="17" t="s">
        <v>106</v>
      </c>
      <c r="F354" s="17" t="s">
        <v>107</v>
      </c>
      <c r="G354" s="17" t="s">
        <v>108</v>
      </c>
      <c r="H354" s="78">
        <v>1093778401</v>
      </c>
      <c r="I354" s="74" t="s">
        <v>3032</v>
      </c>
      <c r="J354" s="16"/>
      <c r="K354" s="16"/>
      <c r="L354" s="20" t="s">
        <v>2644</v>
      </c>
      <c r="M354" s="16" t="s">
        <v>3033</v>
      </c>
      <c r="N354" s="115">
        <v>45321</v>
      </c>
      <c r="O354" s="115">
        <v>45324</v>
      </c>
      <c r="P354" s="115">
        <v>45656</v>
      </c>
      <c r="Q354" s="23">
        <f t="shared" si="144"/>
        <v>332</v>
      </c>
      <c r="R354" s="17" t="s">
        <v>242</v>
      </c>
      <c r="S354" s="117" t="s">
        <v>3018</v>
      </c>
      <c r="T354" s="16" t="s">
        <v>343</v>
      </c>
      <c r="U354" s="24">
        <v>67229108</v>
      </c>
      <c r="V354" s="116" t="s">
        <v>3034</v>
      </c>
      <c r="W354" s="227">
        <v>67229108</v>
      </c>
      <c r="X354" s="24">
        <v>5762495</v>
      </c>
      <c r="Y354" s="24"/>
      <c r="Z354" s="24"/>
      <c r="AA354" s="17" t="s">
        <v>116</v>
      </c>
      <c r="AB354" s="23" t="str">
        <f>IFERROR(VLOOKUP(AA354,Listas!$A$1:$C$14,2,FALSE),"")</f>
        <v>FREDY CÉSPEDES VILLA</v>
      </c>
      <c r="AC354" s="23">
        <f>IFERROR(VLOOKUP(AA354,Listas!$A$1:$C$14,3,FALSE),"")</f>
        <v>93363483</v>
      </c>
      <c r="AD354" s="17" t="s">
        <v>1523</v>
      </c>
      <c r="AE354" s="17" t="s">
        <v>1524</v>
      </c>
      <c r="AF354" s="23" t="str">
        <f>IFERROR(VLOOKUP(AE354,Listas!$AD$1:$AF$65,2,FALSE),"")</f>
        <v>IVETTE FRASSER SÁNCHEZ</v>
      </c>
      <c r="AG354" s="23">
        <f>IFERROR(VLOOKUP(AE354,Listas!$AD$1:$AF$65,3,FALSE),"")</f>
        <v>38285903</v>
      </c>
      <c r="AH354" s="17" t="s">
        <v>118</v>
      </c>
      <c r="AI354" s="65" t="s">
        <v>2646</v>
      </c>
      <c r="AJ354" s="25" t="s">
        <v>119</v>
      </c>
      <c r="AK354" s="26" t="s">
        <v>120</v>
      </c>
      <c r="AL354" s="26" t="s">
        <v>120</v>
      </c>
      <c r="AM354" s="90" t="s">
        <v>119</v>
      </c>
      <c r="AN354" s="105">
        <v>34667</v>
      </c>
      <c r="AO354" s="91">
        <f t="shared" ca="1" si="145"/>
        <v>31</v>
      </c>
      <c r="AP354" s="26" t="s">
        <v>121</v>
      </c>
      <c r="AQ354" s="26" t="s">
        <v>327</v>
      </c>
      <c r="AR354" s="89"/>
      <c r="AS354" s="27"/>
      <c r="AT354" s="16"/>
      <c r="AU354" s="27"/>
      <c r="AV354" s="86"/>
      <c r="AW354" s="27"/>
      <c r="AX354" s="27"/>
      <c r="AY354" s="27"/>
      <c r="AZ354" s="27"/>
      <c r="BA354" s="27"/>
      <c r="BB354" s="27"/>
      <c r="BC354" s="97"/>
      <c r="BD354" s="27"/>
      <c r="BE354" s="16"/>
      <c r="BF354" s="28">
        <f t="shared" si="147"/>
        <v>0</v>
      </c>
      <c r="BG354" s="29"/>
      <c r="BH354" s="27"/>
      <c r="BI354" s="30">
        <f t="shared" si="148"/>
        <v>332</v>
      </c>
      <c r="BJ354" s="31">
        <f t="shared" si="149"/>
        <v>45656</v>
      </c>
      <c r="BK354" s="27"/>
      <c r="BL354" s="16"/>
      <c r="BM354" s="27"/>
      <c r="BN354" s="16"/>
      <c r="BO354" s="27"/>
      <c r="BP354" s="16"/>
      <c r="BQ354" s="27"/>
      <c r="BR354" s="24"/>
      <c r="BS354" s="24"/>
      <c r="BT354" s="32"/>
      <c r="BU354" s="27"/>
      <c r="BV354" s="24"/>
      <c r="BW354" s="24"/>
      <c r="BX354" s="16"/>
      <c r="BY354" s="27"/>
      <c r="BZ354" s="24"/>
      <c r="CA354" s="24"/>
      <c r="CB354" s="16"/>
      <c r="CC354" s="49">
        <f t="shared" si="150"/>
        <v>0</v>
      </c>
      <c r="CD354" s="24"/>
      <c r="CE354" s="49">
        <f t="shared" si="157"/>
        <v>67229108</v>
      </c>
      <c r="CF354" s="50"/>
      <c r="CG354" s="49">
        <f t="shared" ca="1" si="151"/>
        <v>67229108</v>
      </c>
      <c r="CH354" s="33">
        <f t="shared" ca="1" si="152"/>
        <v>1</v>
      </c>
      <c r="CI354" s="33">
        <f t="shared" ca="1" si="153"/>
        <v>1</v>
      </c>
      <c r="CJ354" s="36">
        <f t="shared" ca="1" si="154"/>
        <v>100</v>
      </c>
      <c r="CK354" s="34">
        <f t="shared" si="155"/>
        <v>0</v>
      </c>
      <c r="CL354" s="21"/>
      <c r="CM354" s="35" t="str">
        <f t="shared" ca="1" si="156"/>
        <v>TERMINADO</v>
      </c>
      <c r="CN354" s="82"/>
      <c r="CO354" s="145" t="s">
        <v>3035</v>
      </c>
      <c r="CP354" s="26" t="s">
        <v>123</v>
      </c>
    </row>
    <row r="355" spans="1:97" ht="24.75" customHeight="1">
      <c r="A355" s="48" t="s">
        <v>3036</v>
      </c>
      <c r="B355" s="77" t="s">
        <v>3037</v>
      </c>
      <c r="C355" s="17" t="s">
        <v>104</v>
      </c>
      <c r="D355" s="18" t="s">
        <v>3038</v>
      </c>
      <c r="E355" s="17" t="s">
        <v>106</v>
      </c>
      <c r="F355" s="17" t="s">
        <v>107</v>
      </c>
      <c r="G355" s="17" t="s">
        <v>108</v>
      </c>
      <c r="H355" s="78">
        <v>52929210</v>
      </c>
      <c r="I355" s="74" t="s">
        <v>3039</v>
      </c>
      <c r="J355" s="16"/>
      <c r="K355" s="16"/>
      <c r="L355" s="20" t="s">
        <v>3040</v>
      </c>
      <c r="M355" s="16" t="s">
        <v>111</v>
      </c>
      <c r="N355" s="115">
        <v>45322</v>
      </c>
      <c r="O355" s="115">
        <v>45328</v>
      </c>
      <c r="P355" s="115">
        <v>45657</v>
      </c>
      <c r="Q355" s="23">
        <f t="shared" si="144"/>
        <v>329</v>
      </c>
      <c r="R355" s="17" t="s">
        <v>242</v>
      </c>
      <c r="S355" s="117" t="s">
        <v>3041</v>
      </c>
      <c r="T355" s="16" t="s">
        <v>1145</v>
      </c>
      <c r="U355" s="24">
        <v>71534637</v>
      </c>
      <c r="V355" s="116" t="s">
        <v>426</v>
      </c>
      <c r="W355" s="227">
        <v>71534637</v>
      </c>
      <c r="X355" s="24">
        <v>6131500</v>
      </c>
      <c r="Y355" s="24"/>
      <c r="Z355" s="24"/>
      <c r="AA355" s="17" t="s">
        <v>116</v>
      </c>
      <c r="AB355" s="23" t="str">
        <f>IFERROR(VLOOKUP(AA355,Listas!$A$1:$C$14,2,FALSE),"")</f>
        <v>FREDY CÉSPEDES VILLA</v>
      </c>
      <c r="AC355" s="23">
        <f>IFERROR(VLOOKUP(AA355,Listas!$A$1:$C$14,3,FALSE),"")</f>
        <v>93363483</v>
      </c>
      <c r="AD355" s="17" t="s">
        <v>427</v>
      </c>
      <c r="AE355" s="17" t="s">
        <v>2341</v>
      </c>
      <c r="AF355" s="23" t="str">
        <f>IFERROR(VLOOKUP(AE355,Listas!$AD$1:$AF$65,2,FALSE),"")</f>
        <v>LUIS ALFONSO NIÑO MANCILLA</v>
      </c>
      <c r="AG355" s="23">
        <f>IFERROR(VLOOKUP(AE355,Listas!$AD$1:$AF$65,3,FALSE),"")</f>
        <v>79719453</v>
      </c>
      <c r="AH355" s="17" t="s">
        <v>118</v>
      </c>
      <c r="AI355" s="65" t="s">
        <v>3042</v>
      </c>
      <c r="AJ355" s="25" t="s">
        <v>119</v>
      </c>
      <c r="AK355" s="26" t="s">
        <v>120</v>
      </c>
      <c r="AL355" s="26" t="s">
        <v>120</v>
      </c>
      <c r="AM355" s="90" t="s">
        <v>119</v>
      </c>
      <c r="AN355" s="105">
        <v>30202</v>
      </c>
      <c r="AO355" s="91">
        <f t="shared" ca="1" si="145"/>
        <v>43</v>
      </c>
      <c r="AP355" s="26" t="s">
        <v>121</v>
      </c>
      <c r="AQ355" s="26" t="s">
        <v>1272</v>
      </c>
      <c r="AR355" s="182">
        <v>45426</v>
      </c>
      <c r="AS355" s="183" t="s">
        <v>3043</v>
      </c>
      <c r="AT355" s="183">
        <v>1022383346</v>
      </c>
      <c r="AU355" s="184" t="s">
        <v>3040</v>
      </c>
      <c r="AV355" s="86">
        <v>45373101</v>
      </c>
      <c r="AW355" s="27">
        <v>45499</v>
      </c>
      <c r="AX355" s="27" t="s">
        <v>3044</v>
      </c>
      <c r="AY355" s="243"/>
      <c r="AZ355" s="27"/>
      <c r="BA355" s="86">
        <v>31679418</v>
      </c>
      <c r="BB355" s="27"/>
      <c r="BC355" s="97"/>
      <c r="BD355" s="27"/>
      <c r="BE355" s="16"/>
      <c r="BF355" s="28">
        <f t="shared" si="147"/>
        <v>0</v>
      </c>
      <c r="BG355" s="29"/>
      <c r="BH355" s="27"/>
      <c r="BI355" s="30">
        <f t="shared" si="148"/>
        <v>329</v>
      </c>
      <c r="BJ355" s="31">
        <f t="shared" si="149"/>
        <v>45657</v>
      </c>
      <c r="BK355" s="27"/>
      <c r="BL355" s="16"/>
      <c r="BM355" s="27"/>
      <c r="BN355" s="16"/>
      <c r="BO355" s="27"/>
      <c r="BP355" s="16"/>
      <c r="BQ355" s="27"/>
      <c r="BR355" s="24"/>
      <c r="BS355" s="24"/>
      <c r="BT355" s="32"/>
      <c r="BU355" s="27"/>
      <c r="BV355" s="24"/>
      <c r="BW355" s="24"/>
      <c r="BX355" s="16"/>
      <c r="BY355" s="27"/>
      <c r="BZ355" s="24"/>
      <c r="CA355" s="24"/>
      <c r="CB355" s="16"/>
      <c r="CC355" s="49">
        <f t="shared" si="150"/>
        <v>0</v>
      </c>
      <c r="CD355" s="24"/>
      <c r="CE355" s="49">
        <f t="shared" si="157"/>
        <v>71534637</v>
      </c>
      <c r="CF355" s="50"/>
      <c r="CG355" s="49">
        <f t="shared" ca="1" si="151"/>
        <v>71534637</v>
      </c>
      <c r="CH355" s="33">
        <f t="shared" ca="1" si="152"/>
        <v>1</v>
      </c>
      <c r="CI355" s="33">
        <f t="shared" ca="1" si="153"/>
        <v>1</v>
      </c>
      <c r="CJ355" s="36">
        <f t="shared" ca="1" si="154"/>
        <v>100</v>
      </c>
      <c r="CK355" s="34">
        <f t="shared" si="155"/>
        <v>0</v>
      </c>
      <c r="CL355" s="21"/>
      <c r="CM355" s="35" t="str">
        <f t="shared" ca="1" si="156"/>
        <v>TERMINADO</v>
      </c>
      <c r="CN355" s="82"/>
      <c r="CO355" s="145" t="s">
        <v>3045</v>
      </c>
      <c r="CP355" s="26" t="s">
        <v>123</v>
      </c>
    </row>
    <row r="356" spans="1:97" ht="24.75" customHeight="1">
      <c r="A356" s="48" t="s">
        <v>3046</v>
      </c>
      <c r="B356" s="77" t="s">
        <v>3047</v>
      </c>
      <c r="C356" s="17" t="s">
        <v>104</v>
      </c>
      <c r="D356" s="18" t="s">
        <v>3048</v>
      </c>
      <c r="E356" s="17" t="s">
        <v>106</v>
      </c>
      <c r="F356" s="17" t="s">
        <v>107</v>
      </c>
      <c r="G356" s="17" t="s">
        <v>108</v>
      </c>
      <c r="H356" s="78">
        <v>1070947304</v>
      </c>
      <c r="I356" s="74" t="s">
        <v>3049</v>
      </c>
      <c r="J356" s="16"/>
      <c r="K356" s="16"/>
      <c r="L356" s="20" t="s">
        <v>1866</v>
      </c>
      <c r="M356" s="16" t="s">
        <v>111</v>
      </c>
      <c r="N356" s="115">
        <v>45322</v>
      </c>
      <c r="O356" s="115">
        <v>45329</v>
      </c>
      <c r="P356" s="115">
        <v>45657</v>
      </c>
      <c r="Q356" s="23">
        <f t="shared" si="144"/>
        <v>328</v>
      </c>
      <c r="R356" s="17" t="s">
        <v>242</v>
      </c>
      <c r="S356" s="117" t="s">
        <v>3050</v>
      </c>
      <c r="T356" s="16" t="s">
        <v>1145</v>
      </c>
      <c r="U356" s="24">
        <v>68877184</v>
      </c>
      <c r="V356" s="116" t="s">
        <v>426</v>
      </c>
      <c r="W356" s="227">
        <v>68877184</v>
      </c>
      <c r="X356" s="24">
        <v>6131500</v>
      </c>
      <c r="Y356" s="24"/>
      <c r="Z356" s="24"/>
      <c r="AA356" s="17" t="s">
        <v>116</v>
      </c>
      <c r="AB356" s="23" t="str">
        <f>IFERROR(VLOOKUP(AA356,Listas!$A$1:$C$14,2,FALSE),"")</f>
        <v>FREDY CÉSPEDES VILLA</v>
      </c>
      <c r="AC356" s="23">
        <f>IFERROR(VLOOKUP(AA356,Listas!$A$1:$C$14,3,FALSE),"")</f>
        <v>93363483</v>
      </c>
      <c r="AD356" s="17" t="s">
        <v>427</v>
      </c>
      <c r="AE356" s="17" t="s">
        <v>2561</v>
      </c>
      <c r="AF356" s="23" t="str">
        <f>IFERROR(VLOOKUP(AE356,Listas!$AD$1:$AF$65,2,FALSE),"")</f>
        <v>MARÍA TERESA COMBARIZA MARTÍN</v>
      </c>
      <c r="AG356" s="23">
        <f>IFERROR(VLOOKUP(AE356,Listas!$AD$1:$AF$65,3,FALSE),"")</f>
        <v>51803256</v>
      </c>
      <c r="AH356" s="17" t="s">
        <v>118</v>
      </c>
      <c r="AI356" s="65" t="s">
        <v>1867</v>
      </c>
      <c r="AJ356" s="25" t="s">
        <v>119</v>
      </c>
      <c r="AK356" s="26" t="s">
        <v>120</v>
      </c>
      <c r="AL356" s="26" t="s">
        <v>120</v>
      </c>
      <c r="AM356" s="90" t="s">
        <v>119</v>
      </c>
      <c r="AN356" s="105">
        <v>31978</v>
      </c>
      <c r="AO356" s="91">
        <f t="shared" ca="1" si="145"/>
        <v>38</v>
      </c>
      <c r="AP356" s="26" t="s">
        <v>121</v>
      </c>
      <c r="AQ356" s="26" t="s">
        <v>1272</v>
      </c>
      <c r="AR356" s="89"/>
      <c r="AS356" s="27"/>
      <c r="AT356" s="16"/>
      <c r="AU356" s="27"/>
      <c r="AV356" s="86"/>
      <c r="AW356" s="27"/>
      <c r="AX356" s="27"/>
      <c r="AY356" s="27"/>
      <c r="AZ356" s="27"/>
      <c r="BA356" s="27"/>
      <c r="BB356" s="27"/>
      <c r="BC356" s="97"/>
      <c r="BD356" s="27"/>
      <c r="BE356" s="16"/>
      <c r="BF356" s="28">
        <f t="shared" si="147"/>
        <v>0</v>
      </c>
      <c r="BG356" s="29"/>
      <c r="BH356" s="27"/>
      <c r="BI356" s="30">
        <f t="shared" si="148"/>
        <v>328</v>
      </c>
      <c r="BJ356" s="31">
        <f t="shared" si="149"/>
        <v>45657</v>
      </c>
      <c r="BK356" s="27"/>
      <c r="BL356" s="16"/>
      <c r="BM356" s="27"/>
      <c r="BN356" s="16"/>
      <c r="BO356" s="27"/>
      <c r="BP356" s="16"/>
      <c r="BQ356" s="27"/>
      <c r="BR356" s="24"/>
      <c r="BS356" s="24"/>
      <c r="BT356" s="32"/>
      <c r="BU356" s="27"/>
      <c r="BV356" s="24"/>
      <c r="BW356" s="24"/>
      <c r="BX356" s="16"/>
      <c r="BY356" s="27"/>
      <c r="BZ356" s="24"/>
      <c r="CA356" s="24"/>
      <c r="CB356" s="16"/>
      <c r="CC356" s="49">
        <f t="shared" si="150"/>
        <v>0</v>
      </c>
      <c r="CD356" s="24"/>
      <c r="CE356" s="49">
        <f t="shared" si="157"/>
        <v>68877184</v>
      </c>
      <c r="CF356" s="50"/>
      <c r="CG356" s="49">
        <f t="shared" ca="1" si="151"/>
        <v>68877184</v>
      </c>
      <c r="CH356" s="33">
        <f t="shared" ca="1" si="152"/>
        <v>1</v>
      </c>
      <c r="CI356" s="33">
        <f t="shared" ca="1" si="153"/>
        <v>1</v>
      </c>
      <c r="CJ356" s="36">
        <f t="shared" ca="1" si="154"/>
        <v>100</v>
      </c>
      <c r="CK356" s="34">
        <f t="shared" si="155"/>
        <v>0</v>
      </c>
      <c r="CL356" s="21"/>
      <c r="CM356" s="35" t="str">
        <f t="shared" ca="1" si="156"/>
        <v>TERMINADO</v>
      </c>
      <c r="CN356" s="82"/>
      <c r="CO356" s="145" t="s">
        <v>3051</v>
      </c>
      <c r="CP356" s="26" t="s">
        <v>123</v>
      </c>
    </row>
    <row r="357" spans="1:97" ht="24.75" customHeight="1">
      <c r="A357" s="48" t="s">
        <v>3052</v>
      </c>
      <c r="B357" s="77" t="s">
        <v>3053</v>
      </c>
      <c r="C357" s="17" t="s">
        <v>104</v>
      </c>
      <c r="D357" s="18" t="s">
        <v>3054</v>
      </c>
      <c r="E357" s="17" t="s">
        <v>106</v>
      </c>
      <c r="F357" s="17" t="s">
        <v>107</v>
      </c>
      <c r="G357" s="17" t="s">
        <v>108</v>
      </c>
      <c r="H357" s="78">
        <v>52771558</v>
      </c>
      <c r="I357" s="74" t="s">
        <v>3055</v>
      </c>
      <c r="J357" s="16"/>
      <c r="K357" s="16"/>
      <c r="L357" s="20" t="s">
        <v>3056</v>
      </c>
      <c r="M357" s="16" t="s">
        <v>111</v>
      </c>
      <c r="N357" s="115">
        <v>45320</v>
      </c>
      <c r="O357" s="115">
        <v>45322</v>
      </c>
      <c r="P357" s="115">
        <v>45656</v>
      </c>
      <c r="Q357" s="23">
        <f t="shared" si="144"/>
        <v>334</v>
      </c>
      <c r="R357" s="17" t="s">
        <v>242</v>
      </c>
      <c r="S357" s="117" t="s">
        <v>3057</v>
      </c>
      <c r="T357" s="16" t="s">
        <v>3058</v>
      </c>
      <c r="U357" s="24">
        <v>50759003</v>
      </c>
      <c r="V357" s="116" t="s">
        <v>3059</v>
      </c>
      <c r="W357" s="227">
        <v>50759003</v>
      </c>
      <c r="X357" s="24">
        <v>4413826</v>
      </c>
      <c r="Y357" s="24"/>
      <c r="Z357" s="24"/>
      <c r="AA357" s="17" t="s">
        <v>116</v>
      </c>
      <c r="AB357" s="23" t="str">
        <f>IFERROR(VLOOKUP(AA357,Listas!$A$1:$C$14,2,FALSE),"")</f>
        <v>FREDY CÉSPEDES VILLA</v>
      </c>
      <c r="AC357" s="23">
        <f>IFERROR(VLOOKUP(AA357,Listas!$A$1:$C$14,3,FALSE),"")</f>
        <v>93363483</v>
      </c>
      <c r="AD357" s="17" t="s">
        <v>345</v>
      </c>
      <c r="AE357" s="17" t="s">
        <v>1062</v>
      </c>
      <c r="AF357" s="23" t="str">
        <f>IFERROR(VLOOKUP(AE357,Listas!$AD$1:$AF$65,2,FALSE),"")</f>
        <v>LIBIA ESPERANZA FONSECA MARÍN</v>
      </c>
      <c r="AG357" s="23">
        <f>IFERROR(VLOOKUP(AE357,Listas!$AD$1:$AF$65,3,FALSE),"")</f>
        <v>52207089</v>
      </c>
      <c r="AH357" s="17" t="s">
        <v>118</v>
      </c>
      <c r="AI357" s="65" t="s">
        <v>3060</v>
      </c>
      <c r="AJ357" s="25" t="s">
        <v>119</v>
      </c>
      <c r="AK357" s="26" t="s">
        <v>120</v>
      </c>
      <c r="AL357" s="26" t="s">
        <v>120</v>
      </c>
      <c r="AM357" s="90" t="s">
        <v>119</v>
      </c>
      <c r="AN357" s="105">
        <v>36125</v>
      </c>
      <c r="AO357" s="91">
        <f t="shared" ca="1" si="145"/>
        <v>27</v>
      </c>
      <c r="AP357" s="26" t="s">
        <v>121</v>
      </c>
      <c r="AQ357" s="26" t="s">
        <v>367</v>
      </c>
      <c r="AR357" s="89"/>
      <c r="AS357" s="27"/>
      <c r="AT357" s="16"/>
      <c r="AU357" s="27"/>
      <c r="AV357" s="86"/>
      <c r="AW357" s="27"/>
      <c r="AX357" s="27"/>
      <c r="AY357" s="27"/>
      <c r="AZ357" s="27"/>
      <c r="BA357" s="27"/>
      <c r="BB357" s="27"/>
      <c r="BC357" s="97"/>
      <c r="BD357" s="27"/>
      <c r="BE357" s="16"/>
      <c r="BF357" s="28">
        <f t="shared" si="147"/>
        <v>0</v>
      </c>
      <c r="BG357" s="29"/>
      <c r="BH357" s="27"/>
      <c r="BI357" s="30">
        <f t="shared" si="148"/>
        <v>334</v>
      </c>
      <c r="BJ357" s="31">
        <f t="shared" si="149"/>
        <v>45656</v>
      </c>
      <c r="BK357" s="27"/>
      <c r="BL357" s="16"/>
      <c r="BM357" s="27"/>
      <c r="BN357" s="16"/>
      <c r="BO357" s="27"/>
      <c r="BP357" s="16"/>
      <c r="BQ357" s="27"/>
      <c r="BR357" s="24"/>
      <c r="BS357" s="24"/>
      <c r="BT357" s="32"/>
      <c r="BU357" s="27"/>
      <c r="BV357" s="24"/>
      <c r="BW357" s="24"/>
      <c r="BX357" s="16"/>
      <c r="BY357" s="27"/>
      <c r="BZ357" s="24"/>
      <c r="CA357" s="24"/>
      <c r="CB357" s="16"/>
      <c r="CC357" s="49">
        <f t="shared" si="150"/>
        <v>0</v>
      </c>
      <c r="CD357" s="24"/>
      <c r="CE357" s="49">
        <f t="shared" si="157"/>
        <v>50759003</v>
      </c>
      <c r="CF357" s="50"/>
      <c r="CG357" s="49">
        <f t="shared" ca="1" si="151"/>
        <v>50759003</v>
      </c>
      <c r="CH357" s="33">
        <f t="shared" ca="1" si="152"/>
        <v>1</v>
      </c>
      <c r="CI357" s="33">
        <f t="shared" ca="1" si="153"/>
        <v>1</v>
      </c>
      <c r="CJ357" s="36">
        <f t="shared" ca="1" si="154"/>
        <v>100</v>
      </c>
      <c r="CK357" s="34">
        <f t="shared" si="155"/>
        <v>0</v>
      </c>
      <c r="CL357" s="21"/>
      <c r="CM357" s="35" t="str">
        <f t="shared" ca="1" si="156"/>
        <v>TERMINADO</v>
      </c>
      <c r="CN357" s="82"/>
      <c r="CO357" s="145" t="s">
        <v>3061</v>
      </c>
      <c r="CP357" s="26" t="s">
        <v>123</v>
      </c>
    </row>
    <row r="358" spans="1:97" ht="26.25" customHeight="1">
      <c r="A358" s="48" t="s">
        <v>1424</v>
      </c>
      <c r="B358" s="77" t="s">
        <v>3062</v>
      </c>
      <c r="C358" s="17" t="s">
        <v>2927</v>
      </c>
      <c r="D358" s="18" t="s">
        <v>3063</v>
      </c>
      <c r="E358" s="17" t="s">
        <v>2929</v>
      </c>
      <c r="F358" s="17" t="s">
        <v>1426</v>
      </c>
      <c r="G358" s="17" t="s">
        <v>1427</v>
      </c>
      <c r="H358" s="78" t="s">
        <v>3064</v>
      </c>
      <c r="I358" s="74" t="s">
        <v>3065</v>
      </c>
      <c r="J358" s="16" t="s">
        <v>3066</v>
      </c>
      <c r="K358" s="104">
        <v>10932538</v>
      </c>
      <c r="L358" s="20" t="s">
        <v>2933</v>
      </c>
      <c r="M358" s="16"/>
      <c r="N358" s="115">
        <v>45320</v>
      </c>
      <c r="O358" s="115">
        <v>45320</v>
      </c>
      <c r="P358" s="115">
        <v>45685</v>
      </c>
      <c r="Q358" s="23">
        <f t="shared" si="144"/>
        <v>365</v>
      </c>
      <c r="R358" s="17" t="s">
        <v>2934</v>
      </c>
      <c r="S358" s="117" t="s">
        <v>1424</v>
      </c>
      <c r="T358" s="16" t="s">
        <v>1424</v>
      </c>
      <c r="U358" s="24" t="s">
        <v>1424</v>
      </c>
      <c r="V358" s="116" t="s">
        <v>1424</v>
      </c>
      <c r="W358" s="227">
        <v>0</v>
      </c>
      <c r="X358" s="24"/>
      <c r="Y358" s="24" t="s">
        <v>2935</v>
      </c>
      <c r="Z358" s="24"/>
      <c r="AA358" s="17" t="s">
        <v>406</v>
      </c>
      <c r="AB358" s="23" t="str">
        <f>IFERROR(VLOOKUP(AA358,Listas!$A$1:$C$14,2,FALSE),"")</f>
        <v>EDUARDO ELÍAS BARCHA BOLÍVAR</v>
      </c>
      <c r="AC358" s="23">
        <f>IFERROR(VLOOKUP(AA358,Listas!$A$1:$C$14,3,FALSE),"")</f>
        <v>72133921</v>
      </c>
      <c r="AD358" s="17" t="s">
        <v>903</v>
      </c>
      <c r="AE358" s="17" t="s">
        <v>904</v>
      </c>
      <c r="AF358" s="23" t="str">
        <f>IFERROR(VLOOKUP(AE358,Listas!$AD$1:$AF$65,2,FALSE),"")</f>
        <v>VIVIANA MARGARITA ROMERO</v>
      </c>
      <c r="AG358" s="23">
        <f>IFERROR(VLOOKUP(AE358,Listas!$AD$1:$AF$65,3,FALSE),"")</f>
        <v>32794946</v>
      </c>
      <c r="AH358" s="17" t="s">
        <v>2936</v>
      </c>
      <c r="AI358" s="65"/>
      <c r="AJ358" s="25" t="s">
        <v>1435</v>
      </c>
      <c r="AK358" s="26" t="s">
        <v>2071</v>
      </c>
      <c r="AL358" s="26" t="s">
        <v>2071</v>
      </c>
      <c r="AM358" s="90" t="s">
        <v>1435</v>
      </c>
      <c r="AN358" s="105"/>
      <c r="AO358" s="91" t="str">
        <f t="shared" ca="1" si="145"/>
        <v xml:space="preserve"> </v>
      </c>
      <c r="AP358" s="26" t="s">
        <v>2937</v>
      </c>
      <c r="AQ358" s="26" t="s">
        <v>3067</v>
      </c>
      <c r="AR358" s="89"/>
      <c r="AS358" s="27"/>
      <c r="AT358" s="16"/>
      <c r="AU358" s="27"/>
      <c r="AV358" s="86"/>
      <c r="AW358" s="27"/>
      <c r="AX358" s="27"/>
      <c r="AY358" s="27"/>
      <c r="AZ358" s="27"/>
      <c r="BA358" s="27"/>
      <c r="BB358" s="27">
        <v>45685</v>
      </c>
      <c r="BC358" s="97">
        <v>337</v>
      </c>
      <c r="BD358" s="27"/>
      <c r="BE358" s="16"/>
      <c r="BF358" s="28">
        <f t="shared" si="147"/>
        <v>337</v>
      </c>
      <c r="BG358" s="29"/>
      <c r="BH358" s="27"/>
      <c r="BI358" s="30">
        <f t="shared" si="148"/>
        <v>702</v>
      </c>
      <c r="BJ358" s="31">
        <f t="shared" si="149"/>
        <v>46022</v>
      </c>
      <c r="BK358" s="27">
        <v>45685</v>
      </c>
      <c r="BL358" s="16" t="s">
        <v>3068</v>
      </c>
      <c r="BM358" s="27"/>
      <c r="BN358" s="16"/>
      <c r="BO358" s="27"/>
      <c r="BP358" s="16"/>
      <c r="BQ358" s="27"/>
      <c r="BR358" s="24"/>
      <c r="BS358" s="24"/>
      <c r="BT358" s="32"/>
      <c r="BU358" s="27"/>
      <c r="BV358" s="24"/>
      <c r="BW358" s="24"/>
      <c r="BX358" s="16"/>
      <c r="BY358" s="27"/>
      <c r="BZ358" s="24"/>
      <c r="CA358" s="24"/>
      <c r="CB358" s="16"/>
      <c r="CC358" s="49">
        <f t="shared" si="150"/>
        <v>0</v>
      </c>
      <c r="CD358" s="24"/>
      <c r="CE358" s="49" t="str">
        <f>IFERROR(IF(Y358=0,(W358+CC358)-CD358,IF(Y358&gt;0,(Y358+CC358)-CD358)),"")</f>
        <v/>
      </c>
      <c r="CF358" s="138">
        <v>336752022.62</v>
      </c>
      <c r="CG358" s="49" t="str">
        <f t="shared" ca="1" si="151"/>
        <v/>
      </c>
      <c r="CH358" s="33">
        <f t="shared" ca="1" si="152"/>
        <v>0.89739884393063585</v>
      </c>
      <c r="CI358" s="33">
        <f t="shared" ca="1" si="153"/>
        <v>0.89739884393063585</v>
      </c>
      <c r="CJ358" s="36" t="str">
        <f t="shared" ca="1" si="154"/>
        <v/>
      </c>
      <c r="CK358" s="34" t="str">
        <f t="shared" si="155"/>
        <v/>
      </c>
      <c r="CL358" s="21"/>
      <c r="CM358" s="35" t="str">
        <f t="shared" ca="1" si="156"/>
        <v>VIGENTE</v>
      </c>
      <c r="CN358" s="83"/>
      <c r="CP358" s="83" t="s">
        <v>1424</v>
      </c>
    </row>
    <row r="359" spans="1:97" ht="24.75" customHeight="1">
      <c r="A359" s="48" t="s">
        <v>3069</v>
      </c>
      <c r="B359" s="77" t="s">
        <v>3070</v>
      </c>
      <c r="C359" s="17" t="s">
        <v>104</v>
      </c>
      <c r="D359" s="18" t="s">
        <v>3071</v>
      </c>
      <c r="E359" s="17" t="s">
        <v>106</v>
      </c>
      <c r="F359" s="17" t="s">
        <v>1426</v>
      </c>
      <c r="G359" s="17" t="s">
        <v>1427</v>
      </c>
      <c r="H359" s="78" t="s">
        <v>3072</v>
      </c>
      <c r="I359" s="74" t="s">
        <v>3073</v>
      </c>
      <c r="J359" s="16"/>
      <c r="K359" s="16"/>
      <c r="L359" s="20" t="s">
        <v>3074</v>
      </c>
      <c r="M359" s="16" t="s">
        <v>111</v>
      </c>
      <c r="N359" s="115">
        <v>45322</v>
      </c>
      <c r="O359" s="115">
        <v>45336</v>
      </c>
      <c r="P359" s="115">
        <v>45656</v>
      </c>
      <c r="Q359" s="23">
        <f t="shared" si="144"/>
        <v>320</v>
      </c>
      <c r="R359" s="17" t="s">
        <v>242</v>
      </c>
      <c r="S359" s="117" t="s">
        <v>3075</v>
      </c>
      <c r="T359" s="16" t="s">
        <v>2811</v>
      </c>
      <c r="U359" s="24">
        <v>32658620</v>
      </c>
      <c r="V359" s="116" t="s">
        <v>3076</v>
      </c>
      <c r="W359" s="227">
        <v>32658620</v>
      </c>
      <c r="X359" s="24">
        <v>8684620</v>
      </c>
      <c r="Y359" s="24"/>
      <c r="Z359" s="24"/>
      <c r="AA359" s="17" t="s">
        <v>116</v>
      </c>
      <c r="AB359" s="23" t="str">
        <f>IFERROR(VLOOKUP(AA359,Listas!$A$1:$C$14,2,FALSE),"")</f>
        <v>FREDY CÉSPEDES VILLA</v>
      </c>
      <c r="AC359" s="23">
        <f>IFERROR(VLOOKUP(AA359,Listas!$A$1:$C$14,3,FALSE),"")</f>
        <v>93363483</v>
      </c>
      <c r="AD359" s="17" t="s">
        <v>217</v>
      </c>
      <c r="AE359" s="17" t="s">
        <v>381</v>
      </c>
      <c r="AF359" s="23" t="str">
        <f>IFERROR(VLOOKUP(AE359,Listas!$AD$1:$AF$65,2,FALSE),"")</f>
        <v>MARINA AZUCENA MEDINA SANDOVAL</v>
      </c>
      <c r="AG359" s="23">
        <f>IFERROR(VLOOKUP(AE359,Listas!$AD$1:$AF$65,3,FALSE),"")</f>
        <v>51842510</v>
      </c>
      <c r="AH359" s="17" t="s">
        <v>118</v>
      </c>
      <c r="AI359" s="65"/>
      <c r="AJ359" s="25" t="s">
        <v>1435</v>
      </c>
      <c r="AK359" s="26" t="s">
        <v>2071</v>
      </c>
      <c r="AL359" s="26" t="s">
        <v>2071</v>
      </c>
      <c r="AM359" s="90" t="s">
        <v>1435</v>
      </c>
      <c r="AN359" s="105"/>
      <c r="AO359" s="91" t="str">
        <f t="shared" ca="1" si="145"/>
        <v xml:space="preserve"> </v>
      </c>
      <c r="AP359" s="26" t="s">
        <v>121</v>
      </c>
      <c r="AQ359" s="26" t="s">
        <v>486</v>
      </c>
      <c r="AR359" s="89"/>
      <c r="AS359" s="27"/>
      <c r="AT359" s="16"/>
      <c r="AU359" s="27"/>
      <c r="AV359" s="86"/>
      <c r="AW359" s="27"/>
      <c r="AX359" s="27"/>
      <c r="AY359" s="27"/>
      <c r="AZ359" s="27"/>
      <c r="BA359" s="27"/>
      <c r="BB359" s="27"/>
      <c r="BC359" s="97"/>
      <c r="BD359" s="27"/>
      <c r="BE359" s="16"/>
      <c r="BF359" s="28">
        <f t="shared" si="147"/>
        <v>0</v>
      </c>
      <c r="BG359" s="29"/>
      <c r="BH359" s="27"/>
      <c r="BI359" s="30">
        <f t="shared" si="148"/>
        <v>320</v>
      </c>
      <c r="BJ359" s="31">
        <f t="shared" si="149"/>
        <v>45656</v>
      </c>
      <c r="BK359" s="27"/>
      <c r="BL359" s="16"/>
      <c r="BM359" s="27"/>
      <c r="BN359" s="16"/>
      <c r="BO359" s="27"/>
      <c r="BP359" s="16"/>
      <c r="BQ359" s="27"/>
      <c r="BR359" s="24"/>
      <c r="BS359" s="24"/>
      <c r="BT359" s="32"/>
      <c r="BU359" s="27"/>
      <c r="BV359" s="24"/>
      <c r="BW359" s="24"/>
      <c r="BX359" s="16"/>
      <c r="BY359" s="27"/>
      <c r="BZ359" s="24"/>
      <c r="CA359" s="24"/>
      <c r="CB359" s="16"/>
      <c r="CC359" s="49">
        <f t="shared" si="150"/>
        <v>0</v>
      </c>
      <c r="CD359" s="24"/>
      <c r="CE359" s="49">
        <f t="shared" si="157"/>
        <v>32658620</v>
      </c>
      <c r="CF359" s="50"/>
      <c r="CG359" s="49">
        <f t="shared" ca="1" si="151"/>
        <v>32658620</v>
      </c>
      <c r="CH359" s="33">
        <f t="shared" ca="1" si="152"/>
        <v>1</v>
      </c>
      <c r="CI359" s="33">
        <f t="shared" ca="1" si="153"/>
        <v>1</v>
      </c>
      <c r="CJ359" s="36">
        <f t="shared" ca="1" si="154"/>
        <v>100</v>
      </c>
      <c r="CK359" s="34">
        <f t="shared" si="155"/>
        <v>0</v>
      </c>
      <c r="CL359" s="21"/>
      <c r="CM359" s="35" t="str">
        <f t="shared" ca="1" si="156"/>
        <v>TERMINADO</v>
      </c>
      <c r="CN359" s="82"/>
      <c r="CO359" s="145" t="s">
        <v>3077</v>
      </c>
      <c r="CP359" s="83" t="s">
        <v>1424</v>
      </c>
    </row>
    <row r="360" spans="1:97" ht="24.75" customHeight="1">
      <c r="A360" s="48" t="s">
        <v>3078</v>
      </c>
      <c r="B360" s="77" t="s">
        <v>3079</v>
      </c>
      <c r="C360" s="17" t="s">
        <v>104</v>
      </c>
      <c r="D360" s="18" t="s">
        <v>3080</v>
      </c>
      <c r="E360" s="17" t="s">
        <v>106</v>
      </c>
      <c r="F360" s="17" t="s">
        <v>107</v>
      </c>
      <c r="G360" s="17" t="s">
        <v>108</v>
      </c>
      <c r="H360" s="78">
        <v>43526166</v>
      </c>
      <c r="I360" s="234" t="s">
        <v>3081</v>
      </c>
      <c r="J360" s="16"/>
      <c r="K360" s="16"/>
      <c r="L360" s="20" t="s">
        <v>3082</v>
      </c>
      <c r="M360" s="16" t="s">
        <v>111</v>
      </c>
      <c r="N360" s="115">
        <v>45320</v>
      </c>
      <c r="O360" s="115">
        <v>45324</v>
      </c>
      <c r="P360" s="115">
        <v>45656</v>
      </c>
      <c r="Q360" s="23">
        <f t="shared" si="144"/>
        <v>332</v>
      </c>
      <c r="R360" s="17" t="s">
        <v>242</v>
      </c>
      <c r="S360" s="117" t="s">
        <v>3083</v>
      </c>
      <c r="T360" s="16" t="s">
        <v>2051</v>
      </c>
      <c r="U360" s="24">
        <v>73563773</v>
      </c>
      <c r="V360" s="116" t="s">
        <v>2667</v>
      </c>
      <c r="W360" s="227">
        <v>73563773</v>
      </c>
      <c r="X360" s="24">
        <v>6130314</v>
      </c>
      <c r="Y360" s="24"/>
      <c r="Z360" s="24"/>
      <c r="AA360" s="17" t="s">
        <v>116</v>
      </c>
      <c r="AB360" s="23" t="str">
        <f>IFERROR(VLOOKUP(AA360,Listas!$A$1:$C$14,2,FALSE),"")</f>
        <v>FREDY CÉSPEDES VILLA</v>
      </c>
      <c r="AC360" s="23">
        <f>IFERROR(VLOOKUP(AA360,Listas!$A$1:$C$14,3,FALSE),"")</f>
        <v>93363483</v>
      </c>
      <c r="AD360" s="17" t="s">
        <v>406</v>
      </c>
      <c r="AE360" s="17" t="s">
        <v>504</v>
      </c>
      <c r="AF360" s="23" t="str">
        <f>IFERROR(VLOOKUP(AE360,Listas!$AD$1:$AF$65,2,FALSE),"")</f>
        <v>EDUARDO ELÍAS BARCHA BOLÍVAR</v>
      </c>
      <c r="AG360" s="23">
        <f>IFERROR(VLOOKUP(AE360,Listas!$AD$1:$AF$65,3,FALSE),"")</f>
        <v>72133921</v>
      </c>
      <c r="AH360" s="17" t="s">
        <v>118</v>
      </c>
      <c r="AI360" s="65" t="s">
        <v>3084</v>
      </c>
      <c r="AJ360" s="25" t="s">
        <v>119</v>
      </c>
      <c r="AK360" s="26" t="s">
        <v>120</v>
      </c>
      <c r="AL360" s="26" t="s">
        <v>120</v>
      </c>
      <c r="AM360" s="90" t="s">
        <v>119</v>
      </c>
      <c r="AN360" s="105">
        <v>24930</v>
      </c>
      <c r="AO360" s="91">
        <f t="shared" ca="1" si="145"/>
        <v>57</v>
      </c>
      <c r="AP360" s="26" t="s">
        <v>121</v>
      </c>
      <c r="AQ360" s="26" t="s">
        <v>409</v>
      </c>
      <c r="AR360" s="89"/>
      <c r="AS360" s="27"/>
      <c r="AT360" s="16"/>
      <c r="AU360" s="27"/>
      <c r="AV360" s="86"/>
      <c r="AW360" s="27"/>
      <c r="AX360" s="27"/>
      <c r="AY360" s="27"/>
      <c r="AZ360" s="27"/>
      <c r="BA360" s="27"/>
      <c r="BB360" s="27"/>
      <c r="BC360" s="97"/>
      <c r="BD360" s="27"/>
      <c r="BE360" s="16"/>
      <c r="BF360" s="28">
        <f t="shared" ref="BF360:BF391" si="158">BC360+BE360</f>
        <v>0</v>
      </c>
      <c r="BG360" s="29"/>
      <c r="BH360" s="27"/>
      <c r="BI360" s="30">
        <f t="shared" ref="BI360:BI391" si="159">BF360+Q360</f>
        <v>332</v>
      </c>
      <c r="BJ360" s="31">
        <f t="shared" ref="BJ360:BJ391" si="160">IF(BH360="",P360+BF360,BH360)</f>
        <v>45656</v>
      </c>
      <c r="BK360" s="27"/>
      <c r="BL360" s="16"/>
      <c r="BM360" s="27"/>
      <c r="BN360" s="16"/>
      <c r="BO360" s="27"/>
      <c r="BP360" s="16"/>
      <c r="BQ360" s="27"/>
      <c r="BR360" s="24"/>
      <c r="BS360" s="24"/>
      <c r="BT360" s="32"/>
      <c r="BU360" s="27"/>
      <c r="BV360" s="24"/>
      <c r="BW360" s="24"/>
      <c r="BX360" s="16"/>
      <c r="BY360" s="27"/>
      <c r="BZ360" s="24"/>
      <c r="CA360" s="24"/>
      <c r="CB360" s="16"/>
      <c r="CC360" s="49">
        <f t="shared" ref="CC360:CC391" si="161">BR360+BV360+BZ360</f>
        <v>0</v>
      </c>
      <c r="CD360" s="24"/>
      <c r="CE360" s="49">
        <f t="shared" si="157"/>
        <v>73563773</v>
      </c>
      <c r="CF360" s="50"/>
      <c r="CG360" s="49">
        <f t="shared" ref="CG360:CG391" ca="1" si="162">IFERROR(IF(((CE360/BI360)*(TODAY()-N360))&gt;CE360,CE360,((CE360/BI360)*(TODAY()-N360))),"")</f>
        <v>73563773</v>
      </c>
      <c r="CH360" s="33">
        <f t="shared" ref="CH360:CH391" ca="1" si="163">IF(TODAY()&gt;BJ360,1,+(DAYS360(O360,TODAY())/DAYS360(O360,BJ360)))</f>
        <v>1</v>
      </c>
      <c r="CI360" s="33">
        <f t="shared" ca="1" si="153"/>
        <v>1</v>
      </c>
      <c r="CJ360" s="36">
        <f t="shared" ref="CJ360:CJ391" ca="1" si="164">IFERROR(IF(((CG360/CE360)*100)&gt;100,100,((CG360/CE360)*100)),"")</f>
        <v>100</v>
      </c>
      <c r="CK360" s="34">
        <f t="shared" ref="CK360:CK391" si="165">IFERROR((CF360/CE360)*100,"")</f>
        <v>0</v>
      </c>
      <c r="CL360" s="21"/>
      <c r="CM360" s="35" t="str">
        <f t="shared" ref="CM360:CM391" ca="1" si="166">IF(CL360&gt;1/1/6,"LIQUIDADO",IF(BJ360=$BE$20003,"",IF(BJ360&gt;=TODAY(),"VIGENTE",IF(BJ360&lt;TODAY(),"TERMINADO",))))</f>
        <v>TERMINADO</v>
      </c>
      <c r="CN360" s="82"/>
      <c r="CO360" s="145" t="s">
        <v>3085</v>
      </c>
      <c r="CP360" s="26" t="s">
        <v>123</v>
      </c>
    </row>
    <row r="361" spans="1:97" ht="24.75" customHeight="1">
      <c r="A361" s="48" t="s">
        <v>3086</v>
      </c>
      <c r="B361" s="77" t="s">
        <v>3087</v>
      </c>
      <c r="C361" s="17" t="s">
        <v>104</v>
      </c>
      <c r="D361" s="18" t="s">
        <v>3088</v>
      </c>
      <c r="E361" s="17" t="s">
        <v>106</v>
      </c>
      <c r="F361" s="17" t="s">
        <v>107</v>
      </c>
      <c r="G361" s="17" t="s">
        <v>108</v>
      </c>
      <c r="H361" s="78">
        <v>1022344056</v>
      </c>
      <c r="I361" s="74" t="s">
        <v>3089</v>
      </c>
      <c r="J361" s="16"/>
      <c r="K361" s="16"/>
      <c r="L361" s="20" t="s">
        <v>3090</v>
      </c>
      <c r="M361" s="16" t="s">
        <v>111</v>
      </c>
      <c r="N361" s="115">
        <v>45320</v>
      </c>
      <c r="O361" s="115">
        <v>45324</v>
      </c>
      <c r="P361" s="115">
        <v>45657</v>
      </c>
      <c r="Q361" s="23">
        <f t="shared" si="144"/>
        <v>333</v>
      </c>
      <c r="R361" s="17" t="s">
        <v>242</v>
      </c>
      <c r="S361" s="117" t="s">
        <v>3050</v>
      </c>
      <c r="T361" s="16" t="s">
        <v>1145</v>
      </c>
      <c r="U361" s="24">
        <v>68877184</v>
      </c>
      <c r="V361" s="116" t="s">
        <v>426</v>
      </c>
      <c r="W361" s="227">
        <v>68877184</v>
      </c>
      <c r="X361" s="24">
        <v>3433600</v>
      </c>
      <c r="Y361" s="24"/>
      <c r="Z361" s="24"/>
      <c r="AA361" s="17" t="s">
        <v>116</v>
      </c>
      <c r="AB361" s="23" t="str">
        <f>IFERROR(VLOOKUP(AA361,Listas!$A$1:$C$14,2,FALSE),"")</f>
        <v>FREDY CÉSPEDES VILLA</v>
      </c>
      <c r="AC361" s="23">
        <f>IFERROR(VLOOKUP(AA361,Listas!$A$1:$C$14,3,FALSE),"")</f>
        <v>93363483</v>
      </c>
      <c r="AD361" s="17" t="s">
        <v>427</v>
      </c>
      <c r="AE361" s="17" t="s">
        <v>1390</v>
      </c>
      <c r="AF361" s="23" t="str">
        <f>IFERROR(VLOOKUP(AE361,Listas!$AD$1:$AF$65,2,FALSE),"")</f>
        <v>BLANCA FLOR AMÉZQUITA RODRÍGUEZ</v>
      </c>
      <c r="AG361" s="23">
        <f>IFERROR(VLOOKUP(AE361,Listas!$AD$1:$AF$65,3,FALSE),"")</f>
        <v>51613966</v>
      </c>
      <c r="AH361" s="17" t="s">
        <v>118</v>
      </c>
      <c r="AI361" s="65" t="s">
        <v>3091</v>
      </c>
      <c r="AJ361" s="25" t="s">
        <v>119</v>
      </c>
      <c r="AK361" s="26" t="s">
        <v>120</v>
      </c>
      <c r="AL361" s="26" t="s">
        <v>120</v>
      </c>
      <c r="AM361" s="90" t="s">
        <v>119</v>
      </c>
      <c r="AN361" s="105">
        <v>32185</v>
      </c>
      <c r="AO361" s="91">
        <f t="shared" ca="1" si="145"/>
        <v>37</v>
      </c>
      <c r="AP361" s="26" t="s">
        <v>121</v>
      </c>
      <c r="AQ361" s="26" t="s">
        <v>515</v>
      </c>
      <c r="AR361" s="89"/>
      <c r="AS361" s="27"/>
      <c r="AT361" s="16"/>
      <c r="AU361" s="27"/>
      <c r="AV361" s="86"/>
      <c r="AW361" s="27"/>
      <c r="AX361" s="27"/>
      <c r="AY361" s="27"/>
      <c r="AZ361" s="27"/>
      <c r="BA361" s="27"/>
      <c r="BB361" s="27"/>
      <c r="BC361" s="97"/>
      <c r="BD361" s="27"/>
      <c r="BE361" s="16"/>
      <c r="BF361" s="28">
        <f t="shared" si="158"/>
        <v>0</v>
      </c>
      <c r="BG361" s="29"/>
      <c r="BH361" s="27"/>
      <c r="BI361" s="30">
        <f t="shared" si="159"/>
        <v>333</v>
      </c>
      <c r="BJ361" s="31">
        <f t="shared" si="160"/>
        <v>45657</v>
      </c>
      <c r="BK361" s="27"/>
      <c r="BL361" s="16"/>
      <c r="BM361" s="27"/>
      <c r="BN361" s="16"/>
      <c r="BO361" s="27"/>
      <c r="BP361" s="16"/>
      <c r="BQ361" s="27"/>
      <c r="BR361" s="24"/>
      <c r="BS361" s="24"/>
      <c r="BT361" s="32"/>
      <c r="BU361" s="27"/>
      <c r="BV361" s="24"/>
      <c r="BW361" s="24"/>
      <c r="BX361" s="16"/>
      <c r="BY361" s="27"/>
      <c r="BZ361" s="24"/>
      <c r="CA361" s="24"/>
      <c r="CB361" s="16"/>
      <c r="CC361" s="49">
        <f t="shared" si="161"/>
        <v>0</v>
      </c>
      <c r="CD361" s="24"/>
      <c r="CE361" s="49">
        <f t="shared" si="157"/>
        <v>68877184</v>
      </c>
      <c r="CF361" s="50"/>
      <c r="CG361" s="49">
        <f t="shared" ca="1" si="162"/>
        <v>68877184</v>
      </c>
      <c r="CH361" s="33">
        <f t="shared" ca="1" si="163"/>
        <v>1</v>
      </c>
      <c r="CI361" s="33">
        <f t="shared" ca="1" si="153"/>
        <v>1</v>
      </c>
      <c r="CJ361" s="36">
        <f t="shared" ca="1" si="164"/>
        <v>100</v>
      </c>
      <c r="CK361" s="34">
        <f t="shared" si="165"/>
        <v>0</v>
      </c>
      <c r="CL361" s="21"/>
      <c r="CM361" s="35" t="str">
        <f t="shared" ca="1" si="166"/>
        <v>TERMINADO</v>
      </c>
      <c r="CN361" s="82"/>
      <c r="CO361" s="145" t="s">
        <v>3092</v>
      </c>
      <c r="CP361" s="26" t="s">
        <v>123</v>
      </c>
    </row>
    <row r="362" spans="1:97" ht="24.75" customHeight="1">
      <c r="A362" s="48" t="s">
        <v>3093</v>
      </c>
      <c r="B362" s="77" t="s">
        <v>3094</v>
      </c>
      <c r="C362" s="17" t="s">
        <v>104</v>
      </c>
      <c r="D362" s="18" t="s">
        <v>3095</v>
      </c>
      <c r="E362" s="17" t="s">
        <v>106</v>
      </c>
      <c r="F362" s="17" t="s">
        <v>107</v>
      </c>
      <c r="G362" s="17" t="s">
        <v>108</v>
      </c>
      <c r="H362" s="78">
        <v>79505609</v>
      </c>
      <c r="I362" s="74" t="s">
        <v>3096</v>
      </c>
      <c r="J362" s="16"/>
      <c r="K362" s="16"/>
      <c r="L362" s="20" t="s">
        <v>2944</v>
      </c>
      <c r="M362" s="16" t="s">
        <v>111</v>
      </c>
      <c r="N362" s="115">
        <v>45320</v>
      </c>
      <c r="O362" s="115">
        <v>45331</v>
      </c>
      <c r="P362" s="115">
        <v>45656</v>
      </c>
      <c r="Q362" s="23">
        <f t="shared" si="144"/>
        <v>325</v>
      </c>
      <c r="R362" s="17" t="s">
        <v>112</v>
      </c>
      <c r="S362" s="117" t="s">
        <v>3097</v>
      </c>
      <c r="T362" s="16" t="s">
        <v>3098</v>
      </c>
      <c r="U362" s="24">
        <v>114180000</v>
      </c>
      <c r="V362" s="116" t="s">
        <v>3099</v>
      </c>
      <c r="W362" s="227">
        <v>114180000</v>
      </c>
      <c r="X362" s="24">
        <v>9900000</v>
      </c>
      <c r="Y362" s="24"/>
      <c r="Z362" s="24"/>
      <c r="AA362" s="17" t="s">
        <v>116</v>
      </c>
      <c r="AB362" s="23" t="str">
        <f>IFERROR(VLOOKUP(AA362,Listas!$A$1:$C$14,2,FALSE),"")</f>
        <v>FREDY CÉSPEDES VILLA</v>
      </c>
      <c r="AC362" s="23">
        <f>IFERROR(VLOOKUP(AA362,Listas!$A$1:$C$14,3,FALSE),"")</f>
        <v>93363483</v>
      </c>
      <c r="AD362" s="17" t="s">
        <v>816</v>
      </c>
      <c r="AE362" s="17" t="s">
        <v>1450</v>
      </c>
      <c r="AF362" s="23" t="str">
        <f>IFERROR(VLOOKUP(AE362,Listas!$AD$1:$AF$65,2,FALSE),"")</f>
        <v>LINA MARIA CRUZ SILVA</v>
      </c>
      <c r="AG362" s="23">
        <f>IFERROR(VLOOKUP(AE362,Listas!$AD$1:$AF$65,3,FALSE),"")</f>
        <v>52423537</v>
      </c>
      <c r="AH362" s="17" t="s">
        <v>118</v>
      </c>
      <c r="AI362" s="65" t="s">
        <v>3100</v>
      </c>
      <c r="AJ362" s="25" t="s">
        <v>119</v>
      </c>
      <c r="AK362" s="26" t="s">
        <v>120</v>
      </c>
      <c r="AL362" s="26" t="s">
        <v>120</v>
      </c>
      <c r="AM362" s="90" t="s">
        <v>119</v>
      </c>
      <c r="AN362" s="105">
        <v>25382</v>
      </c>
      <c r="AO362" s="91">
        <f t="shared" ca="1" si="145"/>
        <v>56</v>
      </c>
      <c r="AP362" s="26" t="s">
        <v>121</v>
      </c>
      <c r="AQ362" s="26" t="s">
        <v>515</v>
      </c>
      <c r="AR362" s="89"/>
      <c r="AS362" s="27"/>
      <c r="AT362" s="16"/>
      <c r="AU362" s="27"/>
      <c r="AV362" s="86"/>
      <c r="AW362" s="27"/>
      <c r="AX362" s="27"/>
      <c r="AY362" s="27"/>
      <c r="AZ362" s="27"/>
      <c r="BA362" s="27"/>
      <c r="BB362" s="27"/>
      <c r="BC362" s="97"/>
      <c r="BD362" s="27"/>
      <c r="BE362" s="16"/>
      <c r="BF362" s="28">
        <f t="shared" si="158"/>
        <v>0</v>
      </c>
      <c r="BG362" s="29"/>
      <c r="BH362" s="27"/>
      <c r="BI362" s="30">
        <f t="shared" si="159"/>
        <v>325</v>
      </c>
      <c r="BJ362" s="31">
        <f t="shared" si="160"/>
        <v>45656</v>
      </c>
      <c r="BK362" s="27"/>
      <c r="BL362" s="16"/>
      <c r="BM362" s="27"/>
      <c r="BN362" s="16"/>
      <c r="BO362" s="27"/>
      <c r="BP362" s="16"/>
      <c r="BQ362" s="27"/>
      <c r="BR362" s="24"/>
      <c r="BS362" s="24"/>
      <c r="BT362" s="32"/>
      <c r="BU362" s="27"/>
      <c r="BV362" s="24"/>
      <c r="BW362" s="24"/>
      <c r="BX362" s="16"/>
      <c r="BY362" s="27"/>
      <c r="BZ362" s="24"/>
      <c r="CA362" s="24"/>
      <c r="CB362" s="16"/>
      <c r="CC362" s="49">
        <f t="shared" si="161"/>
        <v>0</v>
      </c>
      <c r="CD362" s="24"/>
      <c r="CE362" s="49">
        <f t="shared" si="157"/>
        <v>114180000</v>
      </c>
      <c r="CF362" s="50"/>
      <c r="CG362" s="49">
        <f t="shared" ca="1" si="162"/>
        <v>114180000</v>
      </c>
      <c r="CH362" s="33">
        <f t="shared" ca="1" si="163"/>
        <v>1</v>
      </c>
      <c r="CI362" s="33">
        <f t="shared" ca="1" si="153"/>
        <v>1</v>
      </c>
      <c r="CJ362" s="36">
        <f t="shared" ca="1" si="164"/>
        <v>100</v>
      </c>
      <c r="CK362" s="34">
        <f t="shared" si="165"/>
        <v>0</v>
      </c>
      <c r="CL362" s="21"/>
      <c r="CM362" s="35" t="str">
        <f t="shared" ca="1" si="166"/>
        <v>TERMINADO</v>
      </c>
      <c r="CN362" s="82"/>
      <c r="CO362" s="145" t="s">
        <v>3101</v>
      </c>
      <c r="CP362" s="26" t="s">
        <v>142</v>
      </c>
    </row>
    <row r="363" spans="1:97" ht="24.75" customHeight="1">
      <c r="A363" s="48" t="s">
        <v>3102</v>
      </c>
      <c r="B363" s="77" t="s">
        <v>3103</v>
      </c>
      <c r="C363" s="17" t="s">
        <v>104</v>
      </c>
      <c r="D363" s="18" t="s">
        <v>3104</v>
      </c>
      <c r="E363" s="17" t="s">
        <v>106</v>
      </c>
      <c r="F363" s="17" t="s">
        <v>107</v>
      </c>
      <c r="G363" s="17" t="s">
        <v>108</v>
      </c>
      <c r="H363" s="78">
        <v>1015436894</v>
      </c>
      <c r="I363" s="74" t="s">
        <v>3105</v>
      </c>
      <c r="J363" s="16"/>
      <c r="K363" s="16"/>
      <c r="L363" s="20" t="s">
        <v>874</v>
      </c>
      <c r="M363" s="16" t="s">
        <v>111</v>
      </c>
      <c r="N363" s="115">
        <v>45320</v>
      </c>
      <c r="O363" s="115">
        <v>45322</v>
      </c>
      <c r="P363" s="115">
        <v>45656</v>
      </c>
      <c r="Q363" s="23">
        <f t="shared" si="144"/>
        <v>334</v>
      </c>
      <c r="R363" s="17" t="s">
        <v>242</v>
      </c>
      <c r="S363" s="117" t="s">
        <v>3106</v>
      </c>
      <c r="T363" s="16" t="s">
        <v>1128</v>
      </c>
      <c r="U363" s="24">
        <v>72106667</v>
      </c>
      <c r="V363" s="116" t="s">
        <v>815</v>
      </c>
      <c r="W363" s="227">
        <v>72106667</v>
      </c>
      <c r="X363" s="24">
        <v>6400000</v>
      </c>
      <c r="Y363" s="24"/>
      <c r="Z363" s="24"/>
      <c r="AA363" s="17" t="s">
        <v>116</v>
      </c>
      <c r="AB363" s="23" t="str">
        <f>IFERROR(VLOOKUP(AA363,Listas!$A$1:$C$14,2,FALSE),"")</f>
        <v>FREDY CÉSPEDES VILLA</v>
      </c>
      <c r="AC363" s="23">
        <f>IFERROR(VLOOKUP(AA363,Listas!$A$1:$C$14,3,FALSE),"")</f>
        <v>93363483</v>
      </c>
      <c r="AD363" s="17" t="s">
        <v>816</v>
      </c>
      <c r="AE363" s="17" t="s">
        <v>817</v>
      </c>
      <c r="AF363" s="23" t="str">
        <f>IFERROR(VLOOKUP(AE363,Listas!$AD$1:$AF$65,2,FALSE),"")</f>
        <v>JOSÉ EDUARDO PARADA JIMÉNEZ</v>
      </c>
      <c r="AG363" s="23">
        <f>IFERROR(VLOOKUP(AE363,Listas!$AD$1:$AF$65,3,FALSE),"")</f>
        <v>79434805</v>
      </c>
      <c r="AH363" s="17" t="s">
        <v>118</v>
      </c>
      <c r="AI363" s="65" t="s">
        <v>3107</v>
      </c>
      <c r="AJ363" s="25" t="s">
        <v>119</v>
      </c>
      <c r="AK363" s="26" t="s">
        <v>120</v>
      </c>
      <c r="AL363" s="26" t="s">
        <v>120</v>
      </c>
      <c r="AM363" s="90" t="s">
        <v>119</v>
      </c>
      <c r="AN363" s="105">
        <v>34027</v>
      </c>
      <c r="AO363" s="91">
        <f t="shared" ca="1" si="145"/>
        <v>32</v>
      </c>
      <c r="AP363" s="26" t="s">
        <v>121</v>
      </c>
      <c r="AQ363" s="26" t="s">
        <v>819</v>
      </c>
      <c r="AR363" s="89"/>
      <c r="AS363" s="27"/>
      <c r="AT363" s="16"/>
      <c r="AU363" s="27"/>
      <c r="AV363" s="86"/>
      <c r="AW363" s="27"/>
      <c r="AX363" s="27"/>
      <c r="AY363" s="27"/>
      <c r="AZ363" s="27"/>
      <c r="BA363" s="27"/>
      <c r="BB363" s="27"/>
      <c r="BC363" s="97"/>
      <c r="BD363" s="27"/>
      <c r="BE363" s="16"/>
      <c r="BF363" s="28">
        <f t="shared" si="158"/>
        <v>0</v>
      </c>
      <c r="BG363" s="29"/>
      <c r="BH363" s="27"/>
      <c r="BI363" s="30">
        <f t="shared" si="159"/>
        <v>334</v>
      </c>
      <c r="BJ363" s="31">
        <f t="shared" si="160"/>
        <v>45656</v>
      </c>
      <c r="BK363" s="27"/>
      <c r="BL363" s="16"/>
      <c r="BM363" s="27"/>
      <c r="BN363" s="16"/>
      <c r="BO363" s="27"/>
      <c r="BP363" s="16"/>
      <c r="BQ363" s="27"/>
      <c r="BR363" s="24"/>
      <c r="BS363" s="24"/>
      <c r="BT363" s="32"/>
      <c r="BU363" s="27"/>
      <c r="BV363" s="24"/>
      <c r="BW363" s="24"/>
      <c r="BX363" s="16"/>
      <c r="BY363" s="27"/>
      <c r="BZ363" s="24"/>
      <c r="CA363" s="24"/>
      <c r="CB363" s="16"/>
      <c r="CC363" s="49">
        <f t="shared" si="161"/>
        <v>0</v>
      </c>
      <c r="CD363" s="24"/>
      <c r="CE363" s="49">
        <f t="shared" si="157"/>
        <v>72106667</v>
      </c>
      <c r="CF363" s="50"/>
      <c r="CG363" s="49">
        <f t="shared" ca="1" si="162"/>
        <v>72106667</v>
      </c>
      <c r="CH363" s="33">
        <f t="shared" ca="1" si="163"/>
        <v>1</v>
      </c>
      <c r="CI363" s="33">
        <f t="shared" ca="1" si="153"/>
        <v>1</v>
      </c>
      <c r="CJ363" s="36">
        <f t="shared" ca="1" si="164"/>
        <v>100</v>
      </c>
      <c r="CK363" s="34">
        <f t="shared" si="165"/>
        <v>0</v>
      </c>
      <c r="CL363" s="21"/>
      <c r="CM363" s="35" t="str">
        <f t="shared" ca="1" si="166"/>
        <v>TERMINADO</v>
      </c>
      <c r="CN363" s="82"/>
      <c r="CO363" s="145" t="s">
        <v>3108</v>
      </c>
      <c r="CP363" s="26" t="s">
        <v>123</v>
      </c>
    </row>
    <row r="364" spans="1:97" ht="24.75" customHeight="1">
      <c r="A364" s="48" t="s">
        <v>3109</v>
      </c>
      <c r="B364" s="77" t="s">
        <v>3110</v>
      </c>
      <c r="C364" s="17" t="s">
        <v>104</v>
      </c>
      <c r="D364" s="18" t="s">
        <v>3111</v>
      </c>
      <c r="E364" s="17" t="s">
        <v>106</v>
      </c>
      <c r="F364" s="17" t="s">
        <v>107</v>
      </c>
      <c r="G364" s="17" t="s">
        <v>108</v>
      </c>
      <c r="H364" s="78">
        <v>1062679063</v>
      </c>
      <c r="I364" s="74" t="s">
        <v>3112</v>
      </c>
      <c r="J364" s="16"/>
      <c r="K364" s="16"/>
      <c r="L364" s="20" t="s">
        <v>874</v>
      </c>
      <c r="M364" s="16" t="s">
        <v>111</v>
      </c>
      <c r="N364" s="115">
        <v>45320</v>
      </c>
      <c r="O364" s="115">
        <v>45322</v>
      </c>
      <c r="P364" s="115">
        <v>45656</v>
      </c>
      <c r="Q364" s="23">
        <f t="shared" si="144"/>
        <v>334</v>
      </c>
      <c r="R364" s="17" t="s">
        <v>242</v>
      </c>
      <c r="S364" s="117" t="s">
        <v>3113</v>
      </c>
      <c r="T364" s="16" t="s">
        <v>1128</v>
      </c>
      <c r="U364" s="24">
        <v>72893333</v>
      </c>
      <c r="V364" s="116" t="s">
        <v>815</v>
      </c>
      <c r="W364" s="227">
        <v>72893333</v>
      </c>
      <c r="X364" s="24">
        <v>6400000</v>
      </c>
      <c r="Y364" s="24"/>
      <c r="Z364" s="24"/>
      <c r="AA364" s="17" t="s">
        <v>116</v>
      </c>
      <c r="AB364" s="23" t="str">
        <f>IFERROR(VLOOKUP(AA364,Listas!$A$1:$C$14,2,FALSE),"")</f>
        <v>FREDY CÉSPEDES VILLA</v>
      </c>
      <c r="AC364" s="23">
        <f>IFERROR(VLOOKUP(AA364,Listas!$A$1:$C$14,3,FALSE),"")</f>
        <v>93363483</v>
      </c>
      <c r="AD364" s="17" t="s">
        <v>816</v>
      </c>
      <c r="AE364" s="17" t="s">
        <v>817</v>
      </c>
      <c r="AF364" s="23" t="str">
        <f>IFERROR(VLOOKUP(AE364,Listas!$AD$1:$AF$65,2,FALSE),"")</f>
        <v>JOSÉ EDUARDO PARADA JIMÉNEZ</v>
      </c>
      <c r="AG364" s="23">
        <f>IFERROR(VLOOKUP(AE364,Listas!$AD$1:$AF$65,3,FALSE),"")</f>
        <v>79434805</v>
      </c>
      <c r="AH364" s="17" t="s">
        <v>118</v>
      </c>
      <c r="AI364" s="65" t="s">
        <v>3107</v>
      </c>
      <c r="AJ364" s="25" t="s">
        <v>119</v>
      </c>
      <c r="AK364" s="26" t="s">
        <v>120</v>
      </c>
      <c r="AL364" s="26" t="s">
        <v>120</v>
      </c>
      <c r="AM364" s="90" t="s">
        <v>119</v>
      </c>
      <c r="AN364" s="105">
        <v>33259</v>
      </c>
      <c r="AO364" s="91">
        <f t="shared" ca="1" si="145"/>
        <v>34</v>
      </c>
      <c r="AP364" s="26" t="s">
        <v>121</v>
      </c>
      <c r="AQ364" s="26" t="s">
        <v>819</v>
      </c>
      <c r="AR364" s="89"/>
      <c r="AS364" s="27"/>
      <c r="AT364" s="16"/>
      <c r="AU364" s="27"/>
      <c r="AV364" s="86"/>
      <c r="AW364" s="27"/>
      <c r="AX364" s="27"/>
      <c r="AY364" s="27"/>
      <c r="AZ364" s="27"/>
      <c r="BA364" s="27"/>
      <c r="BB364" s="27"/>
      <c r="BC364" s="97"/>
      <c r="BD364" s="27"/>
      <c r="BE364" s="16"/>
      <c r="BF364" s="28">
        <f t="shared" si="158"/>
        <v>0</v>
      </c>
      <c r="BG364" s="29"/>
      <c r="BH364" s="27"/>
      <c r="BI364" s="30">
        <f t="shared" si="159"/>
        <v>334</v>
      </c>
      <c r="BJ364" s="31">
        <f t="shared" si="160"/>
        <v>45656</v>
      </c>
      <c r="BK364" s="27"/>
      <c r="BL364" s="16"/>
      <c r="BM364" s="27"/>
      <c r="BN364" s="16"/>
      <c r="BO364" s="27"/>
      <c r="BP364" s="16"/>
      <c r="BQ364" s="27"/>
      <c r="BR364" s="24"/>
      <c r="BS364" s="24"/>
      <c r="BT364" s="32"/>
      <c r="BU364" s="27"/>
      <c r="BV364" s="24"/>
      <c r="BW364" s="24"/>
      <c r="BX364" s="16"/>
      <c r="BY364" s="27"/>
      <c r="BZ364" s="24"/>
      <c r="CA364" s="24"/>
      <c r="CB364" s="16"/>
      <c r="CC364" s="49">
        <f t="shared" si="161"/>
        <v>0</v>
      </c>
      <c r="CD364" s="24"/>
      <c r="CE364" s="49">
        <f t="shared" si="157"/>
        <v>72893333</v>
      </c>
      <c r="CF364" s="50"/>
      <c r="CG364" s="49">
        <f t="shared" ca="1" si="162"/>
        <v>72893333</v>
      </c>
      <c r="CH364" s="33">
        <f t="shared" ca="1" si="163"/>
        <v>1</v>
      </c>
      <c r="CI364" s="33">
        <f ca="1">+IF(CL364&gt;0,DAYS360(#REF!,CL364)/DAYS360(#REF!,BJ364),CH364)</f>
        <v>1</v>
      </c>
      <c r="CJ364" s="36">
        <f t="shared" ca="1" si="164"/>
        <v>100</v>
      </c>
      <c r="CK364" s="34">
        <f t="shared" si="165"/>
        <v>0</v>
      </c>
      <c r="CL364" s="21"/>
      <c r="CM364" s="35" t="str">
        <f t="shared" ca="1" si="166"/>
        <v>TERMINADO</v>
      </c>
      <c r="CN364" s="82"/>
      <c r="CO364" s="145" t="s">
        <v>3114</v>
      </c>
      <c r="CP364" s="26" t="s">
        <v>142</v>
      </c>
    </row>
    <row r="365" spans="1:97" ht="24.75" customHeight="1">
      <c r="A365" s="48" t="s">
        <v>3115</v>
      </c>
      <c r="B365" s="77" t="s">
        <v>3116</v>
      </c>
      <c r="C365" s="17" t="s">
        <v>104</v>
      </c>
      <c r="D365" s="18" t="s">
        <v>3117</v>
      </c>
      <c r="E365" s="17" t="s">
        <v>106</v>
      </c>
      <c r="F365" s="17" t="s">
        <v>107</v>
      </c>
      <c r="G365" s="17" t="s">
        <v>108</v>
      </c>
      <c r="H365" s="78">
        <v>79804819</v>
      </c>
      <c r="I365" s="74" t="s">
        <v>3118</v>
      </c>
      <c r="J365" s="16"/>
      <c r="K365" s="16"/>
      <c r="L365" s="20" t="s">
        <v>2844</v>
      </c>
      <c r="M365" s="16" t="s">
        <v>111</v>
      </c>
      <c r="N365" s="115">
        <v>45320</v>
      </c>
      <c r="O365" s="115">
        <v>45322</v>
      </c>
      <c r="P365" s="115">
        <v>45656</v>
      </c>
      <c r="Q365" s="23">
        <f t="shared" si="144"/>
        <v>334</v>
      </c>
      <c r="R365" s="17" t="s">
        <v>242</v>
      </c>
      <c r="S365" s="117" t="s">
        <v>3119</v>
      </c>
      <c r="T365" s="16" t="s">
        <v>1128</v>
      </c>
      <c r="U365" s="24">
        <v>79993333</v>
      </c>
      <c r="V365" s="116" t="s">
        <v>815</v>
      </c>
      <c r="W365" s="227">
        <v>79993333</v>
      </c>
      <c r="X365" s="24">
        <v>7100000</v>
      </c>
      <c r="Y365" s="24"/>
      <c r="Z365" s="24"/>
      <c r="AA365" s="17" t="s">
        <v>116</v>
      </c>
      <c r="AB365" s="23" t="str">
        <f>IFERROR(VLOOKUP(AA365,Listas!$A$1:$C$14,2,FALSE),"")</f>
        <v>FREDY CÉSPEDES VILLA</v>
      </c>
      <c r="AC365" s="23">
        <f>IFERROR(VLOOKUP(AA365,Listas!$A$1:$C$14,3,FALSE),"")</f>
        <v>93363483</v>
      </c>
      <c r="AD365" s="17" t="s">
        <v>816</v>
      </c>
      <c r="AE365" s="17" t="s">
        <v>817</v>
      </c>
      <c r="AF365" s="23" t="str">
        <f>IFERROR(VLOOKUP(AE365,Listas!$AD$1:$AF$65,2,FALSE),"")</f>
        <v>JOSÉ EDUARDO PARADA JIMÉNEZ</v>
      </c>
      <c r="AG365" s="23">
        <f>IFERROR(VLOOKUP(AE365,Listas!$AD$1:$AF$65,3,FALSE),"")</f>
        <v>79434805</v>
      </c>
      <c r="AH365" s="17" t="s">
        <v>118</v>
      </c>
      <c r="AI365" s="65" t="s">
        <v>3120</v>
      </c>
      <c r="AJ365" s="25" t="s">
        <v>119</v>
      </c>
      <c r="AK365" s="26" t="s">
        <v>120</v>
      </c>
      <c r="AL365" s="26" t="s">
        <v>120</v>
      </c>
      <c r="AM365" s="90" t="s">
        <v>119</v>
      </c>
      <c r="AN365" s="105">
        <v>27975</v>
      </c>
      <c r="AO365" s="91">
        <f t="shared" ca="1" si="145"/>
        <v>49</v>
      </c>
      <c r="AP365" s="26" t="s">
        <v>121</v>
      </c>
      <c r="AQ365" s="26" t="s">
        <v>819</v>
      </c>
      <c r="AR365" s="89"/>
      <c r="AS365" s="27"/>
      <c r="AT365" s="16"/>
      <c r="AU365" s="27"/>
      <c r="AV365" s="86"/>
      <c r="AW365" s="27"/>
      <c r="AX365" s="27"/>
      <c r="AY365" s="27"/>
      <c r="AZ365" s="27"/>
      <c r="BA365" s="27"/>
      <c r="BB365" s="27"/>
      <c r="BC365" s="97"/>
      <c r="BD365" s="27"/>
      <c r="BE365" s="16"/>
      <c r="BF365" s="28">
        <f t="shared" si="158"/>
        <v>0</v>
      </c>
      <c r="BG365" s="29"/>
      <c r="BH365" s="27"/>
      <c r="BI365" s="30">
        <f t="shared" si="159"/>
        <v>334</v>
      </c>
      <c r="BJ365" s="31">
        <f t="shared" si="160"/>
        <v>45656</v>
      </c>
      <c r="BK365" s="27"/>
      <c r="BL365" s="16"/>
      <c r="BM365" s="27"/>
      <c r="BN365" s="16"/>
      <c r="BO365" s="27"/>
      <c r="BP365" s="16"/>
      <c r="BQ365" s="27"/>
      <c r="BR365" s="24"/>
      <c r="BS365" s="24"/>
      <c r="BT365" s="32"/>
      <c r="BU365" s="27"/>
      <c r="BV365" s="24"/>
      <c r="BW365" s="24"/>
      <c r="BX365" s="16"/>
      <c r="BY365" s="27"/>
      <c r="BZ365" s="24"/>
      <c r="CA365" s="24"/>
      <c r="CB365" s="16"/>
      <c r="CC365" s="49">
        <f t="shared" si="161"/>
        <v>0</v>
      </c>
      <c r="CD365" s="24"/>
      <c r="CE365" s="49">
        <f t="shared" si="157"/>
        <v>79993333</v>
      </c>
      <c r="CF365" s="50"/>
      <c r="CG365" s="49">
        <f t="shared" ca="1" si="162"/>
        <v>79993333</v>
      </c>
      <c r="CH365" s="33">
        <f t="shared" ca="1" si="163"/>
        <v>1</v>
      </c>
      <c r="CI365" s="33">
        <f t="shared" ref="CI365:CI396" ca="1" si="167">+IF(CL365&gt;0,DAYS360(O365,CL365)/DAYS360(O365,BJ365),CH365)</f>
        <v>1</v>
      </c>
      <c r="CJ365" s="36">
        <f t="shared" ca="1" si="164"/>
        <v>100</v>
      </c>
      <c r="CK365" s="34">
        <f t="shared" si="165"/>
        <v>0</v>
      </c>
      <c r="CL365" s="21"/>
      <c r="CM365" s="35" t="str">
        <f t="shared" ca="1" si="166"/>
        <v>TERMINADO</v>
      </c>
      <c r="CN365" s="82"/>
      <c r="CO365" s="145" t="s">
        <v>3121</v>
      </c>
      <c r="CP365" s="26" t="s">
        <v>142</v>
      </c>
    </row>
    <row r="366" spans="1:97" ht="24.75" customHeight="1">
      <c r="A366" s="48" t="s">
        <v>3122</v>
      </c>
      <c r="B366" s="77" t="s">
        <v>3123</v>
      </c>
      <c r="C366" s="17" t="s">
        <v>104</v>
      </c>
      <c r="D366" s="18" t="s">
        <v>3124</v>
      </c>
      <c r="E366" s="17" t="s">
        <v>106</v>
      </c>
      <c r="F366" s="17" t="s">
        <v>107</v>
      </c>
      <c r="G366" s="17" t="s">
        <v>108</v>
      </c>
      <c r="H366" s="78">
        <v>52728013</v>
      </c>
      <c r="I366" s="74" t="s">
        <v>3125</v>
      </c>
      <c r="J366" s="16"/>
      <c r="K366" s="16"/>
      <c r="L366" s="20" t="s">
        <v>2851</v>
      </c>
      <c r="M366" s="16" t="s">
        <v>111</v>
      </c>
      <c r="N366" s="115">
        <v>45320</v>
      </c>
      <c r="O366" s="115">
        <v>45322</v>
      </c>
      <c r="P366" s="115">
        <v>45656</v>
      </c>
      <c r="Q366" s="23">
        <f t="shared" si="144"/>
        <v>334</v>
      </c>
      <c r="R366" s="17" t="s">
        <v>242</v>
      </c>
      <c r="S366" s="117" t="s">
        <v>3126</v>
      </c>
      <c r="T366" s="16" t="s">
        <v>1128</v>
      </c>
      <c r="U366" s="24">
        <v>71893333</v>
      </c>
      <c r="V366" s="116" t="s">
        <v>815</v>
      </c>
      <c r="W366" s="227">
        <v>71893333</v>
      </c>
      <c r="X366" s="24">
        <v>6400000</v>
      </c>
      <c r="Y366" s="24"/>
      <c r="Z366" s="24"/>
      <c r="AA366" s="17" t="s">
        <v>116</v>
      </c>
      <c r="AB366" s="23" t="str">
        <f>IFERROR(VLOOKUP(AA366,Listas!$A$1:$C$14,2,FALSE),"")</f>
        <v>FREDY CÉSPEDES VILLA</v>
      </c>
      <c r="AC366" s="23">
        <f>IFERROR(VLOOKUP(AA366,Listas!$A$1:$C$14,3,FALSE),"")</f>
        <v>93363483</v>
      </c>
      <c r="AD366" s="17" t="s">
        <v>816</v>
      </c>
      <c r="AE366" s="17" t="s">
        <v>817</v>
      </c>
      <c r="AF366" s="23" t="str">
        <f>IFERROR(VLOOKUP(AE366,Listas!$AD$1:$AF$65,2,FALSE),"")</f>
        <v>JOSÉ EDUARDO PARADA JIMÉNEZ</v>
      </c>
      <c r="AG366" s="23">
        <f>IFERROR(VLOOKUP(AE366,Listas!$AD$1:$AF$65,3,FALSE),"")</f>
        <v>79434805</v>
      </c>
      <c r="AH366" s="17" t="s">
        <v>118</v>
      </c>
      <c r="AI366" s="65" t="s">
        <v>2853</v>
      </c>
      <c r="AJ366" s="25" t="s">
        <v>119</v>
      </c>
      <c r="AK366" s="26" t="s">
        <v>120</v>
      </c>
      <c r="AL366" s="26" t="s">
        <v>120</v>
      </c>
      <c r="AM366" s="90" t="s">
        <v>119</v>
      </c>
      <c r="AN366" s="105">
        <v>29857</v>
      </c>
      <c r="AO366" s="91">
        <f t="shared" ca="1" si="145"/>
        <v>44</v>
      </c>
      <c r="AP366" s="26" t="s">
        <v>121</v>
      </c>
      <c r="AQ366" s="26" t="s">
        <v>819</v>
      </c>
      <c r="AR366" s="89"/>
      <c r="AS366" s="27"/>
      <c r="AT366" s="16"/>
      <c r="AU366" s="27"/>
      <c r="AV366" s="86"/>
      <c r="AW366" s="27"/>
      <c r="AX366" s="27"/>
      <c r="AY366" s="27"/>
      <c r="AZ366" s="27"/>
      <c r="BA366" s="27"/>
      <c r="BB366" s="27"/>
      <c r="BC366" s="97"/>
      <c r="BD366" s="27"/>
      <c r="BE366" s="16"/>
      <c r="BF366" s="28">
        <f t="shared" si="158"/>
        <v>0</v>
      </c>
      <c r="BG366" s="29"/>
      <c r="BH366" s="27"/>
      <c r="BI366" s="30">
        <f t="shared" si="159"/>
        <v>334</v>
      </c>
      <c r="BJ366" s="31">
        <f t="shared" si="160"/>
        <v>45656</v>
      </c>
      <c r="BK366" s="27"/>
      <c r="BL366" s="16"/>
      <c r="BM366" s="27"/>
      <c r="BN366" s="16"/>
      <c r="BO366" s="27"/>
      <c r="BP366" s="16"/>
      <c r="BQ366" s="27"/>
      <c r="BR366" s="24"/>
      <c r="BS366" s="24"/>
      <c r="BT366" s="32"/>
      <c r="BU366" s="27"/>
      <c r="BV366" s="24"/>
      <c r="BW366" s="24"/>
      <c r="BX366" s="16"/>
      <c r="BY366" s="27"/>
      <c r="BZ366" s="24"/>
      <c r="CA366" s="24"/>
      <c r="CB366" s="16"/>
      <c r="CC366" s="49">
        <f t="shared" si="161"/>
        <v>0</v>
      </c>
      <c r="CD366" s="24"/>
      <c r="CE366" s="49">
        <f t="shared" si="157"/>
        <v>71893333</v>
      </c>
      <c r="CF366" s="50"/>
      <c r="CG366" s="49">
        <f t="shared" ca="1" si="162"/>
        <v>71893333</v>
      </c>
      <c r="CH366" s="33">
        <f t="shared" ca="1" si="163"/>
        <v>1</v>
      </c>
      <c r="CI366" s="33">
        <f t="shared" ca="1" si="167"/>
        <v>1</v>
      </c>
      <c r="CJ366" s="36">
        <f t="shared" ca="1" si="164"/>
        <v>100</v>
      </c>
      <c r="CK366" s="34">
        <f t="shared" si="165"/>
        <v>0</v>
      </c>
      <c r="CL366" s="21"/>
      <c r="CM366" s="35" t="str">
        <f t="shared" ca="1" si="166"/>
        <v>TERMINADO</v>
      </c>
      <c r="CN366" s="82"/>
      <c r="CO366" s="145" t="s">
        <v>3127</v>
      </c>
      <c r="CP366" s="26" t="s">
        <v>123</v>
      </c>
    </row>
    <row r="367" spans="1:97" ht="24.75" customHeight="1">
      <c r="A367" s="48" t="s">
        <v>1424</v>
      </c>
      <c r="B367" s="77" t="s">
        <v>3128</v>
      </c>
      <c r="C367" s="17" t="s">
        <v>2927</v>
      </c>
      <c r="D367" s="18" t="s">
        <v>3129</v>
      </c>
      <c r="E367" s="17" t="s">
        <v>2929</v>
      </c>
      <c r="F367" s="17" t="s">
        <v>1426</v>
      </c>
      <c r="G367" s="17" t="s">
        <v>1427</v>
      </c>
      <c r="H367" s="78" t="s">
        <v>3130</v>
      </c>
      <c r="I367" s="74" t="s">
        <v>3131</v>
      </c>
      <c r="J367" s="16" t="s">
        <v>3132</v>
      </c>
      <c r="K367" s="104">
        <v>19352359</v>
      </c>
      <c r="L367" s="20" t="s">
        <v>2933</v>
      </c>
      <c r="M367" s="80"/>
      <c r="N367" s="115">
        <v>45320</v>
      </c>
      <c r="O367" s="115">
        <v>45320</v>
      </c>
      <c r="P367" s="115">
        <v>45685</v>
      </c>
      <c r="Q367" s="23">
        <f t="shared" si="144"/>
        <v>365</v>
      </c>
      <c r="R367" s="17" t="s">
        <v>2934</v>
      </c>
      <c r="S367" s="24" t="s">
        <v>1424</v>
      </c>
      <c r="T367" s="116" t="s">
        <v>1424</v>
      </c>
      <c r="U367" s="24" t="s">
        <v>1424</v>
      </c>
      <c r="V367" s="24" t="s">
        <v>1424</v>
      </c>
      <c r="W367" s="227">
        <v>0</v>
      </c>
      <c r="X367" s="24"/>
      <c r="Y367" s="24" t="s">
        <v>2935</v>
      </c>
      <c r="Z367" s="24"/>
      <c r="AA367" s="17" t="s">
        <v>406</v>
      </c>
      <c r="AB367" s="23" t="str">
        <f>IFERROR(VLOOKUP(AA367,Listas!$A$1:$C$14,2,FALSE),"")</f>
        <v>EDUARDO ELÍAS BARCHA BOLÍVAR</v>
      </c>
      <c r="AC367" s="23">
        <f>IFERROR(VLOOKUP(AA367,Listas!$A$1:$C$14,3,FALSE),"")</f>
        <v>72133921</v>
      </c>
      <c r="AD367" s="17" t="s">
        <v>903</v>
      </c>
      <c r="AE367" s="17" t="s">
        <v>904</v>
      </c>
      <c r="AF367" s="23" t="str">
        <f>IFERROR(VLOOKUP(AE367,Listas!$AD$1:$AF$65,2,FALSE),"")</f>
        <v>VIVIANA MARGARITA ROMERO</v>
      </c>
      <c r="AG367" s="23">
        <f>IFERROR(VLOOKUP(AE367,Listas!$AD$1:$AF$65,3,FALSE),"")</f>
        <v>32794946</v>
      </c>
      <c r="AH367" s="17" t="s">
        <v>2936</v>
      </c>
      <c r="AI367" s="26"/>
      <c r="AJ367" s="25" t="s">
        <v>1435</v>
      </c>
      <c r="AK367" s="26" t="s">
        <v>2071</v>
      </c>
      <c r="AL367" s="26" t="s">
        <v>2071</v>
      </c>
      <c r="AM367" s="90" t="s">
        <v>1435</v>
      </c>
      <c r="AN367" s="105"/>
      <c r="AO367" s="91" t="str">
        <f t="shared" ca="1" si="145"/>
        <v xml:space="preserve"> </v>
      </c>
      <c r="AP367" s="26" t="s">
        <v>2937</v>
      </c>
      <c r="AQ367" s="26" t="s">
        <v>3133</v>
      </c>
      <c r="AR367" s="89"/>
      <c r="AS367" s="27"/>
      <c r="AT367" s="16"/>
      <c r="AU367" s="27"/>
      <c r="AV367" s="86"/>
      <c r="AW367" s="27"/>
      <c r="AX367" s="27"/>
      <c r="AY367" s="27"/>
      <c r="AZ367" s="27"/>
      <c r="BA367" s="27"/>
      <c r="BB367" s="27">
        <v>45667</v>
      </c>
      <c r="BC367" s="97">
        <v>337</v>
      </c>
      <c r="BD367" s="27"/>
      <c r="BE367" s="16"/>
      <c r="BF367" s="28">
        <f t="shared" si="158"/>
        <v>337</v>
      </c>
      <c r="BG367" s="29"/>
      <c r="BH367" s="27"/>
      <c r="BI367" s="30">
        <f t="shared" si="159"/>
        <v>702</v>
      </c>
      <c r="BJ367" s="31">
        <f t="shared" si="160"/>
        <v>46022</v>
      </c>
      <c r="BK367" s="27">
        <v>45667</v>
      </c>
      <c r="BL367" s="16" t="s">
        <v>3134</v>
      </c>
      <c r="BM367" s="27"/>
      <c r="BN367" s="16"/>
      <c r="BO367" s="27"/>
      <c r="BP367" s="16"/>
      <c r="BQ367" s="27"/>
      <c r="BR367" s="24"/>
      <c r="BS367" s="24"/>
      <c r="BT367" s="32"/>
      <c r="BU367" s="27"/>
      <c r="BV367" s="24"/>
      <c r="BW367" s="24"/>
      <c r="BX367" s="16"/>
      <c r="BY367" s="27"/>
      <c r="BZ367" s="24"/>
      <c r="CA367" s="24"/>
      <c r="CB367" s="16"/>
      <c r="CC367" s="49">
        <f t="shared" si="161"/>
        <v>0</v>
      </c>
      <c r="CD367" s="24"/>
      <c r="CE367" s="49" t="str">
        <f>IFERROR(IF(Y367=0,(W367+CC367)-CD367,IF(Y367&gt;0,(Y367+CC367)-CD367)),"")</f>
        <v/>
      </c>
      <c r="CF367" s="138">
        <v>569351182.61000001</v>
      </c>
      <c r="CG367" s="49" t="str">
        <f t="shared" ca="1" si="162"/>
        <v/>
      </c>
      <c r="CH367" s="33">
        <f t="shared" ca="1" si="163"/>
        <v>0.89739884393063585</v>
      </c>
      <c r="CI367" s="33">
        <f t="shared" ca="1" si="167"/>
        <v>0.89739884393063585</v>
      </c>
      <c r="CJ367" s="36" t="str">
        <f t="shared" ca="1" si="164"/>
        <v/>
      </c>
      <c r="CK367" s="34" t="str">
        <f t="shared" si="165"/>
        <v/>
      </c>
      <c r="CL367" s="21"/>
      <c r="CM367" s="35" t="str">
        <f t="shared" ca="1" si="166"/>
        <v>VIGENTE</v>
      </c>
      <c r="CN367" s="26"/>
      <c r="CP367" s="83" t="s">
        <v>1424</v>
      </c>
      <c r="CS367" s="110"/>
    </row>
    <row r="368" spans="1:97" ht="24.75" customHeight="1">
      <c r="A368" s="48" t="s">
        <v>3135</v>
      </c>
      <c r="B368" s="77" t="s">
        <v>3136</v>
      </c>
      <c r="C368" s="17" t="s">
        <v>104</v>
      </c>
      <c r="D368" s="18" t="s">
        <v>3137</v>
      </c>
      <c r="E368" s="17" t="s">
        <v>106</v>
      </c>
      <c r="F368" s="17" t="s">
        <v>107</v>
      </c>
      <c r="G368" s="17" t="s">
        <v>108</v>
      </c>
      <c r="H368" s="78">
        <v>8643503</v>
      </c>
      <c r="I368" s="74" t="s">
        <v>3138</v>
      </c>
      <c r="J368" s="16"/>
      <c r="K368" s="16"/>
      <c r="L368" s="20" t="s">
        <v>2851</v>
      </c>
      <c r="M368" s="16" t="s">
        <v>111</v>
      </c>
      <c r="N368" s="115">
        <v>45320</v>
      </c>
      <c r="O368" s="155">
        <v>45323</v>
      </c>
      <c r="P368" s="115">
        <v>45656</v>
      </c>
      <c r="Q368" s="23">
        <f t="shared" si="144"/>
        <v>333</v>
      </c>
      <c r="R368" s="17" t="s">
        <v>242</v>
      </c>
      <c r="S368" s="117" t="s">
        <v>3139</v>
      </c>
      <c r="T368" s="16" t="s">
        <v>1128</v>
      </c>
      <c r="U368" s="24">
        <v>72320000</v>
      </c>
      <c r="V368" s="116" t="s">
        <v>815</v>
      </c>
      <c r="W368" s="227">
        <v>72320000</v>
      </c>
      <c r="X368" s="24">
        <v>6400000</v>
      </c>
      <c r="Y368" s="24"/>
      <c r="Z368" s="24"/>
      <c r="AA368" s="17" t="s">
        <v>116</v>
      </c>
      <c r="AB368" s="23" t="str">
        <f>IFERROR(VLOOKUP(AA368,Listas!$A$1:$C$14,2,FALSE),"")</f>
        <v>FREDY CÉSPEDES VILLA</v>
      </c>
      <c r="AC368" s="23">
        <f>IFERROR(VLOOKUP(AA368,Listas!$A$1:$C$14,3,FALSE),"")</f>
        <v>93363483</v>
      </c>
      <c r="AD368" s="17" t="s">
        <v>816</v>
      </c>
      <c r="AE368" s="17" t="s">
        <v>817</v>
      </c>
      <c r="AF368" s="23" t="str">
        <f>IFERROR(VLOOKUP(AE368,Listas!$AD$1:$AF$65,2,FALSE),"")</f>
        <v>JOSÉ EDUARDO PARADA JIMÉNEZ</v>
      </c>
      <c r="AG368" s="23">
        <f>IFERROR(VLOOKUP(AE368,Listas!$AD$1:$AF$65,3,FALSE),"")</f>
        <v>79434805</v>
      </c>
      <c r="AH368" s="17" t="s">
        <v>118</v>
      </c>
      <c r="AI368" s="65" t="s">
        <v>3140</v>
      </c>
      <c r="AJ368" s="25" t="s">
        <v>119</v>
      </c>
      <c r="AK368" s="26" t="s">
        <v>120</v>
      </c>
      <c r="AL368" s="26" t="s">
        <v>120</v>
      </c>
      <c r="AM368" s="90" t="s">
        <v>119</v>
      </c>
      <c r="AN368" s="105">
        <v>28290</v>
      </c>
      <c r="AO368" s="91">
        <f t="shared" ca="1" si="145"/>
        <v>48</v>
      </c>
      <c r="AP368" s="26" t="s">
        <v>121</v>
      </c>
      <c r="AQ368" s="26" t="s">
        <v>819</v>
      </c>
      <c r="AR368" s="89"/>
      <c r="AS368" s="27"/>
      <c r="AT368" s="16"/>
      <c r="AU368" s="27"/>
      <c r="AV368" s="86"/>
      <c r="AW368" s="27"/>
      <c r="AX368" s="27"/>
      <c r="AY368" s="27"/>
      <c r="AZ368" s="27"/>
      <c r="BA368" s="27"/>
      <c r="BB368" s="27"/>
      <c r="BC368" s="97"/>
      <c r="BD368" s="27"/>
      <c r="BE368" s="16"/>
      <c r="BF368" s="28">
        <f t="shared" si="158"/>
        <v>0</v>
      </c>
      <c r="BG368" s="29"/>
      <c r="BH368" s="27"/>
      <c r="BI368" s="30">
        <f t="shared" si="159"/>
        <v>333</v>
      </c>
      <c r="BJ368" s="31">
        <f t="shared" si="160"/>
        <v>45656</v>
      </c>
      <c r="BK368" s="27"/>
      <c r="BL368" s="16"/>
      <c r="BM368" s="27"/>
      <c r="BN368" s="16"/>
      <c r="BO368" s="27"/>
      <c r="BP368" s="16"/>
      <c r="BQ368" s="27"/>
      <c r="BR368" s="24"/>
      <c r="BS368" s="24"/>
      <c r="BT368" s="32"/>
      <c r="BU368" s="27"/>
      <c r="BV368" s="24"/>
      <c r="BW368" s="24"/>
      <c r="BX368" s="16"/>
      <c r="BY368" s="27"/>
      <c r="BZ368" s="24"/>
      <c r="CA368" s="24"/>
      <c r="CB368" s="16"/>
      <c r="CC368" s="49">
        <f t="shared" si="161"/>
        <v>0</v>
      </c>
      <c r="CD368" s="24"/>
      <c r="CE368" s="49">
        <f t="shared" ref="CE368:CE385" si="168">IF(Y368=0,(W368+CC368)-CD368,IF(Y368&gt;0,(Y368+CC368)-CD368))</f>
        <v>72320000</v>
      </c>
      <c r="CF368" s="50"/>
      <c r="CG368" s="49">
        <f t="shared" ca="1" si="162"/>
        <v>72320000</v>
      </c>
      <c r="CH368" s="33">
        <f t="shared" ca="1" si="163"/>
        <v>1</v>
      </c>
      <c r="CI368" s="33">
        <f t="shared" ca="1" si="167"/>
        <v>1</v>
      </c>
      <c r="CJ368" s="36">
        <f t="shared" ca="1" si="164"/>
        <v>100</v>
      </c>
      <c r="CK368" s="34">
        <f t="shared" si="165"/>
        <v>0</v>
      </c>
      <c r="CL368" s="21"/>
      <c r="CM368" s="35" t="str">
        <f t="shared" ca="1" si="166"/>
        <v>TERMINADO</v>
      </c>
      <c r="CN368" s="82"/>
      <c r="CO368" s="145" t="s">
        <v>3141</v>
      </c>
      <c r="CP368" s="26" t="s">
        <v>142</v>
      </c>
    </row>
    <row r="369" spans="1:94" ht="24.75" customHeight="1">
      <c r="A369" s="48" t="s">
        <v>3142</v>
      </c>
      <c r="B369" s="77" t="s">
        <v>3143</v>
      </c>
      <c r="C369" s="17" t="s">
        <v>104</v>
      </c>
      <c r="D369" s="18" t="s">
        <v>3144</v>
      </c>
      <c r="E369" s="17" t="s">
        <v>106</v>
      </c>
      <c r="F369" s="17" t="s">
        <v>107</v>
      </c>
      <c r="G369" s="17" t="s">
        <v>108</v>
      </c>
      <c r="H369" s="78">
        <v>1026562633</v>
      </c>
      <c r="I369" s="74" t="s">
        <v>3145</v>
      </c>
      <c r="J369" s="16"/>
      <c r="K369" s="16"/>
      <c r="L369" s="20" t="s">
        <v>874</v>
      </c>
      <c r="M369" s="16" t="s">
        <v>111</v>
      </c>
      <c r="N369" s="115">
        <v>45320</v>
      </c>
      <c r="O369" s="143">
        <v>45320</v>
      </c>
      <c r="P369" s="115">
        <v>45656</v>
      </c>
      <c r="Q369" s="23">
        <f t="shared" si="144"/>
        <v>336</v>
      </c>
      <c r="R369" s="17" t="s">
        <v>242</v>
      </c>
      <c r="S369" s="117" t="s">
        <v>3146</v>
      </c>
      <c r="T369" s="16" t="s">
        <v>1128</v>
      </c>
      <c r="U369" s="24">
        <v>70826667</v>
      </c>
      <c r="V369" s="116" t="s">
        <v>815</v>
      </c>
      <c r="W369" s="227">
        <v>70826667</v>
      </c>
      <c r="X369" s="24">
        <v>6400000</v>
      </c>
      <c r="Y369" s="24"/>
      <c r="Z369" s="24"/>
      <c r="AA369" s="17" t="s">
        <v>116</v>
      </c>
      <c r="AB369" s="23" t="str">
        <f>IFERROR(VLOOKUP(AA369,Listas!$A$1:$C$14,2,FALSE),"")</f>
        <v>FREDY CÉSPEDES VILLA</v>
      </c>
      <c r="AC369" s="23">
        <f>IFERROR(VLOOKUP(AA369,Listas!$A$1:$C$14,3,FALSE),"")</f>
        <v>93363483</v>
      </c>
      <c r="AD369" s="17" t="s">
        <v>816</v>
      </c>
      <c r="AE369" s="17" t="s">
        <v>817</v>
      </c>
      <c r="AF369" s="23" t="str">
        <f>IFERROR(VLOOKUP(AE369,Listas!$AD$1:$AF$65,2,FALSE),"")</f>
        <v>JOSÉ EDUARDO PARADA JIMÉNEZ</v>
      </c>
      <c r="AG369" s="23">
        <f>IFERROR(VLOOKUP(AE369,Listas!$AD$1:$AF$65,3,FALSE),"")</f>
        <v>79434805</v>
      </c>
      <c r="AH369" s="17" t="s">
        <v>118</v>
      </c>
      <c r="AI369" s="65" t="s">
        <v>3147</v>
      </c>
      <c r="AJ369" s="25" t="s">
        <v>119</v>
      </c>
      <c r="AK369" s="26" t="s">
        <v>120</v>
      </c>
      <c r="AL369" s="26" t="s">
        <v>120</v>
      </c>
      <c r="AM369" s="90" t="s">
        <v>119</v>
      </c>
      <c r="AN369" s="105">
        <v>32889</v>
      </c>
      <c r="AO369" s="91">
        <f t="shared" ca="1" si="145"/>
        <v>35</v>
      </c>
      <c r="AP369" s="26" t="s">
        <v>121</v>
      </c>
      <c r="AQ369" s="26" t="s">
        <v>819</v>
      </c>
      <c r="AR369" s="89"/>
      <c r="AS369" s="27"/>
      <c r="AT369" s="16"/>
      <c r="AU369" s="27"/>
      <c r="AV369" s="86"/>
      <c r="AW369" s="27"/>
      <c r="AX369" s="27"/>
      <c r="AY369" s="27"/>
      <c r="AZ369" s="27"/>
      <c r="BA369" s="27"/>
      <c r="BB369" s="27"/>
      <c r="BC369" s="97"/>
      <c r="BD369" s="27"/>
      <c r="BE369" s="16"/>
      <c r="BF369" s="28">
        <f t="shared" si="158"/>
        <v>0</v>
      </c>
      <c r="BG369" s="29"/>
      <c r="BH369" s="27"/>
      <c r="BI369" s="30">
        <f t="shared" si="159"/>
        <v>336</v>
      </c>
      <c r="BJ369" s="31">
        <f t="shared" si="160"/>
        <v>45656</v>
      </c>
      <c r="BK369" s="27"/>
      <c r="BL369" s="16"/>
      <c r="BM369" s="27"/>
      <c r="BN369" s="16"/>
      <c r="BO369" s="27"/>
      <c r="BP369" s="16"/>
      <c r="BQ369" s="27"/>
      <c r="BR369" s="24"/>
      <c r="BS369" s="24"/>
      <c r="BT369" s="32"/>
      <c r="BU369" s="27"/>
      <c r="BV369" s="24"/>
      <c r="BW369" s="24"/>
      <c r="BX369" s="16"/>
      <c r="BY369" s="27"/>
      <c r="BZ369" s="24"/>
      <c r="CA369" s="24"/>
      <c r="CB369" s="16"/>
      <c r="CC369" s="49">
        <f t="shared" si="161"/>
        <v>0</v>
      </c>
      <c r="CD369" s="24"/>
      <c r="CE369" s="49">
        <f t="shared" si="168"/>
        <v>70826667</v>
      </c>
      <c r="CF369" s="50"/>
      <c r="CG369" s="49">
        <f t="shared" ca="1" si="162"/>
        <v>70826667</v>
      </c>
      <c r="CH369" s="33">
        <f t="shared" ca="1" si="163"/>
        <v>1</v>
      </c>
      <c r="CI369" s="33">
        <f t="shared" ca="1" si="167"/>
        <v>1</v>
      </c>
      <c r="CJ369" s="36">
        <f t="shared" ca="1" si="164"/>
        <v>100</v>
      </c>
      <c r="CK369" s="34">
        <f t="shared" si="165"/>
        <v>0</v>
      </c>
      <c r="CL369" s="21"/>
      <c r="CM369" s="35" t="str">
        <f t="shared" ca="1" si="166"/>
        <v>TERMINADO</v>
      </c>
      <c r="CN369" s="82"/>
      <c r="CO369" s="145" t="s">
        <v>3148</v>
      </c>
      <c r="CP369" s="26" t="s">
        <v>142</v>
      </c>
    </row>
    <row r="370" spans="1:94" ht="24.75" customHeight="1">
      <c r="A370" s="48" t="s">
        <v>3149</v>
      </c>
      <c r="B370" s="77" t="s">
        <v>3150</v>
      </c>
      <c r="C370" s="17" t="s">
        <v>104</v>
      </c>
      <c r="D370" s="18" t="s">
        <v>3151</v>
      </c>
      <c r="E370" s="17" t="s">
        <v>106</v>
      </c>
      <c r="F370" s="17" t="s">
        <v>107</v>
      </c>
      <c r="G370" s="17" t="s">
        <v>108</v>
      </c>
      <c r="H370" s="78">
        <v>1032412293</v>
      </c>
      <c r="I370" s="74" t="s">
        <v>3152</v>
      </c>
      <c r="J370" s="16"/>
      <c r="K370" s="16"/>
      <c r="L370" s="20" t="s">
        <v>2851</v>
      </c>
      <c r="M370" s="16" t="s">
        <v>111</v>
      </c>
      <c r="N370" s="115">
        <v>45320</v>
      </c>
      <c r="O370" s="143">
        <v>45322</v>
      </c>
      <c r="P370" s="115">
        <v>45656</v>
      </c>
      <c r="Q370" s="23">
        <f t="shared" si="144"/>
        <v>334</v>
      </c>
      <c r="R370" s="17" t="s">
        <v>242</v>
      </c>
      <c r="S370" s="117" t="s">
        <v>2866</v>
      </c>
      <c r="T370" s="16" t="s">
        <v>1128</v>
      </c>
      <c r="U370" s="24">
        <v>70826667</v>
      </c>
      <c r="V370" s="116" t="s">
        <v>815</v>
      </c>
      <c r="W370" s="227">
        <v>70826667</v>
      </c>
      <c r="X370" s="24">
        <v>6400000</v>
      </c>
      <c r="Y370" s="24"/>
      <c r="Z370" s="24"/>
      <c r="AA370" s="17" t="s">
        <v>116</v>
      </c>
      <c r="AB370" s="23" t="str">
        <f>IFERROR(VLOOKUP(AA370,Listas!$A$1:$C$14,2,FALSE),"")</f>
        <v>FREDY CÉSPEDES VILLA</v>
      </c>
      <c r="AC370" s="23">
        <f>IFERROR(VLOOKUP(AA370,Listas!$A$1:$C$14,3,FALSE),"")</f>
        <v>93363483</v>
      </c>
      <c r="AD370" s="17" t="s">
        <v>816</v>
      </c>
      <c r="AE370" s="17" t="s">
        <v>817</v>
      </c>
      <c r="AF370" s="23" t="str">
        <f>IFERROR(VLOOKUP(AE370,Listas!$AD$1:$AF$65,2,FALSE),"")</f>
        <v>JOSÉ EDUARDO PARADA JIMÉNEZ</v>
      </c>
      <c r="AG370" s="23">
        <f>IFERROR(VLOOKUP(AE370,Listas!$AD$1:$AF$65,3,FALSE),"")</f>
        <v>79434805</v>
      </c>
      <c r="AH370" s="17" t="s">
        <v>118</v>
      </c>
      <c r="AI370" s="65" t="s">
        <v>3147</v>
      </c>
      <c r="AJ370" s="25" t="s">
        <v>119</v>
      </c>
      <c r="AK370" s="26" t="s">
        <v>120</v>
      </c>
      <c r="AL370" s="26" t="s">
        <v>120</v>
      </c>
      <c r="AM370" s="90" t="s">
        <v>119</v>
      </c>
      <c r="AN370" s="105">
        <v>32251</v>
      </c>
      <c r="AO370" s="91">
        <f t="shared" ca="1" si="145"/>
        <v>37</v>
      </c>
      <c r="AP370" s="26" t="s">
        <v>121</v>
      </c>
      <c r="AQ370" s="26" t="s">
        <v>819</v>
      </c>
      <c r="AR370" s="89"/>
      <c r="AS370" s="27"/>
      <c r="AT370" s="16"/>
      <c r="AU370" s="27"/>
      <c r="AV370" s="86"/>
      <c r="AW370" s="27"/>
      <c r="AX370" s="27"/>
      <c r="AY370" s="27"/>
      <c r="AZ370" s="27"/>
      <c r="BA370" s="27"/>
      <c r="BB370" s="27"/>
      <c r="BC370" s="97"/>
      <c r="BD370" s="27"/>
      <c r="BE370" s="16"/>
      <c r="BF370" s="28">
        <f t="shared" si="158"/>
        <v>0</v>
      </c>
      <c r="BG370" s="29"/>
      <c r="BH370" s="27"/>
      <c r="BI370" s="30">
        <f t="shared" si="159"/>
        <v>334</v>
      </c>
      <c r="BJ370" s="31">
        <f t="shared" si="160"/>
        <v>45656</v>
      </c>
      <c r="BK370" s="27"/>
      <c r="BL370" s="16"/>
      <c r="BM370" s="27"/>
      <c r="BN370" s="16"/>
      <c r="BO370" s="27"/>
      <c r="BP370" s="16"/>
      <c r="BQ370" s="27"/>
      <c r="BR370" s="24"/>
      <c r="BS370" s="24"/>
      <c r="BT370" s="32"/>
      <c r="BU370" s="27"/>
      <c r="BV370" s="24"/>
      <c r="BW370" s="24"/>
      <c r="BX370" s="16"/>
      <c r="BY370" s="27"/>
      <c r="BZ370" s="24"/>
      <c r="CA370" s="24"/>
      <c r="CB370" s="16"/>
      <c r="CC370" s="49">
        <f t="shared" si="161"/>
        <v>0</v>
      </c>
      <c r="CD370" s="24"/>
      <c r="CE370" s="49">
        <f t="shared" si="168"/>
        <v>70826667</v>
      </c>
      <c r="CF370" s="50"/>
      <c r="CG370" s="49">
        <f t="shared" ca="1" si="162"/>
        <v>70826667</v>
      </c>
      <c r="CH370" s="33">
        <f t="shared" ca="1" si="163"/>
        <v>1</v>
      </c>
      <c r="CI370" s="33">
        <f t="shared" ca="1" si="167"/>
        <v>1</v>
      </c>
      <c r="CJ370" s="36">
        <f t="shared" ca="1" si="164"/>
        <v>100</v>
      </c>
      <c r="CK370" s="34">
        <f t="shared" si="165"/>
        <v>0</v>
      </c>
      <c r="CL370" s="21"/>
      <c r="CM370" s="35" t="str">
        <f t="shared" ca="1" si="166"/>
        <v>TERMINADO</v>
      </c>
      <c r="CN370" s="82"/>
      <c r="CO370" s="145" t="s">
        <v>3153</v>
      </c>
      <c r="CP370" s="26" t="s">
        <v>123</v>
      </c>
    </row>
    <row r="371" spans="1:94" ht="24.75" customHeight="1">
      <c r="A371" s="48" t="s">
        <v>3154</v>
      </c>
      <c r="B371" s="77" t="s">
        <v>3155</v>
      </c>
      <c r="C371" s="17" t="s">
        <v>104</v>
      </c>
      <c r="D371" s="18" t="s">
        <v>3156</v>
      </c>
      <c r="E371" s="17" t="s">
        <v>106</v>
      </c>
      <c r="F371" s="17" t="s">
        <v>107</v>
      </c>
      <c r="G371" s="17" t="s">
        <v>108</v>
      </c>
      <c r="H371" s="78">
        <v>1014187366</v>
      </c>
      <c r="I371" s="74" t="s">
        <v>3157</v>
      </c>
      <c r="J371" s="16"/>
      <c r="K371" s="16"/>
      <c r="L371" s="20" t="s">
        <v>2851</v>
      </c>
      <c r="M371" s="16" t="s">
        <v>111</v>
      </c>
      <c r="N371" s="115">
        <v>45320</v>
      </c>
      <c r="O371" s="143">
        <v>45322</v>
      </c>
      <c r="P371" s="115">
        <v>45656</v>
      </c>
      <c r="Q371" s="23">
        <f t="shared" ref="Q371:Q434" si="169">P371-O371</f>
        <v>334</v>
      </c>
      <c r="R371" s="17" t="s">
        <v>242</v>
      </c>
      <c r="S371" s="117" t="s">
        <v>3158</v>
      </c>
      <c r="T371" s="16" t="s">
        <v>1128</v>
      </c>
      <c r="U371" s="24">
        <v>71680000</v>
      </c>
      <c r="V371" s="116" t="s">
        <v>815</v>
      </c>
      <c r="W371" s="227">
        <v>71680000</v>
      </c>
      <c r="X371" s="24">
        <v>6400000</v>
      </c>
      <c r="Y371" s="24"/>
      <c r="Z371" s="24"/>
      <c r="AA371" s="17" t="s">
        <v>116</v>
      </c>
      <c r="AB371" s="23" t="str">
        <f>IFERROR(VLOOKUP(AA371,Listas!$A$1:$C$14,2,FALSE),"")</f>
        <v>FREDY CÉSPEDES VILLA</v>
      </c>
      <c r="AC371" s="23">
        <f>IFERROR(VLOOKUP(AA371,Listas!$A$1:$C$14,3,FALSE),"")</f>
        <v>93363483</v>
      </c>
      <c r="AD371" s="17" t="s">
        <v>816</v>
      </c>
      <c r="AE371" s="17" t="s">
        <v>817</v>
      </c>
      <c r="AF371" s="23" t="str">
        <f>IFERROR(VLOOKUP(AE371,Listas!$AD$1:$AF$65,2,FALSE),"")</f>
        <v>JOSÉ EDUARDO PARADA JIMÉNEZ</v>
      </c>
      <c r="AG371" s="23">
        <f>IFERROR(VLOOKUP(AE371,Listas!$AD$1:$AF$65,3,FALSE),"")</f>
        <v>79434805</v>
      </c>
      <c r="AH371" s="17" t="s">
        <v>118</v>
      </c>
      <c r="AI371" s="65" t="s">
        <v>3147</v>
      </c>
      <c r="AJ371" s="25" t="s">
        <v>119</v>
      </c>
      <c r="AK371" s="26" t="s">
        <v>120</v>
      </c>
      <c r="AL371" s="26" t="s">
        <v>120</v>
      </c>
      <c r="AM371" s="90" t="s">
        <v>119</v>
      </c>
      <c r="AN371" s="105">
        <v>32032</v>
      </c>
      <c r="AO371" s="91">
        <f t="shared" ref="AO371:AO434" ca="1" si="170">IF(YEAR(TODAY())-YEAR(AN371)&gt;100," ",YEAR(TODAY())-YEAR(AN371))</f>
        <v>38</v>
      </c>
      <c r="AP371" s="26" t="s">
        <v>121</v>
      </c>
      <c r="AQ371" s="26" t="s">
        <v>819</v>
      </c>
      <c r="AR371" s="89"/>
      <c r="AS371" s="27"/>
      <c r="AT371" s="16"/>
      <c r="AU371" s="27"/>
      <c r="AV371" s="86"/>
      <c r="AW371" s="27"/>
      <c r="AX371" s="27"/>
      <c r="AY371" s="27"/>
      <c r="AZ371" s="27"/>
      <c r="BA371" s="27"/>
      <c r="BB371" s="27"/>
      <c r="BC371" s="97"/>
      <c r="BD371" s="27"/>
      <c r="BE371" s="16"/>
      <c r="BF371" s="28">
        <f t="shared" si="158"/>
        <v>0</v>
      </c>
      <c r="BG371" s="29"/>
      <c r="BH371" s="27"/>
      <c r="BI371" s="30">
        <f t="shared" si="159"/>
        <v>334</v>
      </c>
      <c r="BJ371" s="31">
        <f t="shared" si="160"/>
        <v>45656</v>
      </c>
      <c r="BK371" s="27"/>
      <c r="BL371" s="16"/>
      <c r="BM371" s="27"/>
      <c r="BN371" s="16"/>
      <c r="BO371" s="27"/>
      <c r="BP371" s="16"/>
      <c r="BQ371" s="27"/>
      <c r="BR371" s="24"/>
      <c r="BS371" s="24"/>
      <c r="BT371" s="32"/>
      <c r="BU371" s="27"/>
      <c r="BV371" s="24"/>
      <c r="BW371" s="24"/>
      <c r="BX371" s="16"/>
      <c r="BY371" s="27"/>
      <c r="BZ371" s="24"/>
      <c r="CA371" s="24"/>
      <c r="CB371" s="16"/>
      <c r="CC371" s="49">
        <f t="shared" si="161"/>
        <v>0</v>
      </c>
      <c r="CD371" s="24"/>
      <c r="CE371" s="49">
        <f t="shared" si="168"/>
        <v>71680000</v>
      </c>
      <c r="CF371" s="50"/>
      <c r="CG371" s="49">
        <f t="shared" ca="1" si="162"/>
        <v>71680000</v>
      </c>
      <c r="CH371" s="33">
        <f t="shared" ca="1" si="163"/>
        <v>1</v>
      </c>
      <c r="CI371" s="33">
        <f t="shared" ca="1" si="167"/>
        <v>1</v>
      </c>
      <c r="CJ371" s="36">
        <f t="shared" ca="1" si="164"/>
        <v>100</v>
      </c>
      <c r="CK371" s="34">
        <f t="shared" si="165"/>
        <v>0</v>
      </c>
      <c r="CL371" s="21"/>
      <c r="CM371" s="35" t="str">
        <f t="shared" ca="1" si="166"/>
        <v>TERMINADO</v>
      </c>
      <c r="CN371" s="82"/>
      <c r="CO371" s="145" t="s">
        <v>3159</v>
      </c>
      <c r="CP371" s="26" t="s">
        <v>142</v>
      </c>
    </row>
    <row r="372" spans="1:94" ht="24.75" customHeight="1">
      <c r="A372" s="48" t="s">
        <v>3160</v>
      </c>
      <c r="B372" s="77" t="s">
        <v>3161</v>
      </c>
      <c r="C372" s="17" t="s">
        <v>104</v>
      </c>
      <c r="D372" s="18" t="s">
        <v>3162</v>
      </c>
      <c r="E372" s="17" t="s">
        <v>106</v>
      </c>
      <c r="F372" s="17" t="s">
        <v>107</v>
      </c>
      <c r="G372" s="17" t="s">
        <v>108</v>
      </c>
      <c r="H372" s="78">
        <v>1075220703</v>
      </c>
      <c r="I372" s="74" t="s">
        <v>3163</v>
      </c>
      <c r="J372" s="16"/>
      <c r="K372" s="16"/>
      <c r="L372" s="20" t="s">
        <v>2851</v>
      </c>
      <c r="M372" s="16" t="s">
        <v>111</v>
      </c>
      <c r="N372" s="115">
        <v>45320</v>
      </c>
      <c r="O372" s="143">
        <v>45322</v>
      </c>
      <c r="P372" s="115">
        <v>45656</v>
      </c>
      <c r="Q372" s="23">
        <f t="shared" si="169"/>
        <v>334</v>
      </c>
      <c r="R372" s="17" t="s">
        <v>242</v>
      </c>
      <c r="S372" s="117" t="s">
        <v>3164</v>
      </c>
      <c r="T372" s="16" t="s">
        <v>1128</v>
      </c>
      <c r="U372" s="24">
        <v>71466667</v>
      </c>
      <c r="V372" s="116" t="s">
        <v>815</v>
      </c>
      <c r="W372" s="227">
        <v>71466667</v>
      </c>
      <c r="X372" s="24">
        <v>6400000</v>
      </c>
      <c r="Y372" s="24"/>
      <c r="Z372" s="24"/>
      <c r="AA372" s="17" t="s">
        <v>116</v>
      </c>
      <c r="AB372" s="23" t="str">
        <f>IFERROR(VLOOKUP(AA372,Listas!$A$1:$C$14,2,FALSE),"")</f>
        <v>FREDY CÉSPEDES VILLA</v>
      </c>
      <c r="AC372" s="23">
        <f>IFERROR(VLOOKUP(AA372,Listas!$A$1:$C$14,3,FALSE),"")</f>
        <v>93363483</v>
      </c>
      <c r="AD372" s="17" t="s">
        <v>816</v>
      </c>
      <c r="AE372" s="17" t="s">
        <v>817</v>
      </c>
      <c r="AF372" s="23" t="str">
        <f>IFERROR(VLOOKUP(AE372,Listas!$AD$1:$AF$65,2,FALSE),"")</f>
        <v>JOSÉ EDUARDO PARADA JIMÉNEZ</v>
      </c>
      <c r="AG372" s="23">
        <f>IFERROR(VLOOKUP(AE372,Listas!$AD$1:$AF$65,3,FALSE),"")</f>
        <v>79434805</v>
      </c>
      <c r="AH372" s="17" t="s">
        <v>118</v>
      </c>
      <c r="AI372" s="65" t="s">
        <v>3147</v>
      </c>
      <c r="AJ372" s="25" t="s">
        <v>119</v>
      </c>
      <c r="AK372" s="26" t="s">
        <v>120</v>
      </c>
      <c r="AL372" s="26" t="s">
        <v>120</v>
      </c>
      <c r="AM372" s="90" t="s">
        <v>119</v>
      </c>
      <c r="AN372" s="105">
        <v>31912</v>
      </c>
      <c r="AO372" s="91">
        <f t="shared" ca="1" si="170"/>
        <v>38</v>
      </c>
      <c r="AP372" s="26" t="s">
        <v>121</v>
      </c>
      <c r="AQ372" s="26" t="s">
        <v>819</v>
      </c>
      <c r="AR372" s="89"/>
      <c r="AS372" s="27"/>
      <c r="AT372" s="16"/>
      <c r="AU372" s="27"/>
      <c r="AV372" s="86"/>
      <c r="AW372" s="27"/>
      <c r="AX372" s="27"/>
      <c r="AY372" s="27"/>
      <c r="AZ372" s="27"/>
      <c r="BA372" s="27"/>
      <c r="BB372" s="27"/>
      <c r="BC372" s="97"/>
      <c r="BD372" s="27"/>
      <c r="BE372" s="16"/>
      <c r="BF372" s="28">
        <f t="shared" si="158"/>
        <v>0</v>
      </c>
      <c r="BG372" s="29"/>
      <c r="BH372" s="27"/>
      <c r="BI372" s="30">
        <f t="shared" si="159"/>
        <v>334</v>
      </c>
      <c r="BJ372" s="31">
        <f t="shared" si="160"/>
        <v>45656</v>
      </c>
      <c r="BK372" s="27"/>
      <c r="BL372" s="16"/>
      <c r="BM372" s="27"/>
      <c r="BN372" s="16"/>
      <c r="BO372" s="27"/>
      <c r="BP372" s="16"/>
      <c r="BQ372" s="27"/>
      <c r="BR372" s="24"/>
      <c r="BS372" s="24"/>
      <c r="BT372" s="32"/>
      <c r="BU372" s="27"/>
      <c r="BV372" s="24"/>
      <c r="BW372" s="24"/>
      <c r="BX372" s="16"/>
      <c r="BY372" s="27"/>
      <c r="BZ372" s="24"/>
      <c r="CA372" s="24"/>
      <c r="CB372" s="16"/>
      <c r="CC372" s="49">
        <f t="shared" si="161"/>
        <v>0</v>
      </c>
      <c r="CD372" s="24"/>
      <c r="CE372" s="49">
        <f t="shared" si="168"/>
        <v>71466667</v>
      </c>
      <c r="CF372" s="50"/>
      <c r="CG372" s="49">
        <f t="shared" ca="1" si="162"/>
        <v>71466667</v>
      </c>
      <c r="CH372" s="33">
        <f t="shared" ca="1" si="163"/>
        <v>1</v>
      </c>
      <c r="CI372" s="33">
        <f t="shared" ca="1" si="167"/>
        <v>1</v>
      </c>
      <c r="CJ372" s="36">
        <f t="shared" ca="1" si="164"/>
        <v>100</v>
      </c>
      <c r="CK372" s="34">
        <f t="shared" si="165"/>
        <v>0</v>
      </c>
      <c r="CL372" s="21"/>
      <c r="CM372" s="35" t="str">
        <f t="shared" ca="1" si="166"/>
        <v>TERMINADO</v>
      </c>
      <c r="CN372" s="82"/>
      <c r="CO372" s="145" t="s">
        <v>3165</v>
      </c>
      <c r="CP372" s="26" t="s">
        <v>123</v>
      </c>
    </row>
    <row r="373" spans="1:94" ht="24.75" customHeight="1">
      <c r="A373" s="48" t="s">
        <v>3166</v>
      </c>
      <c r="B373" s="77" t="s">
        <v>3167</v>
      </c>
      <c r="C373" s="17" t="s">
        <v>104</v>
      </c>
      <c r="D373" s="18" t="s">
        <v>3168</v>
      </c>
      <c r="E373" s="17" t="s">
        <v>106</v>
      </c>
      <c r="F373" s="17" t="s">
        <v>107</v>
      </c>
      <c r="G373" s="17" t="s">
        <v>108</v>
      </c>
      <c r="H373" s="78">
        <v>79625329</v>
      </c>
      <c r="I373" s="74" t="s">
        <v>3169</v>
      </c>
      <c r="J373" s="16"/>
      <c r="K373" s="16"/>
      <c r="L373" s="20" t="s">
        <v>3170</v>
      </c>
      <c r="M373" s="16" t="s">
        <v>111</v>
      </c>
      <c r="N373" s="115">
        <v>45320</v>
      </c>
      <c r="O373" s="22">
        <v>45324</v>
      </c>
      <c r="P373" s="22">
        <v>45657</v>
      </c>
      <c r="Q373" s="23">
        <f t="shared" si="169"/>
        <v>333</v>
      </c>
      <c r="R373" s="17" t="s">
        <v>112</v>
      </c>
      <c r="S373" s="117" t="s">
        <v>3171</v>
      </c>
      <c r="T373" s="16" t="s">
        <v>3172</v>
      </c>
      <c r="U373" s="24">
        <v>188718768</v>
      </c>
      <c r="V373" s="116" t="s">
        <v>264</v>
      </c>
      <c r="W373" s="227">
        <v>188718768</v>
      </c>
      <c r="X373" s="24">
        <v>13215600</v>
      </c>
      <c r="Y373" s="24"/>
      <c r="Z373" s="24"/>
      <c r="AA373" s="17" t="s">
        <v>116</v>
      </c>
      <c r="AB373" s="23" t="str">
        <f>IFERROR(VLOOKUP(AA373,Listas!$A$1:$C$14,2,FALSE),"")</f>
        <v>FREDY CÉSPEDES VILLA</v>
      </c>
      <c r="AC373" s="23">
        <f>IFERROR(VLOOKUP(AA373,Listas!$A$1:$C$14,3,FALSE),"")</f>
        <v>93363483</v>
      </c>
      <c r="AD373" s="17" t="s">
        <v>217</v>
      </c>
      <c r="AE373" s="17" t="s">
        <v>265</v>
      </c>
      <c r="AF373" s="23" t="str">
        <f>IFERROR(VLOOKUP(AE373,Listas!$AD$1:$AF$65,2,FALSE),"")</f>
        <v>EDGAR ANTONIO GÓMEZ ÁLVAREZ</v>
      </c>
      <c r="AG373" s="23">
        <f>IFERROR(VLOOKUP(AE373,Listas!$AD$1:$AF$65,3,FALSE),"")</f>
        <v>2231755</v>
      </c>
      <c r="AH373" s="17" t="s">
        <v>118</v>
      </c>
      <c r="AI373" s="65" t="s">
        <v>3173</v>
      </c>
      <c r="AJ373" s="25" t="s">
        <v>119</v>
      </c>
      <c r="AK373" s="26" t="s">
        <v>120</v>
      </c>
      <c r="AL373" s="26" t="s">
        <v>120</v>
      </c>
      <c r="AM373" s="90" t="s">
        <v>119</v>
      </c>
      <c r="AN373" s="105">
        <v>26552</v>
      </c>
      <c r="AO373" s="91">
        <f t="shared" ca="1" si="170"/>
        <v>53</v>
      </c>
      <c r="AP373" s="26" t="s">
        <v>121</v>
      </c>
      <c r="AQ373" s="26" t="s">
        <v>220</v>
      </c>
      <c r="AR373" s="89"/>
      <c r="AS373" s="27"/>
      <c r="AT373" s="16"/>
      <c r="AU373" s="27"/>
      <c r="AV373" s="86"/>
      <c r="AW373" s="27"/>
      <c r="AX373" s="27"/>
      <c r="AY373" s="27"/>
      <c r="AZ373" s="27"/>
      <c r="BA373" s="27"/>
      <c r="BB373" s="27"/>
      <c r="BC373" s="97"/>
      <c r="BD373" s="27"/>
      <c r="BE373" s="16"/>
      <c r="BF373" s="28">
        <f t="shared" si="158"/>
        <v>0</v>
      </c>
      <c r="BG373" s="29"/>
      <c r="BH373" s="27"/>
      <c r="BI373" s="30">
        <f t="shared" si="159"/>
        <v>333</v>
      </c>
      <c r="BJ373" s="31">
        <f t="shared" si="160"/>
        <v>45657</v>
      </c>
      <c r="BK373" s="27"/>
      <c r="BL373" s="16"/>
      <c r="BM373" s="27"/>
      <c r="BN373" s="16"/>
      <c r="BO373" s="27"/>
      <c r="BP373" s="16"/>
      <c r="BQ373" s="27"/>
      <c r="BR373" s="24"/>
      <c r="BS373" s="24"/>
      <c r="BT373" s="32"/>
      <c r="BU373" s="27"/>
      <c r="BV373" s="24"/>
      <c r="BW373" s="24"/>
      <c r="BX373" s="16"/>
      <c r="BY373" s="27"/>
      <c r="BZ373" s="24"/>
      <c r="CA373" s="24"/>
      <c r="CB373" s="16"/>
      <c r="CC373" s="49">
        <f t="shared" si="161"/>
        <v>0</v>
      </c>
      <c r="CD373" s="24"/>
      <c r="CE373" s="49">
        <f t="shared" si="168"/>
        <v>188718768</v>
      </c>
      <c r="CF373" s="50">
        <v>7550000</v>
      </c>
      <c r="CG373" s="49">
        <f t="shared" ca="1" si="162"/>
        <v>188718768</v>
      </c>
      <c r="CH373" s="33">
        <f t="shared" ca="1" si="163"/>
        <v>1</v>
      </c>
      <c r="CI373" s="33">
        <f t="shared" ca="1" si="167"/>
        <v>1</v>
      </c>
      <c r="CJ373" s="36">
        <f t="shared" ca="1" si="164"/>
        <v>100</v>
      </c>
      <c r="CK373" s="34">
        <f t="shared" si="165"/>
        <v>4.0006619797348399</v>
      </c>
      <c r="CL373" s="21"/>
      <c r="CM373" s="35" t="str">
        <f t="shared" ca="1" si="166"/>
        <v>TERMINADO</v>
      </c>
      <c r="CN373" s="82"/>
      <c r="CO373" s="145" t="s">
        <v>3174</v>
      </c>
      <c r="CP373" s="26" t="s">
        <v>142</v>
      </c>
    </row>
    <row r="374" spans="1:94" ht="24.75" customHeight="1">
      <c r="A374" s="48" t="s">
        <v>3175</v>
      </c>
      <c r="B374" s="77" t="s">
        <v>3176</v>
      </c>
      <c r="C374" s="17" t="s">
        <v>104</v>
      </c>
      <c r="D374" s="18" t="s">
        <v>3177</v>
      </c>
      <c r="E374" s="17" t="s">
        <v>3178</v>
      </c>
      <c r="F374" s="17" t="s">
        <v>1426</v>
      </c>
      <c r="G374" s="17" t="s">
        <v>1427</v>
      </c>
      <c r="H374" s="78" t="s">
        <v>3179</v>
      </c>
      <c r="I374" s="74" t="s">
        <v>3180</v>
      </c>
      <c r="J374" s="16" t="s">
        <v>3181</v>
      </c>
      <c r="K374" s="16">
        <v>79718045</v>
      </c>
      <c r="L374" s="20" t="s">
        <v>3182</v>
      </c>
      <c r="M374" s="16" t="s">
        <v>111</v>
      </c>
      <c r="N374" s="115">
        <v>45320</v>
      </c>
      <c r="O374" s="115">
        <v>45320</v>
      </c>
      <c r="P374" s="115">
        <v>45656</v>
      </c>
      <c r="Q374" s="23">
        <f t="shared" si="169"/>
        <v>336</v>
      </c>
      <c r="R374" s="17" t="s">
        <v>242</v>
      </c>
      <c r="S374" s="117" t="s">
        <v>3183</v>
      </c>
      <c r="T374" s="16" t="s">
        <v>3184</v>
      </c>
      <c r="U374" s="24">
        <v>800000000</v>
      </c>
      <c r="V374" s="116" t="s">
        <v>3185</v>
      </c>
      <c r="W374" s="227">
        <v>700000000</v>
      </c>
      <c r="X374" s="24"/>
      <c r="Y374" s="24"/>
      <c r="Z374" s="24"/>
      <c r="AA374" s="17" t="s">
        <v>116</v>
      </c>
      <c r="AB374" s="23" t="str">
        <f>IFERROR(VLOOKUP(AA374,Listas!$A$1:$C$14,2,FALSE),"")</f>
        <v>FREDY CÉSPEDES VILLA</v>
      </c>
      <c r="AC374" s="23">
        <f>IFERROR(VLOOKUP(AA374,Listas!$A$1:$C$14,3,FALSE),"")</f>
        <v>93363483</v>
      </c>
      <c r="AD374" s="17" t="s">
        <v>607</v>
      </c>
      <c r="AE374" s="17" t="s">
        <v>1155</v>
      </c>
      <c r="AF374" s="23" t="str">
        <f>IFERROR(VLOOKUP(AE374,Listas!$AD$1:$AF$65,2,FALSE),"")</f>
        <v>MARÍA FRANCISCA CEPEDA QUINTERO</v>
      </c>
      <c r="AG374" s="23">
        <f>IFERROR(VLOOKUP(AE374,Listas!$AD$1:$AF$65,3,FALSE),"")</f>
        <v>53062608</v>
      </c>
      <c r="AH374" s="17" t="s">
        <v>3186</v>
      </c>
      <c r="AI374" s="65"/>
      <c r="AJ374" s="25" t="s">
        <v>1435</v>
      </c>
      <c r="AK374" s="26" t="s">
        <v>2071</v>
      </c>
      <c r="AL374" s="26" t="s">
        <v>2071</v>
      </c>
      <c r="AM374" s="90" t="s">
        <v>1435</v>
      </c>
      <c r="AN374" s="105"/>
      <c r="AO374" s="91" t="str">
        <f t="shared" ca="1" si="170"/>
        <v xml:space="preserve"> </v>
      </c>
      <c r="AP374" s="26" t="s">
        <v>121</v>
      </c>
      <c r="AQ374" s="26" t="s">
        <v>1641</v>
      </c>
      <c r="AR374" s="89"/>
      <c r="AS374" s="27"/>
      <c r="AT374" s="16"/>
      <c r="AU374" s="27"/>
      <c r="AV374" s="86"/>
      <c r="AW374" s="27"/>
      <c r="AX374" s="27"/>
      <c r="AY374" s="27"/>
      <c r="AZ374" s="27"/>
      <c r="BA374" s="27"/>
      <c r="BB374" s="27"/>
      <c r="BC374" s="97"/>
      <c r="BD374" s="27"/>
      <c r="BE374" s="16"/>
      <c r="BF374" s="28">
        <f t="shared" si="158"/>
        <v>0</v>
      </c>
      <c r="BG374" s="29"/>
      <c r="BH374" s="27"/>
      <c r="BI374" s="30">
        <f t="shared" si="159"/>
        <v>336</v>
      </c>
      <c r="BJ374" s="31">
        <f t="shared" si="160"/>
        <v>45656</v>
      </c>
      <c r="BK374" s="27"/>
      <c r="BL374" s="16"/>
      <c r="BM374" s="27"/>
      <c r="BN374" s="16"/>
      <c r="BO374" s="27"/>
      <c r="BP374" s="16"/>
      <c r="BQ374" s="27"/>
      <c r="BR374" s="24"/>
      <c r="BS374" s="24"/>
      <c r="BT374" s="32"/>
      <c r="BU374" s="27"/>
      <c r="BV374" s="24"/>
      <c r="BW374" s="24"/>
      <c r="BX374" s="16"/>
      <c r="BY374" s="27"/>
      <c r="BZ374" s="24"/>
      <c r="CA374" s="24"/>
      <c r="CB374" s="16"/>
      <c r="CC374" s="49">
        <f t="shared" si="161"/>
        <v>0</v>
      </c>
      <c r="CD374" s="24"/>
      <c r="CE374" s="49">
        <f t="shared" si="168"/>
        <v>700000000</v>
      </c>
      <c r="CF374" s="50"/>
      <c r="CG374" s="49">
        <f t="shared" ca="1" si="162"/>
        <v>700000000</v>
      </c>
      <c r="CH374" s="33">
        <f t="shared" ca="1" si="163"/>
        <v>1</v>
      </c>
      <c r="CI374" s="33">
        <f t="shared" ca="1" si="167"/>
        <v>1</v>
      </c>
      <c r="CJ374" s="36">
        <f t="shared" ca="1" si="164"/>
        <v>100</v>
      </c>
      <c r="CK374" s="34">
        <f t="shared" si="165"/>
        <v>0</v>
      </c>
      <c r="CL374" s="21"/>
      <c r="CM374" s="35" t="str">
        <f t="shared" ca="1" si="166"/>
        <v>TERMINADO</v>
      </c>
      <c r="CN374" s="82"/>
      <c r="CO374" s="145" t="s">
        <v>3187</v>
      </c>
      <c r="CP374" s="83" t="s">
        <v>1424</v>
      </c>
    </row>
    <row r="375" spans="1:94" ht="24.75" customHeight="1">
      <c r="A375" s="109" t="s">
        <v>3188</v>
      </c>
      <c r="B375" s="77" t="s">
        <v>3189</v>
      </c>
      <c r="C375" s="17" t="s">
        <v>104</v>
      </c>
      <c r="D375" s="18" t="s">
        <v>3190</v>
      </c>
      <c r="E375" s="17" t="s">
        <v>106</v>
      </c>
      <c r="F375" s="17" t="s">
        <v>107</v>
      </c>
      <c r="G375" s="17" t="s">
        <v>108</v>
      </c>
      <c r="H375" s="78">
        <v>1014204224</v>
      </c>
      <c r="I375" s="74" t="s">
        <v>3191</v>
      </c>
      <c r="J375" s="16"/>
      <c r="K375" s="16"/>
      <c r="L375" s="20" t="s">
        <v>3192</v>
      </c>
      <c r="M375" s="16" t="s">
        <v>111</v>
      </c>
      <c r="N375" s="115">
        <v>45320</v>
      </c>
      <c r="O375" s="22">
        <v>45324</v>
      </c>
      <c r="P375" s="115">
        <v>45656</v>
      </c>
      <c r="Q375" s="23">
        <f t="shared" si="169"/>
        <v>332</v>
      </c>
      <c r="R375" s="17" t="e" cm="1">
        <f t="array" aca="1" ref="R375" ca="1">- ANDRES EDUARDO ALVAREZ</f>
        <v>#NAME?</v>
      </c>
      <c r="S375" s="117" t="s">
        <v>3193</v>
      </c>
      <c r="T375" s="16" t="s">
        <v>949</v>
      </c>
      <c r="U375" s="67">
        <v>85333956</v>
      </c>
      <c r="V375" s="16" t="s">
        <v>1071</v>
      </c>
      <c r="W375" s="224">
        <v>78222793</v>
      </c>
      <c r="X375" s="24">
        <v>7111163</v>
      </c>
      <c r="Y375" s="24"/>
      <c r="Z375" s="24"/>
      <c r="AA375" s="17" t="s">
        <v>116</v>
      </c>
      <c r="AB375" s="23" t="str">
        <f>IFERROR(VLOOKUP(AA375,Listas!$A$1:$C$14,2,FALSE),"")</f>
        <v>FREDY CÉSPEDES VILLA</v>
      </c>
      <c r="AC375" s="23">
        <f>IFERROR(VLOOKUP(AA375,Listas!$A$1:$C$14,3,FALSE),"")</f>
        <v>93363483</v>
      </c>
      <c r="AD375" s="17" t="s">
        <v>951</v>
      </c>
      <c r="AE375" s="17" t="s">
        <v>952</v>
      </c>
      <c r="AF375" s="23" t="str">
        <f>IFERROR(VLOOKUP(AE375,Listas!$AD$1:$AF$65,2,FALSE),"")</f>
        <v>ANDRES MAURICIO LUQUE AYALA</v>
      </c>
      <c r="AG375" s="23">
        <f>IFERROR(VLOOKUP(AE375,Listas!$AD$1:$AF$65,3,FALSE),"")</f>
        <v>11443937</v>
      </c>
      <c r="AH375" s="17" t="s">
        <v>118</v>
      </c>
      <c r="AI375" s="65" t="s">
        <v>3194</v>
      </c>
      <c r="AJ375" s="25" t="s">
        <v>119</v>
      </c>
      <c r="AK375" s="26" t="s">
        <v>120</v>
      </c>
      <c r="AL375" s="26" t="s">
        <v>120</v>
      </c>
      <c r="AM375" s="90" t="s">
        <v>119</v>
      </c>
      <c r="AN375" s="105">
        <v>32701</v>
      </c>
      <c r="AO375" s="91">
        <f t="shared" ca="1" si="170"/>
        <v>36</v>
      </c>
      <c r="AP375" s="26" t="s">
        <v>121</v>
      </c>
      <c r="AQ375" s="26" t="s">
        <v>886</v>
      </c>
      <c r="AR375" s="89"/>
      <c r="AS375" s="27"/>
      <c r="AT375" s="16"/>
      <c r="AU375" s="27"/>
      <c r="AV375" s="86"/>
      <c r="AW375" s="27"/>
      <c r="AX375" s="27"/>
      <c r="AY375" s="27"/>
      <c r="AZ375" s="27"/>
      <c r="BA375" s="27"/>
      <c r="BB375" s="27"/>
      <c r="BC375" s="97"/>
      <c r="BD375" s="27"/>
      <c r="BE375" s="16"/>
      <c r="BF375" s="28">
        <f t="shared" si="158"/>
        <v>0</v>
      </c>
      <c r="BG375" s="29"/>
      <c r="BH375" s="27"/>
      <c r="BI375" s="30">
        <f t="shared" si="159"/>
        <v>332</v>
      </c>
      <c r="BJ375" s="31">
        <f t="shared" si="160"/>
        <v>45656</v>
      </c>
      <c r="BK375" s="27"/>
      <c r="BL375" s="16"/>
      <c r="BM375" s="27"/>
      <c r="BN375" s="16"/>
      <c r="BO375" s="27"/>
      <c r="BP375" s="16"/>
      <c r="BQ375" s="27"/>
      <c r="BR375" s="24"/>
      <c r="BS375" s="24"/>
      <c r="BT375" s="32"/>
      <c r="BU375" s="27"/>
      <c r="BV375" s="24"/>
      <c r="BW375" s="24"/>
      <c r="BX375" s="16"/>
      <c r="BY375" s="27"/>
      <c r="BZ375" s="24"/>
      <c r="CA375" s="24"/>
      <c r="CB375" s="16"/>
      <c r="CC375" s="49">
        <f t="shared" si="161"/>
        <v>0</v>
      </c>
      <c r="CD375" s="24"/>
      <c r="CE375" s="49">
        <f t="shared" si="168"/>
        <v>78222793</v>
      </c>
      <c r="CF375" s="50"/>
      <c r="CG375" s="49">
        <f t="shared" ca="1" si="162"/>
        <v>78222793</v>
      </c>
      <c r="CH375" s="33">
        <f t="shared" ca="1" si="163"/>
        <v>1</v>
      </c>
      <c r="CI375" s="33">
        <f t="shared" ca="1" si="167"/>
        <v>1</v>
      </c>
      <c r="CJ375" s="36">
        <f t="shared" ca="1" si="164"/>
        <v>100</v>
      </c>
      <c r="CK375" s="34">
        <f t="shared" si="165"/>
        <v>0</v>
      </c>
      <c r="CL375" s="21"/>
      <c r="CM375" s="35" t="str">
        <f t="shared" ca="1" si="166"/>
        <v>TERMINADO</v>
      </c>
      <c r="CN375" s="82"/>
      <c r="CO375" s="145" t="s">
        <v>3195</v>
      </c>
      <c r="CP375" s="26" t="s">
        <v>123</v>
      </c>
    </row>
    <row r="376" spans="1:94" ht="24.75" customHeight="1">
      <c r="A376" s="109" t="s">
        <v>3196</v>
      </c>
      <c r="B376" s="77" t="s">
        <v>3197</v>
      </c>
      <c r="C376" s="17" t="s">
        <v>104</v>
      </c>
      <c r="D376" s="18" t="s">
        <v>3198</v>
      </c>
      <c r="E376" s="17" t="s">
        <v>106</v>
      </c>
      <c r="F376" s="17" t="s">
        <v>107</v>
      </c>
      <c r="G376" s="17" t="s">
        <v>108</v>
      </c>
      <c r="H376" s="78">
        <v>1042995294</v>
      </c>
      <c r="I376" s="74" t="s">
        <v>3199</v>
      </c>
      <c r="J376" s="16"/>
      <c r="K376" s="16"/>
      <c r="L376" s="20" t="s">
        <v>3200</v>
      </c>
      <c r="M376" s="16" t="s">
        <v>111</v>
      </c>
      <c r="N376" s="115">
        <v>45321</v>
      </c>
      <c r="O376" s="115">
        <v>45324</v>
      </c>
      <c r="P376" s="115">
        <v>45656</v>
      </c>
      <c r="Q376" s="23">
        <f t="shared" si="169"/>
        <v>332</v>
      </c>
      <c r="R376" s="17" t="s">
        <v>242</v>
      </c>
      <c r="S376" s="117" t="s">
        <v>3201</v>
      </c>
      <c r="T376" s="16" t="s">
        <v>3202</v>
      </c>
      <c r="U376" s="67">
        <v>70586513</v>
      </c>
      <c r="V376" s="16" t="s">
        <v>2667</v>
      </c>
      <c r="W376" s="224">
        <v>70586513</v>
      </c>
      <c r="X376" s="24">
        <v>5882609</v>
      </c>
      <c r="Y376" s="24"/>
      <c r="Z376" s="24"/>
      <c r="AA376" s="17" t="s">
        <v>116</v>
      </c>
      <c r="AB376" s="23" t="str">
        <f>IFERROR(VLOOKUP(AA376,Listas!$A$1:$C$14,2,FALSE),"")</f>
        <v>FREDY CÉSPEDES VILLA</v>
      </c>
      <c r="AC376" s="23">
        <f>IFERROR(VLOOKUP(AA376,Listas!$A$1:$C$14,3,FALSE),"")</f>
        <v>93363483</v>
      </c>
      <c r="AD376" s="17" t="s">
        <v>406</v>
      </c>
      <c r="AE376" s="17" t="s">
        <v>504</v>
      </c>
      <c r="AF376" s="23" t="str">
        <f>IFERROR(VLOOKUP(AE376,Listas!$AD$1:$AF$65,2,FALSE),"")</f>
        <v>EDUARDO ELÍAS BARCHA BOLÍVAR</v>
      </c>
      <c r="AG376" s="23">
        <f>IFERROR(VLOOKUP(AE376,Listas!$AD$1:$AF$65,3,FALSE),"")</f>
        <v>72133921</v>
      </c>
      <c r="AH376" s="17" t="s">
        <v>118</v>
      </c>
      <c r="AI376" s="65" t="s">
        <v>3203</v>
      </c>
      <c r="AJ376" s="25" t="s">
        <v>119</v>
      </c>
      <c r="AK376" s="26" t="s">
        <v>120</v>
      </c>
      <c r="AL376" s="26" t="s">
        <v>120</v>
      </c>
      <c r="AM376" s="90" t="s">
        <v>119</v>
      </c>
      <c r="AN376" s="105">
        <v>31650</v>
      </c>
      <c r="AO376" s="91">
        <f t="shared" ca="1" si="170"/>
        <v>39</v>
      </c>
      <c r="AP376" s="26" t="s">
        <v>121</v>
      </c>
      <c r="AQ376" s="26" t="s">
        <v>409</v>
      </c>
      <c r="AR376" s="89"/>
      <c r="AS376" s="27"/>
      <c r="AT376" s="16"/>
      <c r="AU376" s="27"/>
      <c r="AV376" s="86"/>
      <c r="AW376" s="27"/>
      <c r="AX376" s="27"/>
      <c r="AY376" s="27"/>
      <c r="AZ376" s="27"/>
      <c r="BA376" s="27"/>
      <c r="BB376" s="27"/>
      <c r="BC376" s="97"/>
      <c r="BD376" s="27"/>
      <c r="BE376" s="16"/>
      <c r="BF376" s="28">
        <f t="shared" si="158"/>
        <v>0</v>
      </c>
      <c r="BG376" s="29"/>
      <c r="BH376" s="27"/>
      <c r="BI376" s="30">
        <f t="shared" si="159"/>
        <v>332</v>
      </c>
      <c r="BJ376" s="31">
        <f t="shared" si="160"/>
        <v>45656</v>
      </c>
      <c r="BK376" s="27"/>
      <c r="BL376" s="16"/>
      <c r="BM376" s="27"/>
      <c r="BN376" s="16"/>
      <c r="BO376" s="27"/>
      <c r="BP376" s="16"/>
      <c r="BQ376" s="27"/>
      <c r="BR376" s="24"/>
      <c r="BS376" s="24"/>
      <c r="BT376" s="32"/>
      <c r="BU376" s="27"/>
      <c r="BV376" s="24"/>
      <c r="BW376" s="24"/>
      <c r="BX376" s="16"/>
      <c r="BY376" s="27"/>
      <c r="BZ376" s="24"/>
      <c r="CA376" s="24"/>
      <c r="CB376" s="16"/>
      <c r="CC376" s="49">
        <f t="shared" si="161"/>
        <v>0</v>
      </c>
      <c r="CD376" s="24"/>
      <c r="CE376" s="49">
        <f t="shared" si="168"/>
        <v>70586513</v>
      </c>
      <c r="CF376" s="50"/>
      <c r="CG376" s="49">
        <f t="shared" ca="1" si="162"/>
        <v>70586513</v>
      </c>
      <c r="CH376" s="33">
        <f t="shared" ca="1" si="163"/>
        <v>1</v>
      </c>
      <c r="CI376" s="33">
        <f t="shared" ca="1" si="167"/>
        <v>1</v>
      </c>
      <c r="CJ376" s="36">
        <f t="shared" ca="1" si="164"/>
        <v>100</v>
      </c>
      <c r="CK376" s="34">
        <f t="shared" si="165"/>
        <v>0</v>
      </c>
      <c r="CL376" s="21"/>
      <c r="CM376" s="35" t="str">
        <f t="shared" ca="1" si="166"/>
        <v>TERMINADO</v>
      </c>
      <c r="CN376" s="82"/>
      <c r="CO376" s="145" t="s">
        <v>3204</v>
      </c>
      <c r="CP376" s="26" t="s">
        <v>142</v>
      </c>
    </row>
    <row r="377" spans="1:94" ht="24.75" customHeight="1">
      <c r="A377" s="109" t="s">
        <v>3205</v>
      </c>
      <c r="B377" s="77" t="s">
        <v>3206</v>
      </c>
      <c r="C377" s="17" t="s">
        <v>104</v>
      </c>
      <c r="D377" s="18" t="s">
        <v>3207</v>
      </c>
      <c r="E377" s="17" t="s">
        <v>106</v>
      </c>
      <c r="F377" s="17" t="s">
        <v>107</v>
      </c>
      <c r="G377" s="17" t="s">
        <v>108</v>
      </c>
      <c r="H377" s="78">
        <v>1140826588</v>
      </c>
      <c r="I377" s="74" t="s">
        <v>3208</v>
      </c>
      <c r="J377" s="16"/>
      <c r="K377" s="16"/>
      <c r="L377" s="20" t="s">
        <v>3209</v>
      </c>
      <c r="M377" s="16" t="s">
        <v>111</v>
      </c>
      <c r="N377" s="115">
        <v>45321</v>
      </c>
      <c r="O377" s="115">
        <v>45323</v>
      </c>
      <c r="P377" s="115">
        <v>45656</v>
      </c>
      <c r="Q377" s="23">
        <f t="shared" si="169"/>
        <v>333</v>
      </c>
      <c r="R377" s="17" t="s">
        <v>242</v>
      </c>
      <c r="S377" s="117" t="s">
        <v>3210</v>
      </c>
      <c r="T377" s="16" t="s">
        <v>3202</v>
      </c>
      <c r="U377" s="67">
        <v>91104180</v>
      </c>
      <c r="V377" s="16" t="s">
        <v>2667</v>
      </c>
      <c r="W377" s="224">
        <v>91104180</v>
      </c>
      <c r="X377" s="24">
        <v>8092015</v>
      </c>
      <c r="Y377" s="24"/>
      <c r="Z377" s="24"/>
      <c r="AA377" s="17" t="s">
        <v>116</v>
      </c>
      <c r="AB377" s="23" t="str">
        <f>IFERROR(VLOOKUP(AA377,Listas!$A$1:$C$14,2,FALSE),"")</f>
        <v>FREDY CÉSPEDES VILLA</v>
      </c>
      <c r="AC377" s="23">
        <f>IFERROR(VLOOKUP(AA377,Listas!$A$1:$C$14,3,FALSE),"")</f>
        <v>93363483</v>
      </c>
      <c r="AD377" s="17" t="s">
        <v>406</v>
      </c>
      <c r="AE377" s="17" t="s">
        <v>504</v>
      </c>
      <c r="AF377" s="23" t="str">
        <f>IFERROR(VLOOKUP(AE377,Listas!$AD$1:$AF$65,2,FALSE),"")</f>
        <v>EDUARDO ELÍAS BARCHA BOLÍVAR</v>
      </c>
      <c r="AG377" s="23">
        <f>IFERROR(VLOOKUP(AE377,Listas!$AD$1:$AF$65,3,FALSE),"")</f>
        <v>72133921</v>
      </c>
      <c r="AH377" s="17" t="s">
        <v>118</v>
      </c>
      <c r="AI377" s="65" t="s">
        <v>3211</v>
      </c>
      <c r="AJ377" s="25" t="s">
        <v>119</v>
      </c>
      <c r="AK377" s="26" t="s">
        <v>120</v>
      </c>
      <c r="AL377" s="26" t="s">
        <v>120</v>
      </c>
      <c r="AM377" s="90" t="s">
        <v>119</v>
      </c>
      <c r="AN377" s="105">
        <v>32863</v>
      </c>
      <c r="AO377" s="91">
        <f t="shared" ca="1" si="170"/>
        <v>36</v>
      </c>
      <c r="AP377" s="26" t="s">
        <v>121</v>
      </c>
      <c r="AQ377" s="26" t="s">
        <v>409</v>
      </c>
      <c r="AR377" s="89"/>
      <c r="AS377" s="27"/>
      <c r="AT377" s="16"/>
      <c r="AU377" s="27"/>
      <c r="AV377" s="86"/>
      <c r="AW377" s="27"/>
      <c r="AX377" s="27"/>
      <c r="AY377" s="27"/>
      <c r="AZ377" s="27"/>
      <c r="BA377" s="27"/>
      <c r="BB377" s="27"/>
      <c r="BC377" s="97"/>
      <c r="BD377" s="27"/>
      <c r="BE377" s="16"/>
      <c r="BF377" s="28">
        <f t="shared" si="158"/>
        <v>0</v>
      </c>
      <c r="BG377" s="29"/>
      <c r="BH377" s="27"/>
      <c r="BI377" s="30">
        <f t="shared" si="159"/>
        <v>333</v>
      </c>
      <c r="BJ377" s="31">
        <f t="shared" si="160"/>
        <v>45656</v>
      </c>
      <c r="BK377" s="27"/>
      <c r="BL377" s="16"/>
      <c r="BM377" s="27"/>
      <c r="BN377" s="16"/>
      <c r="BO377" s="27"/>
      <c r="BP377" s="16"/>
      <c r="BQ377" s="27"/>
      <c r="BR377" s="24"/>
      <c r="BS377" s="24"/>
      <c r="BT377" s="32"/>
      <c r="BU377" s="27"/>
      <c r="BV377" s="24"/>
      <c r="BW377" s="24"/>
      <c r="BX377" s="16"/>
      <c r="BY377" s="27"/>
      <c r="BZ377" s="24"/>
      <c r="CA377" s="24"/>
      <c r="CB377" s="16"/>
      <c r="CC377" s="49">
        <f t="shared" si="161"/>
        <v>0</v>
      </c>
      <c r="CD377" s="24"/>
      <c r="CE377" s="49">
        <f t="shared" si="168"/>
        <v>91104180</v>
      </c>
      <c r="CF377" s="50"/>
      <c r="CG377" s="49">
        <f t="shared" ca="1" si="162"/>
        <v>91104180</v>
      </c>
      <c r="CH377" s="33">
        <f t="shared" ca="1" si="163"/>
        <v>1</v>
      </c>
      <c r="CI377" s="33">
        <f t="shared" ca="1" si="167"/>
        <v>1</v>
      </c>
      <c r="CJ377" s="36">
        <f t="shared" ca="1" si="164"/>
        <v>100</v>
      </c>
      <c r="CK377" s="34">
        <f t="shared" si="165"/>
        <v>0</v>
      </c>
      <c r="CL377" s="21"/>
      <c r="CM377" s="35" t="str">
        <f t="shared" ca="1" si="166"/>
        <v>TERMINADO</v>
      </c>
      <c r="CN377" s="82"/>
      <c r="CO377" s="145" t="s">
        <v>3212</v>
      </c>
      <c r="CP377" s="26" t="s">
        <v>123</v>
      </c>
    </row>
    <row r="378" spans="1:94" ht="24.75" customHeight="1">
      <c r="A378" s="109" t="s">
        <v>3213</v>
      </c>
      <c r="B378" s="77" t="s">
        <v>3214</v>
      </c>
      <c r="C378" s="17" t="s">
        <v>104</v>
      </c>
      <c r="D378" s="18" t="s">
        <v>3215</v>
      </c>
      <c r="E378" s="17" t="s">
        <v>106</v>
      </c>
      <c r="F378" s="17" t="s">
        <v>107</v>
      </c>
      <c r="G378" s="17" t="s">
        <v>108</v>
      </c>
      <c r="H378" s="78">
        <v>1078367564</v>
      </c>
      <c r="I378" s="74" t="s">
        <v>3216</v>
      </c>
      <c r="J378" s="16"/>
      <c r="K378" s="16"/>
      <c r="L378" s="20" t="s">
        <v>3217</v>
      </c>
      <c r="M378" s="16" t="s">
        <v>111</v>
      </c>
      <c r="N378" s="115">
        <v>45321</v>
      </c>
      <c r="O378" s="115">
        <v>45323</v>
      </c>
      <c r="P378" s="115">
        <v>45656</v>
      </c>
      <c r="Q378" s="23">
        <f t="shared" si="169"/>
        <v>333</v>
      </c>
      <c r="R378" s="17" t="s">
        <v>242</v>
      </c>
      <c r="S378" s="117" t="s">
        <v>3218</v>
      </c>
      <c r="T378" s="16" t="s">
        <v>3219</v>
      </c>
      <c r="U378" s="67">
        <v>60959846</v>
      </c>
      <c r="V378" s="16" t="s">
        <v>365</v>
      </c>
      <c r="W378" s="224">
        <v>60959846</v>
      </c>
      <c r="X378" s="24">
        <v>5394677</v>
      </c>
      <c r="Y378" s="24"/>
      <c r="Z378" s="24"/>
      <c r="AA378" s="17" t="s">
        <v>116</v>
      </c>
      <c r="AB378" s="23" t="str">
        <f>IFERROR(VLOOKUP(AA378,Listas!$A$1:$C$14,2,FALSE),"")</f>
        <v>FREDY CÉSPEDES VILLA</v>
      </c>
      <c r="AC378" s="23">
        <f>IFERROR(VLOOKUP(AA378,Listas!$A$1:$C$14,3,FALSE),"")</f>
        <v>93363483</v>
      </c>
      <c r="AD378" s="17" t="s">
        <v>345</v>
      </c>
      <c r="AE378" s="17" t="s">
        <v>346</v>
      </c>
      <c r="AF378" s="23" t="str">
        <f>IFERROR(VLOOKUP(AE378,Listas!$AD$1:$AF$65,2,FALSE),"")</f>
        <v>RODOLFO GIOVANNI CANCHILA SUÁREZ</v>
      </c>
      <c r="AG378" s="23">
        <f>IFERROR(VLOOKUP(AE378,Listas!$AD$1:$AF$65,3,FALSE),"")</f>
        <v>79672493</v>
      </c>
      <c r="AH378" s="17" t="s">
        <v>118</v>
      </c>
      <c r="AI378" s="65" t="s">
        <v>3220</v>
      </c>
      <c r="AJ378" s="25" t="s">
        <v>119</v>
      </c>
      <c r="AK378" s="26" t="s">
        <v>120</v>
      </c>
      <c r="AL378" s="26" t="s">
        <v>120</v>
      </c>
      <c r="AM378" s="90" t="s">
        <v>119</v>
      </c>
      <c r="AN378" s="105">
        <v>32493</v>
      </c>
      <c r="AO378" s="91">
        <f t="shared" ca="1" si="170"/>
        <v>37</v>
      </c>
      <c r="AP378" s="26" t="s">
        <v>121</v>
      </c>
      <c r="AQ378" s="26" t="s">
        <v>367</v>
      </c>
      <c r="AR378" s="89"/>
      <c r="AS378" s="27"/>
      <c r="AT378" s="16"/>
      <c r="AU378" s="27"/>
      <c r="AV378" s="86"/>
      <c r="AW378" s="27"/>
      <c r="AX378" s="27"/>
      <c r="AY378" s="27"/>
      <c r="AZ378" s="27"/>
      <c r="BA378" s="27"/>
      <c r="BB378" s="27"/>
      <c r="BC378" s="97"/>
      <c r="BD378" s="27"/>
      <c r="BE378" s="16"/>
      <c r="BF378" s="28">
        <f t="shared" si="158"/>
        <v>0</v>
      </c>
      <c r="BG378" s="29"/>
      <c r="BH378" s="27"/>
      <c r="BI378" s="30">
        <f t="shared" si="159"/>
        <v>333</v>
      </c>
      <c r="BJ378" s="31">
        <f t="shared" si="160"/>
        <v>45656</v>
      </c>
      <c r="BK378" s="27"/>
      <c r="BL378" s="16"/>
      <c r="BM378" s="27"/>
      <c r="BN378" s="16"/>
      <c r="BO378" s="27"/>
      <c r="BP378" s="16"/>
      <c r="BQ378" s="27"/>
      <c r="BR378" s="24"/>
      <c r="BS378" s="24"/>
      <c r="BT378" s="32"/>
      <c r="BU378" s="27"/>
      <c r="BV378" s="24"/>
      <c r="BW378" s="24"/>
      <c r="BX378" s="16"/>
      <c r="BY378" s="27"/>
      <c r="BZ378" s="24"/>
      <c r="CA378" s="24"/>
      <c r="CB378" s="16"/>
      <c r="CC378" s="49">
        <f t="shared" si="161"/>
        <v>0</v>
      </c>
      <c r="CD378" s="24"/>
      <c r="CE378" s="49">
        <f t="shared" si="168"/>
        <v>60959846</v>
      </c>
      <c r="CF378" s="50"/>
      <c r="CG378" s="49">
        <f t="shared" ca="1" si="162"/>
        <v>60959846</v>
      </c>
      <c r="CH378" s="33">
        <f t="shared" ca="1" si="163"/>
        <v>1</v>
      </c>
      <c r="CI378" s="33">
        <f t="shared" ca="1" si="167"/>
        <v>1</v>
      </c>
      <c r="CJ378" s="36">
        <f t="shared" ca="1" si="164"/>
        <v>100</v>
      </c>
      <c r="CK378" s="34">
        <f t="shared" si="165"/>
        <v>0</v>
      </c>
      <c r="CL378" s="21"/>
      <c r="CM378" s="35" t="str">
        <f t="shared" ca="1" si="166"/>
        <v>TERMINADO</v>
      </c>
      <c r="CN378" s="82"/>
      <c r="CO378" s="145" t="s">
        <v>3221</v>
      </c>
      <c r="CP378" s="26" t="s">
        <v>123</v>
      </c>
    </row>
    <row r="379" spans="1:94" ht="24.75" customHeight="1">
      <c r="A379" s="48" t="s">
        <v>3222</v>
      </c>
      <c r="B379" s="77" t="s">
        <v>3223</v>
      </c>
      <c r="C379" s="17" t="s">
        <v>104</v>
      </c>
      <c r="D379" s="18" t="s">
        <v>3224</v>
      </c>
      <c r="E379" s="17" t="s">
        <v>106</v>
      </c>
      <c r="F379" s="17" t="s">
        <v>107</v>
      </c>
      <c r="G379" s="17" t="s">
        <v>108</v>
      </c>
      <c r="H379" s="78">
        <v>1074415143</v>
      </c>
      <c r="I379" s="74" t="s">
        <v>3225</v>
      </c>
      <c r="J379" s="16"/>
      <c r="K379" s="16"/>
      <c r="L379" s="20" t="s">
        <v>3226</v>
      </c>
      <c r="M379" s="16" t="s">
        <v>111</v>
      </c>
      <c r="N379" s="115">
        <v>45321</v>
      </c>
      <c r="O379" s="115">
        <v>45322</v>
      </c>
      <c r="P379" s="115">
        <v>45656</v>
      </c>
      <c r="Q379" s="23">
        <f t="shared" si="169"/>
        <v>334</v>
      </c>
      <c r="R379" s="17" t="s">
        <v>242</v>
      </c>
      <c r="S379" s="117" t="s">
        <v>3227</v>
      </c>
      <c r="T379" s="16" t="s">
        <v>2751</v>
      </c>
      <c r="U379" s="67">
        <v>49729110</v>
      </c>
      <c r="V379" s="16" t="s">
        <v>471</v>
      </c>
      <c r="W379" s="224">
        <v>49729110</v>
      </c>
      <c r="X379" s="24">
        <v>4413826</v>
      </c>
      <c r="Y379" s="24"/>
      <c r="Z379" s="24"/>
      <c r="AA379" s="17" t="s">
        <v>116</v>
      </c>
      <c r="AB379" s="23" t="str">
        <f>IFERROR(VLOOKUP(AA379,Listas!$A$1:$C$14,2,FALSE),"")</f>
        <v>FREDY CÉSPEDES VILLA</v>
      </c>
      <c r="AC379" s="23">
        <f>IFERROR(VLOOKUP(AA379,Listas!$A$1:$C$14,3,FALSE),"")</f>
        <v>93363483</v>
      </c>
      <c r="AD379" s="17" t="s">
        <v>345</v>
      </c>
      <c r="AE379" s="17" t="s">
        <v>346</v>
      </c>
      <c r="AF379" s="23" t="str">
        <f>IFERROR(VLOOKUP(AE379,Listas!$AD$1:$AF$65,2,FALSE),"")</f>
        <v>RODOLFO GIOVANNI CANCHILA SUÁREZ</v>
      </c>
      <c r="AG379" s="23">
        <f>IFERROR(VLOOKUP(AE379,Listas!$AD$1:$AF$65,3,FALSE),"")</f>
        <v>79672493</v>
      </c>
      <c r="AH379" s="17" t="s">
        <v>118</v>
      </c>
      <c r="AI379" s="65" t="s">
        <v>3228</v>
      </c>
      <c r="AJ379" s="25" t="s">
        <v>119</v>
      </c>
      <c r="AK379" s="26" t="s">
        <v>120</v>
      </c>
      <c r="AL379" s="26" t="s">
        <v>120</v>
      </c>
      <c r="AM379" s="90" t="s">
        <v>119</v>
      </c>
      <c r="AN379" s="105">
        <v>32243</v>
      </c>
      <c r="AO379" s="91">
        <f t="shared" ca="1" si="170"/>
        <v>37</v>
      </c>
      <c r="AP379" s="26" t="s">
        <v>121</v>
      </c>
      <c r="AQ379" s="26" t="s">
        <v>367</v>
      </c>
      <c r="AR379" s="89"/>
      <c r="AS379" s="27"/>
      <c r="AT379" s="16"/>
      <c r="AU379" s="27"/>
      <c r="AV379" s="86"/>
      <c r="AW379" s="27"/>
      <c r="AX379" s="27"/>
      <c r="AY379" s="27"/>
      <c r="AZ379" s="27"/>
      <c r="BA379" s="27"/>
      <c r="BB379" s="27"/>
      <c r="BC379" s="97"/>
      <c r="BD379" s="27"/>
      <c r="BE379" s="16"/>
      <c r="BF379" s="28">
        <f t="shared" si="158"/>
        <v>0</v>
      </c>
      <c r="BG379" s="29"/>
      <c r="BH379" s="27"/>
      <c r="BI379" s="30">
        <f t="shared" si="159"/>
        <v>334</v>
      </c>
      <c r="BJ379" s="31">
        <f t="shared" si="160"/>
        <v>45656</v>
      </c>
      <c r="BK379" s="27"/>
      <c r="BL379" s="16"/>
      <c r="BM379" s="27"/>
      <c r="BN379" s="16"/>
      <c r="BO379" s="27"/>
      <c r="BP379" s="16"/>
      <c r="BQ379" s="27"/>
      <c r="BR379" s="24"/>
      <c r="BS379" s="24"/>
      <c r="BT379" s="32"/>
      <c r="BU379" s="27"/>
      <c r="BV379" s="24"/>
      <c r="BW379" s="24"/>
      <c r="BX379" s="16"/>
      <c r="BY379" s="27"/>
      <c r="BZ379" s="24"/>
      <c r="CA379" s="24"/>
      <c r="CB379" s="16"/>
      <c r="CC379" s="49">
        <f t="shared" si="161"/>
        <v>0</v>
      </c>
      <c r="CD379" s="24"/>
      <c r="CE379" s="49">
        <f t="shared" si="168"/>
        <v>49729110</v>
      </c>
      <c r="CF379" s="50"/>
      <c r="CG379" s="49">
        <f t="shared" ca="1" si="162"/>
        <v>49729110</v>
      </c>
      <c r="CH379" s="33">
        <f t="shared" ca="1" si="163"/>
        <v>1</v>
      </c>
      <c r="CI379" s="33">
        <f t="shared" ca="1" si="167"/>
        <v>1</v>
      </c>
      <c r="CJ379" s="36">
        <f t="shared" ca="1" si="164"/>
        <v>100</v>
      </c>
      <c r="CK379" s="34">
        <f t="shared" si="165"/>
        <v>0</v>
      </c>
      <c r="CL379" s="21"/>
      <c r="CM379" s="35" t="str">
        <f t="shared" ca="1" si="166"/>
        <v>TERMINADO</v>
      </c>
      <c r="CN379" s="82"/>
      <c r="CO379" s="145" t="s">
        <v>3229</v>
      </c>
      <c r="CP379" s="26" t="s">
        <v>123</v>
      </c>
    </row>
    <row r="380" spans="1:94" ht="24.75" customHeight="1">
      <c r="A380" s="48" t="s">
        <v>3230</v>
      </c>
      <c r="B380" s="77" t="s">
        <v>3231</v>
      </c>
      <c r="C380" s="17" t="s">
        <v>104</v>
      </c>
      <c r="D380" s="18" t="s">
        <v>3232</v>
      </c>
      <c r="E380" s="17" t="s">
        <v>106</v>
      </c>
      <c r="F380" s="17" t="s">
        <v>107</v>
      </c>
      <c r="G380" s="17" t="s">
        <v>108</v>
      </c>
      <c r="H380" s="78">
        <v>1026571100</v>
      </c>
      <c r="I380" s="74" t="s">
        <v>3233</v>
      </c>
      <c r="J380" s="16"/>
      <c r="K380" s="16"/>
      <c r="L380" s="20" t="s">
        <v>3234</v>
      </c>
      <c r="M380" s="16" t="s">
        <v>111</v>
      </c>
      <c r="N380" s="115">
        <v>45321</v>
      </c>
      <c r="O380" s="115">
        <v>45323</v>
      </c>
      <c r="P380" s="115">
        <v>45656</v>
      </c>
      <c r="Q380" s="23">
        <f t="shared" si="169"/>
        <v>333</v>
      </c>
      <c r="R380" s="17" t="s">
        <v>242</v>
      </c>
      <c r="S380" s="117" t="s">
        <v>3235</v>
      </c>
      <c r="T380" s="16" t="s">
        <v>2614</v>
      </c>
      <c r="U380" s="67">
        <v>52965916</v>
      </c>
      <c r="V380" s="16" t="s">
        <v>2615</v>
      </c>
      <c r="W380" s="224">
        <v>52965916</v>
      </c>
      <c r="X380" s="24">
        <v>4413826</v>
      </c>
      <c r="Y380" s="24"/>
      <c r="Z380" s="24"/>
      <c r="AA380" s="17" t="s">
        <v>116</v>
      </c>
      <c r="AB380" s="23" t="str">
        <f>IFERROR(VLOOKUP(AA380,Listas!$A$1:$C$14,2,FALSE),"")</f>
        <v>FREDY CÉSPEDES VILLA</v>
      </c>
      <c r="AC380" s="23">
        <f>IFERROR(VLOOKUP(AA380,Listas!$A$1:$C$14,3,FALSE),"")</f>
        <v>93363483</v>
      </c>
      <c r="AD380" s="17" t="s">
        <v>406</v>
      </c>
      <c r="AE380" s="17" t="s">
        <v>504</v>
      </c>
      <c r="AF380" s="23" t="str">
        <f>IFERROR(VLOOKUP(AE380,Listas!$AD$1:$AF$65,2,FALSE),"")</f>
        <v>EDUARDO ELÍAS BARCHA BOLÍVAR</v>
      </c>
      <c r="AG380" s="23">
        <f>IFERROR(VLOOKUP(AE380,Listas!$AD$1:$AF$65,3,FALSE),"")</f>
        <v>72133921</v>
      </c>
      <c r="AH380" s="17" t="s">
        <v>118</v>
      </c>
      <c r="AI380" s="65" t="s">
        <v>3236</v>
      </c>
      <c r="AJ380" s="25" t="s">
        <v>119</v>
      </c>
      <c r="AK380" s="26" t="s">
        <v>120</v>
      </c>
      <c r="AL380" s="26" t="s">
        <v>120</v>
      </c>
      <c r="AM380" s="90" t="s">
        <v>119</v>
      </c>
      <c r="AN380" s="105">
        <v>33658</v>
      </c>
      <c r="AO380" s="91">
        <f t="shared" ca="1" si="170"/>
        <v>33</v>
      </c>
      <c r="AP380" s="26" t="s">
        <v>121</v>
      </c>
      <c r="AQ380" s="26" t="s">
        <v>409</v>
      </c>
      <c r="AR380" s="89"/>
      <c r="AS380" s="27"/>
      <c r="AT380" s="16"/>
      <c r="AU380" s="27"/>
      <c r="AV380" s="86"/>
      <c r="AW380" s="27"/>
      <c r="AX380" s="27"/>
      <c r="AY380" s="27"/>
      <c r="AZ380" s="27"/>
      <c r="BA380" s="27"/>
      <c r="BB380" s="27"/>
      <c r="BC380" s="97"/>
      <c r="BD380" s="27"/>
      <c r="BE380" s="16"/>
      <c r="BF380" s="28">
        <f t="shared" si="158"/>
        <v>0</v>
      </c>
      <c r="BG380" s="29"/>
      <c r="BH380" s="27"/>
      <c r="BI380" s="30">
        <f t="shared" si="159"/>
        <v>333</v>
      </c>
      <c r="BJ380" s="31">
        <f t="shared" si="160"/>
        <v>45656</v>
      </c>
      <c r="BK380" s="27"/>
      <c r="BL380" s="16"/>
      <c r="BM380" s="27"/>
      <c r="BN380" s="16"/>
      <c r="BO380" s="27"/>
      <c r="BP380" s="16"/>
      <c r="BQ380" s="27"/>
      <c r="BR380" s="24"/>
      <c r="BS380" s="24"/>
      <c r="BT380" s="32"/>
      <c r="BU380" s="27"/>
      <c r="BV380" s="24"/>
      <c r="BW380" s="24"/>
      <c r="BX380" s="16"/>
      <c r="BY380" s="27"/>
      <c r="BZ380" s="24"/>
      <c r="CA380" s="24"/>
      <c r="CB380" s="16"/>
      <c r="CC380" s="49">
        <f t="shared" si="161"/>
        <v>0</v>
      </c>
      <c r="CD380" s="24"/>
      <c r="CE380" s="49">
        <f t="shared" si="168"/>
        <v>52965916</v>
      </c>
      <c r="CF380" s="50"/>
      <c r="CG380" s="49">
        <f t="shared" ca="1" si="162"/>
        <v>52965916</v>
      </c>
      <c r="CH380" s="33">
        <f t="shared" ca="1" si="163"/>
        <v>1</v>
      </c>
      <c r="CI380" s="33">
        <f t="shared" ca="1" si="167"/>
        <v>1</v>
      </c>
      <c r="CJ380" s="36">
        <f t="shared" ca="1" si="164"/>
        <v>100</v>
      </c>
      <c r="CK380" s="34">
        <f t="shared" si="165"/>
        <v>0</v>
      </c>
      <c r="CL380" s="21"/>
      <c r="CM380" s="35" t="str">
        <f t="shared" ca="1" si="166"/>
        <v>TERMINADO</v>
      </c>
      <c r="CN380" s="82"/>
      <c r="CO380" s="145" t="s">
        <v>3237</v>
      </c>
      <c r="CP380" s="26" t="s">
        <v>123</v>
      </c>
    </row>
    <row r="381" spans="1:94" ht="24.75" customHeight="1">
      <c r="A381" s="48" t="s">
        <v>3238</v>
      </c>
      <c r="B381" s="77" t="s">
        <v>3239</v>
      </c>
      <c r="C381" s="17" t="s">
        <v>104</v>
      </c>
      <c r="D381" s="18" t="s">
        <v>3240</v>
      </c>
      <c r="E381" s="17" t="s">
        <v>106</v>
      </c>
      <c r="F381" s="17" t="s">
        <v>107</v>
      </c>
      <c r="G381" s="17" t="s">
        <v>108</v>
      </c>
      <c r="H381" s="78">
        <v>53043595</v>
      </c>
      <c r="I381" s="74" t="s">
        <v>3241</v>
      </c>
      <c r="J381" s="16"/>
      <c r="K381" s="16"/>
      <c r="L381" s="20" t="s">
        <v>3242</v>
      </c>
      <c r="M381" s="16" t="s">
        <v>111</v>
      </c>
      <c r="N381" s="115">
        <v>45321</v>
      </c>
      <c r="O381" s="115">
        <v>45323</v>
      </c>
      <c r="P381" s="115">
        <v>45656</v>
      </c>
      <c r="Q381" s="23">
        <f t="shared" si="169"/>
        <v>333</v>
      </c>
      <c r="R381" s="17" t="s">
        <v>242</v>
      </c>
      <c r="S381" s="117" t="s">
        <v>3243</v>
      </c>
      <c r="T381" s="16" t="s">
        <v>1550</v>
      </c>
      <c r="U381" s="67">
        <v>73563773</v>
      </c>
      <c r="V381" s="16" t="s">
        <v>2667</v>
      </c>
      <c r="W381" s="224">
        <v>73563773</v>
      </c>
      <c r="X381" s="24">
        <v>6138314</v>
      </c>
      <c r="Y381" s="24"/>
      <c r="Z381" s="24"/>
      <c r="AA381" s="17" t="s">
        <v>116</v>
      </c>
      <c r="AB381" s="23" t="str">
        <f>IFERROR(VLOOKUP(AA381,Listas!$A$1:$C$14,2,FALSE),"")</f>
        <v>FREDY CÉSPEDES VILLA</v>
      </c>
      <c r="AC381" s="23">
        <f>IFERROR(VLOOKUP(AA381,Listas!$A$1:$C$14,3,FALSE),"")</f>
        <v>93363483</v>
      </c>
      <c r="AD381" s="17" t="s">
        <v>406</v>
      </c>
      <c r="AE381" s="17" t="s">
        <v>504</v>
      </c>
      <c r="AF381" s="23" t="str">
        <f>IFERROR(VLOOKUP(AE381,Listas!$AD$1:$AF$65,2,FALSE),"")</f>
        <v>EDUARDO ELÍAS BARCHA BOLÍVAR</v>
      </c>
      <c r="AG381" s="23">
        <f>IFERROR(VLOOKUP(AE381,Listas!$AD$1:$AF$65,3,FALSE),"")</f>
        <v>72133921</v>
      </c>
      <c r="AH381" s="17" t="s">
        <v>118</v>
      </c>
      <c r="AI381" s="65" t="s">
        <v>3244</v>
      </c>
      <c r="AJ381" s="25" t="s">
        <v>119</v>
      </c>
      <c r="AK381" s="26" t="s">
        <v>120</v>
      </c>
      <c r="AL381" s="26" t="s">
        <v>120</v>
      </c>
      <c r="AM381" s="90" t="s">
        <v>119</v>
      </c>
      <c r="AN381" s="105">
        <v>30609</v>
      </c>
      <c r="AO381" s="91">
        <f t="shared" ca="1" si="170"/>
        <v>42</v>
      </c>
      <c r="AP381" s="26" t="s">
        <v>121</v>
      </c>
      <c r="AQ381" s="26" t="s">
        <v>409</v>
      </c>
      <c r="AR381" s="89"/>
      <c r="AS381" s="27"/>
      <c r="AT381" s="16"/>
      <c r="AU381" s="27"/>
      <c r="AV381" s="86"/>
      <c r="AW381" s="27"/>
      <c r="AX381" s="27"/>
      <c r="AY381" s="27"/>
      <c r="AZ381" s="27"/>
      <c r="BA381" s="27"/>
      <c r="BB381" s="27"/>
      <c r="BC381" s="97"/>
      <c r="BD381" s="27"/>
      <c r="BE381" s="16"/>
      <c r="BF381" s="28">
        <f t="shared" si="158"/>
        <v>0</v>
      </c>
      <c r="BG381" s="29"/>
      <c r="BH381" s="27"/>
      <c r="BI381" s="30">
        <f t="shared" si="159"/>
        <v>333</v>
      </c>
      <c r="BJ381" s="31">
        <f t="shared" si="160"/>
        <v>45656</v>
      </c>
      <c r="BK381" s="27"/>
      <c r="BL381" s="16"/>
      <c r="BM381" s="27"/>
      <c r="BN381" s="16"/>
      <c r="BO381" s="27"/>
      <c r="BP381" s="16"/>
      <c r="BQ381" s="27"/>
      <c r="BR381" s="24"/>
      <c r="BS381" s="24"/>
      <c r="BT381" s="32"/>
      <c r="BU381" s="27"/>
      <c r="BV381" s="24"/>
      <c r="BW381" s="24"/>
      <c r="BX381" s="16"/>
      <c r="BY381" s="27"/>
      <c r="BZ381" s="24"/>
      <c r="CA381" s="24"/>
      <c r="CB381" s="16"/>
      <c r="CC381" s="49">
        <f t="shared" si="161"/>
        <v>0</v>
      </c>
      <c r="CD381" s="24"/>
      <c r="CE381" s="49">
        <f t="shared" si="168"/>
        <v>73563773</v>
      </c>
      <c r="CF381" s="50"/>
      <c r="CG381" s="49">
        <f t="shared" ca="1" si="162"/>
        <v>73563773</v>
      </c>
      <c r="CH381" s="33">
        <f t="shared" ca="1" si="163"/>
        <v>1</v>
      </c>
      <c r="CI381" s="33">
        <f t="shared" ca="1" si="167"/>
        <v>1</v>
      </c>
      <c r="CJ381" s="36">
        <f t="shared" ca="1" si="164"/>
        <v>100</v>
      </c>
      <c r="CK381" s="34">
        <f t="shared" si="165"/>
        <v>0</v>
      </c>
      <c r="CL381" s="21"/>
      <c r="CM381" s="35" t="str">
        <f t="shared" ca="1" si="166"/>
        <v>TERMINADO</v>
      </c>
      <c r="CN381" s="82"/>
      <c r="CO381" s="145" t="s">
        <v>3245</v>
      </c>
      <c r="CP381" s="26" t="s">
        <v>123</v>
      </c>
    </row>
    <row r="382" spans="1:94" ht="24.75" customHeight="1">
      <c r="A382" s="48" t="s">
        <v>3246</v>
      </c>
      <c r="B382" s="150" t="s">
        <v>3247</v>
      </c>
      <c r="C382" s="17" t="s">
        <v>104</v>
      </c>
      <c r="D382" s="18" t="s">
        <v>3248</v>
      </c>
      <c r="E382" s="17" t="s">
        <v>106</v>
      </c>
      <c r="F382" s="17" t="s">
        <v>107</v>
      </c>
      <c r="G382" s="17" t="s">
        <v>108</v>
      </c>
      <c r="H382" s="78">
        <v>1069751532</v>
      </c>
      <c r="I382" s="74" t="s">
        <v>3249</v>
      </c>
      <c r="J382" s="16"/>
      <c r="K382" s="16"/>
      <c r="L382" s="20" t="s">
        <v>3250</v>
      </c>
      <c r="M382" s="16" t="s">
        <v>111</v>
      </c>
      <c r="N382" s="115">
        <v>45321</v>
      </c>
      <c r="O382" s="115">
        <v>45323</v>
      </c>
      <c r="P382" s="115">
        <v>45656</v>
      </c>
      <c r="Q382" s="23">
        <f t="shared" si="169"/>
        <v>333</v>
      </c>
      <c r="R382" s="17" t="s">
        <v>242</v>
      </c>
      <c r="S382" s="117" t="s">
        <v>3251</v>
      </c>
      <c r="T382" s="16" t="s">
        <v>1550</v>
      </c>
      <c r="U382" s="67">
        <v>64736120</v>
      </c>
      <c r="V382" s="16" t="s">
        <v>2667</v>
      </c>
      <c r="W382" s="224">
        <v>64736120</v>
      </c>
      <c r="X382" s="24">
        <v>5027800</v>
      </c>
      <c r="Y382" s="24"/>
      <c r="Z382" s="24"/>
      <c r="AA382" s="17" t="s">
        <v>116</v>
      </c>
      <c r="AB382" s="23" t="str">
        <f>IFERROR(VLOOKUP(AA382,Listas!$A$1:$C$14,2,FALSE),"")</f>
        <v>FREDY CÉSPEDES VILLA</v>
      </c>
      <c r="AC382" s="23">
        <f>IFERROR(VLOOKUP(AA382,Listas!$A$1:$C$14,3,FALSE),"")</f>
        <v>93363483</v>
      </c>
      <c r="AD382" s="17" t="s">
        <v>406</v>
      </c>
      <c r="AE382" s="17" t="s">
        <v>504</v>
      </c>
      <c r="AF382" s="23" t="str">
        <f>IFERROR(VLOOKUP(AE382,Listas!$AD$1:$AF$65,2,FALSE),"")</f>
        <v>EDUARDO ELÍAS BARCHA BOLÍVAR</v>
      </c>
      <c r="AG382" s="23">
        <f>IFERROR(VLOOKUP(AE382,Listas!$AD$1:$AF$65,3,FALSE),"")</f>
        <v>72133921</v>
      </c>
      <c r="AH382" s="17" t="s">
        <v>118</v>
      </c>
      <c r="AI382" s="65" t="s">
        <v>3252</v>
      </c>
      <c r="AJ382" s="25" t="s">
        <v>119</v>
      </c>
      <c r="AK382" s="26" t="s">
        <v>120</v>
      </c>
      <c r="AL382" s="26" t="s">
        <v>120</v>
      </c>
      <c r="AM382" s="90" t="s">
        <v>119</v>
      </c>
      <c r="AN382" s="105">
        <v>34853</v>
      </c>
      <c r="AO382" s="91">
        <f t="shared" ca="1" si="170"/>
        <v>30</v>
      </c>
      <c r="AP382" s="26" t="s">
        <v>121</v>
      </c>
      <c r="AQ382" s="26" t="s">
        <v>409</v>
      </c>
      <c r="AR382" s="89"/>
      <c r="AS382" s="27"/>
      <c r="AT382" s="16"/>
      <c r="AU382" s="27"/>
      <c r="AV382" s="86"/>
      <c r="AW382" s="27"/>
      <c r="AX382" s="27"/>
      <c r="AY382" s="27"/>
      <c r="AZ382" s="27"/>
      <c r="BA382" s="27"/>
      <c r="BB382" s="27"/>
      <c r="BC382" s="97"/>
      <c r="BD382" s="27"/>
      <c r="BE382" s="16"/>
      <c r="BF382" s="28">
        <f t="shared" si="158"/>
        <v>0</v>
      </c>
      <c r="BG382" s="29"/>
      <c r="BH382" s="27"/>
      <c r="BI382" s="30">
        <f t="shared" si="159"/>
        <v>333</v>
      </c>
      <c r="BJ382" s="31">
        <f t="shared" si="160"/>
        <v>45656</v>
      </c>
      <c r="BK382" s="27"/>
      <c r="BL382" s="16"/>
      <c r="BM382" s="27"/>
      <c r="BN382" s="16"/>
      <c r="BO382" s="27"/>
      <c r="BP382" s="16"/>
      <c r="BQ382" s="27"/>
      <c r="BR382" s="24"/>
      <c r="BS382" s="24"/>
      <c r="BT382" s="32"/>
      <c r="BU382" s="27"/>
      <c r="BV382" s="24"/>
      <c r="BW382" s="24"/>
      <c r="BX382" s="16"/>
      <c r="BY382" s="27"/>
      <c r="BZ382" s="24"/>
      <c r="CA382" s="24"/>
      <c r="CB382" s="16"/>
      <c r="CC382" s="49">
        <f t="shared" si="161"/>
        <v>0</v>
      </c>
      <c r="CD382" s="24"/>
      <c r="CE382" s="49">
        <f t="shared" si="168"/>
        <v>64736120</v>
      </c>
      <c r="CF382" s="50"/>
      <c r="CG382" s="49">
        <f t="shared" ca="1" si="162"/>
        <v>64736120</v>
      </c>
      <c r="CH382" s="33">
        <f t="shared" ca="1" si="163"/>
        <v>1</v>
      </c>
      <c r="CI382" s="33">
        <f t="shared" ca="1" si="167"/>
        <v>1</v>
      </c>
      <c r="CJ382" s="36">
        <f t="shared" ca="1" si="164"/>
        <v>100</v>
      </c>
      <c r="CK382" s="34">
        <f t="shared" si="165"/>
        <v>0</v>
      </c>
      <c r="CL382" s="21"/>
      <c r="CM382" s="35" t="str">
        <f t="shared" ca="1" si="166"/>
        <v>TERMINADO</v>
      </c>
      <c r="CN382" s="82"/>
      <c r="CO382" s="145" t="s">
        <v>3253</v>
      </c>
      <c r="CP382" s="26" t="s">
        <v>123</v>
      </c>
    </row>
    <row r="383" spans="1:94" ht="24.75" customHeight="1">
      <c r="A383" s="48" t="s">
        <v>3254</v>
      </c>
      <c r="B383" s="77" t="s">
        <v>3255</v>
      </c>
      <c r="C383" s="17" t="s">
        <v>104</v>
      </c>
      <c r="D383" s="18" t="s">
        <v>3256</v>
      </c>
      <c r="E383" s="17" t="s">
        <v>106</v>
      </c>
      <c r="F383" s="17" t="s">
        <v>107</v>
      </c>
      <c r="G383" s="17" t="s">
        <v>108</v>
      </c>
      <c r="H383" s="78">
        <v>52962599</v>
      </c>
      <c r="I383" s="74" t="s">
        <v>3257</v>
      </c>
      <c r="J383" s="16"/>
      <c r="K383" s="16"/>
      <c r="L383" s="20" t="s">
        <v>3258</v>
      </c>
      <c r="M383" s="16" t="s">
        <v>111</v>
      </c>
      <c r="N383" s="115">
        <v>45323</v>
      </c>
      <c r="O383" s="115">
        <v>45329</v>
      </c>
      <c r="P383" s="115">
        <v>45657</v>
      </c>
      <c r="Q383" s="23">
        <f t="shared" si="169"/>
        <v>328</v>
      </c>
      <c r="R383" s="17" t="s">
        <v>242</v>
      </c>
      <c r="S383" s="117" t="s">
        <v>3259</v>
      </c>
      <c r="T383" s="16" t="s">
        <v>1145</v>
      </c>
      <c r="U383" s="67">
        <v>68877184</v>
      </c>
      <c r="V383" s="16" t="s">
        <v>426</v>
      </c>
      <c r="W383" s="224">
        <v>68877184</v>
      </c>
      <c r="X383" s="24">
        <v>6131500</v>
      </c>
      <c r="Y383" s="24"/>
      <c r="Z383" s="24"/>
      <c r="AA383" s="17" t="s">
        <v>116</v>
      </c>
      <c r="AB383" s="23" t="str">
        <f>IFERROR(VLOOKUP(AA383,Listas!$A$1:$C$14,2,FALSE),"")</f>
        <v>FREDY CÉSPEDES VILLA</v>
      </c>
      <c r="AC383" s="23">
        <f>IFERROR(VLOOKUP(AA383,Listas!$A$1:$C$14,3,FALSE),"")</f>
        <v>93363483</v>
      </c>
      <c r="AD383" s="17" t="s">
        <v>427</v>
      </c>
      <c r="AE383" s="17" t="s">
        <v>428</v>
      </c>
      <c r="AF383" s="23" t="str">
        <f>IFERROR(VLOOKUP(AE383,Listas!$AD$1:$AF$65,2,FALSE),"")</f>
        <v>DINORAH PATRICIA ABADIA MURILLO</v>
      </c>
      <c r="AG383" s="23">
        <f>IFERROR(VLOOKUP(AE383,Listas!$AD$1:$AF$65,3,FALSE),"")</f>
        <v>52220857</v>
      </c>
      <c r="AH383" s="17" t="s">
        <v>118</v>
      </c>
      <c r="AI383" s="65" t="s">
        <v>3260</v>
      </c>
      <c r="AJ383" s="25" t="s">
        <v>119</v>
      </c>
      <c r="AK383" s="26" t="s">
        <v>120</v>
      </c>
      <c r="AL383" s="26" t="s">
        <v>120</v>
      </c>
      <c r="AM383" s="90" t="s">
        <v>119</v>
      </c>
      <c r="AN383" s="105">
        <v>30387</v>
      </c>
      <c r="AO383" s="91">
        <f t="shared" ca="1" si="170"/>
        <v>42</v>
      </c>
      <c r="AP383" s="26" t="s">
        <v>121</v>
      </c>
      <c r="AQ383" s="26" t="s">
        <v>1272</v>
      </c>
      <c r="AR383" s="89"/>
      <c r="AS383" s="27"/>
      <c r="AT383" s="16"/>
      <c r="AU383" s="27"/>
      <c r="AV383" s="86"/>
      <c r="AW383" s="27"/>
      <c r="AX383" s="27"/>
      <c r="AY383" s="27"/>
      <c r="AZ383" s="27"/>
      <c r="BA383" s="27"/>
      <c r="BB383" s="27"/>
      <c r="BC383" s="97"/>
      <c r="BD383" s="27"/>
      <c r="BE383" s="16"/>
      <c r="BF383" s="28">
        <f t="shared" si="158"/>
        <v>0</v>
      </c>
      <c r="BG383" s="29"/>
      <c r="BH383" s="27"/>
      <c r="BI383" s="30">
        <f t="shared" si="159"/>
        <v>328</v>
      </c>
      <c r="BJ383" s="31">
        <f t="shared" si="160"/>
        <v>45657</v>
      </c>
      <c r="BK383" s="27"/>
      <c r="BL383" s="16"/>
      <c r="BM383" s="27"/>
      <c r="BN383" s="16"/>
      <c r="BO383" s="27"/>
      <c r="BP383" s="16"/>
      <c r="BQ383" s="27"/>
      <c r="BR383" s="24"/>
      <c r="BS383" s="24"/>
      <c r="BT383" s="32"/>
      <c r="BU383" s="27"/>
      <c r="BV383" s="24"/>
      <c r="BW383" s="24"/>
      <c r="BX383" s="16"/>
      <c r="BY383" s="27"/>
      <c r="BZ383" s="24"/>
      <c r="CA383" s="24"/>
      <c r="CB383" s="16"/>
      <c r="CC383" s="49">
        <f t="shared" si="161"/>
        <v>0</v>
      </c>
      <c r="CD383" s="24"/>
      <c r="CE383" s="49">
        <f t="shared" si="168"/>
        <v>68877184</v>
      </c>
      <c r="CF383" s="50"/>
      <c r="CG383" s="49">
        <f t="shared" ca="1" si="162"/>
        <v>68877184</v>
      </c>
      <c r="CH383" s="33">
        <f t="shared" ca="1" si="163"/>
        <v>1</v>
      </c>
      <c r="CI383" s="33">
        <f t="shared" ca="1" si="167"/>
        <v>1</v>
      </c>
      <c r="CJ383" s="36">
        <f t="shared" ca="1" si="164"/>
        <v>100</v>
      </c>
      <c r="CK383" s="34">
        <f t="shared" si="165"/>
        <v>0</v>
      </c>
      <c r="CL383" s="21"/>
      <c r="CM383" s="35" t="str">
        <f t="shared" ca="1" si="166"/>
        <v>TERMINADO</v>
      </c>
      <c r="CN383" s="82"/>
      <c r="CO383" s="145" t="s">
        <v>3261</v>
      </c>
      <c r="CP383" s="26" t="s">
        <v>123</v>
      </c>
    </row>
    <row r="384" spans="1:94" ht="24.75" customHeight="1">
      <c r="A384" s="48" t="s">
        <v>3262</v>
      </c>
      <c r="B384" s="77" t="s">
        <v>3263</v>
      </c>
      <c r="C384" s="17" t="s">
        <v>104</v>
      </c>
      <c r="D384" s="18" t="s">
        <v>3264</v>
      </c>
      <c r="E384" s="17" t="s">
        <v>106</v>
      </c>
      <c r="F384" s="17" t="s">
        <v>107</v>
      </c>
      <c r="G384" s="17" t="s">
        <v>108</v>
      </c>
      <c r="H384" s="78">
        <v>1019028544</v>
      </c>
      <c r="I384" s="74" t="s">
        <v>3265</v>
      </c>
      <c r="J384" s="16"/>
      <c r="K384" s="16"/>
      <c r="L384" s="20" t="s">
        <v>3266</v>
      </c>
      <c r="M384" s="16" t="s">
        <v>111</v>
      </c>
      <c r="N384" s="115">
        <v>45323</v>
      </c>
      <c r="O384" s="115">
        <v>45327</v>
      </c>
      <c r="P384" s="115">
        <v>45656</v>
      </c>
      <c r="Q384" s="23">
        <f t="shared" si="169"/>
        <v>329</v>
      </c>
      <c r="R384" s="17" t="s">
        <v>242</v>
      </c>
      <c r="S384" s="117" t="s">
        <v>3267</v>
      </c>
      <c r="T384" s="16" t="s">
        <v>2751</v>
      </c>
      <c r="U384" s="67">
        <v>67229115</v>
      </c>
      <c r="V384" s="16" t="s">
        <v>344</v>
      </c>
      <c r="W384" s="224">
        <v>67229115</v>
      </c>
      <c r="X384" s="24">
        <v>5762496</v>
      </c>
      <c r="Y384" s="24"/>
      <c r="Z384" s="24"/>
      <c r="AA384" s="17" t="s">
        <v>116</v>
      </c>
      <c r="AB384" s="23" t="str">
        <f>IFERROR(VLOOKUP(AA384,Listas!$A$1:$C$14,2,FALSE),"")</f>
        <v>FREDY CÉSPEDES VILLA</v>
      </c>
      <c r="AC384" s="23">
        <f>IFERROR(VLOOKUP(AA384,Listas!$A$1:$C$14,3,FALSE),"")</f>
        <v>93363483</v>
      </c>
      <c r="AD384" s="17" t="s">
        <v>345</v>
      </c>
      <c r="AE384" s="17" t="s">
        <v>632</v>
      </c>
      <c r="AF384" s="23" t="str">
        <f>IFERROR(VLOOKUP(AE384,Listas!$AD$1:$AF$65,2,FALSE),"")</f>
        <v>MANUEL ALBERTO LOZANO CARDONA</v>
      </c>
      <c r="AG384" s="23">
        <f>IFERROR(VLOOKUP(AE384,Listas!$AD$1:$AF$65,3,FALSE),"")</f>
        <v>79940034</v>
      </c>
      <c r="AH384" s="17" t="s">
        <v>118</v>
      </c>
      <c r="AI384" s="65" t="s">
        <v>3268</v>
      </c>
      <c r="AJ384" s="25" t="s">
        <v>119</v>
      </c>
      <c r="AK384" s="26" t="s">
        <v>120</v>
      </c>
      <c r="AL384" s="26" t="s">
        <v>120</v>
      </c>
      <c r="AM384" s="90" t="s">
        <v>119</v>
      </c>
      <c r="AN384" s="105">
        <v>32484</v>
      </c>
      <c r="AO384" s="91">
        <f t="shared" ca="1" si="170"/>
        <v>37</v>
      </c>
      <c r="AP384" s="26" t="s">
        <v>121</v>
      </c>
      <c r="AQ384" s="26" t="s">
        <v>347</v>
      </c>
      <c r="AR384" s="89"/>
      <c r="AS384" s="27"/>
      <c r="AT384" s="16"/>
      <c r="AU384" s="27"/>
      <c r="AV384" s="86"/>
      <c r="AW384" s="27"/>
      <c r="AX384" s="27"/>
      <c r="AY384" s="27"/>
      <c r="AZ384" s="27"/>
      <c r="BA384" s="27"/>
      <c r="BB384" s="27"/>
      <c r="BC384" s="97"/>
      <c r="BD384" s="27"/>
      <c r="BE384" s="16"/>
      <c r="BF384" s="28">
        <f t="shared" si="158"/>
        <v>0</v>
      </c>
      <c r="BG384" s="29"/>
      <c r="BH384" s="27"/>
      <c r="BI384" s="30">
        <f t="shared" si="159"/>
        <v>329</v>
      </c>
      <c r="BJ384" s="31">
        <f t="shared" si="160"/>
        <v>45656</v>
      </c>
      <c r="BK384" s="27"/>
      <c r="BL384" s="16"/>
      <c r="BM384" s="27"/>
      <c r="BN384" s="16"/>
      <c r="BO384" s="27"/>
      <c r="BP384" s="16"/>
      <c r="BQ384" s="27"/>
      <c r="BR384" s="24"/>
      <c r="BS384" s="24"/>
      <c r="BT384" s="32"/>
      <c r="BU384" s="27"/>
      <c r="BV384" s="24"/>
      <c r="BW384" s="24"/>
      <c r="BX384" s="16"/>
      <c r="BY384" s="27"/>
      <c r="BZ384" s="24"/>
      <c r="CA384" s="24"/>
      <c r="CB384" s="16"/>
      <c r="CC384" s="49">
        <f t="shared" si="161"/>
        <v>0</v>
      </c>
      <c r="CD384" s="24"/>
      <c r="CE384" s="49">
        <f t="shared" si="168"/>
        <v>67229115</v>
      </c>
      <c r="CF384" s="50"/>
      <c r="CG384" s="49">
        <f t="shared" ca="1" si="162"/>
        <v>67229115</v>
      </c>
      <c r="CH384" s="33">
        <f t="shared" ca="1" si="163"/>
        <v>1</v>
      </c>
      <c r="CI384" s="33">
        <f t="shared" ca="1" si="167"/>
        <v>1</v>
      </c>
      <c r="CJ384" s="36">
        <f t="shared" ca="1" si="164"/>
        <v>100</v>
      </c>
      <c r="CK384" s="34">
        <f t="shared" si="165"/>
        <v>0</v>
      </c>
      <c r="CL384" s="21"/>
      <c r="CM384" s="35" t="str">
        <f t="shared" ca="1" si="166"/>
        <v>TERMINADO</v>
      </c>
      <c r="CN384" s="82"/>
      <c r="CO384" s="145" t="s">
        <v>3269</v>
      </c>
      <c r="CP384" s="26" t="s">
        <v>142</v>
      </c>
    </row>
    <row r="385" spans="1:94" ht="24.75" customHeight="1">
      <c r="A385" s="48" t="s">
        <v>3270</v>
      </c>
      <c r="B385" s="150" t="s">
        <v>3271</v>
      </c>
      <c r="C385" s="17" t="s">
        <v>104</v>
      </c>
      <c r="D385" s="18" t="s">
        <v>3272</v>
      </c>
      <c r="E385" s="17" t="s">
        <v>106</v>
      </c>
      <c r="F385" s="17" t="s">
        <v>107</v>
      </c>
      <c r="G385" s="17" t="s">
        <v>108</v>
      </c>
      <c r="H385" s="78">
        <v>84452041</v>
      </c>
      <c r="I385" s="74" t="s">
        <v>3273</v>
      </c>
      <c r="J385" s="16"/>
      <c r="K385" s="16"/>
      <c r="L385" s="20" t="s">
        <v>3274</v>
      </c>
      <c r="M385" s="16" t="s">
        <v>111</v>
      </c>
      <c r="N385" s="115">
        <v>45322</v>
      </c>
      <c r="O385" s="115">
        <v>45324</v>
      </c>
      <c r="P385" s="115">
        <v>45656</v>
      </c>
      <c r="Q385" s="23">
        <f t="shared" si="169"/>
        <v>332</v>
      </c>
      <c r="R385" s="17" t="s">
        <v>242</v>
      </c>
      <c r="S385" s="117" t="s">
        <v>3275</v>
      </c>
      <c r="T385" s="16" t="s">
        <v>961</v>
      </c>
      <c r="U385" s="67">
        <v>52965916</v>
      </c>
      <c r="V385" s="16" t="s">
        <v>2615</v>
      </c>
      <c r="W385" s="224">
        <v>52965916</v>
      </c>
      <c r="X385" s="24">
        <v>4413826</v>
      </c>
      <c r="Y385" s="24"/>
      <c r="Z385" s="24"/>
      <c r="AA385" s="17" t="s">
        <v>116</v>
      </c>
      <c r="AB385" s="23" t="str">
        <f>IFERROR(VLOOKUP(AA385,Listas!$A$1:$C$14,2,FALSE),"")</f>
        <v>FREDY CÉSPEDES VILLA</v>
      </c>
      <c r="AC385" s="23">
        <f>IFERROR(VLOOKUP(AA385,Listas!$A$1:$C$14,3,FALSE),"")</f>
        <v>93363483</v>
      </c>
      <c r="AD385" s="17" t="s">
        <v>406</v>
      </c>
      <c r="AE385" s="17" t="s">
        <v>504</v>
      </c>
      <c r="AF385" s="23" t="str">
        <f>IFERROR(VLOOKUP(AE385,Listas!$AD$1:$AF$65,2,FALSE),"")</f>
        <v>EDUARDO ELÍAS BARCHA BOLÍVAR</v>
      </c>
      <c r="AG385" s="23">
        <f>IFERROR(VLOOKUP(AE385,Listas!$AD$1:$AF$65,3,FALSE),"")</f>
        <v>72133921</v>
      </c>
      <c r="AH385" s="17" t="s">
        <v>118</v>
      </c>
      <c r="AI385" s="65" t="s">
        <v>3276</v>
      </c>
      <c r="AJ385" s="25" t="s">
        <v>119</v>
      </c>
      <c r="AK385" s="26" t="s">
        <v>120</v>
      </c>
      <c r="AL385" s="26" t="s">
        <v>120</v>
      </c>
      <c r="AM385" s="90" t="s">
        <v>119</v>
      </c>
      <c r="AN385" s="105">
        <v>30255</v>
      </c>
      <c r="AO385" s="91">
        <f t="shared" ca="1" si="170"/>
        <v>43</v>
      </c>
      <c r="AP385" s="26" t="s">
        <v>121</v>
      </c>
      <c r="AQ385" s="26" t="s">
        <v>409</v>
      </c>
      <c r="AR385" s="89"/>
      <c r="AS385" s="27"/>
      <c r="AT385" s="16"/>
      <c r="AU385" s="27"/>
      <c r="AV385" s="86"/>
      <c r="AW385" s="27"/>
      <c r="AX385" s="27"/>
      <c r="AY385" s="27"/>
      <c r="AZ385" s="27"/>
      <c r="BA385" s="27"/>
      <c r="BB385" s="27"/>
      <c r="BC385" s="97"/>
      <c r="BD385" s="27"/>
      <c r="BE385" s="16"/>
      <c r="BF385" s="28">
        <f t="shared" si="158"/>
        <v>0</v>
      </c>
      <c r="BG385" s="29"/>
      <c r="BH385" s="27"/>
      <c r="BI385" s="30">
        <f t="shared" si="159"/>
        <v>332</v>
      </c>
      <c r="BJ385" s="31">
        <f t="shared" si="160"/>
        <v>45656</v>
      </c>
      <c r="BK385" s="27"/>
      <c r="BL385" s="16"/>
      <c r="BM385" s="27"/>
      <c r="BN385" s="16"/>
      <c r="BO385" s="27"/>
      <c r="BP385" s="16"/>
      <c r="BQ385" s="27"/>
      <c r="BR385" s="24"/>
      <c r="BS385" s="24"/>
      <c r="BT385" s="32"/>
      <c r="BU385" s="27"/>
      <c r="BV385" s="24"/>
      <c r="BW385" s="24"/>
      <c r="BX385" s="16"/>
      <c r="BY385" s="27"/>
      <c r="BZ385" s="24"/>
      <c r="CA385" s="24"/>
      <c r="CB385" s="16"/>
      <c r="CC385" s="49">
        <f t="shared" si="161"/>
        <v>0</v>
      </c>
      <c r="CD385" s="24"/>
      <c r="CE385" s="49">
        <f t="shared" si="168"/>
        <v>52965916</v>
      </c>
      <c r="CF385" s="50"/>
      <c r="CG385" s="49">
        <f t="shared" ca="1" si="162"/>
        <v>52965916</v>
      </c>
      <c r="CH385" s="33">
        <f t="shared" ca="1" si="163"/>
        <v>1</v>
      </c>
      <c r="CI385" s="33">
        <f t="shared" ca="1" si="167"/>
        <v>1</v>
      </c>
      <c r="CJ385" s="36">
        <f t="shared" ca="1" si="164"/>
        <v>100</v>
      </c>
      <c r="CK385" s="34">
        <f t="shared" si="165"/>
        <v>0</v>
      </c>
      <c r="CL385" s="21"/>
      <c r="CM385" s="35" t="str">
        <f t="shared" ca="1" si="166"/>
        <v>TERMINADO</v>
      </c>
      <c r="CN385" s="82"/>
      <c r="CO385" s="145" t="s">
        <v>3277</v>
      </c>
      <c r="CP385" s="26" t="s">
        <v>142</v>
      </c>
    </row>
    <row r="386" spans="1:94" ht="24.75" customHeight="1">
      <c r="A386" s="48" t="s">
        <v>3278</v>
      </c>
      <c r="B386" s="77" t="s">
        <v>3279</v>
      </c>
      <c r="C386" s="17" t="s">
        <v>104</v>
      </c>
      <c r="D386" s="18" t="s">
        <v>3280</v>
      </c>
      <c r="E386" s="17" t="s">
        <v>106</v>
      </c>
      <c r="F386" s="17" t="s">
        <v>107</v>
      </c>
      <c r="G386" s="17" t="s">
        <v>108</v>
      </c>
      <c r="H386" s="78">
        <v>94537254</v>
      </c>
      <c r="I386" s="74" t="s">
        <v>3281</v>
      </c>
      <c r="J386" s="16"/>
      <c r="K386" s="16"/>
      <c r="L386" s="20" t="s">
        <v>3282</v>
      </c>
      <c r="M386" s="16" t="s">
        <v>111</v>
      </c>
      <c r="N386" s="115">
        <v>45321</v>
      </c>
      <c r="O386" s="115">
        <v>45323</v>
      </c>
      <c r="P386" s="115">
        <v>45656</v>
      </c>
      <c r="Q386" s="23">
        <f t="shared" si="169"/>
        <v>333</v>
      </c>
      <c r="R386" s="17" t="s">
        <v>242</v>
      </c>
      <c r="S386" s="117" t="s">
        <v>3259</v>
      </c>
      <c r="T386" s="16" t="s">
        <v>2751</v>
      </c>
      <c r="U386" s="67">
        <v>65884532</v>
      </c>
      <c r="V386" s="16" t="s">
        <v>344</v>
      </c>
      <c r="W386" s="224">
        <v>65884532</v>
      </c>
      <c r="X386" s="24">
        <v>5762496</v>
      </c>
      <c r="Y386" s="24"/>
      <c r="Z386" s="24"/>
      <c r="AA386" s="17" t="s">
        <v>116</v>
      </c>
      <c r="AB386" s="23" t="str">
        <f>IFERROR(VLOOKUP(AA386,Listas!$A$1:$C$14,2,FALSE),"")</f>
        <v>FREDY CÉSPEDES VILLA</v>
      </c>
      <c r="AC386" s="23">
        <f>IFERROR(VLOOKUP(AA386,Listas!$A$1:$C$14,3,FALSE),"")</f>
        <v>93363483</v>
      </c>
      <c r="AD386" s="17" t="s">
        <v>345</v>
      </c>
      <c r="AE386" s="17" t="s">
        <v>632</v>
      </c>
      <c r="AF386" s="23" t="str">
        <f>IFERROR(VLOOKUP(AE386,Listas!$AD$1:$AF$65,2,FALSE),"")</f>
        <v>MANUEL ALBERTO LOZANO CARDONA</v>
      </c>
      <c r="AG386" s="23">
        <f>IFERROR(VLOOKUP(AE386,Listas!$AD$1:$AF$65,3,FALSE),"")</f>
        <v>79940034</v>
      </c>
      <c r="AH386" s="17" t="s">
        <v>118</v>
      </c>
      <c r="AI386" s="65" t="s">
        <v>3283</v>
      </c>
      <c r="AJ386" s="25" t="s">
        <v>119</v>
      </c>
      <c r="AK386" s="26" t="s">
        <v>120</v>
      </c>
      <c r="AL386" s="26" t="s">
        <v>120</v>
      </c>
      <c r="AM386" s="90" t="s">
        <v>119</v>
      </c>
      <c r="AN386" s="105">
        <v>30825</v>
      </c>
      <c r="AO386" s="91">
        <f t="shared" ca="1" si="170"/>
        <v>41</v>
      </c>
      <c r="AP386" s="26" t="s">
        <v>121</v>
      </c>
      <c r="AQ386" s="26" t="s">
        <v>347</v>
      </c>
      <c r="AR386" s="89"/>
      <c r="AS386" s="27"/>
      <c r="AT386" s="16"/>
      <c r="AU386" s="27"/>
      <c r="AV386" s="86"/>
      <c r="AW386" s="27"/>
      <c r="AX386" s="27"/>
      <c r="AY386" s="27"/>
      <c r="AZ386" s="27"/>
      <c r="BA386" s="27"/>
      <c r="BB386" s="27"/>
      <c r="BC386" s="97"/>
      <c r="BD386" s="27"/>
      <c r="BE386" s="16"/>
      <c r="BF386" s="28">
        <f t="shared" si="158"/>
        <v>0</v>
      </c>
      <c r="BG386" s="29"/>
      <c r="BH386" s="27"/>
      <c r="BI386" s="30">
        <f t="shared" si="159"/>
        <v>333</v>
      </c>
      <c r="BJ386" s="31">
        <f t="shared" si="160"/>
        <v>45656</v>
      </c>
      <c r="BK386" s="27"/>
      <c r="BL386" s="16"/>
      <c r="BM386" s="27"/>
      <c r="BN386" s="16"/>
      <c r="BO386" s="27"/>
      <c r="BP386" s="16"/>
      <c r="BQ386" s="27"/>
      <c r="BR386" s="24"/>
      <c r="BS386" s="24"/>
      <c r="BT386" s="32"/>
      <c r="BU386" s="27"/>
      <c r="BV386" s="24"/>
      <c r="BW386" s="24"/>
      <c r="BX386" s="16"/>
      <c r="BY386" s="27"/>
      <c r="BZ386" s="24"/>
      <c r="CA386" s="24"/>
      <c r="CB386" s="16"/>
      <c r="CC386" s="49">
        <f t="shared" si="161"/>
        <v>0</v>
      </c>
      <c r="CD386" s="24"/>
      <c r="CE386" s="49">
        <f>IF(Y386=0,(W385+CC386)-CD386,IF(Y386&gt;0,(Y386+CC386)-CD386))</f>
        <v>52965916</v>
      </c>
      <c r="CF386" s="50"/>
      <c r="CG386" s="49">
        <f t="shared" ca="1" si="162"/>
        <v>52965916</v>
      </c>
      <c r="CH386" s="33">
        <f t="shared" ca="1" si="163"/>
        <v>1</v>
      </c>
      <c r="CI386" s="33">
        <f t="shared" ca="1" si="167"/>
        <v>1</v>
      </c>
      <c r="CJ386" s="36">
        <f t="shared" ca="1" si="164"/>
        <v>100</v>
      </c>
      <c r="CK386" s="34">
        <f t="shared" si="165"/>
        <v>0</v>
      </c>
      <c r="CL386" s="21"/>
      <c r="CM386" s="35" t="str">
        <f t="shared" ca="1" si="166"/>
        <v>TERMINADO</v>
      </c>
      <c r="CN386" s="82"/>
      <c r="CO386" s="145" t="s">
        <v>3284</v>
      </c>
      <c r="CP386" s="26" t="s">
        <v>142</v>
      </c>
    </row>
    <row r="387" spans="1:94" ht="24.75" customHeight="1">
      <c r="A387" s="48" t="s">
        <v>3285</v>
      </c>
      <c r="B387" s="77" t="s">
        <v>3286</v>
      </c>
      <c r="C387" s="17" t="s">
        <v>104</v>
      </c>
      <c r="D387" s="18" t="s">
        <v>3287</v>
      </c>
      <c r="E387" s="17" t="s">
        <v>106</v>
      </c>
      <c r="F387" s="17" t="s">
        <v>107</v>
      </c>
      <c r="G387" s="17" t="s">
        <v>108</v>
      </c>
      <c r="H387" s="78">
        <v>1072714289</v>
      </c>
      <c r="I387" s="74" t="s">
        <v>3288</v>
      </c>
      <c r="J387" s="16"/>
      <c r="K387" s="16"/>
      <c r="L387" s="20" t="s">
        <v>3289</v>
      </c>
      <c r="M387" s="16" t="s">
        <v>111</v>
      </c>
      <c r="N387" s="115">
        <v>45321</v>
      </c>
      <c r="O387" s="22">
        <v>45323</v>
      </c>
      <c r="P387" s="115">
        <v>45473</v>
      </c>
      <c r="Q387" s="23">
        <f t="shared" si="169"/>
        <v>150</v>
      </c>
      <c r="R387" s="17" t="s">
        <v>242</v>
      </c>
      <c r="S387" s="117" t="s">
        <v>3290</v>
      </c>
      <c r="T387" s="16" t="s">
        <v>1249</v>
      </c>
      <c r="U387" s="67">
        <v>57326500</v>
      </c>
      <c r="V387" s="16" t="s">
        <v>3291</v>
      </c>
      <c r="W387" s="224">
        <v>57326500</v>
      </c>
      <c r="X387" s="24">
        <v>10423000</v>
      </c>
      <c r="Y387" s="24"/>
      <c r="Z387" s="24"/>
      <c r="AA387" s="17" t="s">
        <v>116</v>
      </c>
      <c r="AB387" s="23" t="str">
        <f>IFERROR(VLOOKUP(AA387,Listas!$A$1:$C$14,2,FALSE),"")</f>
        <v>FREDY CÉSPEDES VILLA</v>
      </c>
      <c r="AC387" s="23">
        <f>IFERROR(VLOOKUP(AA387,Listas!$A$1:$C$14,3,FALSE),"")</f>
        <v>93363483</v>
      </c>
      <c r="AD387" s="17" t="s">
        <v>577</v>
      </c>
      <c r="AE387" s="17" t="s">
        <v>578</v>
      </c>
      <c r="AF387" s="23" t="str">
        <f>IFERROR(VLOOKUP(AE387,Listas!$AD$1:$AF$65,2,FALSE),"")</f>
        <v>EDGAR FABIO DÍAZ RAMIREZ</v>
      </c>
      <c r="AG387" s="23">
        <f>IFERROR(VLOOKUP(AE387,Listas!$AD$1:$AF$65,3,FALSE),"")</f>
        <v>79537198</v>
      </c>
      <c r="AH387" s="17" t="s">
        <v>118</v>
      </c>
      <c r="AI387" s="65" t="s">
        <v>3292</v>
      </c>
      <c r="AJ387" s="25" t="s">
        <v>119</v>
      </c>
      <c r="AK387" s="26" t="s">
        <v>120</v>
      </c>
      <c r="AL387" s="26" t="s">
        <v>120</v>
      </c>
      <c r="AM387" s="90" t="s">
        <v>119</v>
      </c>
      <c r="AN387" s="105">
        <v>35592</v>
      </c>
      <c r="AO387" s="91">
        <f t="shared" ca="1" si="170"/>
        <v>28</v>
      </c>
      <c r="AP387" s="26" t="s">
        <v>121</v>
      </c>
      <c r="AQ387" s="26" t="s">
        <v>886</v>
      </c>
      <c r="AR387" s="89"/>
      <c r="AS387" s="27"/>
      <c r="AT387" s="16"/>
      <c r="AU387" s="27"/>
      <c r="AV387" s="86"/>
      <c r="AW387" s="27"/>
      <c r="AX387" s="27"/>
      <c r="AY387" s="27"/>
      <c r="AZ387" s="27"/>
      <c r="BA387" s="27"/>
      <c r="BB387" s="27"/>
      <c r="BC387" s="97"/>
      <c r="BD387" s="27"/>
      <c r="BE387" s="16"/>
      <c r="BF387" s="28">
        <f t="shared" si="158"/>
        <v>0</v>
      </c>
      <c r="BG387" s="29"/>
      <c r="BH387" s="27"/>
      <c r="BI387" s="30">
        <f t="shared" si="159"/>
        <v>150</v>
      </c>
      <c r="BJ387" s="31">
        <f t="shared" si="160"/>
        <v>45473</v>
      </c>
      <c r="BK387" s="27"/>
      <c r="BL387" s="16"/>
      <c r="BM387" s="27"/>
      <c r="BN387" s="16"/>
      <c r="BO387" s="27"/>
      <c r="BP387" s="16"/>
      <c r="BQ387" s="27"/>
      <c r="BR387" s="24"/>
      <c r="BS387" s="24"/>
      <c r="BT387" s="32"/>
      <c r="BU387" s="27"/>
      <c r="BV387" s="24"/>
      <c r="BW387" s="24"/>
      <c r="BX387" s="16"/>
      <c r="BY387" s="27"/>
      <c r="BZ387" s="24"/>
      <c r="CA387" s="24"/>
      <c r="CB387" s="16"/>
      <c r="CC387" s="49">
        <f t="shared" si="161"/>
        <v>0</v>
      </c>
      <c r="CD387" s="24"/>
      <c r="CE387" s="49">
        <f>IF(Y387=0,(W387+CC387)-CD387,IF(Y387&gt;0,(Y387+CC387)-CD387))</f>
        <v>57326500</v>
      </c>
      <c r="CF387" s="50"/>
      <c r="CG387" s="49">
        <f t="shared" ca="1" si="162"/>
        <v>57326500</v>
      </c>
      <c r="CH387" s="33">
        <f t="shared" ca="1" si="163"/>
        <v>1</v>
      </c>
      <c r="CI387" s="33">
        <f t="shared" ca="1" si="167"/>
        <v>1</v>
      </c>
      <c r="CJ387" s="36">
        <f t="shared" ca="1" si="164"/>
        <v>100</v>
      </c>
      <c r="CK387" s="34">
        <f t="shared" si="165"/>
        <v>0</v>
      </c>
      <c r="CL387" s="21"/>
      <c r="CM387" s="35" t="str">
        <f t="shared" ca="1" si="166"/>
        <v>TERMINADO</v>
      </c>
      <c r="CN387" s="82"/>
      <c r="CO387" s="145" t="s">
        <v>3293</v>
      </c>
      <c r="CP387" s="26" t="s">
        <v>142</v>
      </c>
    </row>
    <row r="388" spans="1:94" ht="24.75" customHeight="1">
      <c r="A388" s="48" t="s">
        <v>3294</v>
      </c>
      <c r="B388" s="77" t="s">
        <v>3295</v>
      </c>
      <c r="C388" s="17" t="s">
        <v>104</v>
      </c>
      <c r="D388" s="18" t="s">
        <v>3296</v>
      </c>
      <c r="E388" s="17" t="s">
        <v>106</v>
      </c>
      <c r="F388" s="17" t="s">
        <v>107</v>
      </c>
      <c r="G388" s="17" t="s">
        <v>108</v>
      </c>
      <c r="H388" s="78">
        <v>80021236</v>
      </c>
      <c r="I388" s="74" t="s">
        <v>3297</v>
      </c>
      <c r="J388" s="16"/>
      <c r="K388" s="16"/>
      <c r="L388" s="20" t="s">
        <v>3298</v>
      </c>
      <c r="M388" s="16" t="s">
        <v>111</v>
      </c>
      <c r="N388" s="115">
        <v>45322</v>
      </c>
      <c r="O388" s="115">
        <v>45322</v>
      </c>
      <c r="P388" s="115">
        <v>45656</v>
      </c>
      <c r="Q388" s="23">
        <f t="shared" si="169"/>
        <v>334</v>
      </c>
      <c r="R388" s="17" t="s">
        <v>242</v>
      </c>
      <c r="S388" s="117" t="s">
        <v>3299</v>
      </c>
      <c r="T388" s="16" t="s">
        <v>2751</v>
      </c>
      <c r="U388" s="67">
        <v>56133246</v>
      </c>
      <c r="V388" s="16" t="s">
        <v>344</v>
      </c>
      <c r="W388" s="224">
        <v>56133246</v>
      </c>
      <c r="X388" s="24">
        <v>5026858</v>
      </c>
      <c r="Y388" s="24"/>
      <c r="Z388" s="24"/>
      <c r="AA388" s="17" t="s">
        <v>116</v>
      </c>
      <c r="AB388" s="23" t="str">
        <f>IFERROR(VLOOKUP(AA388,Listas!$A$1:$C$14,2,FALSE),"")</f>
        <v>FREDY CÉSPEDES VILLA</v>
      </c>
      <c r="AC388" s="23">
        <f>IFERROR(VLOOKUP(AA388,Listas!$A$1:$C$14,3,FALSE),"")</f>
        <v>93363483</v>
      </c>
      <c r="AD388" s="17" t="s">
        <v>345</v>
      </c>
      <c r="AE388" s="17" t="s">
        <v>346</v>
      </c>
      <c r="AF388" s="23" t="str">
        <f>IFERROR(VLOOKUP(AE388,Listas!$AD$1:$AF$65,2,FALSE),"")</f>
        <v>RODOLFO GIOVANNI CANCHILA SUÁREZ</v>
      </c>
      <c r="AG388" s="23">
        <f>IFERROR(VLOOKUP(AE388,Listas!$AD$1:$AF$65,3,FALSE),"")</f>
        <v>79672493</v>
      </c>
      <c r="AH388" s="17" t="s">
        <v>118</v>
      </c>
      <c r="AI388" s="65" t="s">
        <v>3300</v>
      </c>
      <c r="AJ388" s="25" t="s">
        <v>119</v>
      </c>
      <c r="AK388" s="26" t="s">
        <v>120</v>
      </c>
      <c r="AL388" s="26" t="s">
        <v>120</v>
      </c>
      <c r="AM388" s="90" t="s">
        <v>119</v>
      </c>
      <c r="AN388" s="105">
        <v>28832</v>
      </c>
      <c r="AO388" s="91">
        <f t="shared" ca="1" si="170"/>
        <v>47</v>
      </c>
      <c r="AP388" s="26" t="s">
        <v>121</v>
      </c>
      <c r="AQ388" s="26" t="s">
        <v>367</v>
      </c>
      <c r="AR388" s="89"/>
      <c r="AS388" s="27"/>
      <c r="AT388" s="16"/>
      <c r="AU388" s="27"/>
      <c r="AV388" s="86"/>
      <c r="AW388" s="27"/>
      <c r="AX388" s="27"/>
      <c r="AY388" s="27"/>
      <c r="AZ388" s="27"/>
      <c r="BA388" s="27"/>
      <c r="BB388" s="27"/>
      <c r="BC388" s="97"/>
      <c r="BD388" s="27"/>
      <c r="BE388" s="16"/>
      <c r="BF388" s="28">
        <f t="shared" si="158"/>
        <v>0</v>
      </c>
      <c r="BG388" s="29"/>
      <c r="BH388" s="27"/>
      <c r="BI388" s="30">
        <f t="shared" si="159"/>
        <v>334</v>
      </c>
      <c r="BJ388" s="31">
        <f t="shared" si="160"/>
        <v>45656</v>
      </c>
      <c r="BK388" s="27"/>
      <c r="BL388" s="16"/>
      <c r="BM388" s="27"/>
      <c r="BN388" s="16"/>
      <c r="BO388" s="27"/>
      <c r="BP388" s="16"/>
      <c r="BQ388" s="27"/>
      <c r="BR388" s="24"/>
      <c r="BS388" s="24"/>
      <c r="BT388" s="32"/>
      <c r="BU388" s="27"/>
      <c r="BV388" s="24"/>
      <c r="BW388" s="24"/>
      <c r="BX388" s="16"/>
      <c r="BY388" s="27"/>
      <c r="BZ388" s="24"/>
      <c r="CA388" s="24"/>
      <c r="CB388" s="16"/>
      <c r="CC388" s="49">
        <f t="shared" si="161"/>
        <v>0</v>
      </c>
      <c r="CD388" s="24"/>
      <c r="CE388" s="49">
        <f>IF(Y388=0,(W388+CC388)-CD388,IF(Y388&gt;0,(Y388+CC388)-CD388))</f>
        <v>56133246</v>
      </c>
      <c r="CF388" s="50"/>
      <c r="CG388" s="49">
        <f t="shared" ca="1" si="162"/>
        <v>56133246</v>
      </c>
      <c r="CH388" s="33">
        <f t="shared" ca="1" si="163"/>
        <v>1</v>
      </c>
      <c r="CI388" s="33">
        <f t="shared" ca="1" si="167"/>
        <v>1</v>
      </c>
      <c r="CJ388" s="36">
        <f t="shared" ca="1" si="164"/>
        <v>100</v>
      </c>
      <c r="CK388" s="34">
        <f t="shared" si="165"/>
        <v>0</v>
      </c>
      <c r="CL388" s="21"/>
      <c r="CM388" s="35" t="str">
        <f t="shared" ca="1" si="166"/>
        <v>TERMINADO</v>
      </c>
      <c r="CN388" s="82"/>
      <c r="CO388" s="145" t="s">
        <v>3301</v>
      </c>
      <c r="CP388" s="26" t="s">
        <v>142</v>
      </c>
    </row>
    <row r="389" spans="1:94" ht="24.75" customHeight="1">
      <c r="A389" s="48" t="s">
        <v>3302</v>
      </c>
      <c r="B389" s="77" t="s">
        <v>3303</v>
      </c>
      <c r="C389" s="17" t="s">
        <v>104</v>
      </c>
      <c r="D389" s="18" t="s">
        <v>3304</v>
      </c>
      <c r="E389" s="17" t="s">
        <v>106</v>
      </c>
      <c r="F389" s="17" t="s">
        <v>107</v>
      </c>
      <c r="G389" s="17" t="s">
        <v>108</v>
      </c>
      <c r="H389" s="78">
        <v>20358868</v>
      </c>
      <c r="I389" s="74" t="s">
        <v>3305</v>
      </c>
      <c r="J389" s="16"/>
      <c r="K389" s="16"/>
      <c r="L389" s="20" t="s">
        <v>3306</v>
      </c>
      <c r="M389" s="16" t="s">
        <v>111</v>
      </c>
      <c r="N389" s="115">
        <v>45322</v>
      </c>
      <c r="O389" s="115">
        <v>45322</v>
      </c>
      <c r="P389" s="115">
        <v>45656</v>
      </c>
      <c r="Q389" s="23">
        <f t="shared" si="169"/>
        <v>334</v>
      </c>
      <c r="R389" s="17" t="s">
        <v>242</v>
      </c>
      <c r="S389" s="117" t="s">
        <v>3307</v>
      </c>
      <c r="T389" s="16" t="s">
        <v>364</v>
      </c>
      <c r="U389" s="67">
        <v>90630568</v>
      </c>
      <c r="V389" s="16" t="s">
        <v>365</v>
      </c>
      <c r="W389" s="224">
        <v>90630568</v>
      </c>
      <c r="X389" s="24">
        <v>8092015</v>
      </c>
      <c r="Y389" s="24"/>
      <c r="Z389" s="24"/>
      <c r="AA389" s="17" t="s">
        <v>116</v>
      </c>
      <c r="AB389" s="23" t="str">
        <f>IFERROR(VLOOKUP(AA389,Listas!$A$1:$C$14,2,FALSE),"")</f>
        <v>FREDY CÉSPEDES VILLA</v>
      </c>
      <c r="AC389" s="23">
        <f>IFERROR(VLOOKUP(AA389,Listas!$A$1:$C$14,3,FALSE),"")</f>
        <v>93363483</v>
      </c>
      <c r="AD389" s="17" t="s">
        <v>345</v>
      </c>
      <c r="AE389" s="17" t="s">
        <v>346</v>
      </c>
      <c r="AF389" s="23" t="str">
        <f>IFERROR(VLOOKUP(AE389,Listas!$AD$1:$AF$65,2,FALSE),"")</f>
        <v>RODOLFO GIOVANNI CANCHILA SUÁREZ</v>
      </c>
      <c r="AG389" s="23">
        <f>IFERROR(VLOOKUP(AE389,Listas!$AD$1:$AF$65,3,FALSE),"")</f>
        <v>79672493</v>
      </c>
      <c r="AH389" s="17" t="s">
        <v>118</v>
      </c>
      <c r="AI389" s="65" t="s">
        <v>3308</v>
      </c>
      <c r="AJ389" s="25" t="s">
        <v>119</v>
      </c>
      <c r="AK389" s="26" t="s">
        <v>120</v>
      </c>
      <c r="AL389" s="26" t="s">
        <v>120</v>
      </c>
      <c r="AM389" s="90" t="s">
        <v>119</v>
      </c>
      <c r="AN389" s="105" t="s">
        <v>3309</v>
      </c>
      <c r="AO389" s="91" t="e">
        <f t="shared" ca="1" si="170"/>
        <v>#VALUE!</v>
      </c>
      <c r="AP389" s="26" t="s">
        <v>121</v>
      </c>
      <c r="AQ389" s="26" t="s">
        <v>367</v>
      </c>
      <c r="AR389" s="89"/>
      <c r="AS389" s="27"/>
      <c r="AT389" s="16"/>
      <c r="AU389" s="27"/>
      <c r="AV389" s="86"/>
      <c r="AW389" s="27"/>
      <c r="AX389" s="27"/>
      <c r="AY389" s="27"/>
      <c r="AZ389" s="27"/>
      <c r="BA389" s="27"/>
      <c r="BB389" s="27"/>
      <c r="BC389" s="97"/>
      <c r="BD389" s="27"/>
      <c r="BE389" s="16"/>
      <c r="BF389" s="28">
        <f t="shared" si="158"/>
        <v>0</v>
      </c>
      <c r="BG389" s="29"/>
      <c r="BH389" s="27"/>
      <c r="BI389" s="30">
        <f t="shared" si="159"/>
        <v>334</v>
      </c>
      <c r="BJ389" s="31">
        <f t="shared" si="160"/>
        <v>45656</v>
      </c>
      <c r="BK389" s="27"/>
      <c r="BL389" s="16"/>
      <c r="BM389" s="27"/>
      <c r="BN389" s="16"/>
      <c r="BO389" s="27"/>
      <c r="BP389" s="16"/>
      <c r="BQ389" s="27"/>
      <c r="BR389" s="24"/>
      <c r="BS389" s="24"/>
      <c r="BT389" s="32"/>
      <c r="BU389" s="27"/>
      <c r="BV389" s="24"/>
      <c r="BW389" s="24"/>
      <c r="BX389" s="16"/>
      <c r="BY389" s="27"/>
      <c r="BZ389" s="24"/>
      <c r="CA389" s="24"/>
      <c r="CB389" s="16"/>
      <c r="CC389" s="49">
        <f t="shared" si="161"/>
        <v>0</v>
      </c>
      <c r="CD389" s="24"/>
      <c r="CE389" s="49">
        <f>IF(Y389=0,(X389+CC389)-CD389,IF(Y389&gt;0,(Y389+CC389)-CD389))</f>
        <v>8092015</v>
      </c>
      <c r="CF389" s="50"/>
      <c r="CG389" s="49">
        <f t="shared" ca="1" si="162"/>
        <v>8092015</v>
      </c>
      <c r="CH389" s="33">
        <f t="shared" ca="1" si="163"/>
        <v>1</v>
      </c>
      <c r="CI389" s="33">
        <f t="shared" ca="1" si="167"/>
        <v>1</v>
      </c>
      <c r="CJ389" s="36">
        <f t="shared" ca="1" si="164"/>
        <v>100</v>
      </c>
      <c r="CK389" s="34">
        <f t="shared" si="165"/>
        <v>0</v>
      </c>
      <c r="CL389" s="21"/>
      <c r="CM389" s="35" t="str">
        <f t="shared" ca="1" si="166"/>
        <v>TERMINADO</v>
      </c>
      <c r="CN389" s="82"/>
      <c r="CO389" s="145" t="s">
        <v>3310</v>
      </c>
      <c r="CP389" s="26" t="s">
        <v>123</v>
      </c>
    </row>
    <row r="390" spans="1:94" ht="24.75" customHeight="1">
      <c r="A390" s="48" t="s">
        <v>3311</v>
      </c>
      <c r="B390" s="77" t="s">
        <v>3312</v>
      </c>
      <c r="C390" s="17" t="s">
        <v>104</v>
      </c>
      <c r="D390" s="18" t="s">
        <v>3313</v>
      </c>
      <c r="E390" s="17" t="s">
        <v>106</v>
      </c>
      <c r="F390" s="17" t="s">
        <v>107</v>
      </c>
      <c r="G390" s="17" t="s">
        <v>108</v>
      </c>
      <c r="H390" s="78">
        <v>1225090536</v>
      </c>
      <c r="I390" s="74" t="s">
        <v>3314</v>
      </c>
      <c r="J390" s="16"/>
      <c r="K390" s="16"/>
      <c r="L390" s="20" t="s">
        <v>3315</v>
      </c>
      <c r="M390" s="16" t="s">
        <v>111</v>
      </c>
      <c r="N390" s="115">
        <v>45322</v>
      </c>
      <c r="O390" s="115">
        <v>45322</v>
      </c>
      <c r="P390" s="115">
        <v>45656</v>
      </c>
      <c r="Q390" s="23">
        <f t="shared" si="169"/>
        <v>334</v>
      </c>
      <c r="R390" s="17" t="s">
        <v>242</v>
      </c>
      <c r="S390" s="117" t="s">
        <v>3316</v>
      </c>
      <c r="T390" s="16" t="s">
        <v>364</v>
      </c>
      <c r="U390" s="67">
        <v>55630560</v>
      </c>
      <c r="V390" s="16" t="s">
        <v>365</v>
      </c>
      <c r="W390" s="224">
        <v>55630560</v>
      </c>
      <c r="X390" s="24">
        <v>4659900</v>
      </c>
      <c r="Y390" s="24"/>
      <c r="Z390" s="24"/>
      <c r="AA390" s="17" t="s">
        <v>116</v>
      </c>
      <c r="AB390" s="23" t="str">
        <f>IFERROR(VLOOKUP(AA390,Listas!$A$1:$C$14,2,FALSE),"")</f>
        <v>FREDY CÉSPEDES VILLA</v>
      </c>
      <c r="AC390" s="23">
        <f>IFERROR(VLOOKUP(AA390,Listas!$A$1:$C$14,3,FALSE),"")</f>
        <v>93363483</v>
      </c>
      <c r="AD390" s="17" t="s">
        <v>345</v>
      </c>
      <c r="AE390" s="17" t="s">
        <v>346</v>
      </c>
      <c r="AF390" s="23" t="str">
        <f>IFERROR(VLOOKUP(AE390,Listas!$AD$1:$AF$65,2,FALSE),"")</f>
        <v>RODOLFO GIOVANNI CANCHILA SUÁREZ</v>
      </c>
      <c r="AG390" s="23">
        <f>IFERROR(VLOOKUP(AE390,Listas!$AD$1:$AF$65,3,FALSE),"")</f>
        <v>79672493</v>
      </c>
      <c r="AH390" s="17" t="s">
        <v>118</v>
      </c>
      <c r="AI390" s="65" t="s">
        <v>3317</v>
      </c>
      <c r="AJ390" s="25" t="s">
        <v>119</v>
      </c>
      <c r="AK390" s="26" t="s">
        <v>120</v>
      </c>
      <c r="AL390" s="26" t="s">
        <v>120</v>
      </c>
      <c r="AM390" s="90" t="s">
        <v>119</v>
      </c>
      <c r="AN390" s="105">
        <v>35901</v>
      </c>
      <c r="AO390" s="91">
        <f t="shared" ca="1" si="170"/>
        <v>27</v>
      </c>
      <c r="AP390" s="26" t="s">
        <v>121</v>
      </c>
      <c r="AQ390" s="26" t="s">
        <v>367</v>
      </c>
      <c r="AR390" s="89"/>
      <c r="AS390" s="27"/>
      <c r="AT390" s="16"/>
      <c r="AU390" s="27"/>
      <c r="AV390" s="86"/>
      <c r="AW390" s="27"/>
      <c r="AX390" s="27"/>
      <c r="AY390" s="27"/>
      <c r="AZ390" s="27"/>
      <c r="BA390" s="27"/>
      <c r="BB390" s="27"/>
      <c r="BC390" s="97"/>
      <c r="BD390" s="27"/>
      <c r="BE390" s="16"/>
      <c r="BF390" s="28">
        <f t="shared" si="158"/>
        <v>0</v>
      </c>
      <c r="BG390" s="29"/>
      <c r="BH390" s="27"/>
      <c r="BI390" s="30">
        <f t="shared" si="159"/>
        <v>334</v>
      </c>
      <c r="BJ390" s="31">
        <f t="shared" si="160"/>
        <v>45656</v>
      </c>
      <c r="BK390" s="27"/>
      <c r="BL390" s="16"/>
      <c r="BM390" s="27"/>
      <c r="BN390" s="16"/>
      <c r="BO390" s="27"/>
      <c r="BP390" s="16"/>
      <c r="BQ390" s="27"/>
      <c r="BR390" s="24"/>
      <c r="BS390" s="24"/>
      <c r="BT390" s="32"/>
      <c r="BU390" s="27"/>
      <c r="BV390" s="24"/>
      <c r="BW390" s="24"/>
      <c r="BX390" s="16"/>
      <c r="BY390" s="27"/>
      <c r="BZ390" s="24"/>
      <c r="CA390" s="24"/>
      <c r="CB390" s="16"/>
      <c r="CC390" s="49">
        <f t="shared" si="161"/>
        <v>0</v>
      </c>
      <c r="CD390" s="24"/>
      <c r="CE390" s="49">
        <f>IF(U390=0,(W390+CC390)-CD390,IF(U390&gt;0,(U390+CC390)-CD390))</f>
        <v>55630560</v>
      </c>
      <c r="CF390" s="50"/>
      <c r="CG390" s="49">
        <f t="shared" ca="1" si="162"/>
        <v>55630560</v>
      </c>
      <c r="CH390" s="33">
        <f t="shared" ca="1" si="163"/>
        <v>1</v>
      </c>
      <c r="CI390" s="33">
        <f t="shared" ca="1" si="167"/>
        <v>1</v>
      </c>
      <c r="CJ390" s="36">
        <f t="shared" ca="1" si="164"/>
        <v>100</v>
      </c>
      <c r="CK390" s="34">
        <f t="shared" si="165"/>
        <v>0</v>
      </c>
      <c r="CL390" s="21"/>
      <c r="CM390" s="35" t="str">
        <f t="shared" ca="1" si="166"/>
        <v>TERMINADO</v>
      </c>
      <c r="CN390" s="82"/>
      <c r="CO390" s="145" t="s">
        <v>3318</v>
      </c>
      <c r="CP390" s="26" t="s">
        <v>142</v>
      </c>
    </row>
    <row r="391" spans="1:94" ht="24.75" customHeight="1">
      <c r="A391" s="48" t="s">
        <v>3319</v>
      </c>
      <c r="B391" s="77" t="s">
        <v>3320</v>
      </c>
      <c r="C391" s="17" t="s">
        <v>104</v>
      </c>
      <c r="D391" s="18" t="s">
        <v>3321</v>
      </c>
      <c r="E391" s="17" t="s">
        <v>106</v>
      </c>
      <c r="F391" s="17" t="s">
        <v>107</v>
      </c>
      <c r="G391" s="17" t="s">
        <v>108</v>
      </c>
      <c r="H391" s="78">
        <v>1024475406</v>
      </c>
      <c r="I391" s="74" t="s">
        <v>3322</v>
      </c>
      <c r="J391" s="16"/>
      <c r="K391" s="16"/>
      <c r="L391" s="20" t="s">
        <v>3323</v>
      </c>
      <c r="M391" s="16" t="s">
        <v>111</v>
      </c>
      <c r="N391" s="115">
        <v>45322</v>
      </c>
      <c r="O391" s="115">
        <v>45324</v>
      </c>
      <c r="P391" s="115">
        <v>45656</v>
      </c>
      <c r="Q391" s="23">
        <f t="shared" si="169"/>
        <v>332</v>
      </c>
      <c r="R391" s="17" t="s">
        <v>242</v>
      </c>
      <c r="S391" s="117" t="s">
        <v>3324</v>
      </c>
      <c r="T391" s="16" t="s">
        <v>3325</v>
      </c>
      <c r="U391" s="67">
        <v>88549899</v>
      </c>
      <c r="V391" s="16" t="s">
        <v>437</v>
      </c>
      <c r="W391" s="224">
        <v>88549899</v>
      </c>
      <c r="X391" s="24">
        <v>7767535</v>
      </c>
      <c r="Y391" s="24"/>
      <c r="Z391" s="24"/>
      <c r="AA391" s="17" t="s">
        <v>116</v>
      </c>
      <c r="AB391" s="23" t="str">
        <f>IFERROR(VLOOKUP(AA391,Listas!$A$1:$C$14,2,FALSE),"")</f>
        <v>FREDY CÉSPEDES VILLA</v>
      </c>
      <c r="AC391" s="23">
        <f>IFERROR(VLOOKUP(AA391,Listas!$A$1:$C$14,3,FALSE),"")</f>
        <v>93363483</v>
      </c>
      <c r="AD391" s="17" t="s">
        <v>345</v>
      </c>
      <c r="AE391" s="17" t="s">
        <v>632</v>
      </c>
      <c r="AF391" s="23" t="str">
        <f>IFERROR(VLOOKUP(AE391,Listas!$AD$1:$AF$65,2,FALSE),"")</f>
        <v>MANUEL ALBERTO LOZANO CARDONA</v>
      </c>
      <c r="AG391" s="23">
        <f>IFERROR(VLOOKUP(AE391,Listas!$AD$1:$AF$65,3,FALSE),"")</f>
        <v>79940034</v>
      </c>
      <c r="AH391" s="17" t="s">
        <v>118</v>
      </c>
      <c r="AI391" s="65" t="s">
        <v>3326</v>
      </c>
      <c r="AJ391" s="25" t="s">
        <v>119</v>
      </c>
      <c r="AK391" s="26" t="s">
        <v>120</v>
      </c>
      <c r="AL391" s="26" t="s">
        <v>120</v>
      </c>
      <c r="AM391" s="90" t="s">
        <v>119</v>
      </c>
      <c r="AN391" s="105">
        <v>32011</v>
      </c>
      <c r="AO391" s="91">
        <f t="shared" ca="1" si="170"/>
        <v>38</v>
      </c>
      <c r="AP391" s="26" t="s">
        <v>121</v>
      </c>
      <c r="AQ391" s="26" t="s">
        <v>347</v>
      </c>
      <c r="AR391" s="89"/>
      <c r="AS391" s="27"/>
      <c r="AT391" s="16"/>
      <c r="AU391" s="27"/>
      <c r="AV391" s="86"/>
      <c r="AW391" s="27"/>
      <c r="AX391" s="27"/>
      <c r="AY391" s="27"/>
      <c r="AZ391" s="27"/>
      <c r="BA391" s="27"/>
      <c r="BB391" s="27"/>
      <c r="BC391" s="97"/>
      <c r="BD391" s="27"/>
      <c r="BE391" s="16"/>
      <c r="BF391" s="28">
        <f t="shared" si="158"/>
        <v>0</v>
      </c>
      <c r="BG391" s="29"/>
      <c r="BH391" s="27"/>
      <c r="BI391" s="30">
        <f t="shared" si="159"/>
        <v>332</v>
      </c>
      <c r="BJ391" s="31">
        <f t="shared" si="160"/>
        <v>45656</v>
      </c>
      <c r="BK391" s="27"/>
      <c r="BL391" s="16"/>
      <c r="BM391" s="27"/>
      <c r="BN391" s="16"/>
      <c r="BO391" s="27"/>
      <c r="BP391" s="16"/>
      <c r="BQ391" s="27"/>
      <c r="BR391" s="24"/>
      <c r="BS391" s="24"/>
      <c r="BT391" s="32"/>
      <c r="BU391" s="27"/>
      <c r="BV391" s="24"/>
      <c r="BW391" s="24"/>
      <c r="BX391" s="16"/>
      <c r="BY391" s="27"/>
      <c r="BZ391" s="24"/>
      <c r="CA391" s="24"/>
      <c r="CB391" s="16"/>
      <c r="CC391" s="49">
        <f t="shared" si="161"/>
        <v>0</v>
      </c>
      <c r="CD391" s="24"/>
      <c r="CE391" s="49">
        <f t="shared" ref="CE391:CE422" si="171">IF(Y391=0,(W391+CC391)-CD391,IF(Y391&gt;0,(Y391+CC391)-CD391))</f>
        <v>88549899</v>
      </c>
      <c r="CF391" s="50"/>
      <c r="CG391" s="49">
        <f t="shared" ca="1" si="162"/>
        <v>88549899</v>
      </c>
      <c r="CH391" s="33">
        <f t="shared" ca="1" si="163"/>
        <v>1</v>
      </c>
      <c r="CI391" s="33">
        <f t="shared" ca="1" si="167"/>
        <v>1</v>
      </c>
      <c r="CJ391" s="36">
        <f t="shared" ca="1" si="164"/>
        <v>100</v>
      </c>
      <c r="CK391" s="34">
        <f t="shared" si="165"/>
        <v>0</v>
      </c>
      <c r="CL391" s="21"/>
      <c r="CM391" s="35" t="str">
        <f t="shared" ca="1" si="166"/>
        <v>TERMINADO</v>
      </c>
      <c r="CN391" s="82"/>
      <c r="CO391" s="145" t="s">
        <v>3327</v>
      </c>
      <c r="CP391" s="26" t="s">
        <v>142</v>
      </c>
    </row>
    <row r="392" spans="1:94" ht="24.75" customHeight="1">
      <c r="A392" s="48" t="s">
        <v>3328</v>
      </c>
      <c r="B392" s="77" t="s">
        <v>3329</v>
      </c>
      <c r="C392" s="17" t="s">
        <v>104</v>
      </c>
      <c r="D392" s="18" t="s">
        <v>3330</v>
      </c>
      <c r="E392" s="17" t="s">
        <v>106</v>
      </c>
      <c r="F392" s="17" t="s">
        <v>107</v>
      </c>
      <c r="G392" s="17" t="s">
        <v>108</v>
      </c>
      <c r="H392" s="78">
        <v>79833017</v>
      </c>
      <c r="I392" s="74" t="s">
        <v>3331</v>
      </c>
      <c r="J392" s="16"/>
      <c r="K392" s="16"/>
      <c r="L392" s="20" t="s">
        <v>3332</v>
      </c>
      <c r="M392" s="16" t="s">
        <v>111</v>
      </c>
      <c r="N392" s="115">
        <v>45321</v>
      </c>
      <c r="O392" s="115">
        <v>45324</v>
      </c>
      <c r="P392" s="115">
        <v>45657</v>
      </c>
      <c r="Q392" s="23">
        <f t="shared" si="169"/>
        <v>333</v>
      </c>
      <c r="R392" s="17" t="s">
        <v>112</v>
      </c>
      <c r="S392" s="117" t="s">
        <v>3333</v>
      </c>
      <c r="T392" s="16" t="s">
        <v>114</v>
      </c>
      <c r="U392" s="67">
        <v>97439569</v>
      </c>
      <c r="V392" s="16" t="s">
        <v>3334</v>
      </c>
      <c r="W392" s="224">
        <v>97439569</v>
      </c>
      <c r="X392" s="24">
        <v>8119964</v>
      </c>
      <c r="Y392" s="24"/>
      <c r="Z392" s="24"/>
      <c r="AA392" s="17" t="s">
        <v>116</v>
      </c>
      <c r="AB392" s="23" t="str">
        <f>IFERROR(VLOOKUP(AA392,Listas!$A$1:$C$14,2,FALSE),"")</f>
        <v>FREDY CÉSPEDES VILLA</v>
      </c>
      <c r="AC392" s="23">
        <f>IFERROR(VLOOKUP(AA392,Listas!$A$1:$C$14,3,FALSE),"")</f>
        <v>93363483</v>
      </c>
      <c r="AD392" s="17" t="s">
        <v>116</v>
      </c>
      <c r="AE392" s="17" t="s">
        <v>940</v>
      </c>
      <c r="AF392" s="23" t="str">
        <f>IFERROR(VLOOKUP(AE392,Listas!$AD$1:$AF$65,2,FALSE),"")</f>
        <v>GERARDO ALONSO RODRÍGUEZ PINEDA</v>
      </c>
      <c r="AG392" s="23">
        <f>IFERROR(VLOOKUP(AE392,Listas!$AD$1:$AF$65,3,FALSE),"")</f>
        <v>79466595</v>
      </c>
      <c r="AH392" s="17" t="s">
        <v>118</v>
      </c>
      <c r="AI392" s="65" t="s">
        <v>3335</v>
      </c>
      <c r="AJ392" s="25" t="s">
        <v>119</v>
      </c>
      <c r="AK392" s="26" t="s">
        <v>120</v>
      </c>
      <c r="AL392" s="26" t="s">
        <v>120</v>
      </c>
      <c r="AM392" s="90" t="s">
        <v>119</v>
      </c>
      <c r="AN392" s="105">
        <v>28426</v>
      </c>
      <c r="AO392" s="91">
        <f t="shared" ca="1" si="170"/>
        <v>48</v>
      </c>
      <c r="AP392" s="26" t="s">
        <v>121</v>
      </c>
      <c r="AQ392" s="26" t="s">
        <v>285</v>
      </c>
      <c r="AR392" s="89"/>
      <c r="AS392" s="27"/>
      <c r="AT392" s="16"/>
      <c r="AU392" s="27"/>
      <c r="AV392" s="86"/>
      <c r="AW392" s="27"/>
      <c r="AX392" s="27"/>
      <c r="AY392" s="27"/>
      <c r="AZ392" s="27"/>
      <c r="BA392" s="27"/>
      <c r="BB392" s="27"/>
      <c r="BC392" s="97"/>
      <c r="BD392" s="27"/>
      <c r="BE392" s="16"/>
      <c r="BF392" s="28">
        <f t="shared" ref="BF392:BF423" si="172">BC392+BE392</f>
        <v>0</v>
      </c>
      <c r="BG392" s="29"/>
      <c r="BH392" s="27"/>
      <c r="BI392" s="30">
        <f t="shared" ref="BI392:BI423" si="173">BF392+Q392</f>
        <v>333</v>
      </c>
      <c r="BJ392" s="31">
        <f t="shared" ref="BJ392:BJ423" si="174">IF(BH392="",P392+BF392,BH392)</f>
        <v>45657</v>
      </c>
      <c r="BK392" s="27"/>
      <c r="BL392" s="16"/>
      <c r="BM392" s="27"/>
      <c r="BN392" s="16"/>
      <c r="BO392" s="27"/>
      <c r="BP392" s="16"/>
      <c r="BQ392" s="27"/>
      <c r="BR392" s="24"/>
      <c r="BS392" s="24"/>
      <c r="BT392" s="32"/>
      <c r="BU392" s="27"/>
      <c r="BV392" s="24"/>
      <c r="BW392" s="24"/>
      <c r="BX392" s="16"/>
      <c r="BY392" s="27"/>
      <c r="BZ392" s="24"/>
      <c r="CA392" s="24"/>
      <c r="CB392" s="16"/>
      <c r="CC392" s="49">
        <f t="shared" ref="CC392:CC423" si="175">BR392+BV392+BZ392</f>
        <v>0</v>
      </c>
      <c r="CD392" s="24"/>
      <c r="CE392" s="49">
        <f t="shared" si="171"/>
        <v>97439569</v>
      </c>
      <c r="CF392" s="50"/>
      <c r="CG392" s="49">
        <f t="shared" ref="CG392:CG423" ca="1" si="176">IFERROR(IF(((CE392/BI392)*(TODAY()-N392))&gt;CE392,CE392,((CE392/BI392)*(TODAY()-N392))),"")</f>
        <v>97439569</v>
      </c>
      <c r="CH392" s="33">
        <f t="shared" ref="CH392:CH423" ca="1" si="177">IF(TODAY()&gt;BJ392,1,+(DAYS360(O392,TODAY())/DAYS360(O392,BJ392)))</f>
        <v>1</v>
      </c>
      <c r="CI392" s="33">
        <f t="shared" ca="1" si="167"/>
        <v>1</v>
      </c>
      <c r="CJ392" s="36">
        <f t="shared" ref="CJ392:CJ423" ca="1" si="178">IFERROR(IF(((CG392/CE392)*100)&gt;100,100,((CG392/CE392)*100)),"")</f>
        <v>100</v>
      </c>
      <c r="CK392" s="34">
        <f t="shared" ref="CK392:CK423" si="179">IFERROR((CF392/CE392)*100,"")</f>
        <v>0</v>
      </c>
      <c r="CL392" s="21"/>
      <c r="CM392" s="35" t="str">
        <f t="shared" ref="CM392:CM423" ca="1" si="180">IF(CL392&gt;1/1/6,"LIQUIDADO",IF(BJ392=$BE$20003,"",IF(BJ392&gt;=TODAY(),"VIGENTE",IF(BJ392&lt;TODAY(),"TERMINADO",))))</f>
        <v>TERMINADO</v>
      </c>
      <c r="CN392" s="82"/>
      <c r="CO392" s="145" t="s">
        <v>3336</v>
      </c>
      <c r="CP392" s="26" t="s">
        <v>142</v>
      </c>
    </row>
    <row r="393" spans="1:94" ht="24.75" customHeight="1">
      <c r="A393" s="48" t="s">
        <v>3337</v>
      </c>
      <c r="B393" s="77" t="s">
        <v>3338</v>
      </c>
      <c r="C393" s="17" t="s">
        <v>104</v>
      </c>
      <c r="D393" s="18" t="s">
        <v>3339</v>
      </c>
      <c r="E393" s="17" t="s">
        <v>106</v>
      </c>
      <c r="F393" s="17" t="s">
        <v>107</v>
      </c>
      <c r="G393" s="17" t="s">
        <v>108</v>
      </c>
      <c r="H393" s="78">
        <v>72156258</v>
      </c>
      <c r="I393" s="74" t="s">
        <v>3340</v>
      </c>
      <c r="J393" s="16"/>
      <c r="K393" s="16"/>
      <c r="L393" s="20" t="s">
        <v>3341</v>
      </c>
      <c r="M393" s="16" t="s">
        <v>111</v>
      </c>
      <c r="N393" s="115">
        <v>45324</v>
      </c>
      <c r="O393" s="115">
        <v>45327</v>
      </c>
      <c r="P393" s="115">
        <v>45656</v>
      </c>
      <c r="Q393" s="23">
        <f t="shared" si="169"/>
        <v>329</v>
      </c>
      <c r="R393" s="17" t="s">
        <v>112</v>
      </c>
      <c r="S393" s="117" t="s">
        <v>3342</v>
      </c>
      <c r="T393" s="16" t="s">
        <v>3098</v>
      </c>
      <c r="U393" s="67">
        <v>134933133</v>
      </c>
      <c r="V393" s="16" t="s">
        <v>3099</v>
      </c>
      <c r="W393" s="224">
        <v>134933133</v>
      </c>
      <c r="X393" s="24">
        <v>11500000</v>
      </c>
      <c r="Y393" s="24"/>
      <c r="Z393" s="24"/>
      <c r="AA393" s="17" t="s">
        <v>116</v>
      </c>
      <c r="AB393" s="23" t="str">
        <f>IFERROR(VLOOKUP(AA393,Listas!$A$1:$C$14,2,FALSE),"")</f>
        <v>FREDY CÉSPEDES VILLA</v>
      </c>
      <c r="AC393" s="23">
        <f>IFERROR(VLOOKUP(AA393,Listas!$A$1:$C$14,3,FALSE),"")</f>
        <v>93363483</v>
      </c>
      <c r="AD393" s="17" t="s">
        <v>816</v>
      </c>
      <c r="AE393" s="17" t="s">
        <v>3343</v>
      </c>
      <c r="AF393" s="23" t="str">
        <f>IFERROR(VLOOKUP(AE393,Listas!$AD$1:$AF$65,2,FALSE),"")</f>
        <v>EDWIN RICARDO CASTILLO MURILLO</v>
      </c>
      <c r="AG393" s="23">
        <f>IFERROR(VLOOKUP(AE393,Listas!$AD$1:$AF$65,3,FALSE),"")</f>
        <v>80865138</v>
      </c>
      <c r="AH393" s="17" t="s">
        <v>118</v>
      </c>
      <c r="AI393" s="65" t="s">
        <v>3344</v>
      </c>
      <c r="AJ393" s="25" t="s">
        <v>119</v>
      </c>
      <c r="AK393" s="26" t="s">
        <v>120</v>
      </c>
      <c r="AL393" s="26" t="s">
        <v>120</v>
      </c>
      <c r="AM393" s="90" t="s">
        <v>119</v>
      </c>
      <c r="AN393" s="105">
        <v>25133</v>
      </c>
      <c r="AO393" s="91">
        <f t="shared" ca="1" si="170"/>
        <v>57</v>
      </c>
      <c r="AP393" s="26" t="s">
        <v>121</v>
      </c>
      <c r="AQ393" s="26" t="s">
        <v>1641</v>
      </c>
      <c r="AR393" s="89"/>
      <c r="AS393" s="27"/>
      <c r="AT393" s="16"/>
      <c r="AU393" s="27"/>
      <c r="AV393" s="86"/>
      <c r="AW393" s="27"/>
      <c r="AX393" s="27"/>
      <c r="AY393" s="27"/>
      <c r="AZ393" s="27"/>
      <c r="BA393" s="27"/>
      <c r="BB393" s="27"/>
      <c r="BC393" s="97"/>
      <c r="BD393" s="27"/>
      <c r="BE393" s="16"/>
      <c r="BF393" s="28">
        <f t="shared" si="172"/>
        <v>0</v>
      </c>
      <c r="BG393" s="29"/>
      <c r="BH393" s="27"/>
      <c r="BI393" s="30">
        <f t="shared" si="173"/>
        <v>329</v>
      </c>
      <c r="BJ393" s="31">
        <f t="shared" si="174"/>
        <v>45656</v>
      </c>
      <c r="BK393" s="27"/>
      <c r="BL393" s="16"/>
      <c r="BM393" s="27"/>
      <c r="BN393" s="16"/>
      <c r="BO393" s="27"/>
      <c r="BP393" s="16"/>
      <c r="BQ393" s="27"/>
      <c r="BR393" s="24"/>
      <c r="BS393" s="24"/>
      <c r="BT393" s="32"/>
      <c r="BU393" s="27"/>
      <c r="BV393" s="24"/>
      <c r="BW393" s="24"/>
      <c r="BX393" s="16"/>
      <c r="BY393" s="27"/>
      <c r="BZ393" s="24"/>
      <c r="CA393" s="24"/>
      <c r="CB393" s="16"/>
      <c r="CC393" s="49">
        <f t="shared" si="175"/>
        <v>0</v>
      </c>
      <c r="CD393" s="24"/>
      <c r="CE393" s="49">
        <f t="shared" si="171"/>
        <v>134933133</v>
      </c>
      <c r="CF393" s="50"/>
      <c r="CG393" s="49">
        <f t="shared" ca="1" si="176"/>
        <v>134933133</v>
      </c>
      <c r="CH393" s="33">
        <f t="shared" ca="1" si="177"/>
        <v>1</v>
      </c>
      <c r="CI393" s="33">
        <f t="shared" ca="1" si="167"/>
        <v>1</v>
      </c>
      <c r="CJ393" s="36">
        <f t="shared" ca="1" si="178"/>
        <v>100</v>
      </c>
      <c r="CK393" s="34">
        <f t="shared" si="179"/>
        <v>0</v>
      </c>
      <c r="CL393" s="21"/>
      <c r="CM393" s="35" t="str">
        <f t="shared" ca="1" si="180"/>
        <v>TERMINADO</v>
      </c>
      <c r="CN393" s="82"/>
      <c r="CO393" s="145" t="s">
        <v>3345</v>
      </c>
      <c r="CP393" s="26" t="s">
        <v>142</v>
      </c>
    </row>
    <row r="394" spans="1:94" ht="24.75" customHeight="1">
      <c r="A394" s="48" t="s">
        <v>3346</v>
      </c>
      <c r="B394" s="77" t="s">
        <v>3347</v>
      </c>
      <c r="C394" s="17" t="s">
        <v>104</v>
      </c>
      <c r="D394" s="18" t="s">
        <v>3348</v>
      </c>
      <c r="E394" s="17" t="s">
        <v>106</v>
      </c>
      <c r="F394" s="17" t="s">
        <v>107</v>
      </c>
      <c r="G394" s="17" t="s">
        <v>108</v>
      </c>
      <c r="H394" s="78">
        <v>1140847440</v>
      </c>
      <c r="I394" s="74" t="s">
        <v>3349</v>
      </c>
      <c r="J394" s="16"/>
      <c r="K394" s="16"/>
      <c r="L394" s="20" t="s">
        <v>2187</v>
      </c>
      <c r="M394" s="16" t="s">
        <v>111</v>
      </c>
      <c r="N394" s="115">
        <v>45323</v>
      </c>
      <c r="O394" s="115">
        <v>45328</v>
      </c>
      <c r="P394" s="115">
        <v>45656</v>
      </c>
      <c r="Q394" s="23">
        <f t="shared" si="169"/>
        <v>328</v>
      </c>
      <c r="R394" s="17" t="s">
        <v>242</v>
      </c>
      <c r="S394" s="117" t="s">
        <v>3350</v>
      </c>
      <c r="T394" s="16" t="s">
        <v>3351</v>
      </c>
      <c r="U394" s="67">
        <v>69899100</v>
      </c>
      <c r="V394" s="16" t="s">
        <v>426</v>
      </c>
      <c r="W394" s="224">
        <v>69899100</v>
      </c>
      <c r="X394" s="24">
        <v>6131000</v>
      </c>
      <c r="Y394" s="24"/>
      <c r="Z394" s="24"/>
      <c r="AA394" s="17" t="s">
        <v>116</v>
      </c>
      <c r="AB394" s="23" t="str">
        <f>IFERROR(VLOOKUP(AA394,Listas!$A$1:$C$14,2,FALSE),"")</f>
        <v>FREDY CÉSPEDES VILLA</v>
      </c>
      <c r="AC394" s="23">
        <f>IFERROR(VLOOKUP(AA394,Listas!$A$1:$C$14,3,FALSE),"")</f>
        <v>93363483</v>
      </c>
      <c r="AD394" s="17" t="s">
        <v>427</v>
      </c>
      <c r="AE394" s="17" t="s">
        <v>1802</v>
      </c>
      <c r="AF394" s="23" t="str">
        <f>IFERROR(VLOOKUP(AE394,Listas!$AD$1:$AF$65,2,FALSE),"")</f>
        <v>YULI ANDREA RIVEROS PINEDA</v>
      </c>
      <c r="AG394" s="23">
        <f>IFERROR(VLOOKUP(AE394,Listas!$AD$1:$AF$65,3,FALSE),"")</f>
        <v>53036984</v>
      </c>
      <c r="AH394" s="17" t="s">
        <v>118</v>
      </c>
      <c r="AI394" s="65" t="s">
        <v>3352</v>
      </c>
      <c r="AJ394" s="25" t="s">
        <v>119</v>
      </c>
      <c r="AK394" s="26" t="s">
        <v>120</v>
      </c>
      <c r="AL394" s="26" t="s">
        <v>120</v>
      </c>
      <c r="AM394" s="90" t="s">
        <v>119</v>
      </c>
      <c r="AN394" s="105">
        <v>33557</v>
      </c>
      <c r="AO394" s="91">
        <f t="shared" ca="1" si="170"/>
        <v>34</v>
      </c>
      <c r="AP394" s="26" t="s">
        <v>121</v>
      </c>
      <c r="AQ394" s="26" t="s">
        <v>515</v>
      </c>
      <c r="AR394" s="89"/>
      <c r="AS394" s="27"/>
      <c r="AT394" s="16"/>
      <c r="AU394" s="27"/>
      <c r="AV394" s="86"/>
      <c r="AW394" s="27"/>
      <c r="AX394" s="27"/>
      <c r="AY394" s="27"/>
      <c r="AZ394" s="27"/>
      <c r="BA394" s="27"/>
      <c r="BB394" s="27"/>
      <c r="BC394" s="97"/>
      <c r="BD394" s="27"/>
      <c r="BE394" s="16"/>
      <c r="BF394" s="28">
        <f t="shared" si="172"/>
        <v>0</v>
      </c>
      <c r="BG394" s="29"/>
      <c r="BH394" s="27"/>
      <c r="BI394" s="30">
        <f t="shared" si="173"/>
        <v>328</v>
      </c>
      <c r="BJ394" s="31">
        <f t="shared" si="174"/>
        <v>45656</v>
      </c>
      <c r="BK394" s="27"/>
      <c r="BL394" s="16"/>
      <c r="BM394" s="27"/>
      <c r="BN394" s="16"/>
      <c r="BO394" s="27"/>
      <c r="BP394" s="16"/>
      <c r="BQ394" s="27"/>
      <c r="BR394" s="24"/>
      <c r="BS394" s="24"/>
      <c r="BT394" s="32"/>
      <c r="BU394" s="27"/>
      <c r="BV394" s="24"/>
      <c r="BW394" s="24"/>
      <c r="BX394" s="16"/>
      <c r="BY394" s="27"/>
      <c r="BZ394" s="24"/>
      <c r="CA394" s="24"/>
      <c r="CB394" s="16"/>
      <c r="CC394" s="49">
        <f t="shared" si="175"/>
        <v>0</v>
      </c>
      <c r="CD394" s="24"/>
      <c r="CE394" s="49">
        <f t="shared" si="171"/>
        <v>69899100</v>
      </c>
      <c r="CF394" s="50"/>
      <c r="CG394" s="49">
        <f t="shared" ca="1" si="176"/>
        <v>69899100</v>
      </c>
      <c r="CH394" s="33">
        <f t="shared" ca="1" si="177"/>
        <v>1</v>
      </c>
      <c r="CI394" s="33">
        <f t="shared" ca="1" si="167"/>
        <v>1</v>
      </c>
      <c r="CJ394" s="36">
        <f t="shared" ca="1" si="178"/>
        <v>100</v>
      </c>
      <c r="CK394" s="34">
        <f t="shared" si="179"/>
        <v>0</v>
      </c>
      <c r="CL394" s="21"/>
      <c r="CM394" s="35" t="str">
        <f t="shared" ca="1" si="180"/>
        <v>TERMINADO</v>
      </c>
      <c r="CN394" s="82"/>
      <c r="CO394" s="145" t="s">
        <v>3353</v>
      </c>
      <c r="CP394" s="26" t="s">
        <v>123</v>
      </c>
    </row>
    <row r="395" spans="1:94" ht="24.75" customHeight="1">
      <c r="A395" s="48" t="s">
        <v>3354</v>
      </c>
      <c r="B395" s="77" t="s">
        <v>3355</v>
      </c>
      <c r="C395" s="17" t="s">
        <v>104</v>
      </c>
      <c r="D395" s="18" t="s">
        <v>3356</v>
      </c>
      <c r="E395" s="17" t="s">
        <v>106</v>
      </c>
      <c r="F395" s="17" t="s">
        <v>107</v>
      </c>
      <c r="G395" s="17" t="s">
        <v>108</v>
      </c>
      <c r="H395" s="78">
        <v>52186879</v>
      </c>
      <c r="I395" s="74" t="s">
        <v>3357</v>
      </c>
      <c r="J395" s="16"/>
      <c r="K395" s="16"/>
      <c r="L395" s="20" t="s">
        <v>2749</v>
      </c>
      <c r="M395" s="16" t="s">
        <v>111</v>
      </c>
      <c r="N395" s="115">
        <v>45322</v>
      </c>
      <c r="O395" s="115">
        <v>45324</v>
      </c>
      <c r="P395" s="115">
        <v>45656</v>
      </c>
      <c r="Q395" s="23">
        <f t="shared" si="169"/>
        <v>332</v>
      </c>
      <c r="R395" s="17" t="s">
        <v>242</v>
      </c>
      <c r="S395" s="117" t="s">
        <v>3358</v>
      </c>
      <c r="T395" s="16" t="s">
        <v>1345</v>
      </c>
      <c r="U395" s="67">
        <v>89281899</v>
      </c>
      <c r="V395" s="16" t="s">
        <v>344</v>
      </c>
      <c r="W395" s="224">
        <v>89281899</v>
      </c>
      <c r="X395" s="24">
        <v>8092015</v>
      </c>
      <c r="Y395" s="24"/>
      <c r="Z395" s="24"/>
      <c r="AA395" s="17" t="s">
        <v>116</v>
      </c>
      <c r="AB395" s="23" t="str">
        <f>IFERROR(VLOOKUP(AA395,Listas!$A$1:$C$14,2,FALSE),"")</f>
        <v>FREDY CÉSPEDES VILLA</v>
      </c>
      <c r="AC395" s="23">
        <f>IFERROR(VLOOKUP(AA395,Listas!$A$1:$C$14,3,FALSE),"")</f>
        <v>93363483</v>
      </c>
      <c r="AD395" s="17" t="s">
        <v>345</v>
      </c>
      <c r="AE395" s="17" t="s">
        <v>346</v>
      </c>
      <c r="AF395" s="23" t="str">
        <f>IFERROR(VLOOKUP(AE395,Listas!$AD$1:$AF$65,2,FALSE),"")</f>
        <v>RODOLFO GIOVANNI CANCHILA SUÁREZ</v>
      </c>
      <c r="AG395" s="23">
        <f>IFERROR(VLOOKUP(AE395,Listas!$AD$1:$AF$65,3,FALSE),"")</f>
        <v>79672493</v>
      </c>
      <c r="AH395" s="17" t="s">
        <v>118</v>
      </c>
      <c r="AI395" s="65" t="s">
        <v>3359</v>
      </c>
      <c r="AJ395" s="25" t="s">
        <v>119</v>
      </c>
      <c r="AK395" s="26" t="s">
        <v>120</v>
      </c>
      <c r="AL395" s="26" t="s">
        <v>120</v>
      </c>
      <c r="AM395" s="90" t="s">
        <v>119</v>
      </c>
      <c r="AN395" s="105">
        <v>28016</v>
      </c>
      <c r="AO395" s="91">
        <f t="shared" ca="1" si="170"/>
        <v>49</v>
      </c>
      <c r="AP395" s="26" t="s">
        <v>121</v>
      </c>
      <c r="AQ395" s="26" t="s">
        <v>347</v>
      </c>
      <c r="AR395" s="89"/>
      <c r="AS395" s="27"/>
      <c r="AT395" s="16"/>
      <c r="AU395" s="27"/>
      <c r="AV395" s="86"/>
      <c r="AW395" s="27"/>
      <c r="AX395" s="27"/>
      <c r="AY395" s="27"/>
      <c r="AZ395" s="27"/>
      <c r="BA395" s="27"/>
      <c r="BB395" s="27"/>
      <c r="BC395" s="97"/>
      <c r="BD395" s="27"/>
      <c r="BE395" s="16"/>
      <c r="BF395" s="28">
        <f t="shared" si="172"/>
        <v>0</v>
      </c>
      <c r="BG395" s="29"/>
      <c r="BH395" s="27"/>
      <c r="BI395" s="30">
        <f t="shared" si="173"/>
        <v>332</v>
      </c>
      <c r="BJ395" s="31">
        <f t="shared" si="174"/>
        <v>45656</v>
      </c>
      <c r="BK395" s="27"/>
      <c r="BL395" s="16"/>
      <c r="BM395" s="27"/>
      <c r="BN395" s="16"/>
      <c r="BO395" s="27"/>
      <c r="BP395" s="16"/>
      <c r="BQ395" s="27"/>
      <c r="BR395" s="24"/>
      <c r="BS395" s="24"/>
      <c r="BT395" s="32"/>
      <c r="BU395" s="27"/>
      <c r="BV395" s="24"/>
      <c r="BW395" s="24"/>
      <c r="BX395" s="16"/>
      <c r="BY395" s="27"/>
      <c r="BZ395" s="24"/>
      <c r="CA395" s="24"/>
      <c r="CB395" s="16"/>
      <c r="CC395" s="49">
        <f t="shared" si="175"/>
        <v>0</v>
      </c>
      <c r="CD395" s="24"/>
      <c r="CE395" s="49">
        <f t="shared" si="171"/>
        <v>89281899</v>
      </c>
      <c r="CF395" s="50"/>
      <c r="CG395" s="49">
        <f t="shared" ca="1" si="176"/>
        <v>89281899</v>
      </c>
      <c r="CH395" s="33">
        <f t="shared" ca="1" si="177"/>
        <v>1</v>
      </c>
      <c r="CI395" s="33">
        <f t="shared" ca="1" si="167"/>
        <v>1</v>
      </c>
      <c r="CJ395" s="36">
        <f t="shared" ca="1" si="178"/>
        <v>100</v>
      </c>
      <c r="CK395" s="34">
        <f t="shared" si="179"/>
        <v>0</v>
      </c>
      <c r="CL395" s="21"/>
      <c r="CM395" s="35" t="str">
        <f t="shared" ca="1" si="180"/>
        <v>TERMINADO</v>
      </c>
      <c r="CN395" s="82"/>
      <c r="CO395" s="145" t="s">
        <v>3360</v>
      </c>
      <c r="CP395" s="26" t="s">
        <v>123</v>
      </c>
    </row>
    <row r="396" spans="1:94" ht="24.75" customHeight="1">
      <c r="A396" s="48" t="s">
        <v>3361</v>
      </c>
      <c r="B396" s="77" t="s">
        <v>3362</v>
      </c>
      <c r="C396" s="17" t="s">
        <v>104</v>
      </c>
      <c r="D396" s="18" t="s">
        <v>3363</v>
      </c>
      <c r="E396" s="17" t="s">
        <v>106</v>
      </c>
      <c r="F396" s="17" t="s">
        <v>107</v>
      </c>
      <c r="G396" s="17" t="s">
        <v>108</v>
      </c>
      <c r="H396" s="78">
        <v>1016017909</v>
      </c>
      <c r="I396" s="74" t="s">
        <v>3364</v>
      </c>
      <c r="J396" s="16"/>
      <c r="K396" s="16"/>
      <c r="L396" s="20" t="s">
        <v>3365</v>
      </c>
      <c r="M396" s="16" t="s">
        <v>111</v>
      </c>
      <c r="N396" s="115">
        <v>45321</v>
      </c>
      <c r="O396" s="22">
        <v>45323</v>
      </c>
      <c r="P396" s="22">
        <v>45657</v>
      </c>
      <c r="Q396" s="23">
        <f t="shared" si="169"/>
        <v>334</v>
      </c>
      <c r="R396" s="17" t="s">
        <v>112</v>
      </c>
      <c r="S396" s="117" t="s">
        <v>3366</v>
      </c>
      <c r="T396" s="16" t="s">
        <v>215</v>
      </c>
      <c r="U396" s="67">
        <v>64057620</v>
      </c>
      <c r="V396" s="16" t="s">
        <v>380</v>
      </c>
      <c r="W396" s="224">
        <v>64057620</v>
      </c>
      <c r="X396" s="24">
        <v>5338135</v>
      </c>
      <c r="Y396" s="24"/>
      <c r="Z396" s="24"/>
      <c r="AA396" s="17" t="s">
        <v>116</v>
      </c>
      <c r="AB396" s="23" t="str">
        <f>IFERROR(VLOOKUP(AA396,Listas!$A$1:$C$14,2,FALSE),"")</f>
        <v>FREDY CÉSPEDES VILLA</v>
      </c>
      <c r="AC396" s="23">
        <f>IFERROR(VLOOKUP(AA396,Listas!$A$1:$C$14,3,FALSE),"")</f>
        <v>93363483</v>
      </c>
      <c r="AD396" s="17" t="s">
        <v>217</v>
      </c>
      <c r="AE396" s="17" t="s">
        <v>381</v>
      </c>
      <c r="AF396" s="23" t="str">
        <f>IFERROR(VLOOKUP(AE396,Listas!$AD$1:$AF$65,2,FALSE),"")</f>
        <v>MARINA AZUCENA MEDINA SANDOVAL</v>
      </c>
      <c r="AG396" s="23">
        <f>IFERROR(VLOOKUP(AE396,Listas!$AD$1:$AF$65,3,FALSE),"")</f>
        <v>51842510</v>
      </c>
      <c r="AH396" s="17" t="s">
        <v>118</v>
      </c>
      <c r="AI396" s="65" t="s">
        <v>3367</v>
      </c>
      <c r="AJ396" s="25" t="s">
        <v>119</v>
      </c>
      <c r="AK396" s="26" t="s">
        <v>120</v>
      </c>
      <c r="AL396" s="26" t="s">
        <v>120</v>
      </c>
      <c r="AM396" s="90" t="s">
        <v>119</v>
      </c>
      <c r="AN396" s="105"/>
      <c r="AO396" s="91" t="str">
        <f t="shared" ca="1" si="170"/>
        <v xml:space="preserve"> </v>
      </c>
      <c r="AP396" s="26" t="s">
        <v>121</v>
      </c>
      <c r="AQ396" s="26" t="s">
        <v>220</v>
      </c>
      <c r="AR396" s="89"/>
      <c r="AS396" s="27"/>
      <c r="AT396" s="16"/>
      <c r="AU396" s="27"/>
      <c r="AV396" s="86"/>
      <c r="AW396" s="27"/>
      <c r="AX396" s="27"/>
      <c r="AY396" s="27"/>
      <c r="AZ396" s="27"/>
      <c r="BA396" s="27"/>
      <c r="BB396" s="27"/>
      <c r="BC396" s="97"/>
      <c r="BD396" s="27"/>
      <c r="BE396" s="16"/>
      <c r="BF396" s="28">
        <f t="shared" si="172"/>
        <v>0</v>
      </c>
      <c r="BG396" s="29"/>
      <c r="BH396" s="27"/>
      <c r="BI396" s="30">
        <f t="shared" si="173"/>
        <v>334</v>
      </c>
      <c r="BJ396" s="31">
        <f t="shared" si="174"/>
        <v>45657</v>
      </c>
      <c r="BK396" s="27"/>
      <c r="BL396" s="16"/>
      <c r="BM396" s="27"/>
      <c r="BN396" s="16"/>
      <c r="BO396" s="27"/>
      <c r="BP396" s="16"/>
      <c r="BQ396" s="27"/>
      <c r="BR396" s="24"/>
      <c r="BS396" s="24"/>
      <c r="BT396" s="32"/>
      <c r="BU396" s="27"/>
      <c r="BV396" s="24"/>
      <c r="BW396" s="24"/>
      <c r="BX396" s="16"/>
      <c r="BY396" s="27"/>
      <c r="BZ396" s="24"/>
      <c r="CA396" s="24"/>
      <c r="CB396" s="16"/>
      <c r="CC396" s="49">
        <f t="shared" si="175"/>
        <v>0</v>
      </c>
      <c r="CD396" s="24"/>
      <c r="CE396" s="49">
        <f t="shared" si="171"/>
        <v>64057620</v>
      </c>
      <c r="CF396" s="50"/>
      <c r="CG396" s="49">
        <f t="shared" ca="1" si="176"/>
        <v>64057620</v>
      </c>
      <c r="CH396" s="33">
        <f t="shared" ca="1" si="177"/>
        <v>1</v>
      </c>
      <c r="CI396" s="33">
        <f t="shared" ca="1" si="167"/>
        <v>1</v>
      </c>
      <c r="CJ396" s="36">
        <f t="shared" ca="1" si="178"/>
        <v>100</v>
      </c>
      <c r="CK396" s="34">
        <f t="shared" si="179"/>
        <v>0</v>
      </c>
      <c r="CL396" s="21"/>
      <c r="CM396" s="35" t="str">
        <f t="shared" ca="1" si="180"/>
        <v>TERMINADO</v>
      </c>
      <c r="CN396" s="82"/>
      <c r="CO396" s="145" t="s">
        <v>3368</v>
      </c>
      <c r="CP396" s="26" t="s">
        <v>142</v>
      </c>
    </row>
    <row r="397" spans="1:94" ht="24.75" customHeight="1">
      <c r="A397" s="48" t="s">
        <v>3369</v>
      </c>
      <c r="B397" s="77" t="s">
        <v>3370</v>
      </c>
      <c r="C397" s="17" t="s">
        <v>104</v>
      </c>
      <c r="D397" s="18" t="s">
        <v>3371</v>
      </c>
      <c r="E397" s="17" t="s">
        <v>106</v>
      </c>
      <c r="F397" s="17" t="s">
        <v>107</v>
      </c>
      <c r="G397" s="17" t="s">
        <v>108</v>
      </c>
      <c r="H397" s="78">
        <v>1065663835</v>
      </c>
      <c r="I397" s="74" t="s">
        <v>3372</v>
      </c>
      <c r="J397" s="16"/>
      <c r="K397" s="16"/>
      <c r="L397" s="20" t="s">
        <v>892</v>
      </c>
      <c r="M397" s="16" t="s">
        <v>111</v>
      </c>
      <c r="N397" s="115">
        <v>45321</v>
      </c>
      <c r="O397" s="115">
        <v>45322</v>
      </c>
      <c r="P397" s="115">
        <v>45657</v>
      </c>
      <c r="Q397" s="23">
        <f t="shared" si="169"/>
        <v>335</v>
      </c>
      <c r="R397" s="17" t="s">
        <v>242</v>
      </c>
      <c r="S397" s="117" t="s">
        <v>3350</v>
      </c>
      <c r="T397" s="16" t="s">
        <v>732</v>
      </c>
      <c r="U397" s="67">
        <v>102989280</v>
      </c>
      <c r="V397" s="16" t="s">
        <v>894</v>
      </c>
      <c r="W397" s="224">
        <v>102989280</v>
      </c>
      <c r="X397" s="24">
        <v>8582440</v>
      </c>
      <c r="Y397" s="24"/>
      <c r="Z397" s="24"/>
      <c r="AA397" s="17" t="s">
        <v>116</v>
      </c>
      <c r="AB397" s="23" t="str">
        <f>IFERROR(VLOOKUP(AA397,Listas!$A$1:$C$14,2,FALSE),"")</f>
        <v>FREDY CÉSPEDES VILLA</v>
      </c>
      <c r="AC397" s="23">
        <f>IFERROR(VLOOKUP(AA397,Listas!$A$1:$C$14,3,FALSE),"")</f>
        <v>93363483</v>
      </c>
      <c r="AD397" s="17" t="s">
        <v>588</v>
      </c>
      <c r="AE397" s="17" t="s">
        <v>589</v>
      </c>
      <c r="AF397" s="23" t="str">
        <f>IFERROR(VLOOKUP(AE397,Listas!$AD$1:$AF$65,2,FALSE),"")</f>
        <v>ANA LUCY CASTRO CASTRO</v>
      </c>
      <c r="AG397" s="23">
        <f>IFERROR(VLOOKUP(AE397,Listas!$AD$1:$AF$65,3,FALSE),"")</f>
        <v>51743499</v>
      </c>
      <c r="AH397" s="17" t="s">
        <v>118</v>
      </c>
      <c r="AI397" s="65" t="s">
        <v>3373</v>
      </c>
      <c r="AJ397" s="25" t="s">
        <v>119</v>
      </c>
      <c r="AK397" s="26" t="s">
        <v>120</v>
      </c>
      <c r="AL397" s="26" t="s">
        <v>120</v>
      </c>
      <c r="AM397" s="90" t="s">
        <v>119</v>
      </c>
      <c r="AN397" s="105">
        <v>34501</v>
      </c>
      <c r="AO397" s="91">
        <f t="shared" ca="1" si="170"/>
        <v>31</v>
      </c>
      <c r="AP397" s="26" t="s">
        <v>121</v>
      </c>
      <c r="AQ397" s="26" t="s">
        <v>486</v>
      </c>
      <c r="AR397" s="89"/>
      <c r="AS397" s="27"/>
      <c r="AT397" s="16"/>
      <c r="AU397" s="27"/>
      <c r="AV397" s="86"/>
      <c r="AW397" s="27"/>
      <c r="AX397" s="27"/>
      <c r="AY397" s="27"/>
      <c r="AZ397" s="27"/>
      <c r="BA397" s="27"/>
      <c r="BB397" s="27"/>
      <c r="BC397" s="97"/>
      <c r="BD397" s="27"/>
      <c r="BE397" s="16"/>
      <c r="BF397" s="28">
        <f t="shared" si="172"/>
        <v>0</v>
      </c>
      <c r="BG397" s="29"/>
      <c r="BH397" s="27"/>
      <c r="BI397" s="30">
        <f t="shared" si="173"/>
        <v>335</v>
      </c>
      <c r="BJ397" s="31">
        <f t="shared" si="174"/>
        <v>45657</v>
      </c>
      <c r="BK397" s="27"/>
      <c r="BL397" s="16"/>
      <c r="BM397" s="27"/>
      <c r="BN397" s="16"/>
      <c r="BO397" s="27"/>
      <c r="BP397" s="16"/>
      <c r="BQ397" s="27"/>
      <c r="BR397" s="24"/>
      <c r="BS397" s="24"/>
      <c r="BT397" s="32"/>
      <c r="BU397" s="27"/>
      <c r="BV397" s="24"/>
      <c r="BW397" s="24"/>
      <c r="BX397" s="16"/>
      <c r="BY397" s="27"/>
      <c r="BZ397" s="24"/>
      <c r="CA397" s="24"/>
      <c r="CB397" s="16"/>
      <c r="CC397" s="49">
        <f t="shared" si="175"/>
        <v>0</v>
      </c>
      <c r="CD397" s="24"/>
      <c r="CE397" s="49">
        <f t="shared" si="171"/>
        <v>102989280</v>
      </c>
      <c r="CF397" s="50"/>
      <c r="CG397" s="49">
        <f t="shared" ca="1" si="176"/>
        <v>102989280</v>
      </c>
      <c r="CH397" s="33">
        <f t="shared" ca="1" si="177"/>
        <v>1</v>
      </c>
      <c r="CI397" s="33">
        <f t="shared" ref="CI397:CI428" ca="1" si="181">+IF(CL397&gt;0,DAYS360(O397,CL397)/DAYS360(O397,BJ397),CH397)</f>
        <v>1</v>
      </c>
      <c r="CJ397" s="36">
        <f t="shared" ca="1" si="178"/>
        <v>100</v>
      </c>
      <c r="CK397" s="34">
        <f t="shared" si="179"/>
        <v>0</v>
      </c>
      <c r="CL397" s="21"/>
      <c r="CM397" s="35" t="str">
        <f t="shared" ca="1" si="180"/>
        <v>TERMINADO</v>
      </c>
      <c r="CN397" s="82"/>
      <c r="CO397" s="145" t="s">
        <v>3374</v>
      </c>
      <c r="CP397" s="26" t="s">
        <v>123</v>
      </c>
    </row>
    <row r="398" spans="1:94" ht="24.75" customHeight="1">
      <c r="A398" s="48" t="s">
        <v>3375</v>
      </c>
      <c r="B398" s="77" t="s">
        <v>3376</v>
      </c>
      <c r="C398" s="17" t="s">
        <v>104</v>
      </c>
      <c r="D398" s="18" t="s">
        <v>3377</v>
      </c>
      <c r="E398" s="17" t="s">
        <v>106</v>
      </c>
      <c r="F398" s="17" t="s">
        <v>107</v>
      </c>
      <c r="G398" s="17" t="s">
        <v>108</v>
      </c>
      <c r="H398" s="78">
        <v>1015399055</v>
      </c>
      <c r="I398" s="74" t="s">
        <v>3378</v>
      </c>
      <c r="J398" s="16"/>
      <c r="K398" s="16"/>
      <c r="L398" s="20" t="s">
        <v>3379</v>
      </c>
      <c r="M398" s="16" t="s">
        <v>111</v>
      </c>
      <c r="N398" s="115">
        <v>45321</v>
      </c>
      <c r="O398" s="22">
        <v>45323</v>
      </c>
      <c r="P398" s="115">
        <v>45657</v>
      </c>
      <c r="Q398" s="23">
        <f t="shared" si="169"/>
        <v>334</v>
      </c>
      <c r="R398" s="17" t="s">
        <v>242</v>
      </c>
      <c r="S398" s="117" t="s">
        <v>3380</v>
      </c>
      <c r="T398" s="16" t="s">
        <v>2034</v>
      </c>
      <c r="U398" s="67">
        <v>73563768</v>
      </c>
      <c r="V398" s="16" t="s">
        <v>3381</v>
      </c>
      <c r="W398" s="224">
        <v>73563768</v>
      </c>
      <c r="X398" s="24">
        <v>6130314</v>
      </c>
      <c r="Y398" s="24"/>
      <c r="Z398" s="24"/>
      <c r="AA398" s="17" t="s">
        <v>116</v>
      </c>
      <c r="AB398" s="23" t="str">
        <f>IFERROR(VLOOKUP(AA398,Listas!$A$1:$C$14,2,FALSE),"")</f>
        <v>FREDY CÉSPEDES VILLA</v>
      </c>
      <c r="AC398" s="23">
        <f>IFERROR(VLOOKUP(AA398,Listas!$A$1:$C$14,3,FALSE),"")</f>
        <v>93363483</v>
      </c>
      <c r="AD398" s="17" t="s">
        <v>217</v>
      </c>
      <c r="AE398" s="17" t="s">
        <v>381</v>
      </c>
      <c r="AF398" s="23" t="str">
        <f>IFERROR(VLOOKUP(AE398,Listas!$AD$1:$AF$65,2,FALSE),"")</f>
        <v>MARINA AZUCENA MEDINA SANDOVAL</v>
      </c>
      <c r="AG398" s="23">
        <f>IFERROR(VLOOKUP(AE398,Listas!$AD$1:$AF$65,3,FALSE),"")</f>
        <v>51842510</v>
      </c>
      <c r="AH398" s="17" t="s">
        <v>118</v>
      </c>
      <c r="AI398" s="65" t="s">
        <v>3382</v>
      </c>
      <c r="AJ398" s="25" t="s">
        <v>119</v>
      </c>
      <c r="AK398" s="26" t="s">
        <v>120</v>
      </c>
      <c r="AL398" s="26" t="s">
        <v>120</v>
      </c>
      <c r="AM398" s="90" t="s">
        <v>119</v>
      </c>
      <c r="AN398" s="105">
        <v>31873</v>
      </c>
      <c r="AO398" s="91">
        <f t="shared" ca="1" si="170"/>
        <v>38</v>
      </c>
      <c r="AP398" s="26" t="s">
        <v>121</v>
      </c>
      <c r="AQ398" s="26" t="s">
        <v>220</v>
      </c>
      <c r="AR398" s="89"/>
      <c r="AS398" s="27"/>
      <c r="AT398" s="16"/>
      <c r="AU398" s="27"/>
      <c r="AV398" s="86"/>
      <c r="AW398" s="27"/>
      <c r="AX398" s="27"/>
      <c r="AY398" s="27"/>
      <c r="AZ398" s="27"/>
      <c r="BA398" s="27"/>
      <c r="BB398" s="27"/>
      <c r="BC398" s="97"/>
      <c r="BD398" s="27"/>
      <c r="BE398" s="16"/>
      <c r="BF398" s="28">
        <f t="shared" si="172"/>
        <v>0</v>
      </c>
      <c r="BG398" s="29"/>
      <c r="BH398" s="27"/>
      <c r="BI398" s="30">
        <f t="shared" si="173"/>
        <v>334</v>
      </c>
      <c r="BJ398" s="31">
        <f t="shared" si="174"/>
        <v>45657</v>
      </c>
      <c r="BK398" s="27"/>
      <c r="BL398" s="16"/>
      <c r="BM398" s="27"/>
      <c r="BN398" s="16"/>
      <c r="BO398" s="27"/>
      <c r="BP398" s="16"/>
      <c r="BQ398" s="27"/>
      <c r="BR398" s="24"/>
      <c r="BS398" s="24"/>
      <c r="BT398" s="32"/>
      <c r="BU398" s="27"/>
      <c r="BV398" s="24"/>
      <c r="BW398" s="24"/>
      <c r="BX398" s="16"/>
      <c r="BY398" s="27"/>
      <c r="BZ398" s="24"/>
      <c r="CA398" s="24"/>
      <c r="CB398" s="16"/>
      <c r="CC398" s="49">
        <f t="shared" si="175"/>
        <v>0</v>
      </c>
      <c r="CD398" s="24"/>
      <c r="CE398" s="49">
        <f t="shared" si="171"/>
        <v>73563768</v>
      </c>
      <c r="CF398" s="50"/>
      <c r="CG398" s="49">
        <f t="shared" ca="1" si="176"/>
        <v>73563768</v>
      </c>
      <c r="CH398" s="33">
        <f t="shared" ca="1" si="177"/>
        <v>1</v>
      </c>
      <c r="CI398" s="33">
        <f t="shared" ca="1" si="181"/>
        <v>1</v>
      </c>
      <c r="CJ398" s="36">
        <f t="shared" ca="1" si="178"/>
        <v>100</v>
      </c>
      <c r="CK398" s="34">
        <f t="shared" si="179"/>
        <v>0</v>
      </c>
      <c r="CL398" s="21"/>
      <c r="CM398" s="35" t="str">
        <f t="shared" ca="1" si="180"/>
        <v>TERMINADO</v>
      </c>
      <c r="CN398" s="82"/>
      <c r="CO398" s="145" t="s">
        <v>3383</v>
      </c>
      <c r="CP398" s="26" t="s">
        <v>123</v>
      </c>
    </row>
    <row r="399" spans="1:94" ht="24.75" customHeight="1">
      <c r="A399" s="48" t="s">
        <v>3384</v>
      </c>
      <c r="B399" s="77" t="s">
        <v>3385</v>
      </c>
      <c r="C399" s="17" t="s">
        <v>104</v>
      </c>
      <c r="D399" s="18" t="s">
        <v>3386</v>
      </c>
      <c r="E399" s="17" t="s">
        <v>106</v>
      </c>
      <c r="F399" s="17" t="s">
        <v>107</v>
      </c>
      <c r="G399" s="17" t="s">
        <v>108</v>
      </c>
      <c r="H399" s="78">
        <v>1030568768</v>
      </c>
      <c r="I399" s="74" t="s">
        <v>3387</v>
      </c>
      <c r="J399" s="16"/>
      <c r="K399" s="16"/>
      <c r="L399" s="20" t="s">
        <v>3388</v>
      </c>
      <c r="M399" s="16" t="s">
        <v>111</v>
      </c>
      <c r="N399" s="115">
        <v>45323</v>
      </c>
      <c r="O399" s="22">
        <v>45327</v>
      </c>
      <c r="P399" s="115">
        <v>45656</v>
      </c>
      <c r="Q399" s="23">
        <f t="shared" si="169"/>
        <v>329</v>
      </c>
      <c r="R399" s="17" t="s">
        <v>242</v>
      </c>
      <c r="S399" s="117" t="s">
        <v>3350</v>
      </c>
      <c r="T399" s="16" t="s">
        <v>949</v>
      </c>
      <c r="U399" s="67">
        <v>79214400</v>
      </c>
      <c r="V399" s="16" t="s">
        <v>1071</v>
      </c>
      <c r="W399" s="224">
        <v>72613200</v>
      </c>
      <c r="X399" s="24">
        <v>6601200</v>
      </c>
      <c r="Y399" s="24"/>
      <c r="Z399" s="24"/>
      <c r="AA399" s="17" t="s">
        <v>116</v>
      </c>
      <c r="AB399" s="23" t="str">
        <f>IFERROR(VLOOKUP(AA399,Listas!$A$1:$C$14,2,FALSE),"")</f>
        <v>FREDY CÉSPEDES VILLA</v>
      </c>
      <c r="AC399" s="23">
        <f>IFERROR(VLOOKUP(AA399,Listas!$A$1:$C$14,3,FALSE),"")</f>
        <v>93363483</v>
      </c>
      <c r="AD399" s="17" t="s">
        <v>951</v>
      </c>
      <c r="AE399" s="17" t="s">
        <v>952</v>
      </c>
      <c r="AF399" s="23" t="str">
        <f>IFERROR(VLOOKUP(AE399,Listas!$AD$1:$AF$65,2,FALSE),"")</f>
        <v>ANDRES MAURICIO LUQUE AYALA</v>
      </c>
      <c r="AG399" s="23">
        <f>IFERROR(VLOOKUP(AE399,Listas!$AD$1:$AF$65,3,FALSE),"")</f>
        <v>11443937</v>
      </c>
      <c r="AH399" s="17" t="s">
        <v>118</v>
      </c>
      <c r="AI399" s="65" t="s">
        <v>3389</v>
      </c>
      <c r="AJ399" s="25" t="s">
        <v>119</v>
      </c>
      <c r="AK399" s="26" t="s">
        <v>120</v>
      </c>
      <c r="AL399" s="26" t="s">
        <v>120</v>
      </c>
      <c r="AM399" s="90" t="s">
        <v>119</v>
      </c>
      <c r="AN399" s="105">
        <v>32911</v>
      </c>
      <c r="AO399" s="91">
        <f t="shared" ca="1" si="170"/>
        <v>35</v>
      </c>
      <c r="AP399" s="26" t="s">
        <v>121</v>
      </c>
      <c r="AQ399" s="26" t="s">
        <v>886</v>
      </c>
      <c r="AR399" s="89"/>
      <c r="AS399" s="27"/>
      <c r="AT399" s="16"/>
      <c r="AU399" s="27"/>
      <c r="AV399" s="86"/>
      <c r="AW399" s="27"/>
      <c r="AX399" s="27"/>
      <c r="AY399" s="27"/>
      <c r="AZ399" s="27"/>
      <c r="BA399" s="27"/>
      <c r="BB399" s="27"/>
      <c r="BC399" s="97"/>
      <c r="BD399" s="27"/>
      <c r="BE399" s="16"/>
      <c r="BF399" s="28">
        <f t="shared" si="172"/>
        <v>0</v>
      </c>
      <c r="BG399" s="29"/>
      <c r="BH399" s="27"/>
      <c r="BI399" s="30">
        <f t="shared" si="173"/>
        <v>329</v>
      </c>
      <c r="BJ399" s="31">
        <f t="shared" si="174"/>
        <v>45656</v>
      </c>
      <c r="BK399" s="27"/>
      <c r="BL399" s="16"/>
      <c r="BM399" s="27"/>
      <c r="BN399" s="16"/>
      <c r="BO399" s="27"/>
      <c r="BP399" s="16"/>
      <c r="BQ399" s="27"/>
      <c r="BR399" s="24"/>
      <c r="BS399" s="24"/>
      <c r="BT399" s="32"/>
      <c r="BU399" s="27"/>
      <c r="BV399" s="24"/>
      <c r="BW399" s="24"/>
      <c r="BX399" s="16"/>
      <c r="BY399" s="27"/>
      <c r="BZ399" s="24"/>
      <c r="CA399" s="24"/>
      <c r="CB399" s="16"/>
      <c r="CC399" s="49">
        <f t="shared" si="175"/>
        <v>0</v>
      </c>
      <c r="CD399" s="24"/>
      <c r="CE399" s="49">
        <f t="shared" si="171"/>
        <v>72613200</v>
      </c>
      <c r="CF399" s="50"/>
      <c r="CG399" s="49">
        <f t="shared" ca="1" si="176"/>
        <v>72613200</v>
      </c>
      <c r="CH399" s="33">
        <f t="shared" ca="1" si="177"/>
        <v>1</v>
      </c>
      <c r="CI399" s="33">
        <f t="shared" ca="1" si="181"/>
        <v>1</v>
      </c>
      <c r="CJ399" s="36">
        <f t="shared" ca="1" si="178"/>
        <v>100</v>
      </c>
      <c r="CK399" s="34">
        <f t="shared" si="179"/>
        <v>0</v>
      </c>
      <c r="CL399" s="21"/>
      <c r="CM399" s="35" t="str">
        <f t="shared" ca="1" si="180"/>
        <v>TERMINADO</v>
      </c>
      <c r="CN399" s="82"/>
      <c r="CO399" s="145" t="s">
        <v>3390</v>
      </c>
      <c r="CP399" s="26" t="s">
        <v>142</v>
      </c>
    </row>
    <row r="400" spans="1:94" ht="24.75" customHeight="1">
      <c r="A400" s="48" t="s">
        <v>3391</v>
      </c>
      <c r="B400" s="77" t="s">
        <v>3392</v>
      </c>
      <c r="C400" s="17" t="s">
        <v>104</v>
      </c>
      <c r="D400" s="18" t="s">
        <v>3393</v>
      </c>
      <c r="E400" s="17" t="s">
        <v>106</v>
      </c>
      <c r="F400" s="17" t="s">
        <v>107</v>
      </c>
      <c r="G400" s="17" t="s">
        <v>108</v>
      </c>
      <c r="H400" s="78">
        <v>71775436</v>
      </c>
      <c r="I400" s="74" t="s">
        <v>3394</v>
      </c>
      <c r="J400" s="16"/>
      <c r="K400" s="16"/>
      <c r="L400" s="20" t="s">
        <v>3395</v>
      </c>
      <c r="M400" s="16" t="s">
        <v>111</v>
      </c>
      <c r="N400" s="115">
        <v>45321</v>
      </c>
      <c r="O400" s="115">
        <v>45327</v>
      </c>
      <c r="P400" s="115">
        <v>45656</v>
      </c>
      <c r="Q400" s="23">
        <f t="shared" si="169"/>
        <v>329</v>
      </c>
      <c r="R400" s="17" t="s">
        <v>242</v>
      </c>
      <c r="S400" s="117" t="s">
        <v>3396</v>
      </c>
      <c r="T400" s="16" t="s">
        <v>732</v>
      </c>
      <c r="U400" s="67">
        <v>125058413</v>
      </c>
      <c r="V400" s="16" t="s">
        <v>894</v>
      </c>
      <c r="W400" s="224">
        <v>125058413</v>
      </c>
      <c r="X400" s="24">
        <v>10421534</v>
      </c>
      <c r="Y400" s="24"/>
      <c r="Z400" s="24"/>
      <c r="AA400" s="17" t="s">
        <v>116</v>
      </c>
      <c r="AB400" s="23" t="str">
        <f>IFERROR(VLOOKUP(AA400,Listas!$A$1:$C$14,2,FALSE),"")</f>
        <v>FREDY CÉSPEDES VILLA</v>
      </c>
      <c r="AC400" s="23">
        <f>IFERROR(VLOOKUP(AA400,Listas!$A$1:$C$14,3,FALSE),"")</f>
        <v>93363483</v>
      </c>
      <c r="AD400" s="17" t="s">
        <v>588</v>
      </c>
      <c r="AE400" s="17" t="s">
        <v>589</v>
      </c>
      <c r="AF400" s="23" t="str">
        <f>IFERROR(VLOOKUP(AE400,Listas!$AD$1:$AF$65,2,FALSE),"")</f>
        <v>ANA LUCY CASTRO CASTRO</v>
      </c>
      <c r="AG400" s="23">
        <f>IFERROR(VLOOKUP(AE400,Listas!$AD$1:$AF$65,3,FALSE),"")</f>
        <v>51743499</v>
      </c>
      <c r="AH400" s="17" t="s">
        <v>118</v>
      </c>
      <c r="AI400" s="65" t="s">
        <v>3397</v>
      </c>
      <c r="AJ400" s="25" t="s">
        <v>119</v>
      </c>
      <c r="AK400" s="26" t="s">
        <v>120</v>
      </c>
      <c r="AL400" s="26" t="s">
        <v>120</v>
      </c>
      <c r="AM400" s="90" t="s">
        <v>119</v>
      </c>
      <c r="AN400" s="105">
        <v>28404</v>
      </c>
      <c r="AO400" s="91">
        <f t="shared" ca="1" si="170"/>
        <v>48</v>
      </c>
      <c r="AP400" s="26" t="s">
        <v>121</v>
      </c>
      <c r="AQ400" s="26" t="s">
        <v>486</v>
      </c>
      <c r="AR400" s="89"/>
      <c r="AS400" s="27"/>
      <c r="AT400" s="16"/>
      <c r="AU400" s="27"/>
      <c r="AV400" s="86"/>
      <c r="AW400" s="27"/>
      <c r="AX400" s="27"/>
      <c r="AY400" s="27"/>
      <c r="AZ400" s="27"/>
      <c r="BA400" s="27"/>
      <c r="BB400" s="27"/>
      <c r="BC400" s="97"/>
      <c r="BD400" s="27"/>
      <c r="BE400" s="16"/>
      <c r="BF400" s="28">
        <f t="shared" si="172"/>
        <v>0</v>
      </c>
      <c r="BG400" s="29"/>
      <c r="BH400" s="27"/>
      <c r="BI400" s="30">
        <f t="shared" si="173"/>
        <v>329</v>
      </c>
      <c r="BJ400" s="31">
        <f t="shared" si="174"/>
        <v>45656</v>
      </c>
      <c r="BK400" s="27"/>
      <c r="BL400" s="16"/>
      <c r="BM400" s="27"/>
      <c r="BN400" s="16"/>
      <c r="BO400" s="27"/>
      <c r="BP400" s="16"/>
      <c r="BQ400" s="27"/>
      <c r="BR400" s="24"/>
      <c r="BS400" s="24"/>
      <c r="BT400" s="32"/>
      <c r="BU400" s="27"/>
      <c r="BV400" s="24"/>
      <c r="BW400" s="24"/>
      <c r="BX400" s="16"/>
      <c r="BY400" s="27"/>
      <c r="BZ400" s="24"/>
      <c r="CA400" s="24"/>
      <c r="CB400" s="16"/>
      <c r="CC400" s="49">
        <f t="shared" si="175"/>
        <v>0</v>
      </c>
      <c r="CD400" s="24"/>
      <c r="CE400" s="49">
        <f t="shared" si="171"/>
        <v>125058413</v>
      </c>
      <c r="CF400" s="50"/>
      <c r="CG400" s="49">
        <f t="shared" ca="1" si="176"/>
        <v>125058413</v>
      </c>
      <c r="CH400" s="33">
        <f t="shared" ca="1" si="177"/>
        <v>1</v>
      </c>
      <c r="CI400" s="33">
        <f t="shared" ca="1" si="181"/>
        <v>1</v>
      </c>
      <c r="CJ400" s="36">
        <f t="shared" ca="1" si="178"/>
        <v>100</v>
      </c>
      <c r="CK400" s="34">
        <f t="shared" si="179"/>
        <v>0</v>
      </c>
      <c r="CL400" s="21"/>
      <c r="CM400" s="35" t="str">
        <f t="shared" ca="1" si="180"/>
        <v>TERMINADO</v>
      </c>
      <c r="CN400" s="82"/>
      <c r="CO400" s="145" t="s">
        <v>3398</v>
      </c>
      <c r="CP400" s="26" t="s">
        <v>142</v>
      </c>
    </row>
    <row r="401" spans="1:97" ht="24.75" customHeight="1">
      <c r="A401" s="48" t="s">
        <v>3399</v>
      </c>
      <c r="B401" s="77" t="s">
        <v>3400</v>
      </c>
      <c r="C401" s="17" t="s">
        <v>104</v>
      </c>
      <c r="D401" s="18" t="s">
        <v>3401</v>
      </c>
      <c r="E401" s="17" t="s">
        <v>106</v>
      </c>
      <c r="F401" s="17" t="s">
        <v>107</v>
      </c>
      <c r="G401" s="17" t="s">
        <v>108</v>
      </c>
      <c r="H401" s="78">
        <v>1010230862</v>
      </c>
      <c r="I401" s="74" t="s">
        <v>3402</v>
      </c>
      <c r="J401" s="16"/>
      <c r="K401" s="16"/>
      <c r="L401" s="20" t="s">
        <v>3403</v>
      </c>
      <c r="M401" s="16" t="s">
        <v>111</v>
      </c>
      <c r="N401" s="115">
        <v>45323</v>
      </c>
      <c r="O401" s="22">
        <v>45329</v>
      </c>
      <c r="P401" s="115">
        <v>45656</v>
      </c>
      <c r="Q401" s="23">
        <f t="shared" si="169"/>
        <v>327</v>
      </c>
      <c r="R401" s="17" t="s">
        <v>242</v>
      </c>
      <c r="S401" s="117" t="s">
        <v>3404</v>
      </c>
      <c r="T401" s="16" t="s">
        <v>1249</v>
      </c>
      <c r="U401" s="67">
        <v>73578000</v>
      </c>
      <c r="V401" s="16" t="s">
        <v>3291</v>
      </c>
      <c r="W401" s="224">
        <v>67446500</v>
      </c>
      <c r="X401" s="24">
        <v>6131500</v>
      </c>
      <c r="Y401" s="24"/>
      <c r="Z401" s="24"/>
      <c r="AA401" s="17" t="s">
        <v>116</v>
      </c>
      <c r="AB401" s="23" t="str">
        <f>IFERROR(VLOOKUP(AA401,Listas!$A$1:$C$14,2,FALSE),"")</f>
        <v>FREDY CÉSPEDES VILLA</v>
      </c>
      <c r="AC401" s="23">
        <f>IFERROR(VLOOKUP(AA401,Listas!$A$1:$C$14,3,FALSE),"")</f>
        <v>93363483</v>
      </c>
      <c r="AD401" s="17" t="s">
        <v>577</v>
      </c>
      <c r="AE401" s="17" t="s">
        <v>578</v>
      </c>
      <c r="AF401" s="23" t="str">
        <f>IFERROR(VLOOKUP(AE401,Listas!$AD$1:$AF$65,2,FALSE),"")</f>
        <v>EDGAR FABIO DÍAZ RAMIREZ</v>
      </c>
      <c r="AG401" s="23">
        <f>IFERROR(VLOOKUP(AE401,Listas!$AD$1:$AF$65,3,FALSE),"")</f>
        <v>79537198</v>
      </c>
      <c r="AH401" s="17" t="s">
        <v>118</v>
      </c>
      <c r="AI401" s="65" t="s">
        <v>3405</v>
      </c>
      <c r="AJ401" s="25" t="s">
        <v>119</v>
      </c>
      <c r="AK401" s="26" t="s">
        <v>120</v>
      </c>
      <c r="AL401" s="26" t="s">
        <v>120</v>
      </c>
      <c r="AM401" s="90" t="s">
        <v>119</v>
      </c>
      <c r="AN401" s="105">
        <v>35385</v>
      </c>
      <c r="AO401" s="91">
        <f t="shared" ca="1" si="170"/>
        <v>29</v>
      </c>
      <c r="AP401" s="26" t="s">
        <v>121</v>
      </c>
      <c r="AQ401" s="26" t="s">
        <v>886</v>
      </c>
      <c r="AR401" s="89"/>
      <c r="AS401" s="27"/>
      <c r="AT401" s="16"/>
      <c r="AU401" s="27"/>
      <c r="AV401" s="86"/>
      <c r="AW401" s="27"/>
      <c r="AX401" s="27"/>
      <c r="AY401" s="27"/>
      <c r="AZ401" s="27"/>
      <c r="BA401" s="27"/>
      <c r="BB401" s="27"/>
      <c r="BC401" s="97"/>
      <c r="BD401" s="27"/>
      <c r="BE401" s="16"/>
      <c r="BF401" s="28">
        <f t="shared" si="172"/>
        <v>0</v>
      </c>
      <c r="BG401" s="29"/>
      <c r="BH401" s="27"/>
      <c r="BI401" s="30">
        <f t="shared" si="173"/>
        <v>327</v>
      </c>
      <c r="BJ401" s="31">
        <f t="shared" si="174"/>
        <v>45656</v>
      </c>
      <c r="BK401" s="27"/>
      <c r="BL401" s="16"/>
      <c r="BM401" s="27"/>
      <c r="BN401" s="16"/>
      <c r="BO401" s="27"/>
      <c r="BP401" s="16"/>
      <c r="BQ401" s="27"/>
      <c r="BR401" s="24"/>
      <c r="BS401" s="24"/>
      <c r="BT401" s="32"/>
      <c r="BU401" s="27"/>
      <c r="BV401" s="24"/>
      <c r="BW401" s="24"/>
      <c r="BX401" s="16"/>
      <c r="BY401" s="27"/>
      <c r="BZ401" s="24"/>
      <c r="CA401" s="24"/>
      <c r="CB401" s="16"/>
      <c r="CC401" s="49">
        <f t="shared" si="175"/>
        <v>0</v>
      </c>
      <c r="CD401" s="24"/>
      <c r="CE401" s="49">
        <f t="shared" si="171"/>
        <v>67446500</v>
      </c>
      <c r="CF401" s="50"/>
      <c r="CG401" s="49">
        <f t="shared" ca="1" si="176"/>
        <v>67446500</v>
      </c>
      <c r="CH401" s="33">
        <f t="shared" ca="1" si="177"/>
        <v>1</v>
      </c>
      <c r="CI401" s="33">
        <f t="shared" ca="1" si="181"/>
        <v>1</v>
      </c>
      <c r="CJ401" s="36">
        <f t="shared" ca="1" si="178"/>
        <v>100</v>
      </c>
      <c r="CK401" s="34">
        <f t="shared" si="179"/>
        <v>0</v>
      </c>
      <c r="CL401" s="21"/>
      <c r="CM401" s="35" t="str">
        <f t="shared" ca="1" si="180"/>
        <v>TERMINADO</v>
      </c>
      <c r="CN401" s="82"/>
      <c r="CO401" s="145" t="s">
        <v>3406</v>
      </c>
      <c r="CP401" s="26" t="s">
        <v>123</v>
      </c>
    </row>
    <row r="402" spans="1:97" ht="24.75" customHeight="1">
      <c r="A402" s="48" t="s">
        <v>3407</v>
      </c>
      <c r="B402" s="77" t="s">
        <v>3408</v>
      </c>
      <c r="C402" s="17" t="s">
        <v>104</v>
      </c>
      <c r="D402" s="18" t="s">
        <v>3409</v>
      </c>
      <c r="E402" s="17" t="s">
        <v>106</v>
      </c>
      <c r="F402" s="17" t="s">
        <v>107</v>
      </c>
      <c r="G402" s="17" t="s">
        <v>108</v>
      </c>
      <c r="H402" s="78">
        <v>1014206840</v>
      </c>
      <c r="I402" s="74" t="s">
        <v>3410</v>
      </c>
      <c r="J402" s="16"/>
      <c r="K402" s="16"/>
      <c r="L402" s="20" t="s">
        <v>3411</v>
      </c>
      <c r="M402" s="16" t="s">
        <v>111</v>
      </c>
      <c r="N402" s="115">
        <v>45322</v>
      </c>
      <c r="O402" s="115">
        <v>45322</v>
      </c>
      <c r="P402" s="115">
        <v>45656</v>
      </c>
      <c r="Q402" s="23">
        <f t="shared" si="169"/>
        <v>334</v>
      </c>
      <c r="R402" s="17" t="s">
        <v>242</v>
      </c>
      <c r="S402" s="117" t="s">
        <v>3412</v>
      </c>
      <c r="T402" s="16" t="s">
        <v>2751</v>
      </c>
      <c r="U402" s="67">
        <v>56468369</v>
      </c>
      <c r="V402" s="16" t="s">
        <v>437</v>
      </c>
      <c r="W402" s="224">
        <v>56468369</v>
      </c>
      <c r="X402" s="24">
        <v>5026858</v>
      </c>
      <c r="Y402" s="24"/>
      <c r="Z402" s="24"/>
      <c r="AA402" s="17" t="s">
        <v>116</v>
      </c>
      <c r="AB402" s="23" t="str">
        <f>IFERROR(VLOOKUP(AA402,Listas!$A$1:$C$14,2,FALSE),"")</f>
        <v>FREDY CÉSPEDES VILLA</v>
      </c>
      <c r="AC402" s="23">
        <f>IFERROR(VLOOKUP(AA402,Listas!$A$1:$C$14,3,FALSE),"")</f>
        <v>93363483</v>
      </c>
      <c r="AD402" s="17" t="s">
        <v>345</v>
      </c>
      <c r="AE402" s="17" t="s">
        <v>346</v>
      </c>
      <c r="AF402" s="23" t="str">
        <f>IFERROR(VLOOKUP(AE402,Listas!$AD$1:$AF$65,2,FALSE),"")</f>
        <v>RODOLFO GIOVANNI CANCHILA SUÁREZ</v>
      </c>
      <c r="AG402" s="23">
        <f>IFERROR(VLOOKUP(AE402,Listas!$AD$1:$AF$65,3,FALSE),"")</f>
        <v>79672493</v>
      </c>
      <c r="AH402" s="17" t="s">
        <v>118</v>
      </c>
      <c r="AI402" s="65" t="s">
        <v>3413</v>
      </c>
      <c r="AJ402" s="25" t="s">
        <v>119</v>
      </c>
      <c r="AK402" s="26" t="s">
        <v>120</v>
      </c>
      <c r="AL402" s="26" t="s">
        <v>120</v>
      </c>
      <c r="AM402" s="90" t="s">
        <v>119</v>
      </c>
      <c r="AN402" s="105">
        <v>32881</v>
      </c>
      <c r="AO402" s="91">
        <f t="shared" ca="1" si="170"/>
        <v>35</v>
      </c>
      <c r="AP402" s="26" t="s">
        <v>121</v>
      </c>
      <c r="AQ402" s="26" t="s">
        <v>367</v>
      </c>
      <c r="AR402" s="89"/>
      <c r="AS402" s="27"/>
      <c r="AT402" s="16"/>
      <c r="AU402" s="27"/>
      <c r="AV402" s="86"/>
      <c r="AW402" s="27"/>
      <c r="AX402" s="27"/>
      <c r="AY402" s="27"/>
      <c r="AZ402" s="27"/>
      <c r="BA402" s="27"/>
      <c r="BB402" s="27"/>
      <c r="BC402" s="97"/>
      <c r="BD402" s="27"/>
      <c r="BE402" s="16"/>
      <c r="BF402" s="28">
        <f t="shared" si="172"/>
        <v>0</v>
      </c>
      <c r="BG402" s="29"/>
      <c r="BH402" s="27"/>
      <c r="BI402" s="30">
        <f t="shared" si="173"/>
        <v>334</v>
      </c>
      <c r="BJ402" s="31">
        <f t="shared" si="174"/>
        <v>45656</v>
      </c>
      <c r="BK402" s="27"/>
      <c r="BL402" s="16"/>
      <c r="BM402" s="27"/>
      <c r="BN402" s="16"/>
      <c r="BO402" s="27"/>
      <c r="BP402" s="16"/>
      <c r="BQ402" s="27"/>
      <c r="BR402" s="24"/>
      <c r="BS402" s="24"/>
      <c r="BT402" s="32"/>
      <c r="BU402" s="27"/>
      <c r="BV402" s="24"/>
      <c r="BW402" s="24"/>
      <c r="BX402" s="16"/>
      <c r="BY402" s="27"/>
      <c r="BZ402" s="24"/>
      <c r="CA402" s="24"/>
      <c r="CB402" s="16"/>
      <c r="CC402" s="49">
        <f t="shared" si="175"/>
        <v>0</v>
      </c>
      <c r="CD402" s="24"/>
      <c r="CE402" s="49">
        <f t="shared" si="171"/>
        <v>56468369</v>
      </c>
      <c r="CF402" s="50"/>
      <c r="CG402" s="49">
        <f t="shared" ca="1" si="176"/>
        <v>56468369</v>
      </c>
      <c r="CH402" s="33">
        <f t="shared" ca="1" si="177"/>
        <v>1</v>
      </c>
      <c r="CI402" s="33">
        <f t="shared" ca="1" si="181"/>
        <v>1</v>
      </c>
      <c r="CJ402" s="36">
        <f t="shared" ca="1" si="178"/>
        <v>100</v>
      </c>
      <c r="CK402" s="34">
        <f t="shared" si="179"/>
        <v>0</v>
      </c>
      <c r="CL402" s="21"/>
      <c r="CM402" s="35" t="str">
        <f t="shared" ca="1" si="180"/>
        <v>TERMINADO</v>
      </c>
      <c r="CN402" s="82"/>
      <c r="CO402" s="145" t="s">
        <v>3414</v>
      </c>
      <c r="CP402" s="26" t="s">
        <v>123</v>
      </c>
    </row>
    <row r="403" spans="1:97" ht="24.75" customHeight="1">
      <c r="A403" s="48" t="s">
        <v>3415</v>
      </c>
      <c r="B403" s="77" t="s">
        <v>3416</v>
      </c>
      <c r="C403" s="17" t="s">
        <v>104</v>
      </c>
      <c r="D403" s="18" t="s">
        <v>3417</v>
      </c>
      <c r="E403" s="17" t="s">
        <v>106</v>
      </c>
      <c r="F403" s="17" t="s">
        <v>107</v>
      </c>
      <c r="G403" s="17" t="s">
        <v>108</v>
      </c>
      <c r="H403" s="78">
        <v>7574509</v>
      </c>
      <c r="I403" s="74" t="s">
        <v>3418</v>
      </c>
      <c r="J403" s="16"/>
      <c r="K403" s="16"/>
      <c r="L403" s="20" t="s">
        <v>3419</v>
      </c>
      <c r="M403" s="16" t="s">
        <v>111</v>
      </c>
      <c r="N403" s="115">
        <v>45323</v>
      </c>
      <c r="O403" s="115">
        <v>45323</v>
      </c>
      <c r="P403" s="115">
        <v>45656</v>
      </c>
      <c r="Q403" s="23">
        <f t="shared" si="169"/>
        <v>333</v>
      </c>
      <c r="R403" s="17" t="s">
        <v>242</v>
      </c>
      <c r="S403" s="117" t="s">
        <v>3420</v>
      </c>
      <c r="T403" s="16" t="s">
        <v>1128</v>
      </c>
      <c r="U403" s="67">
        <v>93333333</v>
      </c>
      <c r="V403" s="16" t="s">
        <v>3421</v>
      </c>
      <c r="W403" s="224">
        <v>93333333</v>
      </c>
      <c r="X403" s="24">
        <v>8000000</v>
      </c>
      <c r="Y403" s="24"/>
      <c r="Z403" s="24"/>
      <c r="AA403" s="17" t="s">
        <v>116</v>
      </c>
      <c r="AB403" s="23" t="str">
        <f>IFERROR(VLOOKUP(AA403,Listas!$A$1:$C$14,2,FALSE),"")</f>
        <v>FREDY CÉSPEDES VILLA</v>
      </c>
      <c r="AC403" s="23">
        <f>IFERROR(VLOOKUP(AA403,Listas!$A$1:$C$14,3,FALSE),"")</f>
        <v>93363483</v>
      </c>
      <c r="AD403" s="17" t="s">
        <v>816</v>
      </c>
      <c r="AE403" s="17" t="s">
        <v>2577</v>
      </c>
      <c r="AF403" s="23" t="str">
        <f>IFERROR(VLOOKUP(AE403,Listas!$AD$1:$AF$65,2,FALSE),"")</f>
        <v>VICTOR RAUL BAUTISTA GALINDO</v>
      </c>
      <c r="AG403" s="23">
        <f>IFERROR(VLOOKUP(AE403,Listas!$AD$1:$AF$65,3,FALSE),"")</f>
        <v>79352968</v>
      </c>
      <c r="AH403" s="17" t="s">
        <v>118</v>
      </c>
      <c r="AI403" s="65" t="s">
        <v>3422</v>
      </c>
      <c r="AJ403" s="25" t="s">
        <v>119</v>
      </c>
      <c r="AK403" s="26" t="s">
        <v>120</v>
      </c>
      <c r="AL403" s="26" t="s">
        <v>120</v>
      </c>
      <c r="AM403" s="90" t="s">
        <v>119</v>
      </c>
      <c r="AN403" s="105">
        <v>30523</v>
      </c>
      <c r="AO403" s="91">
        <f t="shared" ca="1" si="170"/>
        <v>42</v>
      </c>
      <c r="AP403" s="26" t="s">
        <v>121</v>
      </c>
      <c r="AQ403" s="26" t="s">
        <v>1641</v>
      </c>
      <c r="AR403" s="89"/>
      <c r="AS403" s="27"/>
      <c r="AT403" s="16"/>
      <c r="AU403" s="27"/>
      <c r="AV403" s="86"/>
      <c r="AW403" s="27"/>
      <c r="AX403" s="27"/>
      <c r="AY403" s="27"/>
      <c r="AZ403" s="27"/>
      <c r="BA403" s="27"/>
      <c r="BB403" s="27"/>
      <c r="BC403" s="97"/>
      <c r="BD403" s="27"/>
      <c r="BE403" s="16"/>
      <c r="BF403" s="28">
        <f t="shared" si="172"/>
        <v>0</v>
      </c>
      <c r="BG403" s="29"/>
      <c r="BH403" s="27"/>
      <c r="BI403" s="30">
        <f t="shared" si="173"/>
        <v>333</v>
      </c>
      <c r="BJ403" s="31">
        <f t="shared" si="174"/>
        <v>45656</v>
      </c>
      <c r="BK403" s="27"/>
      <c r="BL403" s="16"/>
      <c r="BM403" s="27"/>
      <c r="BN403" s="16"/>
      <c r="BO403" s="27"/>
      <c r="BP403" s="16"/>
      <c r="BQ403" s="27"/>
      <c r="BR403" s="24"/>
      <c r="BS403" s="24"/>
      <c r="BT403" s="32"/>
      <c r="BU403" s="27"/>
      <c r="BV403" s="24"/>
      <c r="BW403" s="24"/>
      <c r="BX403" s="16"/>
      <c r="BY403" s="27"/>
      <c r="BZ403" s="24"/>
      <c r="CA403" s="24"/>
      <c r="CB403" s="16"/>
      <c r="CC403" s="49">
        <f t="shared" si="175"/>
        <v>0</v>
      </c>
      <c r="CD403" s="24"/>
      <c r="CE403" s="49">
        <f t="shared" si="171"/>
        <v>93333333</v>
      </c>
      <c r="CF403" s="50"/>
      <c r="CG403" s="49">
        <f t="shared" ca="1" si="176"/>
        <v>93333333</v>
      </c>
      <c r="CH403" s="33">
        <f t="shared" ca="1" si="177"/>
        <v>1</v>
      </c>
      <c r="CI403" s="33">
        <f t="shared" ca="1" si="181"/>
        <v>1</v>
      </c>
      <c r="CJ403" s="36">
        <f t="shared" ca="1" si="178"/>
        <v>100</v>
      </c>
      <c r="CK403" s="34">
        <f t="shared" si="179"/>
        <v>0</v>
      </c>
      <c r="CL403" s="21"/>
      <c r="CM403" s="35" t="str">
        <f t="shared" ca="1" si="180"/>
        <v>TERMINADO</v>
      </c>
      <c r="CN403" s="82"/>
      <c r="CO403" s="145" t="s">
        <v>3423</v>
      </c>
      <c r="CP403" s="26" t="s">
        <v>142</v>
      </c>
    </row>
    <row r="404" spans="1:97" ht="24.75" customHeight="1">
      <c r="A404" s="48" t="s">
        <v>3424</v>
      </c>
      <c r="B404" s="77" t="s">
        <v>3425</v>
      </c>
      <c r="C404" s="17" t="s">
        <v>104</v>
      </c>
      <c r="D404" s="18" t="s">
        <v>3426</v>
      </c>
      <c r="E404" s="17" t="s">
        <v>106</v>
      </c>
      <c r="F404" s="17" t="s">
        <v>107</v>
      </c>
      <c r="G404" s="17" t="s">
        <v>108</v>
      </c>
      <c r="H404" s="78">
        <v>80000820</v>
      </c>
      <c r="I404" s="74" t="s">
        <v>3427</v>
      </c>
      <c r="J404" s="16"/>
      <c r="K404" s="16"/>
      <c r="L404" s="20" t="s">
        <v>3428</v>
      </c>
      <c r="M404" s="16" t="s">
        <v>111</v>
      </c>
      <c r="N404" s="115">
        <v>45322</v>
      </c>
      <c r="O404" s="115">
        <v>45323</v>
      </c>
      <c r="P404" s="115">
        <v>45656</v>
      </c>
      <c r="Q404" s="23">
        <f t="shared" si="169"/>
        <v>333</v>
      </c>
      <c r="R404" s="17" t="s">
        <v>242</v>
      </c>
      <c r="S404" s="117" t="s">
        <v>3429</v>
      </c>
      <c r="T404" s="16" t="s">
        <v>668</v>
      </c>
      <c r="U404" s="67">
        <v>139771164</v>
      </c>
      <c r="V404" s="16" t="s">
        <v>1118</v>
      </c>
      <c r="W404" s="224">
        <v>139771164</v>
      </c>
      <c r="X404" s="24">
        <v>11674597</v>
      </c>
      <c r="Y404" s="24"/>
      <c r="Z404" s="24"/>
      <c r="AA404" s="17" t="s">
        <v>116</v>
      </c>
      <c r="AB404" s="23" t="str">
        <f>IFERROR(VLOOKUP(AA404,Listas!$A$1:$C$14,2,FALSE),"")</f>
        <v>FREDY CÉSPEDES VILLA</v>
      </c>
      <c r="AC404" s="23">
        <f>IFERROR(VLOOKUP(AA404,Listas!$A$1:$C$14,3,FALSE),"")</f>
        <v>93363483</v>
      </c>
      <c r="AD404" s="17" t="s">
        <v>282</v>
      </c>
      <c r="AE404" s="17" t="s">
        <v>283</v>
      </c>
      <c r="AF404" s="23" t="str">
        <f>IFERROR(VLOOKUP(AE404,Listas!$AD$1:$AF$65,2,FALSE),"")</f>
        <v>MARÍA STELLA CARREÑO JURADO</v>
      </c>
      <c r="AG404" s="23">
        <f>IFERROR(VLOOKUP(AE404,Listas!$AD$1:$AF$65,3,FALSE),"")</f>
        <v>51774925</v>
      </c>
      <c r="AH404" s="17" t="s">
        <v>118</v>
      </c>
      <c r="AI404" s="65" t="s">
        <v>3430</v>
      </c>
      <c r="AJ404" s="25" t="s">
        <v>119</v>
      </c>
      <c r="AK404" s="26" t="s">
        <v>120</v>
      </c>
      <c r="AL404" s="26" t="s">
        <v>120</v>
      </c>
      <c r="AM404" s="90" t="s">
        <v>119</v>
      </c>
      <c r="AN404" s="105">
        <v>28778</v>
      </c>
      <c r="AO404" s="91">
        <f t="shared" ca="1" si="170"/>
        <v>47</v>
      </c>
      <c r="AP404" s="26" t="s">
        <v>121</v>
      </c>
      <c r="AQ404" s="26" t="s">
        <v>285</v>
      </c>
      <c r="AR404" s="89"/>
      <c r="AS404" s="27"/>
      <c r="AT404" s="16"/>
      <c r="AU404" s="27"/>
      <c r="AV404" s="86"/>
      <c r="AW404" s="27"/>
      <c r="AX404" s="27"/>
      <c r="AY404" s="27"/>
      <c r="AZ404" s="27"/>
      <c r="BA404" s="27"/>
      <c r="BB404" s="27"/>
      <c r="BC404" s="97"/>
      <c r="BD404" s="27"/>
      <c r="BE404" s="16"/>
      <c r="BF404" s="28">
        <f t="shared" si="172"/>
        <v>0</v>
      </c>
      <c r="BG404" s="29"/>
      <c r="BH404" s="27"/>
      <c r="BI404" s="30">
        <f t="shared" si="173"/>
        <v>333</v>
      </c>
      <c r="BJ404" s="31">
        <f t="shared" si="174"/>
        <v>45656</v>
      </c>
      <c r="BK404" s="27"/>
      <c r="BL404" s="16"/>
      <c r="BM404" s="27"/>
      <c r="BN404" s="16"/>
      <c r="BO404" s="27"/>
      <c r="BP404" s="16"/>
      <c r="BQ404" s="27"/>
      <c r="BR404" s="24"/>
      <c r="BS404" s="24"/>
      <c r="BT404" s="32"/>
      <c r="BU404" s="27"/>
      <c r="BV404" s="24"/>
      <c r="BW404" s="24"/>
      <c r="BX404" s="16"/>
      <c r="BY404" s="27"/>
      <c r="BZ404" s="24"/>
      <c r="CA404" s="24"/>
      <c r="CB404" s="16"/>
      <c r="CC404" s="49">
        <f t="shared" si="175"/>
        <v>0</v>
      </c>
      <c r="CD404" s="24"/>
      <c r="CE404" s="49">
        <f t="shared" si="171"/>
        <v>139771164</v>
      </c>
      <c r="CF404" s="50"/>
      <c r="CG404" s="49">
        <f t="shared" ca="1" si="176"/>
        <v>139771164</v>
      </c>
      <c r="CH404" s="33">
        <f t="shared" ca="1" si="177"/>
        <v>1</v>
      </c>
      <c r="CI404" s="33">
        <f t="shared" ca="1" si="181"/>
        <v>1</v>
      </c>
      <c r="CJ404" s="36">
        <f t="shared" ca="1" si="178"/>
        <v>100</v>
      </c>
      <c r="CK404" s="34">
        <f t="shared" si="179"/>
        <v>0</v>
      </c>
      <c r="CL404" s="21"/>
      <c r="CM404" s="35" t="str">
        <f t="shared" ca="1" si="180"/>
        <v>TERMINADO</v>
      </c>
      <c r="CN404" s="82"/>
      <c r="CO404" s="145" t="s">
        <v>3431</v>
      </c>
      <c r="CP404" s="26" t="s">
        <v>142</v>
      </c>
    </row>
    <row r="405" spans="1:97" ht="24.75" customHeight="1">
      <c r="A405" s="48" t="s">
        <v>1424</v>
      </c>
      <c r="B405" s="77" t="s">
        <v>3432</v>
      </c>
      <c r="C405" s="17" t="s">
        <v>2927</v>
      </c>
      <c r="D405" s="18" t="s">
        <v>3433</v>
      </c>
      <c r="E405" s="17" t="s">
        <v>2929</v>
      </c>
      <c r="F405" s="17" t="s">
        <v>1426</v>
      </c>
      <c r="G405" s="17" t="s">
        <v>1427</v>
      </c>
      <c r="H405" s="78" t="s">
        <v>3434</v>
      </c>
      <c r="I405" s="74" t="s">
        <v>3435</v>
      </c>
      <c r="J405" s="120" t="s">
        <v>3436</v>
      </c>
      <c r="K405" s="104">
        <v>7503178</v>
      </c>
      <c r="L405" s="20" t="s">
        <v>2933</v>
      </c>
      <c r="M405" s="124"/>
      <c r="N405" s="115">
        <v>45322</v>
      </c>
      <c r="O405" s="115">
        <v>45322</v>
      </c>
      <c r="P405" s="115">
        <v>45687</v>
      </c>
      <c r="Q405" s="23">
        <f t="shared" si="169"/>
        <v>365</v>
      </c>
      <c r="R405" s="17" t="s">
        <v>2934</v>
      </c>
      <c r="S405" s="24" t="s">
        <v>1424</v>
      </c>
      <c r="T405" s="116" t="s">
        <v>1424</v>
      </c>
      <c r="U405" s="24" t="s">
        <v>1424</v>
      </c>
      <c r="V405" s="24" t="s">
        <v>1424</v>
      </c>
      <c r="W405" s="227">
        <v>0</v>
      </c>
      <c r="X405" s="24"/>
      <c r="Y405" s="343" t="s">
        <v>2935</v>
      </c>
      <c r="Z405" s="24"/>
      <c r="AA405" s="17" t="s">
        <v>406</v>
      </c>
      <c r="AB405" s="23" t="str">
        <f>IFERROR(VLOOKUP(AA405,Listas!$A$1:$C$14,2,FALSE),"")</f>
        <v>EDUARDO ELÍAS BARCHA BOLÍVAR</v>
      </c>
      <c r="AC405" s="23">
        <f>IFERROR(VLOOKUP(AA405,Listas!$A$1:$C$14,3,FALSE),"")</f>
        <v>72133921</v>
      </c>
      <c r="AD405" s="17" t="s">
        <v>472</v>
      </c>
      <c r="AE405" s="17" t="s">
        <v>473</v>
      </c>
      <c r="AF405" s="23" t="str">
        <f>IFERROR(VLOOKUP(AE405,Listas!$AD$1:$AF$65,2,FALSE),"")</f>
        <v>DANIEL ALBERTO CASTAÑO LOPEZ</v>
      </c>
      <c r="AG405" s="23">
        <f>IFERROR(VLOOKUP(AE405,Listas!$AD$1:$AF$65,3,FALSE),"")</f>
        <v>7544385</v>
      </c>
      <c r="AH405" s="17" t="s">
        <v>2936</v>
      </c>
      <c r="AI405" s="26"/>
      <c r="AJ405" s="25" t="s">
        <v>1435</v>
      </c>
      <c r="AK405" s="26" t="s">
        <v>2071</v>
      </c>
      <c r="AL405" s="26" t="s">
        <v>2071</v>
      </c>
      <c r="AM405" s="90" t="s">
        <v>1435</v>
      </c>
      <c r="AN405" s="105"/>
      <c r="AO405" s="91" t="str">
        <f t="shared" ca="1" si="170"/>
        <v xml:space="preserve"> </v>
      </c>
      <c r="AP405" s="26" t="s">
        <v>2937</v>
      </c>
      <c r="AQ405" s="26" t="s">
        <v>3437</v>
      </c>
      <c r="AR405" s="89"/>
      <c r="AS405" s="27"/>
      <c r="AT405" s="16"/>
      <c r="AU405" s="27"/>
      <c r="AV405" s="86"/>
      <c r="AW405" s="27"/>
      <c r="AX405" s="27"/>
      <c r="AY405" s="27"/>
      <c r="AZ405" s="27"/>
      <c r="BA405" s="27"/>
      <c r="BB405" s="27"/>
      <c r="BC405" s="97"/>
      <c r="BD405" s="27"/>
      <c r="BE405" s="16"/>
      <c r="BF405" s="28">
        <f t="shared" si="172"/>
        <v>0</v>
      </c>
      <c r="BG405" s="29"/>
      <c r="BH405" s="27"/>
      <c r="BI405" s="30">
        <f t="shared" si="173"/>
        <v>365</v>
      </c>
      <c r="BJ405" s="31">
        <f t="shared" si="174"/>
        <v>45687</v>
      </c>
      <c r="BK405" s="27"/>
      <c r="BL405" s="16"/>
      <c r="BM405" s="27"/>
      <c r="BN405" s="16"/>
      <c r="BO405" s="27"/>
      <c r="BP405" s="16"/>
      <c r="BQ405" s="27"/>
      <c r="BR405" s="24"/>
      <c r="BS405" s="24"/>
      <c r="BT405" s="32"/>
      <c r="BU405" s="27"/>
      <c r="BV405" s="24"/>
      <c r="BW405" s="24"/>
      <c r="BX405" s="16"/>
      <c r="BY405" s="27"/>
      <c r="BZ405" s="24"/>
      <c r="CA405" s="24"/>
      <c r="CB405" s="16"/>
      <c r="CC405" s="49">
        <f t="shared" si="175"/>
        <v>0</v>
      </c>
      <c r="CD405" s="24"/>
      <c r="CE405" s="49" t="str">
        <f>IFERROR(IF(Y405=0,(W405+CC405)-CD405,IF(Y405&gt;0,(Y405+CC405)-CD405)),"")</f>
        <v/>
      </c>
      <c r="CF405" s="138">
        <v>614097402</v>
      </c>
      <c r="CG405" s="49" t="str">
        <f t="shared" ca="1" si="176"/>
        <v/>
      </c>
      <c r="CH405" s="33">
        <f t="shared" ca="1" si="177"/>
        <v>1</v>
      </c>
      <c r="CI405" s="33">
        <f t="shared" ca="1" si="181"/>
        <v>1</v>
      </c>
      <c r="CJ405" s="36" t="str">
        <f t="shared" ca="1" si="178"/>
        <v/>
      </c>
      <c r="CK405" s="34" t="str">
        <f t="shared" si="179"/>
        <v/>
      </c>
      <c r="CL405" s="21"/>
      <c r="CM405" s="35" t="str">
        <f t="shared" ca="1" si="180"/>
        <v>TERMINADO</v>
      </c>
      <c r="CN405" s="83"/>
      <c r="CP405" s="83" t="s">
        <v>1424</v>
      </c>
      <c r="CR405" s="78"/>
      <c r="CS405" s="110"/>
    </row>
    <row r="406" spans="1:97" ht="24.75" customHeight="1">
      <c r="A406" s="48" t="s">
        <v>1424</v>
      </c>
      <c r="B406" s="77" t="s">
        <v>3438</v>
      </c>
      <c r="C406" s="17" t="s">
        <v>2927</v>
      </c>
      <c r="D406" s="18" t="s">
        <v>3439</v>
      </c>
      <c r="E406" s="17" t="s">
        <v>2929</v>
      </c>
      <c r="F406" s="17" t="s">
        <v>1426</v>
      </c>
      <c r="G406" s="17" t="s">
        <v>1427</v>
      </c>
      <c r="H406" s="78" t="s">
        <v>3440</v>
      </c>
      <c r="I406" s="74" t="s">
        <v>3441</v>
      </c>
      <c r="J406" s="16" t="s">
        <v>3442</v>
      </c>
      <c r="K406" s="104">
        <v>72139644</v>
      </c>
      <c r="L406" s="20" t="s">
        <v>2933</v>
      </c>
      <c r="M406" s="124"/>
      <c r="N406" s="115">
        <v>45322</v>
      </c>
      <c r="O406" s="115">
        <v>45322</v>
      </c>
      <c r="P406" s="115">
        <v>45687</v>
      </c>
      <c r="Q406" s="23">
        <f t="shared" si="169"/>
        <v>365</v>
      </c>
      <c r="R406" s="17" t="s">
        <v>2934</v>
      </c>
      <c r="S406" s="24" t="s">
        <v>1424</v>
      </c>
      <c r="T406" s="116" t="s">
        <v>1424</v>
      </c>
      <c r="U406" s="24" t="s">
        <v>1424</v>
      </c>
      <c r="V406" s="24" t="s">
        <v>1424</v>
      </c>
      <c r="W406" s="227">
        <v>0</v>
      </c>
      <c r="X406" s="24"/>
      <c r="Y406" s="343" t="s">
        <v>2935</v>
      </c>
      <c r="Z406" s="24"/>
      <c r="AA406" s="17" t="s">
        <v>406</v>
      </c>
      <c r="AB406" s="23" t="str">
        <f>IFERROR(VLOOKUP(AA406,Listas!$A$1:$C$14,2,FALSE),"")</f>
        <v>EDUARDO ELÍAS BARCHA BOLÍVAR</v>
      </c>
      <c r="AC406" s="23">
        <f>IFERROR(VLOOKUP(AA406,Listas!$A$1:$C$14,3,FALSE),"")</f>
        <v>72133921</v>
      </c>
      <c r="AD406" s="17" t="s">
        <v>903</v>
      </c>
      <c r="AE406" s="17" t="s">
        <v>904</v>
      </c>
      <c r="AF406" s="23" t="str">
        <f>IFERROR(VLOOKUP(AE406,Listas!$AD$1:$AF$65,2,FALSE),"")</f>
        <v>VIVIANA MARGARITA ROMERO</v>
      </c>
      <c r="AG406" s="23">
        <f>IFERROR(VLOOKUP(AE406,Listas!$AD$1:$AF$65,3,FALSE),"")</f>
        <v>32794946</v>
      </c>
      <c r="AH406" s="17" t="s">
        <v>2936</v>
      </c>
      <c r="AI406" s="26"/>
      <c r="AJ406" s="25" t="s">
        <v>1435</v>
      </c>
      <c r="AK406" s="26" t="s">
        <v>2071</v>
      </c>
      <c r="AL406" s="26" t="s">
        <v>2071</v>
      </c>
      <c r="AM406" s="90" t="s">
        <v>1435</v>
      </c>
      <c r="AN406" s="105"/>
      <c r="AO406" s="91" t="str">
        <f t="shared" ca="1" si="170"/>
        <v xml:space="preserve"> </v>
      </c>
      <c r="AP406" s="26" t="s">
        <v>2937</v>
      </c>
      <c r="AQ406" s="26" t="s">
        <v>2938</v>
      </c>
      <c r="AR406" s="89"/>
      <c r="AS406" s="27"/>
      <c r="AT406" s="16"/>
      <c r="AU406" s="27"/>
      <c r="AV406" s="86"/>
      <c r="AW406" s="27"/>
      <c r="AX406" s="27"/>
      <c r="AY406" s="27"/>
      <c r="AZ406" s="27"/>
      <c r="BA406" s="27"/>
      <c r="BB406" s="27">
        <v>45667</v>
      </c>
      <c r="BC406" s="97">
        <v>335</v>
      </c>
      <c r="BD406" s="27"/>
      <c r="BE406" s="16"/>
      <c r="BF406" s="28">
        <f t="shared" si="172"/>
        <v>335</v>
      </c>
      <c r="BG406" s="29"/>
      <c r="BH406" s="27"/>
      <c r="BI406" s="30">
        <f t="shared" si="173"/>
        <v>700</v>
      </c>
      <c r="BJ406" s="31">
        <f t="shared" si="174"/>
        <v>46022</v>
      </c>
      <c r="BK406" s="27">
        <v>45667</v>
      </c>
      <c r="BL406" s="16" t="s">
        <v>3443</v>
      </c>
      <c r="BM406" s="27"/>
      <c r="BN406" s="16"/>
      <c r="BO406" s="27"/>
      <c r="BP406" s="16"/>
      <c r="BQ406" s="27"/>
      <c r="BR406" s="24"/>
      <c r="BS406" s="24"/>
      <c r="BT406" s="32"/>
      <c r="BU406" s="27"/>
      <c r="BV406" s="24"/>
      <c r="BW406" s="24"/>
      <c r="BX406" s="16"/>
      <c r="BY406" s="27"/>
      <c r="BZ406" s="24"/>
      <c r="CA406" s="24"/>
      <c r="CB406" s="16"/>
      <c r="CC406" s="49">
        <f t="shared" si="175"/>
        <v>0</v>
      </c>
      <c r="CD406" s="24"/>
      <c r="CE406" s="49" t="str">
        <f>IFERROR(IF(Y406=0,(W406+CC406)-CD406,IF(Y406&gt;0,(Y406+CC406)-CD406)),"")</f>
        <v/>
      </c>
      <c r="CF406" s="138">
        <v>2083173412.1600001</v>
      </c>
      <c r="CG406" s="49" t="str">
        <f t="shared" ca="1" si="176"/>
        <v/>
      </c>
      <c r="CH406" s="33">
        <f t="shared" ca="1" si="177"/>
        <v>0.89855072463768115</v>
      </c>
      <c r="CI406" s="33">
        <f t="shared" ca="1" si="181"/>
        <v>0.89855072463768115</v>
      </c>
      <c r="CJ406" s="36" t="str">
        <f t="shared" ca="1" si="178"/>
        <v/>
      </c>
      <c r="CK406" s="34" t="str">
        <f t="shared" si="179"/>
        <v/>
      </c>
      <c r="CL406" s="21"/>
      <c r="CM406" s="35" t="str">
        <f t="shared" ca="1" si="180"/>
        <v>VIGENTE</v>
      </c>
      <c r="CN406" s="83"/>
      <c r="CP406" s="83" t="s">
        <v>1424</v>
      </c>
      <c r="CR406" s="78"/>
    </row>
    <row r="407" spans="1:97" ht="24.75" customHeight="1">
      <c r="A407" s="48" t="s">
        <v>1424</v>
      </c>
      <c r="B407" s="77" t="s">
        <v>3444</v>
      </c>
      <c r="C407" s="17" t="s">
        <v>2927</v>
      </c>
      <c r="D407" s="18" t="s">
        <v>3445</v>
      </c>
      <c r="E407" s="17" t="s">
        <v>2929</v>
      </c>
      <c r="F407" s="17" t="s">
        <v>1426</v>
      </c>
      <c r="G407" s="17" t="s">
        <v>1427</v>
      </c>
      <c r="H407" s="78" t="s">
        <v>3446</v>
      </c>
      <c r="I407" s="74" t="s">
        <v>3447</v>
      </c>
      <c r="J407" s="16" t="s">
        <v>3448</v>
      </c>
      <c r="K407" s="104">
        <v>63316826</v>
      </c>
      <c r="L407" s="20" t="s">
        <v>2933</v>
      </c>
      <c r="M407" s="124"/>
      <c r="N407" s="115">
        <v>45322</v>
      </c>
      <c r="O407" s="115">
        <v>45322</v>
      </c>
      <c r="P407" s="115">
        <v>45687</v>
      </c>
      <c r="Q407" s="23">
        <f t="shared" si="169"/>
        <v>365</v>
      </c>
      <c r="R407" s="17" t="s">
        <v>2934</v>
      </c>
      <c r="S407" s="24" t="s">
        <v>1424</v>
      </c>
      <c r="T407" s="116" t="s">
        <v>1424</v>
      </c>
      <c r="U407" s="24" t="s">
        <v>1424</v>
      </c>
      <c r="V407" s="24" t="s">
        <v>1424</v>
      </c>
      <c r="W407" s="227">
        <v>0</v>
      </c>
      <c r="X407" s="24"/>
      <c r="Y407" s="343" t="s">
        <v>2935</v>
      </c>
      <c r="Z407" s="24"/>
      <c r="AA407" s="17" t="s">
        <v>406</v>
      </c>
      <c r="AB407" s="23" t="str">
        <f>IFERROR(VLOOKUP(AA407,Listas!$A$1:$C$14,2,FALSE),"")</f>
        <v>EDUARDO ELÍAS BARCHA BOLÍVAR</v>
      </c>
      <c r="AC407" s="23">
        <f>IFERROR(VLOOKUP(AA407,Listas!$A$1:$C$14,3,FALSE),"")</f>
        <v>72133921</v>
      </c>
      <c r="AD407" s="17" t="s">
        <v>3449</v>
      </c>
      <c r="AE407" s="17" t="s">
        <v>3450</v>
      </c>
      <c r="AF407" s="23" t="s">
        <v>3451</v>
      </c>
      <c r="AG407" s="23" t="s">
        <v>3452</v>
      </c>
      <c r="AH407" s="17" t="s">
        <v>2936</v>
      </c>
      <c r="AI407" s="26"/>
      <c r="AJ407" s="25" t="s">
        <v>1435</v>
      </c>
      <c r="AK407" s="26" t="s">
        <v>2071</v>
      </c>
      <c r="AL407" s="26" t="s">
        <v>2071</v>
      </c>
      <c r="AM407" s="90" t="s">
        <v>1435</v>
      </c>
      <c r="AN407" s="105"/>
      <c r="AO407" s="91" t="str">
        <f t="shared" ca="1" si="170"/>
        <v xml:space="preserve"> </v>
      </c>
      <c r="AP407" s="26" t="s">
        <v>2937</v>
      </c>
      <c r="AQ407" s="26" t="s">
        <v>3453</v>
      </c>
      <c r="AR407" s="89"/>
      <c r="AS407" s="27"/>
      <c r="AT407" s="16"/>
      <c r="AU407" s="27"/>
      <c r="AV407" s="86"/>
      <c r="AW407" s="27"/>
      <c r="AX407" s="27"/>
      <c r="AY407" s="27"/>
      <c r="AZ407" s="27"/>
      <c r="BA407" s="27"/>
      <c r="BB407" s="27">
        <v>45687</v>
      </c>
      <c r="BC407" s="97">
        <v>335</v>
      </c>
      <c r="BD407" s="27"/>
      <c r="BE407" s="16"/>
      <c r="BF407" s="28">
        <f t="shared" si="172"/>
        <v>335</v>
      </c>
      <c r="BG407" s="29"/>
      <c r="BH407" s="27"/>
      <c r="BI407" s="30">
        <f t="shared" si="173"/>
        <v>700</v>
      </c>
      <c r="BJ407" s="31">
        <f t="shared" si="174"/>
        <v>46022</v>
      </c>
      <c r="BK407" s="27">
        <v>45687</v>
      </c>
      <c r="BL407" s="16" t="s">
        <v>3454</v>
      </c>
      <c r="BM407" s="27"/>
      <c r="BN407" s="16"/>
      <c r="BO407" s="27"/>
      <c r="BP407" s="16"/>
      <c r="BQ407" s="27"/>
      <c r="BR407" s="24"/>
      <c r="BS407" s="24"/>
      <c r="BT407" s="32"/>
      <c r="BU407" s="27"/>
      <c r="BV407" s="24"/>
      <c r="BW407" s="24"/>
      <c r="BX407" s="16"/>
      <c r="BY407" s="27"/>
      <c r="BZ407" s="24"/>
      <c r="CA407" s="24"/>
      <c r="CB407" s="16"/>
      <c r="CC407" s="49">
        <f t="shared" si="175"/>
        <v>0</v>
      </c>
      <c r="CD407" s="24"/>
      <c r="CE407" s="49" t="str">
        <f>IFERROR(IF(Y407=0,(W407+CC407)-CD407,IF(Y407&gt;0,(Y407+CC407)-CD407)),"")</f>
        <v/>
      </c>
      <c r="CF407" s="188">
        <v>3809332663.72999</v>
      </c>
      <c r="CG407" s="49" t="str">
        <f t="shared" ca="1" si="176"/>
        <v/>
      </c>
      <c r="CH407" s="33">
        <f t="shared" ca="1" si="177"/>
        <v>0.89855072463768115</v>
      </c>
      <c r="CI407" s="33">
        <f t="shared" ca="1" si="181"/>
        <v>0.89855072463768115</v>
      </c>
      <c r="CJ407" s="36" t="str">
        <f t="shared" ca="1" si="178"/>
        <v/>
      </c>
      <c r="CK407" s="34" t="str">
        <f t="shared" si="179"/>
        <v/>
      </c>
      <c r="CL407" s="21"/>
      <c r="CM407" s="35" t="str">
        <f t="shared" ca="1" si="180"/>
        <v>VIGENTE</v>
      </c>
      <c r="CN407" s="83"/>
      <c r="CP407" s="83" t="s">
        <v>1424</v>
      </c>
      <c r="CR407" s="78"/>
    </row>
    <row r="408" spans="1:97" ht="24.75" customHeight="1">
      <c r="A408" s="48" t="s">
        <v>3455</v>
      </c>
      <c r="B408" s="77" t="s">
        <v>3456</v>
      </c>
      <c r="C408" s="17" t="s">
        <v>104</v>
      </c>
      <c r="D408" s="18" t="s">
        <v>3457</v>
      </c>
      <c r="E408" s="17" t="s">
        <v>106</v>
      </c>
      <c r="F408" s="17" t="s">
        <v>107</v>
      </c>
      <c r="G408" s="17" t="s">
        <v>108</v>
      </c>
      <c r="H408" s="78">
        <v>1016002719</v>
      </c>
      <c r="I408" s="74" t="s">
        <v>3458</v>
      </c>
      <c r="J408" s="16"/>
      <c r="K408" s="16"/>
      <c r="L408" s="20" t="s">
        <v>3459</v>
      </c>
      <c r="M408" s="16" t="s">
        <v>111</v>
      </c>
      <c r="N408" s="115">
        <v>45322</v>
      </c>
      <c r="O408" s="22">
        <v>45328</v>
      </c>
      <c r="P408" s="22">
        <v>45657</v>
      </c>
      <c r="Q408" s="23">
        <f t="shared" si="169"/>
        <v>329</v>
      </c>
      <c r="R408" s="17" t="s">
        <v>112</v>
      </c>
      <c r="S408" s="117" t="s">
        <v>3460</v>
      </c>
      <c r="T408" s="16" t="s">
        <v>3461</v>
      </c>
      <c r="U408" s="24">
        <v>64057620</v>
      </c>
      <c r="V408" s="16" t="s">
        <v>538</v>
      </c>
      <c r="W408" s="227">
        <v>64057620</v>
      </c>
      <c r="X408" s="24">
        <v>5338135</v>
      </c>
      <c r="Y408" s="24"/>
      <c r="Z408" s="24"/>
      <c r="AA408" s="17" t="s">
        <v>116</v>
      </c>
      <c r="AB408" s="23" t="str">
        <f>IFERROR(VLOOKUP(AA408,Listas!$A$1:$C$14,2,FALSE),"")</f>
        <v>FREDY CÉSPEDES VILLA</v>
      </c>
      <c r="AC408" s="23">
        <f>IFERROR(VLOOKUP(AA408,Listas!$A$1:$C$14,3,FALSE),"")</f>
        <v>93363483</v>
      </c>
      <c r="AD408" s="17" t="s">
        <v>217</v>
      </c>
      <c r="AE408" s="17" t="s">
        <v>381</v>
      </c>
      <c r="AF408" s="23" t="str">
        <f>IFERROR(VLOOKUP(AE408,Listas!$AD$1:$AF$65,2,FALSE),"")</f>
        <v>MARINA AZUCENA MEDINA SANDOVAL</v>
      </c>
      <c r="AG408" s="23">
        <f>IFERROR(VLOOKUP(AE408,Listas!$AD$1:$AF$65,3,FALSE),"")</f>
        <v>51842510</v>
      </c>
      <c r="AH408" s="17" t="s">
        <v>118</v>
      </c>
      <c r="AI408" s="65" t="s">
        <v>3462</v>
      </c>
      <c r="AJ408" s="25" t="s">
        <v>119</v>
      </c>
      <c r="AK408" s="26" t="s">
        <v>120</v>
      </c>
      <c r="AL408" s="26" t="s">
        <v>120</v>
      </c>
      <c r="AM408" s="90" t="s">
        <v>119</v>
      </c>
      <c r="AN408" s="105">
        <v>31918</v>
      </c>
      <c r="AO408" s="91">
        <f t="shared" ca="1" si="170"/>
        <v>38</v>
      </c>
      <c r="AP408" s="26" t="s">
        <v>121</v>
      </c>
      <c r="AQ408" s="26" t="s">
        <v>220</v>
      </c>
      <c r="AR408" s="89"/>
      <c r="AS408" s="27"/>
      <c r="AT408" s="16"/>
      <c r="AU408" s="27"/>
      <c r="AV408" s="86"/>
      <c r="AW408" s="27"/>
      <c r="AX408" s="27"/>
      <c r="AY408" s="27"/>
      <c r="AZ408" s="27"/>
      <c r="BA408" s="27"/>
      <c r="BB408" s="27"/>
      <c r="BC408" s="97"/>
      <c r="BD408" s="27"/>
      <c r="BE408" s="16"/>
      <c r="BF408" s="28">
        <f t="shared" si="172"/>
        <v>0</v>
      </c>
      <c r="BG408" s="29"/>
      <c r="BH408" s="27"/>
      <c r="BI408" s="30">
        <f t="shared" si="173"/>
        <v>329</v>
      </c>
      <c r="BJ408" s="31">
        <f t="shared" si="174"/>
        <v>45657</v>
      </c>
      <c r="BK408" s="27"/>
      <c r="BL408" s="16"/>
      <c r="BM408" s="27"/>
      <c r="BN408" s="16"/>
      <c r="BO408" s="27"/>
      <c r="BP408" s="16"/>
      <c r="BQ408" s="27"/>
      <c r="BR408" s="24"/>
      <c r="BS408" s="24"/>
      <c r="BT408" s="32"/>
      <c r="BU408" s="27"/>
      <c r="BV408" s="24"/>
      <c r="BW408" s="24"/>
      <c r="BX408" s="16"/>
      <c r="BY408" s="27"/>
      <c r="BZ408" s="24"/>
      <c r="CA408" s="24"/>
      <c r="CB408" s="16"/>
      <c r="CC408" s="49">
        <f t="shared" si="175"/>
        <v>0</v>
      </c>
      <c r="CD408" s="24"/>
      <c r="CE408" s="49">
        <f t="shared" si="171"/>
        <v>64057620</v>
      </c>
      <c r="CF408" s="50"/>
      <c r="CG408" s="49">
        <f t="shared" ca="1" si="176"/>
        <v>64057620</v>
      </c>
      <c r="CH408" s="33">
        <f t="shared" ca="1" si="177"/>
        <v>1</v>
      </c>
      <c r="CI408" s="33">
        <f t="shared" ca="1" si="181"/>
        <v>1</v>
      </c>
      <c r="CJ408" s="36">
        <f t="shared" ca="1" si="178"/>
        <v>100</v>
      </c>
      <c r="CK408" s="34">
        <f t="shared" si="179"/>
        <v>0</v>
      </c>
      <c r="CL408" s="21"/>
      <c r="CM408" s="35" t="str">
        <f t="shared" ca="1" si="180"/>
        <v>TERMINADO</v>
      </c>
      <c r="CN408" s="82"/>
      <c r="CO408" s="145" t="s">
        <v>3463</v>
      </c>
      <c r="CP408" s="26" t="s">
        <v>123</v>
      </c>
      <c r="CR408" s="78"/>
    </row>
    <row r="409" spans="1:97" ht="24.75" customHeight="1">
      <c r="A409" s="48" t="s">
        <v>3464</v>
      </c>
      <c r="B409" s="77" t="s">
        <v>3465</v>
      </c>
      <c r="C409" s="17" t="s">
        <v>104</v>
      </c>
      <c r="D409" s="18" t="s">
        <v>3466</v>
      </c>
      <c r="E409" s="17" t="s">
        <v>106</v>
      </c>
      <c r="F409" s="17" t="s">
        <v>107</v>
      </c>
      <c r="G409" s="17" t="s">
        <v>108</v>
      </c>
      <c r="H409" s="78">
        <v>45694933</v>
      </c>
      <c r="I409" s="74" t="s">
        <v>3467</v>
      </c>
      <c r="J409" s="16"/>
      <c r="K409" s="16"/>
      <c r="L409" s="20" t="s">
        <v>3468</v>
      </c>
      <c r="M409" s="16" t="s">
        <v>111</v>
      </c>
      <c r="N409" s="115">
        <v>45322</v>
      </c>
      <c r="O409" s="115">
        <v>45327</v>
      </c>
      <c r="P409" s="115">
        <v>45656</v>
      </c>
      <c r="Q409" s="23">
        <f t="shared" si="169"/>
        <v>329</v>
      </c>
      <c r="R409" s="17" t="s">
        <v>242</v>
      </c>
      <c r="S409" s="117" t="s">
        <v>3469</v>
      </c>
      <c r="T409" s="16" t="s">
        <v>732</v>
      </c>
      <c r="U409" s="24">
        <v>55908467</v>
      </c>
      <c r="V409" s="16" t="s">
        <v>3470</v>
      </c>
      <c r="W409" s="227">
        <v>55908467</v>
      </c>
      <c r="X409" s="24">
        <v>4659038</v>
      </c>
      <c r="Y409" s="24"/>
      <c r="Z409" s="24"/>
      <c r="AA409" s="17" t="s">
        <v>116</v>
      </c>
      <c r="AB409" s="23" t="str">
        <f>IFERROR(VLOOKUP(AA409,Listas!$A$1:$C$14,2,FALSE),"")</f>
        <v>FREDY CÉSPEDES VILLA</v>
      </c>
      <c r="AC409" s="23">
        <f>IFERROR(VLOOKUP(AA409,Listas!$A$1:$C$14,3,FALSE),"")</f>
        <v>93363483</v>
      </c>
      <c r="AD409" s="17" t="s">
        <v>588</v>
      </c>
      <c r="AE409" s="17" t="s">
        <v>589</v>
      </c>
      <c r="AF409" s="23" t="str">
        <f>IFERROR(VLOOKUP(AE409,Listas!$AD$1:$AF$65,2,FALSE),"")</f>
        <v>ANA LUCY CASTRO CASTRO</v>
      </c>
      <c r="AG409" s="23">
        <f>IFERROR(VLOOKUP(AE409,Listas!$AD$1:$AF$65,3,FALSE),"")</f>
        <v>51743499</v>
      </c>
      <c r="AH409" s="17" t="s">
        <v>118</v>
      </c>
      <c r="AI409" s="65" t="s">
        <v>3471</v>
      </c>
      <c r="AJ409" s="25" t="s">
        <v>119</v>
      </c>
      <c r="AK409" s="26" t="s">
        <v>120</v>
      </c>
      <c r="AL409" s="26" t="s">
        <v>120</v>
      </c>
      <c r="AM409" s="90" t="s">
        <v>119</v>
      </c>
      <c r="AN409" s="105">
        <v>28767</v>
      </c>
      <c r="AO409" s="91">
        <f t="shared" ca="1" si="170"/>
        <v>47</v>
      </c>
      <c r="AP409" s="26" t="s">
        <v>121</v>
      </c>
      <c r="AQ409" s="26" t="s">
        <v>486</v>
      </c>
      <c r="AR409" s="89"/>
      <c r="AS409" s="27"/>
      <c r="AT409" s="16"/>
      <c r="AU409" s="27"/>
      <c r="AV409" s="86"/>
      <c r="AW409" s="27"/>
      <c r="AX409" s="27"/>
      <c r="AY409" s="27"/>
      <c r="AZ409" s="27"/>
      <c r="BA409" s="27"/>
      <c r="BB409" s="27"/>
      <c r="BC409" s="97"/>
      <c r="BD409" s="27"/>
      <c r="BE409" s="16"/>
      <c r="BF409" s="28">
        <f t="shared" si="172"/>
        <v>0</v>
      </c>
      <c r="BG409" s="29"/>
      <c r="BH409" s="27"/>
      <c r="BI409" s="30">
        <f t="shared" si="173"/>
        <v>329</v>
      </c>
      <c r="BJ409" s="31">
        <f t="shared" si="174"/>
        <v>45656</v>
      </c>
      <c r="BK409" s="27"/>
      <c r="BL409" s="16"/>
      <c r="BM409" s="27"/>
      <c r="BN409" s="16"/>
      <c r="BO409" s="27"/>
      <c r="BP409" s="16"/>
      <c r="BQ409" s="27"/>
      <c r="BR409" s="24"/>
      <c r="BS409" s="24"/>
      <c r="BT409" s="32"/>
      <c r="BU409" s="27"/>
      <c r="BV409" s="24"/>
      <c r="BW409" s="24"/>
      <c r="BX409" s="16"/>
      <c r="BY409" s="27"/>
      <c r="BZ409" s="24"/>
      <c r="CA409" s="24"/>
      <c r="CB409" s="16"/>
      <c r="CC409" s="49">
        <f t="shared" si="175"/>
        <v>0</v>
      </c>
      <c r="CD409" s="24"/>
      <c r="CE409" s="49">
        <f t="shared" si="171"/>
        <v>55908467</v>
      </c>
      <c r="CF409" s="50"/>
      <c r="CG409" s="49">
        <f t="shared" ca="1" si="176"/>
        <v>55908467</v>
      </c>
      <c r="CH409" s="33">
        <f t="shared" ca="1" si="177"/>
        <v>1</v>
      </c>
      <c r="CI409" s="33">
        <f t="shared" ca="1" si="181"/>
        <v>1</v>
      </c>
      <c r="CJ409" s="36">
        <f t="shared" ca="1" si="178"/>
        <v>100</v>
      </c>
      <c r="CK409" s="34">
        <f t="shared" si="179"/>
        <v>0</v>
      </c>
      <c r="CL409" s="21"/>
      <c r="CM409" s="35" t="str">
        <f t="shared" ca="1" si="180"/>
        <v>TERMINADO</v>
      </c>
      <c r="CN409" s="82"/>
      <c r="CO409" s="145" t="s">
        <v>3472</v>
      </c>
      <c r="CP409" s="26" t="s">
        <v>123</v>
      </c>
      <c r="CR409" s="78"/>
    </row>
    <row r="410" spans="1:97" ht="24.75" customHeight="1">
      <c r="A410" s="48" t="s">
        <v>3473</v>
      </c>
      <c r="B410" s="77" t="s">
        <v>3474</v>
      </c>
      <c r="C410" s="17" t="s">
        <v>104</v>
      </c>
      <c r="D410" s="18" t="s">
        <v>3475</v>
      </c>
      <c r="E410" s="17" t="s">
        <v>106</v>
      </c>
      <c r="F410" s="17" t="s">
        <v>107</v>
      </c>
      <c r="G410" s="17" t="s">
        <v>108</v>
      </c>
      <c r="H410" s="78">
        <v>79795350</v>
      </c>
      <c r="I410" s="74" t="s">
        <v>3476</v>
      </c>
      <c r="J410" s="16"/>
      <c r="K410" s="16"/>
      <c r="L410" s="20" t="s">
        <v>3477</v>
      </c>
      <c r="M410" s="16" t="s">
        <v>111</v>
      </c>
      <c r="N410" s="115">
        <v>45322</v>
      </c>
      <c r="O410" s="22">
        <v>45328</v>
      </c>
      <c r="P410" s="22">
        <v>45657</v>
      </c>
      <c r="Q410" s="23">
        <f t="shared" si="169"/>
        <v>329</v>
      </c>
      <c r="R410" s="17" t="s">
        <v>112</v>
      </c>
      <c r="S410" s="117" t="s">
        <v>3478</v>
      </c>
      <c r="T410" s="16" t="s">
        <v>3461</v>
      </c>
      <c r="U410" s="24">
        <v>64057620</v>
      </c>
      <c r="V410" s="16" t="s">
        <v>538</v>
      </c>
      <c r="W410" s="227">
        <v>64057620</v>
      </c>
      <c r="X410" s="24">
        <v>5338135</v>
      </c>
      <c r="Y410" s="24"/>
      <c r="Z410" s="24"/>
      <c r="AA410" s="17" t="s">
        <v>116</v>
      </c>
      <c r="AB410" s="23" t="str">
        <f>IFERROR(VLOOKUP(AA410,Listas!$A$1:$C$14,2,FALSE),"")</f>
        <v>FREDY CÉSPEDES VILLA</v>
      </c>
      <c r="AC410" s="23">
        <f>IFERROR(VLOOKUP(AA410,Listas!$A$1:$C$14,3,FALSE),"")</f>
        <v>93363483</v>
      </c>
      <c r="AD410" s="17" t="s">
        <v>217</v>
      </c>
      <c r="AE410" s="17" t="s">
        <v>381</v>
      </c>
      <c r="AF410" s="23" t="str">
        <f>IFERROR(VLOOKUP(AE410,Listas!$AD$1:$AF$65,2,FALSE),"")</f>
        <v>MARINA AZUCENA MEDINA SANDOVAL</v>
      </c>
      <c r="AG410" s="23">
        <f>IFERROR(VLOOKUP(AE410,Listas!$AD$1:$AF$65,3,FALSE),"")</f>
        <v>51842510</v>
      </c>
      <c r="AH410" s="17" t="s">
        <v>118</v>
      </c>
      <c r="AI410" s="65" t="s">
        <v>3479</v>
      </c>
      <c r="AJ410" s="25" t="s">
        <v>119</v>
      </c>
      <c r="AK410" s="26" t="s">
        <v>120</v>
      </c>
      <c r="AL410" s="26" t="s">
        <v>120</v>
      </c>
      <c r="AM410" s="90" t="s">
        <v>119</v>
      </c>
      <c r="AN410" s="105">
        <v>28437</v>
      </c>
      <c r="AO410" s="91">
        <f t="shared" ca="1" si="170"/>
        <v>48</v>
      </c>
      <c r="AP410" s="26" t="s">
        <v>121</v>
      </c>
      <c r="AQ410" s="26" t="s">
        <v>220</v>
      </c>
      <c r="AR410" s="89"/>
      <c r="AS410" s="27"/>
      <c r="AT410" s="16"/>
      <c r="AU410" s="27"/>
      <c r="AV410" s="86"/>
      <c r="AW410" s="27"/>
      <c r="AX410" s="27"/>
      <c r="AY410" s="27"/>
      <c r="AZ410" s="27"/>
      <c r="BA410" s="27"/>
      <c r="BB410" s="27"/>
      <c r="BC410" s="97"/>
      <c r="BD410" s="27"/>
      <c r="BE410" s="16"/>
      <c r="BF410" s="28">
        <f t="shared" si="172"/>
        <v>0</v>
      </c>
      <c r="BG410" s="29"/>
      <c r="BH410" s="27"/>
      <c r="BI410" s="30">
        <f t="shared" si="173"/>
        <v>329</v>
      </c>
      <c r="BJ410" s="31">
        <f t="shared" si="174"/>
        <v>45657</v>
      </c>
      <c r="BK410" s="27"/>
      <c r="BL410" s="16"/>
      <c r="BM410" s="27"/>
      <c r="BN410" s="16"/>
      <c r="BO410" s="27"/>
      <c r="BP410" s="16"/>
      <c r="BQ410" s="27"/>
      <c r="BR410" s="24"/>
      <c r="BS410" s="24"/>
      <c r="BT410" s="32"/>
      <c r="BU410" s="27"/>
      <c r="BV410" s="24"/>
      <c r="BW410" s="24"/>
      <c r="BX410" s="16"/>
      <c r="BY410" s="27"/>
      <c r="BZ410" s="24"/>
      <c r="CA410" s="24"/>
      <c r="CB410" s="16"/>
      <c r="CC410" s="49">
        <f t="shared" si="175"/>
        <v>0</v>
      </c>
      <c r="CD410" s="24"/>
      <c r="CE410" s="49">
        <f t="shared" si="171"/>
        <v>64057620</v>
      </c>
      <c r="CF410" s="50"/>
      <c r="CG410" s="49">
        <f t="shared" ca="1" si="176"/>
        <v>64057620</v>
      </c>
      <c r="CH410" s="33">
        <f t="shared" ca="1" si="177"/>
        <v>1</v>
      </c>
      <c r="CI410" s="33">
        <f t="shared" ca="1" si="181"/>
        <v>1</v>
      </c>
      <c r="CJ410" s="36">
        <f t="shared" ca="1" si="178"/>
        <v>100</v>
      </c>
      <c r="CK410" s="34">
        <f t="shared" si="179"/>
        <v>0</v>
      </c>
      <c r="CL410" s="21"/>
      <c r="CM410" s="35" t="str">
        <f t="shared" ca="1" si="180"/>
        <v>TERMINADO</v>
      </c>
      <c r="CN410" s="82"/>
      <c r="CO410" s="145" t="s">
        <v>3480</v>
      </c>
      <c r="CP410" s="26" t="s">
        <v>142</v>
      </c>
      <c r="CR410" s="78"/>
    </row>
    <row r="411" spans="1:97" ht="24.75" customHeight="1">
      <c r="A411" s="148" t="s">
        <v>3481</v>
      </c>
      <c r="B411" s="77" t="s">
        <v>3482</v>
      </c>
      <c r="C411" s="17" t="s">
        <v>104</v>
      </c>
      <c r="D411" s="18" t="s">
        <v>3483</v>
      </c>
      <c r="E411" s="17" t="s">
        <v>106</v>
      </c>
      <c r="F411" s="17" t="s">
        <v>107</v>
      </c>
      <c r="G411" s="17" t="s">
        <v>108</v>
      </c>
      <c r="H411" s="78">
        <v>1053771667</v>
      </c>
      <c r="I411" s="74" t="s">
        <v>3484</v>
      </c>
      <c r="J411" s="16"/>
      <c r="K411" s="16"/>
      <c r="L411" s="20" t="s">
        <v>3485</v>
      </c>
      <c r="M411" s="16" t="s">
        <v>111</v>
      </c>
      <c r="N411" s="115">
        <v>45322</v>
      </c>
      <c r="O411" s="115">
        <v>45323</v>
      </c>
      <c r="P411" s="115">
        <v>45656</v>
      </c>
      <c r="Q411" s="23">
        <f t="shared" si="169"/>
        <v>333</v>
      </c>
      <c r="R411" s="17" t="s">
        <v>112</v>
      </c>
      <c r="S411" s="117" t="s">
        <v>3486</v>
      </c>
      <c r="T411" s="16" t="s">
        <v>1937</v>
      </c>
      <c r="U411" s="24">
        <v>136000000</v>
      </c>
      <c r="V411" s="16" t="s">
        <v>1938</v>
      </c>
      <c r="W411" s="227">
        <v>136000000</v>
      </c>
      <c r="X411" s="24">
        <v>12000000</v>
      </c>
      <c r="Y411" s="24"/>
      <c r="Z411" s="24"/>
      <c r="AA411" s="17" t="s">
        <v>116</v>
      </c>
      <c r="AB411" s="23" t="str">
        <f>IFERROR(VLOOKUP(AA411,Listas!$A$1:$C$14,2,FALSE),"")</f>
        <v>FREDY CÉSPEDES VILLA</v>
      </c>
      <c r="AC411" s="23">
        <f>IFERROR(VLOOKUP(AA411,Listas!$A$1:$C$14,3,FALSE),"")</f>
        <v>93363483</v>
      </c>
      <c r="AD411" s="17" t="s">
        <v>116</v>
      </c>
      <c r="AE411" s="17" t="s">
        <v>743</v>
      </c>
      <c r="AF411" s="23" t="str">
        <f>IFERROR(VLOOKUP(AE411,Listas!$AD$1:$AF$65,2,FALSE),"")</f>
        <v>FREDY CÉSPEDES VILLA</v>
      </c>
      <c r="AG411" s="23">
        <f>IFERROR(VLOOKUP(AE411,Listas!$AD$1:$AF$65,3,FALSE),"")</f>
        <v>93363483</v>
      </c>
      <c r="AH411" s="17" t="s">
        <v>118</v>
      </c>
      <c r="AI411" s="65" t="s">
        <v>3487</v>
      </c>
      <c r="AJ411" s="25" t="s">
        <v>119</v>
      </c>
      <c r="AK411" s="26" t="s">
        <v>120</v>
      </c>
      <c r="AL411" s="26" t="s">
        <v>120</v>
      </c>
      <c r="AM411" s="90" t="s">
        <v>119</v>
      </c>
      <c r="AN411" s="105">
        <v>31687</v>
      </c>
      <c r="AO411" s="91">
        <f t="shared" ca="1" si="170"/>
        <v>39</v>
      </c>
      <c r="AP411" s="26" t="s">
        <v>121</v>
      </c>
      <c r="AQ411" s="26" t="s">
        <v>122</v>
      </c>
      <c r="AR411" s="89"/>
      <c r="AS411" s="27"/>
      <c r="AT411" s="16"/>
      <c r="AU411" s="27"/>
      <c r="AV411" s="86"/>
      <c r="AW411" s="27"/>
      <c r="AX411" s="27"/>
      <c r="AY411" s="27"/>
      <c r="AZ411" s="27"/>
      <c r="BA411" s="27"/>
      <c r="BB411" s="27"/>
      <c r="BC411" s="97"/>
      <c r="BD411" s="27"/>
      <c r="BE411" s="16"/>
      <c r="BF411" s="28">
        <f t="shared" si="172"/>
        <v>0</v>
      </c>
      <c r="BG411" s="29"/>
      <c r="BH411" s="27"/>
      <c r="BI411" s="30">
        <f t="shared" si="173"/>
        <v>333</v>
      </c>
      <c r="BJ411" s="31">
        <f t="shared" si="174"/>
        <v>45656</v>
      </c>
      <c r="BK411" s="27"/>
      <c r="BL411" s="16"/>
      <c r="BM411" s="27"/>
      <c r="BN411" s="16"/>
      <c r="BO411" s="27"/>
      <c r="BP411" s="16"/>
      <c r="BQ411" s="27"/>
      <c r="BR411" s="24"/>
      <c r="BS411" s="24"/>
      <c r="BT411" s="32"/>
      <c r="BU411" s="27"/>
      <c r="BV411" s="24"/>
      <c r="BW411" s="24"/>
      <c r="BX411" s="16"/>
      <c r="BY411" s="27"/>
      <c r="BZ411" s="24"/>
      <c r="CA411" s="24"/>
      <c r="CB411" s="16"/>
      <c r="CC411" s="49">
        <f t="shared" si="175"/>
        <v>0</v>
      </c>
      <c r="CD411" s="24"/>
      <c r="CE411" s="49">
        <f t="shared" si="171"/>
        <v>136000000</v>
      </c>
      <c r="CF411" s="50"/>
      <c r="CG411" s="49">
        <f t="shared" ca="1" si="176"/>
        <v>136000000</v>
      </c>
      <c r="CH411" s="33">
        <f t="shared" ca="1" si="177"/>
        <v>1</v>
      </c>
      <c r="CI411" s="33">
        <f t="shared" ca="1" si="181"/>
        <v>1</v>
      </c>
      <c r="CJ411" s="36">
        <f t="shared" ca="1" si="178"/>
        <v>100</v>
      </c>
      <c r="CK411" s="34">
        <f t="shared" si="179"/>
        <v>0</v>
      </c>
      <c r="CL411" s="21"/>
      <c r="CM411" s="35" t="str">
        <f t="shared" ca="1" si="180"/>
        <v>TERMINADO</v>
      </c>
      <c r="CN411" s="82"/>
      <c r="CO411" s="145" t="s">
        <v>3488</v>
      </c>
      <c r="CP411" s="26" t="s">
        <v>142</v>
      </c>
      <c r="CR411" s="78"/>
    </row>
    <row r="412" spans="1:97" ht="24.75" customHeight="1">
      <c r="A412" s="48" t="s">
        <v>3489</v>
      </c>
      <c r="B412" s="77" t="s">
        <v>3490</v>
      </c>
      <c r="C412" s="17" t="s">
        <v>104</v>
      </c>
      <c r="D412" s="18" t="s">
        <v>3491</v>
      </c>
      <c r="E412" s="17" t="s">
        <v>106</v>
      </c>
      <c r="F412" s="17" t="s">
        <v>107</v>
      </c>
      <c r="G412" s="17" t="s">
        <v>108</v>
      </c>
      <c r="H412" s="78">
        <v>52705230</v>
      </c>
      <c r="I412" s="74" t="s">
        <v>3492</v>
      </c>
      <c r="J412" s="16"/>
      <c r="K412" s="16"/>
      <c r="L412" s="20" t="s">
        <v>2187</v>
      </c>
      <c r="M412" s="16" t="s">
        <v>111</v>
      </c>
      <c r="N412" s="115">
        <v>45324</v>
      </c>
      <c r="O412" s="115">
        <v>45328</v>
      </c>
      <c r="P412" s="115">
        <v>45657</v>
      </c>
      <c r="Q412" s="23">
        <f t="shared" si="169"/>
        <v>329</v>
      </c>
      <c r="R412" s="17" t="s">
        <v>242</v>
      </c>
      <c r="S412" s="117" t="s">
        <v>3493</v>
      </c>
      <c r="T412" s="16" t="s">
        <v>1145</v>
      </c>
      <c r="U412" s="24">
        <v>70307867</v>
      </c>
      <c r="V412" s="16" t="s">
        <v>426</v>
      </c>
      <c r="W412" s="227">
        <v>70307867</v>
      </c>
      <c r="X412" s="24">
        <v>6131500</v>
      </c>
      <c r="Y412" s="24"/>
      <c r="Z412" s="24"/>
      <c r="AA412" s="17" t="s">
        <v>116</v>
      </c>
      <c r="AB412" s="23" t="str">
        <f>IFERROR(VLOOKUP(AA412,Listas!$A$1:$C$14,2,FALSE),"")</f>
        <v>FREDY CÉSPEDES VILLA</v>
      </c>
      <c r="AC412" s="23">
        <f>IFERROR(VLOOKUP(AA412,Listas!$A$1:$C$14,3,FALSE),"")</f>
        <v>93363483</v>
      </c>
      <c r="AD412" s="17" t="s">
        <v>427</v>
      </c>
      <c r="AE412" s="17" t="s">
        <v>2341</v>
      </c>
      <c r="AF412" s="23" t="str">
        <f>IFERROR(VLOOKUP(AE412,Listas!$AD$1:$AF$65,2,FALSE),"")</f>
        <v>LUIS ALFONSO NIÑO MANCILLA</v>
      </c>
      <c r="AG412" s="23">
        <f>IFERROR(VLOOKUP(AE412,Listas!$AD$1:$AF$65,3,FALSE),"")</f>
        <v>79719453</v>
      </c>
      <c r="AH412" s="17" t="s">
        <v>118</v>
      </c>
      <c r="AI412" s="65" t="s">
        <v>3494</v>
      </c>
      <c r="AJ412" s="25" t="s">
        <v>119</v>
      </c>
      <c r="AK412" s="26" t="s">
        <v>120</v>
      </c>
      <c r="AL412" s="26" t="s">
        <v>120</v>
      </c>
      <c r="AM412" s="90" t="s">
        <v>119</v>
      </c>
      <c r="AN412" s="105">
        <v>29170</v>
      </c>
      <c r="AO412" s="91">
        <f t="shared" ca="1" si="170"/>
        <v>46</v>
      </c>
      <c r="AP412" s="26" t="s">
        <v>121</v>
      </c>
      <c r="AQ412" s="26" t="s">
        <v>1272</v>
      </c>
      <c r="AR412" s="89"/>
      <c r="AS412" s="27"/>
      <c r="AT412" s="16"/>
      <c r="AU412" s="27"/>
      <c r="AV412" s="86"/>
      <c r="AW412" s="27"/>
      <c r="AX412" s="27"/>
      <c r="AY412" s="27"/>
      <c r="AZ412" s="27"/>
      <c r="BA412" s="27"/>
      <c r="BB412" s="27"/>
      <c r="BC412" s="97"/>
      <c r="BD412" s="27"/>
      <c r="BE412" s="16"/>
      <c r="BF412" s="28">
        <f t="shared" si="172"/>
        <v>0</v>
      </c>
      <c r="BG412" s="29"/>
      <c r="BH412" s="27"/>
      <c r="BI412" s="30">
        <f t="shared" si="173"/>
        <v>329</v>
      </c>
      <c r="BJ412" s="31">
        <f t="shared" si="174"/>
        <v>45657</v>
      </c>
      <c r="BK412" s="27"/>
      <c r="BL412" s="16"/>
      <c r="BM412" s="27"/>
      <c r="BN412" s="16"/>
      <c r="BO412" s="27"/>
      <c r="BP412" s="16"/>
      <c r="BQ412" s="27"/>
      <c r="BR412" s="24"/>
      <c r="BS412" s="24"/>
      <c r="BT412" s="32"/>
      <c r="BU412" s="27"/>
      <c r="BV412" s="24"/>
      <c r="BW412" s="24"/>
      <c r="BX412" s="16"/>
      <c r="BY412" s="27"/>
      <c r="BZ412" s="24"/>
      <c r="CA412" s="24"/>
      <c r="CB412" s="16"/>
      <c r="CC412" s="49">
        <f t="shared" si="175"/>
        <v>0</v>
      </c>
      <c r="CD412" s="24"/>
      <c r="CE412" s="49">
        <f t="shared" si="171"/>
        <v>70307867</v>
      </c>
      <c r="CF412" s="50"/>
      <c r="CG412" s="49">
        <f t="shared" ca="1" si="176"/>
        <v>70307867</v>
      </c>
      <c r="CH412" s="33">
        <f t="shared" ca="1" si="177"/>
        <v>1</v>
      </c>
      <c r="CI412" s="33">
        <f t="shared" ca="1" si="181"/>
        <v>1</v>
      </c>
      <c r="CJ412" s="36">
        <f t="shared" ca="1" si="178"/>
        <v>100</v>
      </c>
      <c r="CK412" s="34">
        <f t="shared" si="179"/>
        <v>0</v>
      </c>
      <c r="CL412" s="21"/>
      <c r="CM412" s="35" t="str">
        <f t="shared" ca="1" si="180"/>
        <v>TERMINADO</v>
      </c>
      <c r="CN412" s="82"/>
      <c r="CO412" s="145" t="s">
        <v>3495</v>
      </c>
      <c r="CP412" s="26" t="s">
        <v>123</v>
      </c>
      <c r="CR412" s="78"/>
    </row>
    <row r="413" spans="1:97" ht="24.75" customHeight="1">
      <c r="A413" s="48" t="s">
        <v>1424</v>
      </c>
      <c r="B413" s="77" t="s">
        <v>3496</v>
      </c>
      <c r="C413" s="17" t="s">
        <v>2927</v>
      </c>
      <c r="D413" s="18" t="s">
        <v>3497</v>
      </c>
      <c r="E413" s="17" t="s">
        <v>2929</v>
      </c>
      <c r="F413" s="17" t="s">
        <v>1426</v>
      </c>
      <c r="G413" s="17" t="s">
        <v>1427</v>
      </c>
      <c r="H413" s="78" t="s">
        <v>3498</v>
      </c>
      <c r="I413" s="74" t="s">
        <v>3499</v>
      </c>
      <c r="J413" s="16" t="s">
        <v>3500</v>
      </c>
      <c r="K413" s="104">
        <v>43728811</v>
      </c>
      <c r="L413" s="20" t="s">
        <v>2933</v>
      </c>
      <c r="M413" s="16"/>
      <c r="N413" s="115">
        <v>45322</v>
      </c>
      <c r="O413" s="115">
        <v>45322</v>
      </c>
      <c r="P413" s="115">
        <v>45687</v>
      </c>
      <c r="Q413" s="23">
        <f t="shared" si="169"/>
        <v>365</v>
      </c>
      <c r="R413" s="17" t="s">
        <v>2934</v>
      </c>
      <c r="S413" s="117" t="s">
        <v>1424</v>
      </c>
      <c r="T413" s="16" t="s">
        <v>1424</v>
      </c>
      <c r="U413" s="24" t="s">
        <v>1424</v>
      </c>
      <c r="V413" s="16" t="s">
        <v>1424</v>
      </c>
      <c r="W413" s="227">
        <v>0</v>
      </c>
      <c r="X413" s="24"/>
      <c r="Y413" s="24" t="s">
        <v>2935</v>
      </c>
      <c r="Z413" s="24"/>
      <c r="AA413" s="17" t="s">
        <v>406</v>
      </c>
      <c r="AB413" s="23" t="str">
        <f>IFERROR(VLOOKUP(AA413,Listas!$A$1:$C$14,2,FALSE),"")</f>
        <v>EDUARDO ELÍAS BARCHA BOLÍVAR</v>
      </c>
      <c r="AC413" s="23">
        <f>IFERROR(VLOOKUP(AA413,Listas!$A$1:$C$14,3,FALSE),"")</f>
        <v>72133921</v>
      </c>
      <c r="AD413" s="17" t="s">
        <v>472</v>
      </c>
      <c r="AE413" s="17" t="s">
        <v>473</v>
      </c>
      <c r="AF413" s="23" t="str">
        <f>IFERROR(VLOOKUP(AE413,Listas!$AD$1:$AF$65,2,FALSE),"")</f>
        <v>DANIEL ALBERTO CASTAÑO LOPEZ</v>
      </c>
      <c r="AG413" s="23">
        <f>IFERROR(VLOOKUP(AE413,Listas!$AD$1:$AF$65,3,FALSE),"")</f>
        <v>7544385</v>
      </c>
      <c r="AH413" s="17" t="s">
        <v>2936</v>
      </c>
      <c r="AI413" s="26"/>
      <c r="AJ413" s="25" t="s">
        <v>1435</v>
      </c>
      <c r="AK413" s="26" t="s">
        <v>2071</v>
      </c>
      <c r="AL413" s="26" t="s">
        <v>2071</v>
      </c>
      <c r="AM413" s="90" t="s">
        <v>1435</v>
      </c>
      <c r="AN413" s="105"/>
      <c r="AO413" s="91" t="str">
        <f t="shared" ca="1" si="170"/>
        <v xml:space="preserve"> </v>
      </c>
      <c r="AP413" s="26" t="s">
        <v>2937</v>
      </c>
      <c r="AQ413" s="26" t="s">
        <v>3501</v>
      </c>
      <c r="AR413" s="89"/>
      <c r="AS413" s="27"/>
      <c r="AT413" s="16"/>
      <c r="AU413" s="27"/>
      <c r="AV413" s="86"/>
      <c r="AW413" s="27"/>
      <c r="AX413" s="27"/>
      <c r="AY413" s="27"/>
      <c r="AZ413" s="27"/>
      <c r="BA413" s="27"/>
      <c r="BB413" s="27">
        <v>45687</v>
      </c>
      <c r="BC413" s="97">
        <v>335</v>
      </c>
      <c r="BD413" s="27"/>
      <c r="BE413" s="16"/>
      <c r="BF413" s="28">
        <f t="shared" si="172"/>
        <v>335</v>
      </c>
      <c r="BG413" s="29"/>
      <c r="BH413" s="27"/>
      <c r="BI413" s="30">
        <f t="shared" si="173"/>
        <v>700</v>
      </c>
      <c r="BJ413" s="31">
        <f t="shared" si="174"/>
        <v>46022</v>
      </c>
      <c r="BK413" s="27">
        <v>45687</v>
      </c>
      <c r="BL413" s="16" t="s">
        <v>3502</v>
      </c>
      <c r="BM413" s="27"/>
      <c r="BN413" s="16"/>
      <c r="BO413" s="27"/>
      <c r="BP413" s="16"/>
      <c r="BQ413" s="27"/>
      <c r="BR413" s="24"/>
      <c r="BS413" s="24"/>
      <c r="BT413" s="32"/>
      <c r="BU413" s="27"/>
      <c r="BV413" s="24"/>
      <c r="BW413" s="24"/>
      <c r="BX413" s="16"/>
      <c r="BY413" s="27"/>
      <c r="BZ413" s="24"/>
      <c r="CA413" s="24"/>
      <c r="CB413" s="16"/>
      <c r="CC413" s="49">
        <f t="shared" si="175"/>
        <v>0</v>
      </c>
      <c r="CD413" s="24"/>
      <c r="CE413" s="49" t="str">
        <f>IFERROR(IF(Y413=0,(W413+CC413)-CD413,IF(Y413&gt;0,(Y413+CC413)-CD413)),"")</f>
        <v/>
      </c>
      <c r="CF413" s="138">
        <v>531499411.49000001</v>
      </c>
      <c r="CG413" s="49" t="str">
        <f t="shared" ca="1" si="176"/>
        <v/>
      </c>
      <c r="CH413" s="33">
        <f t="shared" ca="1" si="177"/>
        <v>0.89855072463768115</v>
      </c>
      <c r="CI413" s="33">
        <f t="shared" ca="1" si="181"/>
        <v>0.89855072463768115</v>
      </c>
      <c r="CJ413" s="36" t="str">
        <f t="shared" ca="1" si="178"/>
        <v/>
      </c>
      <c r="CK413" s="34" t="str">
        <f t="shared" si="179"/>
        <v/>
      </c>
      <c r="CL413" s="21"/>
      <c r="CM413" s="35" t="str">
        <f t="shared" ca="1" si="180"/>
        <v>VIGENTE</v>
      </c>
      <c r="CN413" s="83"/>
      <c r="CP413" s="26"/>
      <c r="CR413" s="78"/>
    </row>
    <row r="414" spans="1:97" ht="24.75" customHeight="1">
      <c r="A414" s="48" t="s">
        <v>1424</v>
      </c>
      <c r="B414" s="77" t="s">
        <v>3503</v>
      </c>
      <c r="C414" s="17" t="s">
        <v>2927</v>
      </c>
      <c r="D414" s="18" t="s">
        <v>3504</v>
      </c>
      <c r="E414" s="17" t="s">
        <v>2929</v>
      </c>
      <c r="F414" s="17" t="s">
        <v>1426</v>
      </c>
      <c r="G414" s="17" t="s">
        <v>1427</v>
      </c>
      <c r="H414" s="78" t="s">
        <v>3505</v>
      </c>
      <c r="I414" s="74" t="s">
        <v>3506</v>
      </c>
      <c r="J414" s="16" t="s">
        <v>3507</v>
      </c>
      <c r="K414" s="104">
        <v>72001980</v>
      </c>
      <c r="L414" s="20" t="s">
        <v>2933</v>
      </c>
      <c r="M414" s="16"/>
      <c r="N414" s="115">
        <v>45322</v>
      </c>
      <c r="O414" s="115">
        <v>45322</v>
      </c>
      <c r="P414" s="115">
        <v>45687</v>
      </c>
      <c r="Q414" s="23">
        <f t="shared" si="169"/>
        <v>365</v>
      </c>
      <c r="R414" s="17" t="s">
        <v>2934</v>
      </c>
      <c r="S414" s="117" t="s">
        <v>1424</v>
      </c>
      <c r="T414" s="16" t="s">
        <v>1424</v>
      </c>
      <c r="U414" s="24" t="s">
        <v>1424</v>
      </c>
      <c r="V414" s="16" t="s">
        <v>1424</v>
      </c>
      <c r="W414" s="227">
        <v>0</v>
      </c>
      <c r="X414" s="24"/>
      <c r="Y414" s="24" t="s">
        <v>2935</v>
      </c>
      <c r="Z414" s="24"/>
      <c r="AA414" s="17" t="s">
        <v>406</v>
      </c>
      <c r="AB414" s="23" t="str">
        <f>IFERROR(VLOOKUP(AA414,Listas!$A$1:$C$14,2,FALSE),"")</f>
        <v>EDUARDO ELÍAS BARCHA BOLÍVAR</v>
      </c>
      <c r="AC414" s="23">
        <f>IFERROR(VLOOKUP(AA414,Listas!$A$1:$C$14,3,FALSE),"")</f>
        <v>72133921</v>
      </c>
      <c r="AD414" s="17" t="s">
        <v>903</v>
      </c>
      <c r="AE414" s="17" t="s">
        <v>904</v>
      </c>
      <c r="AF414" s="23" t="str">
        <f>IFERROR(VLOOKUP(AE414,Listas!$AD$1:$AF$65,2,FALSE),"")</f>
        <v>VIVIANA MARGARITA ROMERO</v>
      </c>
      <c r="AG414" s="23">
        <f>IFERROR(VLOOKUP(AE414,Listas!$AD$1:$AF$65,3,FALSE),"")</f>
        <v>32794946</v>
      </c>
      <c r="AH414" s="17" t="s">
        <v>2936</v>
      </c>
      <c r="AI414" s="26"/>
      <c r="AJ414" s="25" t="s">
        <v>1435</v>
      </c>
      <c r="AK414" s="26" t="s">
        <v>2071</v>
      </c>
      <c r="AL414" s="26" t="s">
        <v>2071</v>
      </c>
      <c r="AM414" s="90" t="s">
        <v>1435</v>
      </c>
      <c r="AN414" s="105"/>
      <c r="AO414" s="91" t="str">
        <f t="shared" ca="1" si="170"/>
        <v xml:space="preserve"> </v>
      </c>
      <c r="AP414" s="26" t="s">
        <v>2937</v>
      </c>
      <c r="AQ414" s="26" t="s">
        <v>3508</v>
      </c>
      <c r="AR414" s="89"/>
      <c r="AS414" s="27"/>
      <c r="AT414" s="16"/>
      <c r="AU414" s="27"/>
      <c r="AV414" s="86"/>
      <c r="AW414" s="27"/>
      <c r="AX414" s="27"/>
      <c r="AY414" s="27"/>
      <c r="AZ414" s="27"/>
      <c r="BA414" s="27"/>
      <c r="BB414" s="27">
        <v>45653</v>
      </c>
      <c r="BC414" s="97">
        <v>335</v>
      </c>
      <c r="BD414" s="27"/>
      <c r="BE414" s="16"/>
      <c r="BF414" s="28">
        <f t="shared" si="172"/>
        <v>335</v>
      </c>
      <c r="BG414" s="29"/>
      <c r="BH414" s="27"/>
      <c r="BI414" s="30">
        <f t="shared" si="173"/>
        <v>700</v>
      </c>
      <c r="BJ414" s="31">
        <f t="shared" si="174"/>
        <v>46022</v>
      </c>
      <c r="BK414" s="27">
        <v>45653</v>
      </c>
      <c r="BL414" s="16" t="s">
        <v>3509</v>
      </c>
      <c r="BM414" s="27"/>
      <c r="BN414" s="16"/>
      <c r="BO414" s="27"/>
      <c r="BP414" s="16"/>
      <c r="BQ414" s="27"/>
      <c r="BR414" s="24"/>
      <c r="BS414" s="24"/>
      <c r="BT414" s="32"/>
      <c r="BU414" s="27"/>
      <c r="BV414" s="24"/>
      <c r="BW414" s="24"/>
      <c r="BX414" s="16"/>
      <c r="BY414" s="27"/>
      <c r="BZ414" s="24"/>
      <c r="CA414" s="24"/>
      <c r="CB414" s="16"/>
      <c r="CC414" s="49">
        <f t="shared" si="175"/>
        <v>0</v>
      </c>
      <c r="CD414" s="24"/>
      <c r="CE414" s="49" t="str">
        <f>IFERROR(IF(Y414=0,(W414+CC414)-CD414,IF(Y414&gt;0,(Y414+CC414)-CD414)),"")</f>
        <v/>
      </c>
      <c r="CF414" s="50">
        <v>3388914719.4200001</v>
      </c>
      <c r="CG414" s="49" t="str">
        <f t="shared" ca="1" si="176"/>
        <v/>
      </c>
      <c r="CH414" s="33">
        <f t="shared" ca="1" si="177"/>
        <v>0.89855072463768115</v>
      </c>
      <c r="CI414" s="33">
        <f t="shared" ca="1" si="181"/>
        <v>0.89855072463768115</v>
      </c>
      <c r="CJ414" s="36" t="str">
        <f t="shared" ca="1" si="178"/>
        <v/>
      </c>
      <c r="CK414" s="34" t="str">
        <f t="shared" si="179"/>
        <v/>
      </c>
      <c r="CL414" s="21"/>
      <c r="CM414" s="35" t="str">
        <f t="shared" ca="1" si="180"/>
        <v>VIGENTE</v>
      </c>
      <c r="CN414" s="82"/>
      <c r="CP414" s="26"/>
      <c r="CR414" s="78"/>
    </row>
    <row r="415" spans="1:97" ht="24.75" customHeight="1">
      <c r="A415" s="48" t="s">
        <v>3510</v>
      </c>
      <c r="B415" s="77" t="s">
        <v>3511</v>
      </c>
      <c r="C415" s="17" t="s">
        <v>104</v>
      </c>
      <c r="D415" s="18" t="s">
        <v>3512</v>
      </c>
      <c r="E415" s="17" t="s">
        <v>106</v>
      </c>
      <c r="F415" s="17" t="s">
        <v>107</v>
      </c>
      <c r="G415" s="17" t="s">
        <v>108</v>
      </c>
      <c r="H415" s="78">
        <v>66866175</v>
      </c>
      <c r="I415" s="74" t="s">
        <v>3513</v>
      </c>
      <c r="J415" s="16"/>
      <c r="K415" s="16"/>
      <c r="L415" s="20" t="s">
        <v>1655</v>
      </c>
      <c r="M415" s="16" t="s">
        <v>557</v>
      </c>
      <c r="N415" s="115">
        <v>45322</v>
      </c>
      <c r="O415" s="115">
        <v>45324</v>
      </c>
      <c r="P415" s="115">
        <v>45656</v>
      </c>
      <c r="Q415" s="23">
        <f t="shared" si="169"/>
        <v>332</v>
      </c>
      <c r="R415" s="17" t="s">
        <v>242</v>
      </c>
      <c r="S415" s="117" t="s">
        <v>3514</v>
      </c>
      <c r="T415" s="16" t="s">
        <v>3515</v>
      </c>
      <c r="U415" s="24">
        <v>67229115</v>
      </c>
      <c r="V415" s="16" t="s">
        <v>344</v>
      </c>
      <c r="W415" s="227">
        <v>67229115</v>
      </c>
      <c r="X415" s="24">
        <v>5762496</v>
      </c>
      <c r="Y415" s="24"/>
      <c r="Z415" s="24"/>
      <c r="AA415" s="17" t="s">
        <v>116</v>
      </c>
      <c r="AB415" s="23" t="str">
        <f>IFERROR(VLOOKUP(AA415,Listas!$A$1:$C$14,2,FALSE),"")</f>
        <v>FREDY CÉSPEDES VILLA</v>
      </c>
      <c r="AC415" s="23">
        <f>IFERROR(VLOOKUP(AA415,Listas!$A$1:$C$14,3,FALSE),"")</f>
        <v>93363483</v>
      </c>
      <c r="AD415" s="17" t="s">
        <v>559</v>
      </c>
      <c r="AE415" s="17" t="s">
        <v>560</v>
      </c>
      <c r="AF415" s="23" t="str">
        <f>IFERROR(VLOOKUP(AE415,Listas!$AD$1:$AF$65,2,FALSE),"")</f>
        <v>CESAR AUGUSTO LÓPEZ LÓPEZ</v>
      </c>
      <c r="AG415" s="23">
        <f>IFERROR(VLOOKUP(AE415,Listas!$AD$1:$AF$65,3,FALSE),"")</f>
        <v>6103856</v>
      </c>
      <c r="AH415" s="17" t="s">
        <v>118</v>
      </c>
      <c r="AI415" s="65" t="s">
        <v>1657</v>
      </c>
      <c r="AJ415" s="25" t="s">
        <v>119</v>
      </c>
      <c r="AK415" s="26" t="s">
        <v>120</v>
      </c>
      <c r="AL415" s="26" t="s">
        <v>120</v>
      </c>
      <c r="AM415" s="90" t="s">
        <v>119</v>
      </c>
      <c r="AN415" s="105">
        <v>26980</v>
      </c>
      <c r="AO415" s="91">
        <f t="shared" ca="1" si="170"/>
        <v>52</v>
      </c>
      <c r="AP415" s="26" t="s">
        <v>121</v>
      </c>
      <c r="AQ415" s="26" t="s">
        <v>327</v>
      </c>
      <c r="AR415" s="89"/>
      <c r="AS415" s="27"/>
      <c r="AT415" s="16"/>
      <c r="AU415" s="27"/>
      <c r="AV415" s="86"/>
      <c r="AW415" s="27"/>
      <c r="AX415" s="27"/>
      <c r="AY415" s="27"/>
      <c r="AZ415" s="27"/>
      <c r="BA415" s="27"/>
      <c r="BB415" s="27"/>
      <c r="BC415" s="97"/>
      <c r="BD415" s="27"/>
      <c r="BE415" s="16"/>
      <c r="BF415" s="28">
        <f t="shared" si="172"/>
        <v>0</v>
      </c>
      <c r="BG415" s="29"/>
      <c r="BH415" s="27"/>
      <c r="BI415" s="30">
        <f t="shared" si="173"/>
        <v>332</v>
      </c>
      <c r="BJ415" s="31">
        <f t="shared" si="174"/>
        <v>45656</v>
      </c>
      <c r="BK415" s="27"/>
      <c r="BL415" s="16"/>
      <c r="BM415" s="27"/>
      <c r="BN415" s="16"/>
      <c r="BO415" s="27"/>
      <c r="BP415" s="16"/>
      <c r="BQ415" s="27"/>
      <c r="BR415" s="24"/>
      <c r="BS415" s="24"/>
      <c r="BT415" s="32"/>
      <c r="BU415" s="27"/>
      <c r="BV415" s="24"/>
      <c r="BW415" s="24"/>
      <c r="BX415" s="16"/>
      <c r="BY415" s="27"/>
      <c r="BZ415" s="24"/>
      <c r="CA415" s="24"/>
      <c r="CB415" s="16"/>
      <c r="CC415" s="49">
        <f t="shared" si="175"/>
        <v>0</v>
      </c>
      <c r="CD415" s="24"/>
      <c r="CE415" s="49">
        <f t="shared" si="171"/>
        <v>67229115</v>
      </c>
      <c r="CF415" s="50"/>
      <c r="CG415" s="49">
        <f t="shared" ca="1" si="176"/>
        <v>67229115</v>
      </c>
      <c r="CH415" s="33">
        <f t="shared" ca="1" si="177"/>
        <v>1</v>
      </c>
      <c r="CI415" s="33">
        <f t="shared" ca="1" si="181"/>
        <v>1</v>
      </c>
      <c r="CJ415" s="36">
        <f t="shared" ca="1" si="178"/>
        <v>100</v>
      </c>
      <c r="CK415" s="34">
        <f t="shared" si="179"/>
        <v>0</v>
      </c>
      <c r="CL415" s="21"/>
      <c r="CM415" s="35" t="str">
        <f t="shared" ca="1" si="180"/>
        <v>TERMINADO</v>
      </c>
      <c r="CN415" s="82"/>
      <c r="CO415" s="145" t="s">
        <v>3516</v>
      </c>
      <c r="CP415" s="26" t="s">
        <v>123</v>
      </c>
      <c r="CR415" s="78"/>
    </row>
    <row r="416" spans="1:97" ht="24.75" customHeight="1">
      <c r="A416" s="48" t="s">
        <v>3517</v>
      </c>
      <c r="B416" s="77" t="s">
        <v>3518</v>
      </c>
      <c r="C416" s="17" t="s">
        <v>104</v>
      </c>
      <c r="D416" s="18" t="s">
        <v>3519</v>
      </c>
      <c r="E416" s="17" t="s">
        <v>106</v>
      </c>
      <c r="F416" s="17" t="s">
        <v>107</v>
      </c>
      <c r="G416" s="17" t="s">
        <v>108</v>
      </c>
      <c r="H416" s="78">
        <v>1144155945</v>
      </c>
      <c r="I416" s="74" t="s">
        <v>3520</v>
      </c>
      <c r="J416" s="16"/>
      <c r="K416" s="16"/>
      <c r="L416" s="20" t="s">
        <v>1655</v>
      </c>
      <c r="M416" s="16" t="s">
        <v>557</v>
      </c>
      <c r="N416" s="115">
        <v>45322</v>
      </c>
      <c r="O416" s="115">
        <v>45327</v>
      </c>
      <c r="P416" s="115">
        <v>45656</v>
      </c>
      <c r="Q416" s="23">
        <f t="shared" si="169"/>
        <v>329</v>
      </c>
      <c r="R416" s="17" t="s">
        <v>242</v>
      </c>
      <c r="S416" s="117" t="s">
        <v>3521</v>
      </c>
      <c r="T416" s="16" t="s">
        <v>3515</v>
      </c>
      <c r="U416" s="24">
        <v>67037031</v>
      </c>
      <c r="V416" s="16" t="s">
        <v>344</v>
      </c>
      <c r="W416" s="227">
        <v>67037031</v>
      </c>
      <c r="X416" s="24">
        <v>5762496</v>
      </c>
      <c r="Y416" s="24"/>
      <c r="Z416" s="24"/>
      <c r="AA416" s="17" t="s">
        <v>116</v>
      </c>
      <c r="AB416" s="23" t="str">
        <f>IFERROR(VLOOKUP(AA416,Listas!$A$1:$C$14,2,FALSE),"")</f>
        <v>FREDY CÉSPEDES VILLA</v>
      </c>
      <c r="AC416" s="23">
        <f>IFERROR(VLOOKUP(AA416,Listas!$A$1:$C$14,3,FALSE),"")</f>
        <v>93363483</v>
      </c>
      <c r="AD416" s="17" t="s">
        <v>559</v>
      </c>
      <c r="AE416" s="17" t="s">
        <v>560</v>
      </c>
      <c r="AF416" s="23" t="str">
        <f>IFERROR(VLOOKUP(AE416,Listas!$AD$1:$AF$65,2,FALSE),"")</f>
        <v>CESAR AUGUSTO LÓPEZ LÓPEZ</v>
      </c>
      <c r="AG416" s="23">
        <f>IFERROR(VLOOKUP(AE416,Listas!$AD$1:$AF$65,3,FALSE),"")</f>
        <v>6103856</v>
      </c>
      <c r="AH416" s="17" t="s">
        <v>118</v>
      </c>
      <c r="AI416" s="65" t="s">
        <v>1657</v>
      </c>
      <c r="AJ416" s="25" t="s">
        <v>119</v>
      </c>
      <c r="AK416" s="26" t="s">
        <v>120</v>
      </c>
      <c r="AL416" s="26" t="s">
        <v>120</v>
      </c>
      <c r="AM416" s="90" t="s">
        <v>119</v>
      </c>
      <c r="AN416" s="105">
        <v>33695</v>
      </c>
      <c r="AO416" s="91">
        <f t="shared" ca="1" si="170"/>
        <v>33</v>
      </c>
      <c r="AP416" s="26" t="s">
        <v>121</v>
      </c>
      <c r="AQ416" s="26" t="s">
        <v>327</v>
      </c>
      <c r="AR416" s="89"/>
      <c r="AS416" s="27"/>
      <c r="AT416" s="16"/>
      <c r="AU416" s="27"/>
      <c r="AV416" s="86"/>
      <c r="AW416" s="27"/>
      <c r="AX416" s="27"/>
      <c r="AY416" s="27"/>
      <c r="AZ416" s="27"/>
      <c r="BA416" s="27"/>
      <c r="BB416" s="27"/>
      <c r="BC416" s="97"/>
      <c r="BD416" s="27"/>
      <c r="BE416" s="16"/>
      <c r="BF416" s="28">
        <f t="shared" si="172"/>
        <v>0</v>
      </c>
      <c r="BG416" s="29"/>
      <c r="BH416" s="27"/>
      <c r="BI416" s="30">
        <f t="shared" si="173"/>
        <v>329</v>
      </c>
      <c r="BJ416" s="31">
        <f t="shared" si="174"/>
        <v>45656</v>
      </c>
      <c r="BK416" s="27"/>
      <c r="BL416" s="16"/>
      <c r="BM416" s="27"/>
      <c r="BN416" s="16"/>
      <c r="BO416" s="27"/>
      <c r="BP416" s="16"/>
      <c r="BQ416" s="27"/>
      <c r="BR416" s="24"/>
      <c r="BS416" s="24"/>
      <c r="BT416" s="32"/>
      <c r="BU416" s="27"/>
      <c r="BV416" s="24"/>
      <c r="BW416" s="24"/>
      <c r="BX416" s="16"/>
      <c r="BY416" s="27"/>
      <c r="BZ416" s="24"/>
      <c r="CA416" s="24"/>
      <c r="CB416" s="16"/>
      <c r="CC416" s="49">
        <f t="shared" si="175"/>
        <v>0</v>
      </c>
      <c r="CD416" s="24"/>
      <c r="CE416" s="49">
        <f t="shared" si="171"/>
        <v>67037031</v>
      </c>
      <c r="CF416" s="50"/>
      <c r="CG416" s="49">
        <f t="shared" ca="1" si="176"/>
        <v>67037031</v>
      </c>
      <c r="CH416" s="33">
        <f t="shared" ca="1" si="177"/>
        <v>1</v>
      </c>
      <c r="CI416" s="33">
        <f t="shared" ca="1" si="181"/>
        <v>1</v>
      </c>
      <c r="CJ416" s="36">
        <f t="shared" ca="1" si="178"/>
        <v>100</v>
      </c>
      <c r="CK416" s="34">
        <f t="shared" si="179"/>
        <v>0</v>
      </c>
      <c r="CL416" s="21"/>
      <c r="CM416" s="35" t="str">
        <f t="shared" ca="1" si="180"/>
        <v>TERMINADO</v>
      </c>
      <c r="CN416" s="82"/>
      <c r="CO416" s="145" t="s">
        <v>3522</v>
      </c>
      <c r="CP416" s="26" t="s">
        <v>142</v>
      </c>
      <c r="CR416" s="78"/>
    </row>
    <row r="417" spans="1:96" ht="24.75" customHeight="1">
      <c r="A417" s="48" t="s">
        <v>3523</v>
      </c>
      <c r="B417" s="77" t="s">
        <v>3524</v>
      </c>
      <c r="C417" s="17" t="s">
        <v>104</v>
      </c>
      <c r="D417" s="18" t="s">
        <v>3525</v>
      </c>
      <c r="E417" s="17" t="s">
        <v>106</v>
      </c>
      <c r="F417" s="17" t="s">
        <v>107</v>
      </c>
      <c r="G417" s="17" t="s">
        <v>108</v>
      </c>
      <c r="H417" s="78">
        <v>31171665</v>
      </c>
      <c r="I417" s="74" t="s">
        <v>3526</v>
      </c>
      <c r="J417" s="16"/>
      <c r="K417" s="16"/>
      <c r="L417" s="20" t="s">
        <v>1655</v>
      </c>
      <c r="M417" s="16" t="s">
        <v>557</v>
      </c>
      <c r="N417" s="115">
        <v>45322</v>
      </c>
      <c r="O417" s="115">
        <v>45324</v>
      </c>
      <c r="P417" s="115">
        <v>45656</v>
      </c>
      <c r="Q417" s="23">
        <f t="shared" si="169"/>
        <v>332</v>
      </c>
      <c r="R417" s="17" t="s">
        <v>242</v>
      </c>
      <c r="S417" s="117" t="s">
        <v>3514</v>
      </c>
      <c r="T417" s="16" t="s">
        <v>3515</v>
      </c>
      <c r="U417" s="24">
        <v>67229115</v>
      </c>
      <c r="V417" s="16" t="s">
        <v>344</v>
      </c>
      <c r="W417" s="227">
        <v>67229115</v>
      </c>
      <c r="X417" s="24">
        <v>5762496</v>
      </c>
      <c r="Y417" s="24"/>
      <c r="Z417" s="24"/>
      <c r="AA417" s="17" t="s">
        <v>116</v>
      </c>
      <c r="AB417" s="23" t="str">
        <f>IFERROR(VLOOKUP(AA417,Listas!$A$1:$C$14,2,FALSE),"")</f>
        <v>FREDY CÉSPEDES VILLA</v>
      </c>
      <c r="AC417" s="23">
        <f>IFERROR(VLOOKUP(AA417,Listas!$A$1:$C$14,3,FALSE),"")</f>
        <v>93363483</v>
      </c>
      <c r="AD417" s="17" t="s">
        <v>559</v>
      </c>
      <c r="AE417" s="17" t="s">
        <v>560</v>
      </c>
      <c r="AF417" s="23" t="str">
        <f>IFERROR(VLOOKUP(AE417,Listas!$AD$1:$AF$65,2,FALSE),"")</f>
        <v>CESAR AUGUSTO LÓPEZ LÓPEZ</v>
      </c>
      <c r="AG417" s="23">
        <f>IFERROR(VLOOKUP(AE417,Listas!$AD$1:$AF$65,3,FALSE),"")</f>
        <v>6103856</v>
      </c>
      <c r="AH417" s="17" t="s">
        <v>118</v>
      </c>
      <c r="AI417" s="65" t="s">
        <v>1657</v>
      </c>
      <c r="AJ417" s="25" t="s">
        <v>119</v>
      </c>
      <c r="AK417" s="26" t="s">
        <v>120</v>
      </c>
      <c r="AL417" s="26" t="s">
        <v>120</v>
      </c>
      <c r="AM417" s="90" t="s">
        <v>119</v>
      </c>
      <c r="AN417" s="105">
        <v>24206</v>
      </c>
      <c r="AO417" s="91">
        <f t="shared" ca="1" si="170"/>
        <v>59</v>
      </c>
      <c r="AP417" s="26" t="s">
        <v>121</v>
      </c>
      <c r="AQ417" s="26" t="s">
        <v>327</v>
      </c>
      <c r="AR417" s="89"/>
      <c r="AS417" s="27"/>
      <c r="AT417" s="16"/>
      <c r="AU417" s="27"/>
      <c r="AV417" s="86"/>
      <c r="AW417" s="27"/>
      <c r="AX417" s="27"/>
      <c r="AY417" s="27"/>
      <c r="AZ417" s="27"/>
      <c r="BA417" s="27"/>
      <c r="BB417" s="27"/>
      <c r="BC417" s="97"/>
      <c r="BD417" s="27"/>
      <c r="BE417" s="16"/>
      <c r="BF417" s="28">
        <f t="shared" si="172"/>
        <v>0</v>
      </c>
      <c r="BG417" s="29"/>
      <c r="BH417" s="27"/>
      <c r="BI417" s="30">
        <f t="shared" si="173"/>
        <v>332</v>
      </c>
      <c r="BJ417" s="31">
        <f t="shared" si="174"/>
        <v>45656</v>
      </c>
      <c r="BK417" s="27"/>
      <c r="BL417" s="16"/>
      <c r="BM417" s="27"/>
      <c r="BN417" s="16"/>
      <c r="BO417" s="27"/>
      <c r="BP417" s="16"/>
      <c r="BQ417" s="27"/>
      <c r="BR417" s="24"/>
      <c r="BS417" s="24"/>
      <c r="BT417" s="32"/>
      <c r="BU417" s="27"/>
      <c r="BV417" s="24"/>
      <c r="BW417" s="24"/>
      <c r="BX417" s="16"/>
      <c r="BY417" s="27"/>
      <c r="BZ417" s="24"/>
      <c r="CA417" s="24"/>
      <c r="CB417" s="16"/>
      <c r="CC417" s="49">
        <f t="shared" si="175"/>
        <v>0</v>
      </c>
      <c r="CD417" s="24"/>
      <c r="CE417" s="49">
        <f t="shared" si="171"/>
        <v>67229115</v>
      </c>
      <c r="CF417" s="50"/>
      <c r="CG417" s="49">
        <f t="shared" ca="1" si="176"/>
        <v>67229115</v>
      </c>
      <c r="CH417" s="33">
        <f t="shared" ca="1" si="177"/>
        <v>1</v>
      </c>
      <c r="CI417" s="33">
        <f t="shared" ca="1" si="181"/>
        <v>1</v>
      </c>
      <c r="CJ417" s="36">
        <f t="shared" ca="1" si="178"/>
        <v>100</v>
      </c>
      <c r="CK417" s="34">
        <f t="shared" si="179"/>
        <v>0</v>
      </c>
      <c r="CL417" s="21"/>
      <c r="CM417" s="35" t="str">
        <f t="shared" ca="1" si="180"/>
        <v>TERMINADO</v>
      </c>
      <c r="CN417" s="82"/>
      <c r="CO417" s="145" t="s">
        <v>3527</v>
      </c>
      <c r="CP417" s="26" t="s">
        <v>123</v>
      </c>
      <c r="CR417" s="78"/>
    </row>
    <row r="418" spans="1:96" ht="24.75" customHeight="1">
      <c r="A418" s="48" t="s">
        <v>3528</v>
      </c>
      <c r="B418" s="77" t="s">
        <v>3529</v>
      </c>
      <c r="C418" s="17" t="s">
        <v>104</v>
      </c>
      <c r="D418" s="18" t="s">
        <v>3530</v>
      </c>
      <c r="E418" s="17" t="s">
        <v>106</v>
      </c>
      <c r="F418" s="17" t="s">
        <v>107</v>
      </c>
      <c r="G418" s="17" t="s">
        <v>108</v>
      </c>
      <c r="H418" s="78">
        <v>1018478720</v>
      </c>
      <c r="I418" s="74" t="s">
        <v>3531</v>
      </c>
      <c r="J418" s="16"/>
      <c r="K418" s="16"/>
      <c r="L418" s="20" t="s">
        <v>3532</v>
      </c>
      <c r="M418" s="16" t="s">
        <v>111</v>
      </c>
      <c r="N418" s="115">
        <v>45322</v>
      </c>
      <c r="O418" s="115">
        <v>45323</v>
      </c>
      <c r="P418" s="115">
        <v>45656</v>
      </c>
      <c r="Q418" s="23">
        <f t="shared" si="169"/>
        <v>333</v>
      </c>
      <c r="R418" s="17" t="s">
        <v>112</v>
      </c>
      <c r="S418" s="117" t="s">
        <v>3533</v>
      </c>
      <c r="T418" s="16" t="s">
        <v>3219</v>
      </c>
      <c r="U418" s="24">
        <v>55462998</v>
      </c>
      <c r="V418" s="16" t="s">
        <v>1590</v>
      </c>
      <c r="W418" s="227">
        <v>55462998</v>
      </c>
      <c r="X418" s="24">
        <v>5026858</v>
      </c>
      <c r="Y418" s="24"/>
      <c r="Z418" s="24"/>
      <c r="AA418" s="17" t="s">
        <v>116</v>
      </c>
      <c r="AB418" s="23" t="str">
        <f>IFERROR(VLOOKUP(AA418,Listas!$A$1:$C$14,2,FALSE),"")</f>
        <v>FREDY CÉSPEDES VILLA</v>
      </c>
      <c r="AC418" s="23">
        <f>IFERROR(VLOOKUP(AA418,Listas!$A$1:$C$14,3,FALSE),"")</f>
        <v>93363483</v>
      </c>
      <c r="AD418" s="17" t="s">
        <v>345</v>
      </c>
      <c r="AE418" s="17" t="s">
        <v>346</v>
      </c>
      <c r="AF418" s="23" t="str">
        <f>IFERROR(VLOOKUP(AE418,Listas!$AD$1:$AF$65,2,FALSE),"")</f>
        <v>RODOLFO GIOVANNI CANCHILA SUÁREZ</v>
      </c>
      <c r="AG418" s="23">
        <f>IFERROR(VLOOKUP(AE418,Listas!$AD$1:$AF$65,3,FALSE),"")</f>
        <v>79672493</v>
      </c>
      <c r="AH418" s="17" t="s">
        <v>118</v>
      </c>
      <c r="AI418" s="65" t="s">
        <v>3534</v>
      </c>
      <c r="AJ418" s="25" t="s">
        <v>119</v>
      </c>
      <c r="AK418" s="26" t="s">
        <v>120</v>
      </c>
      <c r="AL418" s="26" t="s">
        <v>120</v>
      </c>
      <c r="AM418" s="90" t="s">
        <v>119</v>
      </c>
      <c r="AN418" s="105">
        <v>34954</v>
      </c>
      <c r="AO418" s="91">
        <f t="shared" ca="1" si="170"/>
        <v>30</v>
      </c>
      <c r="AP418" s="26" t="s">
        <v>121</v>
      </c>
      <c r="AQ418" s="26" t="s">
        <v>367</v>
      </c>
      <c r="AR418" s="89"/>
      <c r="AS418" s="27"/>
      <c r="AT418" s="16"/>
      <c r="AU418" s="27"/>
      <c r="AV418" s="86"/>
      <c r="AW418" s="27"/>
      <c r="AX418" s="27"/>
      <c r="AY418" s="27"/>
      <c r="AZ418" s="27"/>
      <c r="BA418" s="27"/>
      <c r="BB418" s="27"/>
      <c r="BC418" s="97"/>
      <c r="BD418" s="27"/>
      <c r="BE418" s="16"/>
      <c r="BF418" s="28">
        <f t="shared" si="172"/>
        <v>0</v>
      </c>
      <c r="BG418" s="29"/>
      <c r="BH418" s="27"/>
      <c r="BI418" s="30">
        <f t="shared" si="173"/>
        <v>333</v>
      </c>
      <c r="BJ418" s="31">
        <f t="shared" si="174"/>
        <v>45656</v>
      </c>
      <c r="BK418" s="27"/>
      <c r="BL418" s="16"/>
      <c r="BM418" s="27"/>
      <c r="BN418" s="16"/>
      <c r="BO418" s="27"/>
      <c r="BP418" s="16"/>
      <c r="BQ418" s="27"/>
      <c r="BR418" s="24"/>
      <c r="BS418" s="24"/>
      <c r="BT418" s="32"/>
      <c r="BU418" s="27"/>
      <c r="BV418" s="24"/>
      <c r="BW418" s="24"/>
      <c r="BX418" s="16"/>
      <c r="BY418" s="27"/>
      <c r="BZ418" s="24"/>
      <c r="CA418" s="24"/>
      <c r="CB418" s="16"/>
      <c r="CC418" s="49">
        <f t="shared" si="175"/>
        <v>0</v>
      </c>
      <c r="CD418" s="24"/>
      <c r="CE418" s="49">
        <f t="shared" si="171"/>
        <v>55462998</v>
      </c>
      <c r="CF418" s="50"/>
      <c r="CG418" s="49">
        <f t="shared" ca="1" si="176"/>
        <v>55462998</v>
      </c>
      <c r="CH418" s="33">
        <f t="shared" ca="1" si="177"/>
        <v>1</v>
      </c>
      <c r="CI418" s="33">
        <f t="shared" ca="1" si="181"/>
        <v>1</v>
      </c>
      <c r="CJ418" s="36">
        <f t="shared" ca="1" si="178"/>
        <v>100</v>
      </c>
      <c r="CK418" s="34">
        <f t="shared" si="179"/>
        <v>0</v>
      </c>
      <c r="CL418" s="21"/>
      <c r="CM418" s="35" t="str">
        <f t="shared" ca="1" si="180"/>
        <v>TERMINADO</v>
      </c>
      <c r="CN418" s="82"/>
      <c r="CO418" s="145" t="s">
        <v>3535</v>
      </c>
      <c r="CP418" s="26" t="s">
        <v>142</v>
      </c>
      <c r="CR418" s="78"/>
    </row>
    <row r="419" spans="1:96" ht="24.75" customHeight="1">
      <c r="A419" s="48" t="s">
        <v>3536</v>
      </c>
      <c r="B419" s="77" t="s">
        <v>3537</v>
      </c>
      <c r="C419" s="17" t="s">
        <v>104</v>
      </c>
      <c r="D419" s="18" t="s">
        <v>3538</v>
      </c>
      <c r="E419" s="17" t="s">
        <v>106</v>
      </c>
      <c r="F419" s="17" t="s">
        <v>107</v>
      </c>
      <c r="G419" s="17" t="s">
        <v>108</v>
      </c>
      <c r="H419" s="78">
        <v>1020396797</v>
      </c>
      <c r="I419" s="74" t="s">
        <v>3539</v>
      </c>
      <c r="J419" s="16"/>
      <c r="K419" s="16"/>
      <c r="L419" s="20" t="s">
        <v>3540</v>
      </c>
      <c r="M419" s="16" t="s">
        <v>468</v>
      </c>
      <c r="N419" s="115">
        <v>45323</v>
      </c>
      <c r="O419" s="115">
        <v>45329</v>
      </c>
      <c r="P419" s="115">
        <v>45657</v>
      </c>
      <c r="Q419" s="23">
        <f t="shared" si="169"/>
        <v>328</v>
      </c>
      <c r="R419" s="17" t="s">
        <v>242</v>
      </c>
      <c r="S419" s="117" t="s">
        <v>3541</v>
      </c>
      <c r="T419" s="16" t="s">
        <v>1145</v>
      </c>
      <c r="U419" s="24">
        <v>53278190</v>
      </c>
      <c r="V419" s="16" t="s">
        <v>426</v>
      </c>
      <c r="W419" s="227">
        <v>53278190</v>
      </c>
      <c r="X419" s="24">
        <v>4659900</v>
      </c>
      <c r="Y419" s="24"/>
      <c r="Z419" s="24"/>
      <c r="AA419" s="17" t="s">
        <v>116</v>
      </c>
      <c r="AB419" s="23" t="str">
        <f>IFERROR(VLOOKUP(AA419,Listas!$A$1:$C$14,2,FALSE),"")</f>
        <v>FREDY CÉSPEDES VILLA</v>
      </c>
      <c r="AC419" s="23">
        <f>IFERROR(VLOOKUP(AA419,Listas!$A$1:$C$14,3,FALSE),"")</f>
        <v>93363483</v>
      </c>
      <c r="AD419" s="17" t="s">
        <v>427</v>
      </c>
      <c r="AE419" s="17" t="s">
        <v>2561</v>
      </c>
      <c r="AF419" s="23" t="str">
        <f>IFERROR(VLOOKUP(AE419,Listas!$AD$1:$AF$65,2,FALSE),"")</f>
        <v>MARÍA TERESA COMBARIZA MARTÍN</v>
      </c>
      <c r="AG419" s="23">
        <f>IFERROR(VLOOKUP(AE419,Listas!$AD$1:$AF$65,3,FALSE),"")</f>
        <v>51803256</v>
      </c>
      <c r="AH419" s="17" t="s">
        <v>118</v>
      </c>
      <c r="AI419" s="65" t="s">
        <v>3542</v>
      </c>
      <c r="AJ419" s="25" t="s">
        <v>119</v>
      </c>
      <c r="AK419" s="26" t="s">
        <v>120</v>
      </c>
      <c r="AL419" s="26" t="s">
        <v>120</v>
      </c>
      <c r="AM419" s="90" t="s">
        <v>119</v>
      </c>
      <c r="AN419" s="105">
        <v>31601</v>
      </c>
      <c r="AO419" s="91">
        <f t="shared" ca="1" si="170"/>
        <v>39</v>
      </c>
      <c r="AP419" s="26" t="s">
        <v>121</v>
      </c>
      <c r="AQ419" s="26" t="s">
        <v>1272</v>
      </c>
      <c r="AR419" s="89"/>
      <c r="AS419" s="27"/>
      <c r="AT419" s="16"/>
      <c r="AU419" s="27"/>
      <c r="AV419" s="86"/>
      <c r="AW419" s="27"/>
      <c r="AX419" s="27"/>
      <c r="AY419" s="27"/>
      <c r="AZ419" s="27"/>
      <c r="BA419" s="27"/>
      <c r="BB419" s="27"/>
      <c r="BC419" s="97"/>
      <c r="BD419" s="27"/>
      <c r="BE419" s="16"/>
      <c r="BF419" s="28">
        <f t="shared" si="172"/>
        <v>0</v>
      </c>
      <c r="BG419" s="29"/>
      <c r="BH419" s="27"/>
      <c r="BI419" s="30">
        <f t="shared" si="173"/>
        <v>328</v>
      </c>
      <c r="BJ419" s="31">
        <f t="shared" si="174"/>
        <v>45657</v>
      </c>
      <c r="BK419" s="27"/>
      <c r="BL419" s="16"/>
      <c r="BM419" s="27"/>
      <c r="BN419" s="16"/>
      <c r="BO419" s="27"/>
      <c r="BP419" s="16"/>
      <c r="BQ419" s="27"/>
      <c r="BR419" s="24"/>
      <c r="BS419" s="24"/>
      <c r="BT419" s="32"/>
      <c r="BU419" s="27"/>
      <c r="BV419" s="24"/>
      <c r="BW419" s="24"/>
      <c r="BX419" s="16"/>
      <c r="BY419" s="27"/>
      <c r="BZ419" s="24"/>
      <c r="CA419" s="24"/>
      <c r="CB419" s="16"/>
      <c r="CC419" s="49">
        <f t="shared" si="175"/>
        <v>0</v>
      </c>
      <c r="CD419" s="24"/>
      <c r="CE419" s="49">
        <f t="shared" si="171"/>
        <v>53278190</v>
      </c>
      <c r="CF419" s="50"/>
      <c r="CG419" s="49">
        <f t="shared" ca="1" si="176"/>
        <v>53278190</v>
      </c>
      <c r="CH419" s="33">
        <f t="shared" ca="1" si="177"/>
        <v>1</v>
      </c>
      <c r="CI419" s="33">
        <f t="shared" ca="1" si="181"/>
        <v>1</v>
      </c>
      <c r="CJ419" s="36">
        <f t="shared" ca="1" si="178"/>
        <v>100</v>
      </c>
      <c r="CK419" s="34">
        <f t="shared" si="179"/>
        <v>0</v>
      </c>
      <c r="CL419" s="21"/>
      <c r="CM419" s="35" t="str">
        <f t="shared" ca="1" si="180"/>
        <v>TERMINADO</v>
      </c>
      <c r="CN419" s="82"/>
      <c r="CO419" s="145" t="s">
        <v>3543</v>
      </c>
      <c r="CP419" s="26" t="s">
        <v>123</v>
      </c>
      <c r="CR419" s="78"/>
    </row>
    <row r="420" spans="1:96" ht="24.75" customHeight="1">
      <c r="A420" s="48" t="s">
        <v>3544</v>
      </c>
      <c r="B420" s="77" t="s">
        <v>3545</v>
      </c>
      <c r="C420" s="17" t="s">
        <v>104</v>
      </c>
      <c r="D420" s="18" t="s">
        <v>3546</v>
      </c>
      <c r="E420" s="17" t="s">
        <v>106</v>
      </c>
      <c r="F420" s="17" t="s">
        <v>107</v>
      </c>
      <c r="G420" s="17" t="s">
        <v>108</v>
      </c>
      <c r="H420" s="78">
        <v>52182962</v>
      </c>
      <c r="I420" s="74" t="s">
        <v>3547</v>
      </c>
      <c r="J420" s="16"/>
      <c r="K420" s="16"/>
      <c r="L420" s="20" t="s">
        <v>1866</v>
      </c>
      <c r="M420" s="16" t="s">
        <v>111</v>
      </c>
      <c r="N420" s="115">
        <v>45323</v>
      </c>
      <c r="O420" s="115">
        <v>45329</v>
      </c>
      <c r="P420" s="115">
        <v>45657</v>
      </c>
      <c r="Q420" s="23">
        <f t="shared" si="169"/>
        <v>328</v>
      </c>
      <c r="R420" s="17" t="s">
        <v>242</v>
      </c>
      <c r="S420" s="117" t="s">
        <v>3548</v>
      </c>
      <c r="T420" s="16" t="s">
        <v>1145</v>
      </c>
      <c r="U420" s="24">
        <v>69899100</v>
      </c>
      <c r="V420" s="16" t="s">
        <v>426</v>
      </c>
      <c r="W420" s="227">
        <v>69899100</v>
      </c>
      <c r="X420" s="24">
        <v>6131500</v>
      </c>
      <c r="Y420" s="24"/>
      <c r="Z420" s="24"/>
      <c r="AA420" s="17" t="s">
        <v>116</v>
      </c>
      <c r="AB420" s="23" t="str">
        <f>IFERROR(VLOOKUP(AA420,Listas!$A$1:$C$14,2,FALSE),"")</f>
        <v>FREDY CÉSPEDES VILLA</v>
      </c>
      <c r="AC420" s="23">
        <f>IFERROR(VLOOKUP(AA420,Listas!$A$1:$C$14,3,FALSE),"")</f>
        <v>93363483</v>
      </c>
      <c r="AD420" s="17" t="s">
        <v>427</v>
      </c>
      <c r="AE420" s="17" t="s">
        <v>2341</v>
      </c>
      <c r="AF420" s="23" t="str">
        <f>IFERROR(VLOOKUP(AE420,Listas!$AD$1:$AF$65,2,FALSE),"")</f>
        <v>LUIS ALFONSO NIÑO MANCILLA</v>
      </c>
      <c r="AG420" s="23">
        <f>IFERROR(VLOOKUP(AE420,Listas!$AD$1:$AF$65,3,FALSE),"")</f>
        <v>79719453</v>
      </c>
      <c r="AH420" s="17" t="s">
        <v>118</v>
      </c>
      <c r="AI420" s="65" t="s">
        <v>1867</v>
      </c>
      <c r="AJ420" s="25" t="s">
        <v>119</v>
      </c>
      <c r="AK420" s="26" t="s">
        <v>120</v>
      </c>
      <c r="AL420" s="26" t="s">
        <v>120</v>
      </c>
      <c r="AM420" s="90" t="s">
        <v>119</v>
      </c>
      <c r="AN420" s="105"/>
      <c r="AO420" s="91" t="str">
        <f t="shared" ca="1" si="170"/>
        <v xml:space="preserve"> </v>
      </c>
      <c r="AP420" s="26" t="s">
        <v>121</v>
      </c>
      <c r="AQ420" s="26" t="s">
        <v>1272</v>
      </c>
      <c r="AR420" s="89"/>
      <c r="AS420" s="27"/>
      <c r="AT420" s="16"/>
      <c r="AU420" s="27"/>
      <c r="AV420" s="86"/>
      <c r="AW420" s="27"/>
      <c r="AX420" s="27"/>
      <c r="AY420" s="27"/>
      <c r="AZ420" s="27"/>
      <c r="BA420" s="27"/>
      <c r="BB420" s="27"/>
      <c r="BC420" s="97"/>
      <c r="BD420" s="27"/>
      <c r="BE420" s="16"/>
      <c r="BF420" s="28">
        <f t="shared" si="172"/>
        <v>0</v>
      </c>
      <c r="BG420" s="29"/>
      <c r="BH420" s="27"/>
      <c r="BI420" s="30">
        <f t="shared" si="173"/>
        <v>328</v>
      </c>
      <c r="BJ420" s="31">
        <f t="shared" si="174"/>
        <v>45657</v>
      </c>
      <c r="BK420" s="27"/>
      <c r="BL420" s="16"/>
      <c r="BM420" s="27"/>
      <c r="BN420" s="16"/>
      <c r="BO420" s="27"/>
      <c r="BP420" s="16"/>
      <c r="BQ420" s="27"/>
      <c r="BR420" s="24"/>
      <c r="BS420" s="24"/>
      <c r="BT420" s="32"/>
      <c r="BU420" s="27"/>
      <c r="BV420" s="24"/>
      <c r="BW420" s="24"/>
      <c r="BX420" s="16"/>
      <c r="BY420" s="27"/>
      <c r="BZ420" s="24"/>
      <c r="CA420" s="24"/>
      <c r="CB420" s="16"/>
      <c r="CC420" s="49">
        <f t="shared" si="175"/>
        <v>0</v>
      </c>
      <c r="CD420" s="24"/>
      <c r="CE420" s="49">
        <f t="shared" si="171"/>
        <v>69899100</v>
      </c>
      <c r="CF420" s="50"/>
      <c r="CG420" s="49">
        <f t="shared" ca="1" si="176"/>
        <v>69899100</v>
      </c>
      <c r="CH420" s="33">
        <f t="shared" ca="1" si="177"/>
        <v>1</v>
      </c>
      <c r="CI420" s="33">
        <f t="shared" ca="1" si="181"/>
        <v>1</v>
      </c>
      <c r="CJ420" s="36">
        <f t="shared" ca="1" si="178"/>
        <v>100</v>
      </c>
      <c r="CK420" s="34">
        <f t="shared" si="179"/>
        <v>0</v>
      </c>
      <c r="CL420" s="21"/>
      <c r="CM420" s="35" t="str">
        <f t="shared" ca="1" si="180"/>
        <v>TERMINADO</v>
      </c>
      <c r="CN420" s="82"/>
      <c r="CO420" s="145" t="s">
        <v>3549</v>
      </c>
      <c r="CP420" s="26" t="s">
        <v>123</v>
      </c>
      <c r="CR420" s="78"/>
    </row>
    <row r="421" spans="1:96" ht="24.75" customHeight="1">
      <c r="A421" s="48" t="s">
        <v>3550</v>
      </c>
      <c r="B421" s="77" t="s">
        <v>3551</v>
      </c>
      <c r="C421" s="17" t="s">
        <v>104</v>
      </c>
      <c r="D421" s="18" t="s">
        <v>3552</v>
      </c>
      <c r="E421" s="17" t="s">
        <v>106</v>
      </c>
      <c r="F421" s="17" t="s">
        <v>107</v>
      </c>
      <c r="G421" s="17" t="s">
        <v>108</v>
      </c>
      <c r="H421" s="78">
        <v>1129569817</v>
      </c>
      <c r="I421" s="74" t="s">
        <v>3553</v>
      </c>
      <c r="J421" s="16"/>
      <c r="K421" s="16"/>
      <c r="L421" s="20" t="s">
        <v>2187</v>
      </c>
      <c r="M421" s="16" t="s">
        <v>111</v>
      </c>
      <c r="N421" s="115">
        <v>45323</v>
      </c>
      <c r="O421" s="115">
        <v>45329</v>
      </c>
      <c r="P421" s="115">
        <v>45657</v>
      </c>
      <c r="Q421" s="23">
        <f t="shared" si="169"/>
        <v>328</v>
      </c>
      <c r="R421" s="17" t="s">
        <v>242</v>
      </c>
      <c r="S421" s="117" t="s">
        <v>3554</v>
      </c>
      <c r="T421" s="16" t="s">
        <v>1145</v>
      </c>
      <c r="U421" s="24">
        <v>71534167</v>
      </c>
      <c r="V421" s="16" t="s">
        <v>426</v>
      </c>
      <c r="W421" s="227">
        <v>71534167</v>
      </c>
      <c r="X421" s="24">
        <v>6131500</v>
      </c>
      <c r="Y421" s="24"/>
      <c r="Z421" s="24"/>
      <c r="AA421" s="17" t="s">
        <v>116</v>
      </c>
      <c r="AB421" s="23" t="str">
        <f>IFERROR(VLOOKUP(AA421,Listas!$A$1:$C$14,2,FALSE),"")</f>
        <v>FREDY CÉSPEDES VILLA</v>
      </c>
      <c r="AC421" s="23">
        <f>IFERROR(VLOOKUP(AA421,Listas!$A$1:$C$14,3,FALSE),"")</f>
        <v>93363483</v>
      </c>
      <c r="AD421" s="17" t="s">
        <v>427</v>
      </c>
      <c r="AE421" s="17" t="s">
        <v>2198</v>
      </c>
      <c r="AF421" s="23" t="str">
        <f>IFERROR(VLOOKUP(AE421,Listas!$AD$1:$AF$65,2,FALSE),"")</f>
        <v>ELIANA ROCÍO OCHOA BLANCO</v>
      </c>
      <c r="AG421" s="23">
        <f>IFERROR(VLOOKUP(AE421,Listas!$AD$1:$AF$65,3,FALSE),"")</f>
        <v>1018418424</v>
      </c>
      <c r="AH421" s="17" t="s">
        <v>118</v>
      </c>
      <c r="AI421" s="65" t="s">
        <v>3555</v>
      </c>
      <c r="AJ421" s="25" t="s">
        <v>119</v>
      </c>
      <c r="AK421" s="26" t="s">
        <v>120</v>
      </c>
      <c r="AL421" s="26" t="s">
        <v>120</v>
      </c>
      <c r="AM421" s="90" t="s">
        <v>119</v>
      </c>
      <c r="AN421" s="105">
        <v>31655</v>
      </c>
      <c r="AO421" s="91">
        <f t="shared" ca="1" si="170"/>
        <v>39</v>
      </c>
      <c r="AP421" s="26" t="s">
        <v>121</v>
      </c>
      <c r="AQ421" s="26" t="s">
        <v>1272</v>
      </c>
      <c r="AR421" s="89"/>
      <c r="AS421" s="27"/>
      <c r="AT421" s="16"/>
      <c r="AU421" s="27"/>
      <c r="AV421" s="86"/>
      <c r="AW421" s="27"/>
      <c r="AX421" s="27"/>
      <c r="AY421" s="27"/>
      <c r="AZ421" s="27"/>
      <c r="BA421" s="27"/>
      <c r="BB421" s="27"/>
      <c r="BC421" s="97"/>
      <c r="BD421" s="27"/>
      <c r="BE421" s="16"/>
      <c r="BF421" s="28">
        <f t="shared" si="172"/>
        <v>0</v>
      </c>
      <c r="BG421" s="29"/>
      <c r="BH421" s="27"/>
      <c r="BI421" s="30">
        <f t="shared" si="173"/>
        <v>328</v>
      </c>
      <c r="BJ421" s="31">
        <f t="shared" si="174"/>
        <v>45657</v>
      </c>
      <c r="BK421" s="27"/>
      <c r="BL421" s="16"/>
      <c r="BM421" s="27"/>
      <c r="BN421" s="16"/>
      <c r="BO421" s="27"/>
      <c r="BP421" s="16"/>
      <c r="BQ421" s="27"/>
      <c r="BR421" s="24"/>
      <c r="BS421" s="24"/>
      <c r="BT421" s="32"/>
      <c r="BU421" s="27"/>
      <c r="BV421" s="24"/>
      <c r="BW421" s="24"/>
      <c r="BX421" s="16"/>
      <c r="BY421" s="27"/>
      <c r="BZ421" s="24"/>
      <c r="CA421" s="24"/>
      <c r="CB421" s="16"/>
      <c r="CC421" s="49">
        <f t="shared" si="175"/>
        <v>0</v>
      </c>
      <c r="CD421" s="24"/>
      <c r="CE421" s="49">
        <f t="shared" si="171"/>
        <v>71534167</v>
      </c>
      <c r="CF421" s="50"/>
      <c r="CG421" s="49">
        <f t="shared" ca="1" si="176"/>
        <v>71534167</v>
      </c>
      <c r="CH421" s="33">
        <f t="shared" ca="1" si="177"/>
        <v>1</v>
      </c>
      <c r="CI421" s="33">
        <f t="shared" ca="1" si="181"/>
        <v>1</v>
      </c>
      <c r="CJ421" s="36">
        <f t="shared" ca="1" si="178"/>
        <v>100</v>
      </c>
      <c r="CK421" s="34">
        <f t="shared" si="179"/>
        <v>0</v>
      </c>
      <c r="CL421" s="21"/>
      <c r="CM421" s="35" t="str">
        <f t="shared" ca="1" si="180"/>
        <v>TERMINADO</v>
      </c>
      <c r="CN421" s="82"/>
      <c r="CO421" s="145" t="s">
        <v>3556</v>
      </c>
      <c r="CP421" s="26" t="s">
        <v>142</v>
      </c>
      <c r="CR421" s="78"/>
    </row>
    <row r="422" spans="1:96" ht="24.75" customHeight="1">
      <c r="A422" s="48" t="s">
        <v>3557</v>
      </c>
      <c r="B422" s="77" t="s">
        <v>3558</v>
      </c>
      <c r="C422" s="17" t="s">
        <v>104</v>
      </c>
      <c r="D422" s="18" t="s">
        <v>3559</v>
      </c>
      <c r="E422" s="17" t="s">
        <v>106</v>
      </c>
      <c r="F422" s="17" t="s">
        <v>107</v>
      </c>
      <c r="G422" s="17" t="s">
        <v>108</v>
      </c>
      <c r="H422" s="78">
        <v>53122823</v>
      </c>
      <c r="I422" s="74" t="s">
        <v>3560</v>
      </c>
      <c r="J422" s="16"/>
      <c r="K422" s="16"/>
      <c r="L422" s="20" t="s">
        <v>2187</v>
      </c>
      <c r="M422" s="16" t="s">
        <v>111</v>
      </c>
      <c r="N422" s="115">
        <v>45323</v>
      </c>
      <c r="O422" s="115">
        <v>45329</v>
      </c>
      <c r="P422" s="115">
        <v>45657</v>
      </c>
      <c r="Q422" s="23">
        <f t="shared" si="169"/>
        <v>328</v>
      </c>
      <c r="R422" s="17" t="s">
        <v>242</v>
      </c>
      <c r="S422" s="117" t="s">
        <v>3561</v>
      </c>
      <c r="T422" s="16" t="s">
        <v>1145</v>
      </c>
      <c r="U422" s="24">
        <v>70307867</v>
      </c>
      <c r="V422" s="16" t="s">
        <v>426</v>
      </c>
      <c r="W422" s="227">
        <v>70307867</v>
      </c>
      <c r="X422" s="24">
        <v>6131500</v>
      </c>
      <c r="Y422" s="24"/>
      <c r="Z422" s="24"/>
      <c r="AA422" s="17" t="s">
        <v>116</v>
      </c>
      <c r="AB422" s="23" t="str">
        <f>IFERROR(VLOOKUP(AA422,Listas!$A$1:$C$14,2,FALSE),"")</f>
        <v>FREDY CÉSPEDES VILLA</v>
      </c>
      <c r="AC422" s="23">
        <f>IFERROR(VLOOKUP(AA422,Listas!$A$1:$C$14,3,FALSE),"")</f>
        <v>93363483</v>
      </c>
      <c r="AD422" s="17" t="s">
        <v>427</v>
      </c>
      <c r="AE422" s="17" t="s">
        <v>2561</v>
      </c>
      <c r="AF422" s="23" t="str">
        <f>IFERROR(VLOOKUP(AE422,Listas!$AD$1:$AF$65,2,FALSE),"")</f>
        <v>MARÍA TERESA COMBARIZA MARTÍN</v>
      </c>
      <c r="AG422" s="23">
        <f>IFERROR(VLOOKUP(AE422,Listas!$AD$1:$AF$65,3,FALSE),"")</f>
        <v>51803256</v>
      </c>
      <c r="AH422" s="17" t="s">
        <v>118</v>
      </c>
      <c r="AI422" s="65" t="s">
        <v>3562</v>
      </c>
      <c r="AJ422" s="25" t="s">
        <v>119</v>
      </c>
      <c r="AK422" s="26" t="s">
        <v>120</v>
      </c>
      <c r="AL422" s="26" t="s">
        <v>120</v>
      </c>
      <c r="AM422" s="90" t="s">
        <v>119</v>
      </c>
      <c r="AN422" s="105">
        <v>31175</v>
      </c>
      <c r="AO422" s="91">
        <f t="shared" ca="1" si="170"/>
        <v>40</v>
      </c>
      <c r="AP422" s="26" t="s">
        <v>121</v>
      </c>
      <c r="AQ422" s="26" t="s">
        <v>1272</v>
      </c>
      <c r="AR422" s="89"/>
      <c r="AS422" s="27"/>
      <c r="AT422" s="16"/>
      <c r="AU422" s="27"/>
      <c r="AV422" s="86"/>
      <c r="AW422" s="27"/>
      <c r="AX422" s="27"/>
      <c r="AY422" s="27"/>
      <c r="AZ422" s="27"/>
      <c r="BA422" s="27"/>
      <c r="BB422" s="27"/>
      <c r="BC422" s="97"/>
      <c r="BD422" s="27"/>
      <c r="BE422" s="16"/>
      <c r="BF422" s="28">
        <f t="shared" si="172"/>
        <v>0</v>
      </c>
      <c r="BG422" s="29"/>
      <c r="BH422" s="27"/>
      <c r="BI422" s="30">
        <f t="shared" si="173"/>
        <v>328</v>
      </c>
      <c r="BJ422" s="31">
        <f t="shared" si="174"/>
        <v>45657</v>
      </c>
      <c r="BK422" s="27"/>
      <c r="BL422" s="16"/>
      <c r="BM422" s="27"/>
      <c r="BN422" s="16"/>
      <c r="BO422" s="27"/>
      <c r="BP422" s="16"/>
      <c r="BQ422" s="27"/>
      <c r="BR422" s="24"/>
      <c r="BS422" s="24"/>
      <c r="BT422" s="32"/>
      <c r="BU422" s="27"/>
      <c r="BV422" s="24"/>
      <c r="BW422" s="24"/>
      <c r="BX422" s="16"/>
      <c r="BY422" s="27"/>
      <c r="BZ422" s="24"/>
      <c r="CA422" s="24"/>
      <c r="CB422" s="16"/>
      <c r="CC422" s="49">
        <f t="shared" si="175"/>
        <v>0</v>
      </c>
      <c r="CD422" s="24"/>
      <c r="CE422" s="49">
        <f t="shared" si="171"/>
        <v>70307867</v>
      </c>
      <c r="CF422" s="50"/>
      <c r="CG422" s="49">
        <f t="shared" ca="1" si="176"/>
        <v>70307867</v>
      </c>
      <c r="CH422" s="33">
        <f t="shared" ca="1" si="177"/>
        <v>1</v>
      </c>
      <c r="CI422" s="33">
        <f t="shared" ca="1" si="181"/>
        <v>1</v>
      </c>
      <c r="CJ422" s="36">
        <f t="shared" ca="1" si="178"/>
        <v>100</v>
      </c>
      <c r="CK422" s="34">
        <f t="shared" si="179"/>
        <v>0</v>
      </c>
      <c r="CL422" s="21"/>
      <c r="CM422" s="35" t="str">
        <f t="shared" ca="1" si="180"/>
        <v>TERMINADO</v>
      </c>
      <c r="CN422" s="82"/>
      <c r="CO422" s="145" t="s">
        <v>3563</v>
      </c>
      <c r="CP422" s="26" t="s">
        <v>123</v>
      </c>
      <c r="CR422" s="78"/>
    </row>
    <row r="423" spans="1:96" ht="24.75" customHeight="1">
      <c r="A423" s="48" t="s">
        <v>3564</v>
      </c>
      <c r="B423" s="77" t="s">
        <v>3565</v>
      </c>
      <c r="C423" s="17" t="s">
        <v>104</v>
      </c>
      <c r="D423" s="18" t="s">
        <v>3566</v>
      </c>
      <c r="E423" s="17" t="s">
        <v>106</v>
      </c>
      <c r="F423" s="17" t="s">
        <v>107</v>
      </c>
      <c r="G423" s="17" t="s">
        <v>108</v>
      </c>
      <c r="H423" s="78">
        <v>1051663056</v>
      </c>
      <c r="I423" s="74" t="s">
        <v>3567</v>
      </c>
      <c r="J423" s="16"/>
      <c r="K423" s="16"/>
      <c r="L423" s="20" t="s">
        <v>3568</v>
      </c>
      <c r="M423" s="16" t="s">
        <v>111</v>
      </c>
      <c r="N423" s="115">
        <v>45323</v>
      </c>
      <c r="O423" s="115">
        <v>45329</v>
      </c>
      <c r="P423" s="115">
        <v>45657</v>
      </c>
      <c r="Q423" s="23">
        <f t="shared" si="169"/>
        <v>328</v>
      </c>
      <c r="R423" s="17" t="s">
        <v>242</v>
      </c>
      <c r="S423" s="117" t="s">
        <v>3569</v>
      </c>
      <c r="T423" s="16" t="s">
        <v>1145</v>
      </c>
      <c r="U423" s="24">
        <v>53278190</v>
      </c>
      <c r="V423" s="16" t="s">
        <v>2818</v>
      </c>
      <c r="W423" s="227">
        <v>53278190</v>
      </c>
      <c r="X423" s="24">
        <v>4659900</v>
      </c>
      <c r="Y423" s="24"/>
      <c r="Z423" s="24"/>
      <c r="AA423" s="17" t="s">
        <v>116</v>
      </c>
      <c r="AB423" s="23" t="str">
        <f>IFERROR(VLOOKUP(AA423,Listas!$A$1:$C$14,2,FALSE),"")</f>
        <v>FREDY CÉSPEDES VILLA</v>
      </c>
      <c r="AC423" s="23">
        <f>IFERROR(VLOOKUP(AA423,Listas!$A$1:$C$14,3,FALSE),"")</f>
        <v>93363483</v>
      </c>
      <c r="AD423" s="17" t="s">
        <v>427</v>
      </c>
      <c r="AE423" s="17" t="s">
        <v>1802</v>
      </c>
      <c r="AF423" s="23" t="str">
        <f>IFERROR(VLOOKUP(AE423,Listas!$AD$1:$AF$65,2,FALSE),"")</f>
        <v>YULI ANDREA RIVEROS PINEDA</v>
      </c>
      <c r="AG423" s="23">
        <f>IFERROR(VLOOKUP(AE423,Listas!$AD$1:$AF$65,3,FALSE),"")</f>
        <v>53036984</v>
      </c>
      <c r="AH423" s="17" t="s">
        <v>118</v>
      </c>
      <c r="AI423" s="65" t="s">
        <v>3570</v>
      </c>
      <c r="AJ423" s="25" t="s">
        <v>119</v>
      </c>
      <c r="AK423" s="26" t="s">
        <v>120</v>
      </c>
      <c r="AL423" s="26" t="s">
        <v>120</v>
      </c>
      <c r="AM423" s="90" t="s">
        <v>119</v>
      </c>
      <c r="AN423" s="105">
        <v>32561</v>
      </c>
      <c r="AO423" s="91">
        <f t="shared" ca="1" si="170"/>
        <v>36</v>
      </c>
      <c r="AP423" s="26" t="s">
        <v>121</v>
      </c>
      <c r="AQ423" s="26" t="s">
        <v>1272</v>
      </c>
      <c r="AR423" s="89"/>
      <c r="AS423" s="27"/>
      <c r="AT423" s="16"/>
      <c r="AU423" s="27"/>
      <c r="AV423" s="86"/>
      <c r="AW423" s="27"/>
      <c r="AX423" s="27"/>
      <c r="AY423" s="27"/>
      <c r="AZ423" s="27"/>
      <c r="BA423" s="27"/>
      <c r="BB423" s="27"/>
      <c r="BC423" s="97"/>
      <c r="BD423" s="27"/>
      <c r="BE423" s="16"/>
      <c r="BF423" s="28">
        <f t="shared" si="172"/>
        <v>0</v>
      </c>
      <c r="BG423" s="29"/>
      <c r="BH423" s="27"/>
      <c r="BI423" s="30">
        <f t="shared" si="173"/>
        <v>328</v>
      </c>
      <c r="BJ423" s="31">
        <f t="shared" si="174"/>
        <v>45657</v>
      </c>
      <c r="BK423" s="27"/>
      <c r="BL423" s="16"/>
      <c r="BM423" s="27"/>
      <c r="BN423" s="16"/>
      <c r="BO423" s="27"/>
      <c r="BP423" s="16"/>
      <c r="BQ423" s="27"/>
      <c r="BR423" s="24"/>
      <c r="BS423" s="24"/>
      <c r="BT423" s="32"/>
      <c r="BU423" s="27"/>
      <c r="BV423" s="24"/>
      <c r="BW423" s="24"/>
      <c r="BX423" s="16"/>
      <c r="BY423" s="27"/>
      <c r="BZ423" s="24"/>
      <c r="CA423" s="24"/>
      <c r="CB423" s="16"/>
      <c r="CC423" s="49">
        <f t="shared" si="175"/>
        <v>0</v>
      </c>
      <c r="CD423" s="24"/>
      <c r="CE423" s="49">
        <f t="shared" ref="CE423:CE454" si="182">IF(Y423=0,(W423+CC423)-CD423,IF(Y423&gt;0,(Y423+CC423)-CD423))</f>
        <v>53278190</v>
      </c>
      <c r="CF423" s="50"/>
      <c r="CG423" s="49">
        <f t="shared" ca="1" si="176"/>
        <v>53278190</v>
      </c>
      <c r="CH423" s="33">
        <f t="shared" ca="1" si="177"/>
        <v>1</v>
      </c>
      <c r="CI423" s="33">
        <f t="shared" ca="1" si="181"/>
        <v>1</v>
      </c>
      <c r="CJ423" s="36">
        <f t="shared" ca="1" si="178"/>
        <v>100</v>
      </c>
      <c r="CK423" s="34">
        <f t="shared" si="179"/>
        <v>0</v>
      </c>
      <c r="CL423" s="21"/>
      <c r="CM423" s="35" t="str">
        <f t="shared" ca="1" si="180"/>
        <v>TERMINADO</v>
      </c>
      <c r="CN423" s="82"/>
      <c r="CO423" s="145" t="s">
        <v>3571</v>
      </c>
      <c r="CP423" s="26" t="s">
        <v>123</v>
      </c>
      <c r="CR423" s="78"/>
    </row>
    <row r="424" spans="1:96" ht="24.75" customHeight="1">
      <c r="A424" s="48" t="s">
        <v>3572</v>
      </c>
      <c r="B424" s="77" t="s">
        <v>3573</v>
      </c>
      <c r="C424" s="17" t="s">
        <v>104</v>
      </c>
      <c r="D424" s="18" t="s">
        <v>3574</v>
      </c>
      <c r="E424" s="17" t="s">
        <v>106</v>
      </c>
      <c r="F424" s="17" t="s">
        <v>107</v>
      </c>
      <c r="G424" s="17" t="s">
        <v>108</v>
      </c>
      <c r="H424" s="78">
        <v>11206499</v>
      </c>
      <c r="I424" s="74" t="s">
        <v>3575</v>
      </c>
      <c r="J424" s="16"/>
      <c r="K424" s="16"/>
      <c r="L424" s="20" t="s">
        <v>3576</v>
      </c>
      <c r="M424" s="16" t="s">
        <v>111</v>
      </c>
      <c r="N424" s="115">
        <v>45323</v>
      </c>
      <c r="O424" s="115">
        <v>45323</v>
      </c>
      <c r="P424" s="115">
        <v>45657</v>
      </c>
      <c r="Q424" s="23">
        <f t="shared" si="169"/>
        <v>334</v>
      </c>
      <c r="R424" s="17" t="s">
        <v>242</v>
      </c>
      <c r="S424" s="117" t="s">
        <v>3577</v>
      </c>
      <c r="T424" s="16" t="s">
        <v>1128</v>
      </c>
      <c r="U424" s="24">
        <v>93600000</v>
      </c>
      <c r="V424" s="16" t="s">
        <v>1239</v>
      </c>
      <c r="W424" s="227">
        <v>93600000</v>
      </c>
      <c r="X424" s="24">
        <v>8000000</v>
      </c>
      <c r="Y424" s="24"/>
      <c r="Z424" s="24"/>
      <c r="AA424" s="17" t="s">
        <v>116</v>
      </c>
      <c r="AB424" s="23" t="str">
        <f>IFERROR(VLOOKUP(AA424,Listas!$A$1:$C$14,2,FALSE),"")</f>
        <v>FREDY CÉSPEDES VILLA</v>
      </c>
      <c r="AC424" s="23">
        <f>IFERROR(VLOOKUP(AA424,Listas!$A$1:$C$14,3,FALSE),"")</f>
        <v>93363483</v>
      </c>
      <c r="AD424" s="17" t="s">
        <v>816</v>
      </c>
      <c r="AE424" s="17" t="s">
        <v>3578</v>
      </c>
      <c r="AF424" s="23" t="str">
        <f>IFERROR(VLOOKUP(AE424,Listas!$AD$1:$AF$65,2,FALSE),"")</f>
        <v>MARTHA RUTH ROBAYO LÓPEZ</v>
      </c>
      <c r="AG424" s="23">
        <f>IFERROR(VLOOKUP(AE424,Listas!$AD$1:$AF$65,3,FALSE),"")</f>
        <v>52193887</v>
      </c>
      <c r="AH424" s="17" t="s">
        <v>118</v>
      </c>
      <c r="AI424" s="65" t="s">
        <v>3579</v>
      </c>
      <c r="AJ424" s="25" t="s">
        <v>119</v>
      </c>
      <c r="AK424" s="26" t="s">
        <v>120</v>
      </c>
      <c r="AL424" s="26" t="s">
        <v>120</v>
      </c>
      <c r="AM424" s="90" t="s">
        <v>119</v>
      </c>
      <c r="AN424" s="105">
        <v>31088</v>
      </c>
      <c r="AO424" s="91">
        <f t="shared" ca="1" si="170"/>
        <v>40</v>
      </c>
      <c r="AP424" s="26" t="s">
        <v>121</v>
      </c>
      <c r="AQ424" s="26" t="s">
        <v>1641</v>
      </c>
      <c r="AR424" s="89"/>
      <c r="AS424" s="27"/>
      <c r="AT424" s="16"/>
      <c r="AU424" s="27"/>
      <c r="AV424" s="86"/>
      <c r="AW424" s="27"/>
      <c r="AX424" s="27"/>
      <c r="AY424" s="27"/>
      <c r="AZ424" s="27"/>
      <c r="BA424" s="27"/>
      <c r="BB424" s="27"/>
      <c r="BC424" s="97"/>
      <c r="BD424" s="27"/>
      <c r="BE424" s="16"/>
      <c r="BF424" s="28">
        <f t="shared" ref="BF424:BF433" si="183">BC424+BE424</f>
        <v>0</v>
      </c>
      <c r="BG424" s="29"/>
      <c r="BH424" s="27"/>
      <c r="BI424" s="30">
        <f t="shared" ref="BI424:BI433" si="184">BF424+Q424</f>
        <v>334</v>
      </c>
      <c r="BJ424" s="31">
        <f t="shared" ref="BJ424:BJ433" si="185">IF(BH424="",P424+BF424,BH424)</f>
        <v>45657</v>
      </c>
      <c r="BK424" s="27"/>
      <c r="BL424" s="16"/>
      <c r="BM424" s="27"/>
      <c r="BN424" s="16"/>
      <c r="BO424" s="27"/>
      <c r="BP424" s="16"/>
      <c r="BQ424" s="27"/>
      <c r="BR424" s="24"/>
      <c r="BS424" s="24"/>
      <c r="BT424" s="32"/>
      <c r="BU424" s="27"/>
      <c r="BV424" s="24"/>
      <c r="BW424" s="24"/>
      <c r="BX424" s="16"/>
      <c r="BY424" s="27"/>
      <c r="BZ424" s="24"/>
      <c r="CA424" s="24"/>
      <c r="CB424" s="16"/>
      <c r="CC424" s="49">
        <f t="shared" ref="CC424:CC455" si="186">BR424+BV424+BZ424</f>
        <v>0</v>
      </c>
      <c r="CD424" s="24"/>
      <c r="CE424" s="49">
        <f t="shared" si="182"/>
        <v>93600000</v>
      </c>
      <c r="CF424" s="50"/>
      <c r="CG424" s="49">
        <f t="shared" ref="CG424:CG455" ca="1" si="187">IFERROR(IF(((CE424/BI424)*(TODAY()-N424))&gt;CE424,CE424,((CE424/BI424)*(TODAY()-N424))),"")</f>
        <v>93600000</v>
      </c>
      <c r="CH424" s="33">
        <f t="shared" ref="CH424:CH434" ca="1" si="188">IF(TODAY()&gt;BJ424,1,+(DAYS360(O424,TODAY())/DAYS360(O424,BJ424)))</f>
        <v>1</v>
      </c>
      <c r="CI424" s="33">
        <f t="shared" ca="1" si="181"/>
        <v>1</v>
      </c>
      <c r="CJ424" s="36">
        <f t="shared" ref="CJ424:CJ455" ca="1" si="189">IFERROR(IF(((CG424/CE424)*100)&gt;100,100,((CG424/CE424)*100)),"")</f>
        <v>100</v>
      </c>
      <c r="CK424" s="34">
        <f t="shared" ref="CK424:CK455" si="190">IFERROR((CF424/CE424)*100,"")</f>
        <v>0</v>
      </c>
      <c r="CL424" s="21"/>
      <c r="CM424" s="35" t="str">
        <f t="shared" ref="CM424:CM455" ca="1" si="191">IF(CL424&gt;1/1/6,"LIQUIDADO",IF(BJ424=$BE$20003,"",IF(BJ424&gt;=TODAY(),"VIGENTE",IF(BJ424&lt;TODAY(),"TERMINADO",))))</f>
        <v>TERMINADO</v>
      </c>
      <c r="CN424" s="82"/>
      <c r="CO424" s="145" t="s">
        <v>3580</v>
      </c>
      <c r="CP424" s="26" t="s">
        <v>142</v>
      </c>
      <c r="CR424" s="78"/>
    </row>
    <row r="425" spans="1:96" ht="24.75" customHeight="1">
      <c r="A425" s="48" t="s">
        <v>3581</v>
      </c>
      <c r="B425" s="77" t="s">
        <v>3582</v>
      </c>
      <c r="C425" s="17" t="s">
        <v>104</v>
      </c>
      <c r="D425" s="18" t="s">
        <v>3583</v>
      </c>
      <c r="E425" s="17" t="s">
        <v>106</v>
      </c>
      <c r="F425" s="17" t="s">
        <v>107</v>
      </c>
      <c r="G425" s="17" t="s">
        <v>108</v>
      </c>
      <c r="H425" s="78">
        <v>1013640967</v>
      </c>
      <c r="I425" s="74" t="s">
        <v>3584</v>
      </c>
      <c r="J425" s="16"/>
      <c r="K425" s="16"/>
      <c r="L425" s="20" t="s">
        <v>3585</v>
      </c>
      <c r="M425" s="16" t="s">
        <v>111</v>
      </c>
      <c r="N425" s="115">
        <v>45323</v>
      </c>
      <c r="O425" s="115">
        <v>45328</v>
      </c>
      <c r="P425" s="115">
        <v>45656</v>
      </c>
      <c r="Q425" s="23">
        <f t="shared" si="169"/>
        <v>328</v>
      </c>
      <c r="R425" s="17" t="s">
        <v>242</v>
      </c>
      <c r="S425" s="117" t="s">
        <v>3586</v>
      </c>
      <c r="T425" s="16" t="s">
        <v>3587</v>
      </c>
      <c r="U425" s="24">
        <v>64924116</v>
      </c>
      <c r="V425" s="16" t="s">
        <v>3034</v>
      </c>
      <c r="W425" s="227">
        <v>64924116</v>
      </c>
      <c r="X425" s="24">
        <v>5762496</v>
      </c>
      <c r="Y425" s="24"/>
      <c r="Z425" s="24"/>
      <c r="AA425" s="17" t="s">
        <v>116</v>
      </c>
      <c r="AB425" s="23" t="str">
        <f>IFERROR(VLOOKUP(AA425,Listas!$A$1:$C$14,2,FALSE),"")</f>
        <v>FREDY CÉSPEDES VILLA</v>
      </c>
      <c r="AC425" s="23">
        <f>IFERROR(VLOOKUP(AA425,Listas!$A$1:$C$14,3,FALSE),"")</f>
        <v>93363483</v>
      </c>
      <c r="AD425" s="17" t="s">
        <v>345</v>
      </c>
      <c r="AE425" s="17" t="s">
        <v>632</v>
      </c>
      <c r="AF425" s="23" t="str">
        <f>IFERROR(VLOOKUP(AE425,Listas!$AD$1:$AF$65,2,FALSE),"")</f>
        <v>MANUEL ALBERTO LOZANO CARDONA</v>
      </c>
      <c r="AG425" s="23">
        <f>IFERROR(VLOOKUP(AE425,Listas!$AD$1:$AF$65,3,FALSE),"")</f>
        <v>79940034</v>
      </c>
      <c r="AH425" s="17" t="s">
        <v>118</v>
      </c>
      <c r="AI425" s="65" t="s">
        <v>3588</v>
      </c>
      <c r="AJ425" s="25" t="s">
        <v>119</v>
      </c>
      <c r="AK425" s="26" t="s">
        <v>120</v>
      </c>
      <c r="AL425" s="26" t="s">
        <v>120</v>
      </c>
      <c r="AM425" s="90" t="s">
        <v>119</v>
      </c>
      <c r="AN425" s="105">
        <v>34115</v>
      </c>
      <c r="AO425" s="91">
        <f t="shared" ca="1" si="170"/>
        <v>32</v>
      </c>
      <c r="AP425" s="26" t="s">
        <v>121</v>
      </c>
      <c r="AQ425" s="26" t="s">
        <v>347</v>
      </c>
      <c r="AR425" s="89"/>
      <c r="AS425" s="27"/>
      <c r="AT425" s="16"/>
      <c r="AU425" s="27"/>
      <c r="AV425" s="86"/>
      <c r="AW425" s="27"/>
      <c r="AX425" s="27"/>
      <c r="AY425" s="27"/>
      <c r="AZ425" s="27"/>
      <c r="BA425" s="27"/>
      <c r="BB425" s="27"/>
      <c r="BC425" s="97"/>
      <c r="BD425" s="27"/>
      <c r="BE425" s="16"/>
      <c r="BF425" s="28">
        <f t="shared" si="183"/>
        <v>0</v>
      </c>
      <c r="BG425" s="29"/>
      <c r="BH425" s="27"/>
      <c r="BI425" s="30">
        <f t="shared" si="184"/>
        <v>328</v>
      </c>
      <c r="BJ425" s="31">
        <f t="shared" si="185"/>
        <v>45656</v>
      </c>
      <c r="BK425" s="27"/>
      <c r="BL425" s="16"/>
      <c r="BM425" s="27"/>
      <c r="BN425" s="16"/>
      <c r="BO425" s="27"/>
      <c r="BP425" s="16"/>
      <c r="BQ425" s="27"/>
      <c r="BR425" s="24"/>
      <c r="BS425" s="24"/>
      <c r="BT425" s="32"/>
      <c r="BU425" s="27"/>
      <c r="BV425" s="24"/>
      <c r="BW425" s="24"/>
      <c r="BX425" s="16"/>
      <c r="BY425" s="27"/>
      <c r="BZ425" s="24"/>
      <c r="CA425" s="24"/>
      <c r="CB425" s="16"/>
      <c r="CC425" s="49">
        <f t="shared" si="186"/>
        <v>0</v>
      </c>
      <c r="CD425" s="24"/>
      <c r="CE425" s="49">
        <f t="shared" si="182"/>
        <v>64924116</v>
      </c>
      <c r="CF425" s="50"/>
      <c r="CG425" s="49">
        <f t="shared" ca="1" si="187"/>
        <v>64924116</v>
      </c>
      <c r="CH425" s="33">
        <f t="shared" ca="1" si="188"/>
        <v>1</v>
      </c>
      <c r="CI425" s="33">
        <f t="shared" ca="1" si="181"/>
        <v>1</v>
      </c>
      <c r="CJ425" s="36">
        <f t="shared" ca="1" si="189"/>
        <v>100</v>
      </c>
      <c r="CK425" s="34">
        <f t="shared" si="190"/>
        <v>0</v>
      </c>
      <c r="CL425" s="21"/>
      <c r="CM425" s="35" t="str">
        <f t="shared" ca="1" si="191"/>
        <v>TERMINADO</v>
      </c>
      <c r="CN425" s="82"/>
      <c r="CO425" s="145" t="s">
        <v>3589</v>
      </c>
      <c r="CP425" s="26" t="s">
        <v>142</v>
      </c>
      <c r="CR425" s="78"/>
    </row>
    <row r="426" spans="1:96" ht="24.75" customHeight="1">
      <c r="A426" s="48" t="s">
        <v>3590</v>
      </c>
      <c r="B426" s="77" t="s">
        <v>3591</v>
      </c>
      <c r="C426" s="17" t="s">
        <v>104</v>
      </c>
      <c r="D426" s="18" t="s">
        <v>3592</v>
      </c>
      <c r="E426" s="17" t="s">
        <v>106</v>
      </c>
      <c r="F426" s="17" t="s">
        <v>107</v>
      </c>
      <c r="G426" s="17" t="s">
        <v>108</v>
      </c>
      <c r="H426" s="78">
        <v>80041240</v>
      </c>
      <c r="I426" s="74" t="s">
        <v>3593</v>
      </c>
      <c r="J426" s="16"/>
      <c r="K426" s="16"/>
      <c r="L426" s="20" t="s">
        <v>3594</v>
      </c>
      <c r="M426" s="16" t="s">
        <v>111</v>
      </c>
      <c r="N426" s="115">
        <v>45323</v>
      </c>
      <c r="O426" s="115">
        <v>45323</v>
      </c>
      <c r="P426" s="115">
        <v>45656</v>
      </c>
      <c r="Q426" s="23">
        <f t="shared" si="169"/>
        <v>333</v>
      </c>
      <c r="R426" s="17" t="s">
        <v>112</v>
      </c>
      <c r="S426" s="117" t="s">
        <v>3595</v>
      </c>
      <c r="T426" s="16" t="s">
        <v>1417</v>
      </c>
      <c r="U426" s="24">
        <v>93000000</v>
      </c>
      <c r="V426" s="16" t="s">
        <v>1418</v>
      </c>
      <c r="W426" s="227">
        <v>85250000</v>
      </c>
      <c r="X426" s="24">
        <v>7750000</v>
      </c>
      <c r="Y426" s="24"/>
      <c r="Z426" s="24"/>
      <c r="AA426" s="17" t="s">
        <v>116</v>
      </c>
      <c r="AB426" s="23" t="str">
        <f>IFERROR(VLOOKUP(AA426,Listas!$A$1:$C$14,2,FALSE),"")</f>
        <v>FREDY CÉSPEDES VILLA</v>
      </c>
      <c r="AC426" s="23">
        <f>IFERROR(VLOOKUP(AA426,Listas!$A$1:$C$14,3,FALSE),"")</f>
        <v>93363483</v>
      </c>
      <c r="AD426" s="17" t="s">
        <v>116</v>
      </c>
      <c r="AE426" s="17" t="s">
        <v>484</v>
      </c>
      <c r="AF426" s="23" t="str">
        <f>IFERROR(VLOOKUP(AE426,Listas!$AD$1:$AF$65,2,FALSE),"")</f>
        <v>JAIME ANDRES GIL ACOSTA</v>
      </c>
      <c r="AG426" s="23">
        <f>IFERROR(VLOOKUP(AE426,Listas!$AD$1:$AF$65,3,FALSE),"")</f>
        <v>98622827</v>
      </c>
      <c r="AH426" s="17" t="s">
        <v>118</v>
      </c>
      <c r="AI426" s="65" t="s">
        <v>3596</v>
      </c>
      <c r="AJ426" s="25" t="s">
        <v>119</v>
      </c>
      <c r="AK426" s="26" t="s">
        <v>120</v>
      </c>
      <c r="AL426" s="26" t="s">
        <v>120</v>
      </c>
      <c r="AM426" s="90" t="s">
        <v>119</v>
      </c>
      <c r="AN426" s="105">
        <v>30595</v>
      </c>
      <c r="AO426" s="91">
        <f t="shared" ca="1" si="170"/>
        <v>42</v>
      </c>
      <c r="AP426" s="26" t="s">
        <v>121</v>
      </c>
      <c r="AQ426" s="26" t="s">
        <v>122</v>
      </c>
      <c r="AR426" s="89"/>
      <c r="AS426" s="27"/>
      <c r="AT426" s="16"/>
      <c r="AU426" s="27"/>
      <c r="AV426" s="86"/>
      <c r="AW426" s="27"/>
      <c r="AX426" s="27"/>
      <c r="AY426" s="27"/>
      <c r="AZ426" s="27"/>
      <c r="BA426" s="27"/>
      <c r="BB426" s="27"/>
      <c r="BC426" s="97"/>
      <c r="BD426" s="27"/>
      <c r="BE426" s="16"/>
      <c r="BF426" s="28">
        <f t="shared" si="183"/>
        <v>0</v>
      </c>
      <c r="BG426" s="29"/>
      <c r="BH426" s="27"/>
      <c r="BI426" s="30">
        <f t="shared" si="184"/>
        <v>333</v>
      </c>
      <c r="BJ426" s="31">
        <f t="shared" si="185"/>
        <v>45656</v>
      </c>
      <c r="BK426" s="27"/>
      <c r="BL426" s="16"/>
      <c r="BM426" s="27"/>
      <c r="BN426" s="16"/>
      <c r="BO426" s="27"/>
      <c r="BP426" s="16"/>
      <c r="BQ426" s="27"/>
      <c r="BR426" s="24"/>
      <c r="BS426" s="24"/>
      <c r="BT426" s="32"/>
      <c r="BU426" s="27"/>
      <c r="BV426" s="24"/>
      <c r="BW426" s="24"/>
      <c r="BX426" s="16"/>
      <c r="BY426" s="27"/>
      <c r="BZ426" s="24"/>
      <c r="CA426" s="24"/>
      <c r="CB426" s="16"/>
      <c r="CC426" s="49">
        <f t="shared" si="186"/>
        <v>0</v>
      </c>
      <c r="CD426" s="24"/>
      <c r="CE426" s="49">
        <f t="shared" si="182"/>
        <v>85250000</v>
      </c>
      <c r="CF426" s="50"/>
      <c r="CG426" s="49">
        <f t="shared" ca="1" si="187"/>
        <v>85250000</v>
      </c>
      <c r="CH426" s="33">
        <f t="shared" ca="1" si="188"/>
        <v>1</v>
      </c>
      <c r="CI426" s="33">
        <f t="shared" ca="1" si="181"/>
        <v>1</v>
      </c>
      <c r="CJ426" s="36">
        <f t="shared" ca="1" si="189"/>
        <v>100</v>
      </c>
      <c r="CK426" s="34">
        <f t="shared" si="190"/>
        <v>0</v>
      </c>
      <c r="CL426" s="21"/>
      <c r="CM426" s="35" t="str">
        <f t="shared" ca="1" si="191"/>
        <v>TERMINADO</v>
      </c>
      <c r="CN426" s="82"/>
      <c r="CO426" s="145" t="s">
        <v>3597</v>
      </c>
      <c r="CP426" s="26" t="s">
        <v>142</v>
      </c>
      <c r="CR426" s="78"/>
    </row>
    <row r="427" spans="1:96" ht="24.75" customHeight="1">
      <c r="A427" s="48" t="s">
        <v>3598</v>
      </c>
      <c r="B427" s="77" t="s">
        <v>3599</v>
      </c>
      <c r="C427" s="17" t="s">
        <v>104</v>
      </c>
      <c r="D427" s="18" t="s">
        <v>3600</v>
      </c>
      <c r="E427" s="17" t="s">
        <v>106</v>
      </c>
      <c r="F427" s="17" t="s">
        <v>107</v>
      </c>
      <c r="G427" s="17" t="s">
        <v>108</v>
      </c>
      <c r="H427" s="78">
        <v>1020721128</v>
      </c>
      <c r="I427" s="74" t="s">
        <v>3601</v>
      </c>
      <c r="J427" s="16"/>
      <c r="K427" s="16"/>
      <c r="L427" s="20" t="s">
        <v>3602</v>
      </c>
      <c r="M427" s="16" t="s">
        <v>111</v>
      </c>
      <c r="N427" s="115">
        <v>45323</v>
      </c>
      <c r="O427" s="115">
        <v>45324</v>
      </c>
      <c r="P427" s="115">
        <v>45656</v>
      </c>
      <c r="Q427" s="23">
        <f t="shared" si="169"/>
        <v>332</v>
      </c>
      <c r="R427" s="17" t="s">
        <v>112</v>
      </c>
      <c r="S427" s="117" t="s">
        <v>3586</v>
      </c>
      <c r="T427" s="16" t="s">
        <v>1417</v>
      </c>
      <c r="U427" s="24">
        <v>97800000</v>
      </c>
      <c r="V427" s="16" t="s">
        <v>1418</v>
      </c>
      <c r="W427" s="227">
        <v>97800000</v>
      </c>
      <c r="X427" s="24">
        <v>8150000</v>
      </c>
      <c r="Y427" s="24"/>
      <c r="Z427" s="24"/>
      <c r="AA427" s="17" t="s">
        <v>116</v>
      </c>
      <c r="AB427" s="23" t="str">
        <f>IFERROR(VLOOKUP(AA427,Listas!$A$1:$C$14,2,FALSE),"")</f>
        <v>FREDY CÉSPEDES VILLA</v>
      </c>
      <c r="AC427" s="23">
        <f>IFERROR(VLOOKUP(AA427,Listas!$A$1:$C$14,3,FALSE),"")</f>
        <v>93363483</v>
      </c>
      <c r="AD427" s="17" t="s">
        <v>116</v>
      </c>
      <c r="AE427" s="17" t="s">
        <v>484</v>
      </c>
      <c r="AF427" s="23" t="str">
        <f>IFERROR(VLOOKUP(AE427,Listas!$AD$1:$AF$65,2,FALSE),"")</f>
        <v>JAIME ANDRES GIL ACOSTA</v>
      </c>
      <c r="AG427" s="23">
        <f>IFERROR(VLOOKUP(AE427,Listas!$AD$1:$AF$65,3,FALSE),"")</f>
        <v>98622827</v>
      </c>
      <c r="AH427" s="17" t="s">
        <v>118</v>
      </c>
      <c r="AI427" s="65" t="s">
        <v>3603</v>
      </c>
      <c r="AJ427" s="25" t="s">
        <v>119</v>
      </c>
      <c r="AK427" s="26" t="s">
        <v>120</v>
      </c>
      <c r="AL427" s="26" t="s">
        <v>120</v>
      </c>
      <c r="AM427" s="90" t="s">
        <v>119</v>
      </c>
      <c r="AN427" s="105">
        <v>31722</v>
      </c>
      <c r="AO427" s="91">
        <f t="shared" ca="1" si="170"/>
        <v>39</v>
      </c>
      <c r="AP427" s="26" t="s">
        <v>121</v>
      </c>
      <c r="AQ427" s="26" t="s">
        <v>122</v>
      </c>
      <c r="AR427" s="89"/>
      <c r="AS427" s="27"/>
      <c r="AT427" s="16"/>
      <c r="AU427" s="27"/>
      <c r="AV427" s="86"/>
      <c r="AW427" s="27"/>
      <c r="AX427" s="27"/>
      <c r="AY427" s="27"/>
      <c r="AZ427" s="27"/>
      <c r="BA427" s="27"/>
      <c r="BB427" s="27"/>
      <c r="BC427" s="97"/>
      <c r="BD427" s="27"/>
      <c r="BE427" s="16"/>
      <c r="BF427" s="28">
        <f t="shared" si="183"/>
        <v>0</v>
      </c>
      <c r="BG427" s="29"/>
      <c r="BH427" s="27">
        <v>45565</v>
      </c>
      <c r="BI427" s="30">
        <f t="shared" si="184"/>
        <v>332</v>
      </c>
      <c r="BJ427" s="31">
        <f t="shared" si="185"/>
        <v>45565</v>
      </c>
      <c r="BK427" s="27"/>
      <c r="BL427" s="16"/>
      <c r="BM427" s="27"/>
      <c r="BN427" s="16"/>
      <c r="BO427" s="27"/>
      <c r="BP427" s="16"/>
      <c r="BQ427" s="27"/>
      <c r="BR427" s="24"/>
      <c r="BS427" s="24"/>
      <c r="BT427" s="32"/>
      <c r="BU427" s="27"/>
      <c r="BV427" s="24"/>
      <c r="BW427" s="24"/>
      <c r="BX427" s="16"/>
      <c r="BY427" s="27"/>
      <c r="BZ427" s="24"/>
      <c r="CA427" s="24"/>
      <c r="CB427" s="16"/>
      <c r="CC427" s="49">
        <f t="shared" si="186"/>
        <v>0</v>
      </c>
      <c r="CD427" s="24"/>
      <c r="CE427" s="49">
        <f t="shared" si="182"/>
        <v>97800000</v>
      </c>
      <c r="CF427" s="50"/>
      <c r="CG427" s="49">
        <f t="shared" ca="1" si="187"/>
        <v>97800000</v>
      </c>
      <c r="CH427" s="33">
        <f t="shared" ca="1" si="188"/>
        <v>1</v>
      </c>
      <c r="CI427" s="33">
        <f t="shared" ca="1" si="181"/>
        <v>1</v>
      </c>
      <c r="CJ427" s="36">
        <f t="shared" ca="1" si="189"/>
        <v>100</v>
      </c>
      <c r="CK427" s="34">
        <f t="shared" si="190"/>
        <v>0</v>
      </c>
      <c r="CL427" s="21"/>
      <c r="CM427" s="35" t="str">
        <f t="shared" ca="1" si="191"/>
        <v>TERMINADO</v>
      </c>
      <c r="CN427" s="82"/>
      <c r="CO427" s="145" t="s">
        <v>3604</v>
      </c>
      <c r="CP427" s="26" t="s">
        <v>123</v>
      </c>
      <c r="CR427" s="78"/>
    </row>
    <row r="428" spans="1:96" ht="24.75" customHeight="1">
      <c r="A428" s="48" t="s">
        <v>3605</v>
      </c>
      <c r="B428" s="77" t="s">
        <v>3606</v>
      </c>
      <c r="C428" s="17" t="s">
        <v>104</v>
      </c>
      <c r="D428" s="18" t="s">
        <v>3607</v>
      </c>
      <c r="E428" s="17" t="s">
        <v>106</v>
      </c>
      <c r="F428" s="17" t="s">
        <v>107</v>
      </c>
      <c r="G428" s="17" t="s">
        <v>108</v>
      </c>
      <c r="H428" s="78">
        <v>52220404</v>
      </c>
      <c r="I428" s="74" t="s">
        <v>3608</v>
      </c>
      <c r="J428" s="16"/>
      <c r="K428" s="16"/>
      <c r="L428" s="20" t="s">
        <v>3609</v>
      </c>
      <c r="M428" s="16" t="s">
        <v>111</v>
      </c>
      <c r="N428" s="115">
        <v>45323</v>
      </c>
      <c r="O428" s="115">
        <v>45329</v>
      </c>
      <c r="P428" s="115">
        <v>45656</v>
      </c>
      <c r="Q428" s="23">
        <f t="shared" si="169"/>
        <v>327</v>
      </c>
      <c r="R428" s="17" t="s">
        <v>242</v>
      </c>
      <c r="S428" s="117" t="s">
        <v>3610</v>
      </c>
      <c r="T428" s="16" t="s">
        <v>2906</v>
      </c>
      <c r="U428" s="24">
        <v>98958720</v>
      </c>
      <c r="V428" s="16" t="s">
        <v>3611</v>
      </c>
      <c r="W428" s="227">
        <v>98958720</v>
      </c>
      <c r="X428" s="24">
        <v>8246560</v>
      </c>
      <c r="Y428" s="24"/>
      <c r="Z428" s="24"/>
      <c r="AA428" s="17" t="s">
        <v>116</v>
      </c>
      <c r="AB428" s="23" t="str">
        <f>IFERROR(VLOOKUP(AA428,Listas!$A$1:$C$14,2,FALSE),"")</f>
        <v>FREDY CÉSPEDES VILLA</v>
      </c>
      <c r="AC428" s="23">
        <f>IFERROR(VLOOKUP(AA428,Listas!$A$1:$C$14,3,FALSE),"")</f>
        <v>93363483</v>
      </c>
      <c r="AD428" s="17" t="s">
        <v>607</v>
      </c>
      <c r="AE428" s="17" t="s">
        <v>1155</v>
      </c>
      <c r="AF428" s="23" t="str">
        <f>IFERROR(VLOOKUP(AE428,Listas!$AD$1:$AF$65,2,FALSE),"")</f>
        <v>MARÍA FRANCISCA CEPEDA QUINTERO</v>
      </c>
      <c r="AG428" s="23">
        <f>IFERROR(VLOOKUP(AE428,Listas!$AD$1:$AF$65,3,FALSE),"")</f>
        <v>53062608</v>
      </c>
      <c r="AH428" s="17" t="s">
        <v>118</v>
      </c>
      <c r="AI428" s="65" t="s">
        <v>3612</v>
      </c>
      <c r="AJ428" s="25" t="s">
        <v>119</v>
      </c>
      <c r="AK428" s="26" t="s">
        <v>120</v>
      </c>
      <c r="AL428" s="26" t="s">
        <v>120</v>
      </c>
      <c r="AM428" s="90" t="s">
        <v>119</v>
      </c>
      <c r="AN428" s="105">
        <v>26970</v>
      </c>
      <c r="AO428" s="91">
        <f t="shared" ca="1" si="170"/>
        <v>52</v>
      </c>
      <c r="AP428" s="26" t="s">
        <v>121</v>
      </c>
      <c r="AQ428" s="26" t="s">
        <v>486</v>
      </c>
      <c r="AR428" s="89"/>
      <c r="AS428" s="27"/>
      <c r="AT428" s="16"/>
      <c r="AU428" s="27"/>
      <c r="AV428" s="86"/>
      <c r="AW428" s="27"/>
      <c r="AX428" s="27"/>
      <c r="AY428" s="27"/>
      <c r="AZ428" s="27"/>
      <c r="BA428" s="27"/>
      <c r="BB428" s="27"/>
      <c r="BC428" s="97"/>
      <c r="BD428" s="27"/>
      <c r="BE428" s="16"/>
      <c r="BF428" s="28">
        <f t="shared" si="183"/>
        <v>0</v>
      </c>
      <c r="BG428" s="29"/>
      <c r="BH428" s="27"/>
      <c r="BI428" s="30">
        <f t="shared" si="184"/>
        <v>327</v>
      </c>
      <c r="BJ428" s="31">
        <f t="shared" si="185"/>
        <v>45656</v>
      </c>
      <c r="BK428" s="27"/>
      <c r="BL428" s="16"/>
      <c r="BM428" s="27"/>
      <c r="BN428" s="16"/>
      <c r="BO428" s="27"/>
      <c r="BP428" s="16"/>
      <c r="BQ428" s="27"/>
      <c r="BR428" s="24"/>
      <c r="BS428" s="24"/>
      <c r="BT428" s="32"/>
      <c r="BU428" s="27"/>
      <c r="BV428" s="24"/>
      <c r="BW428" s="24"/>
      <c r="BX428" s="16"/>
      <c r="BY428" s="27"/>
      <c r="BZ428" s="24"/>
      <c r="CA428" s="24"/>
      <c r="CB428" s="16"/>
      <c r="CC428" s="49">
        <f t="shared" si="186"/>
        <v>0</v>
      </c>
      <c r="CD428" s="24"/>
      <c r="CE428" s="49">
        <f t="shared" si="182"/>
        <v>98958720</v>
      </c>
      <c r="CF428" s="50"/>
      <c r="CG428" s="49">
        <f t="shared" ca="1" si="187"/>
        <v>98958720</v>
      </c>
      <c r="CH428" s="33">
        <f t="shared" ca="1" si="188"/>
        <v>1</v>
      </c>
      <c r="CI428" s="33">
        <f t="shared" ca="1" si="181"/>
        <v>1</v>
      </c>
      <c r="CJ428" s="36">
        <f t="shared" ca="1" si="189"/>
        <v>100</v>
      </c>
      <c r="CK428" s="34">
        <f t="shared" si="190"/>
        <v>0</v>
      </c>
      <c r="CL428" s="21"/>
      <c r="CM428" s="35" t="str">
        <f t="shared" ca="1" si="191"/>
        <v>TERMINADO</v>
      </c>
      <c r="CN428" s="82"/>
      <c r="CO428" s="145" t="s">
        <v>3613</v>
      </c>
      <c r="CP428" s="26" t="s">
        <v>123</v>
      </c>
      <c r="CR428" s="78"/>
    </row>
    <row r="429" spans="1:96" ht="24.75" customHeight="1">
      <c r="A429" s="48" t="s">
        <v>3614</v>
      </c>
      <c r="B429" s="77" t="s">
        <v>3615</v>
      </c>
      <c r="C429" s="17" t="s">
        <v>104</v>
      </c>
      <c r="D429" s="18" t="s">
        <v>3616</v>
      </c>
      <c r="E429" s="17" t="s">
        <v>106</v>
      </c>
      <c r="F429" s="17" t="s">
        <v>107</v>
      </c>
      <c r="G429" s="17" t="s">
        <v>108</v>
      </c>
      <c r="H429" s="78">
        <v>51936486</v>
      </c>
      <c r="I429" s="74" t="s">
        <v>3617</v>
      </c>
      <c r="J429" s="16"/>
      <c r="K429" s="16"/>
      <c r="L429" s="20" t="s">
        <v>2622</v>
      </c>
      <c r="M429" s="16" t="s">
        <v>111</v>
      </c>
      <c r="N429" s="115">
        <v>45324</v>
      </c>
      <c r="O429" s="115">
        <v>45329</v>
      </c>
      <c r="P429" s="115">
        <v>45657</v>
      </c>
      <c r="Q429" s="23">
        <f t="shared" si="169"/>
        <v>328</v>
      </c>
      <c r="R429" s="17" t="s">
        <v>242</v>
      </c>
      <c r="S429" s="117" t="s">
        <v>3618</v>
      </c>
      <c r="T429" s="16" t="s">
        <v>3619</v>
      </c>
      <c r="U429" s="24">
        <v>45727710</v>
      </c>
      <c r="V429" s="16" t="s">
        <v>3620</v>
      </c>
      <c r="W429" s="227">
        <v>45727710</v>
      </c>
      <c r="X429" s="24">
        <v>4046700</v>
      </c>
      <c r="Y429" s="24"/>
      <c r="Z429" s="24"/>
      <c r="AA429" s="17" t="s">
        <v>116</v>
      </c>
      <c r="AB429" s="23" t="str">
        <f>IFERROR(VLOOKUP(AA429,Listas!$A$1:$C$14,2,FALSE),"")</f>
        <v>FREDY CÉSPEDES VILLA</v>
      </c>
      <c r="AC429" s="23">
        <f>IFERROR(VLOOKUP(AA429,Listas!$A$1:$C$14,3,FALSE),"")</f>
        <v>93363483</v>
      </c>
      <c r="AD429" s="17" t="s">
        <v>427</v>
      </c>
      <c r="AE429" s="17" t="s">
        <v>2561</v>
      </c>
      <c r="AF429" s="23" t="str">
        <f>IFERROR(VLOOKUP(AE429,Listas!$AD$1:$AF$65,2,FALSE),"")</f>
        <v>MARÍA TERESA COMBARIZA MARTÍN</v>
      </c>
      <c r="AG429" s="23">
        <f>IFERROR(VLOOKUP(AE429,Listas!$AD$1:$AF$65,3,FALSE),"")</f>
        <v>51803256</v>
      </c>
      <c r="AH429" s="17" t="s">
        <v>118</v>
      </c>
      <c r="AI429" s="65" t="s">
        <v>3621</v>
      </c>
      <c r="AJ429" s="25" t="s">
        <v>119</v>
      </c>
      <c r="AK429" s="26" t="s">
        <v>120</v>
      </c>
      <c r="AL429" s="26" t="s">
        <v>120</v>
      </c>
      <c r="AM429" s="90" t="s">
        <v>119</v>
      </c>
      <c r="AN429" s="105">
        <v>25245</v>
      </c>
      <c r="AO429" s="91">
        <f t="shared" ca="1" si="170"/>
        <v>56</v>
      </c>
      <c r="AP429" s="26" t="s">
        <v>121</v>
      </c>
      <c r="AQ429" s="26" t="s">
        <v>1272</v>
      </c>
      <c r="AR429" s="89"/>
      <c r="AS429" s="27"/>
      <c r="AT429" s="16"/>
      <c r="AU429" s="27"/>
      <c r="AV429" s="86"/>
      <c r="AW429" s="27"/>
      <c r="AX429" s="27"/>
      <c r="AY429" s="27"/>
      <c r="AZ429" s="27"/>
      <c r="BA429" s="27"/>
      <c r="BB429" s="27"/>
      <c r="BC429" s="97"/>
      <c r="BD429" s="27"/>
      <c r="BE429" s="16"/>
      <c r="BF429" s="28">
        <f t="shared" si="183"/>
        <v>0</v>
      </c>
      <c r="BG429" s="29"/>
      <c r="BH429" s="27"/>
      <c r="BI429" s="30">
        <f t="shared" si="184"/>
        <v>328</v>
      </c>
      <c r="BJ429" s="31">
        <f t="shared" si="185"/>
        <v>45657</v>
      </c>
      <c r="BK429" s="27"/>
      <c r="BL429" s="16"/>
      <c r="BM429" s="27"/>
      <c r="BN429" s="16"/>
      <c r="BO429" s="27"/>
      <c r="BP429" s="16"/>
      <c r="BQ429" s="27"/>
      <c r="BR429" s="24"/>
      <c r="BS429" s="24"/>
      <c r="BT429" s="32"/>
      <c r="BU429" s="27"/>
      <c r="BV429" s="24"/>
      <c r="BW429" s="24"/>
      <c r="BX429" s="16"/>
      <c r="BY429" s="27"/>
      <c r="BZ429" s="24"/>
      <c r="CA429" s="24"/>
      <c r="CB429" s="16"/>
      <c r="CC429" s="49">
        <f t="shared" si="186"/>
        <v>0</v>
      </c>
      <c r="CD429" s="24"/>
      <c r="CE429" s="49">
        <f t="shared" si="182"/>
        <v>45727710</v>
      </c>
      <c r="CF429" s="50"/>
      <c r="CG429" s="49">
        <f t="shared" ca="1" si="187"/>
        <v>45727710</v>
      </c>
      <c r="CH429" s="33">
        <f t="shared" ca="1" si="188"/>
        <v>1</v>
      </c>
      <c r="CI429" s="33">
        <f t="shared" ref="CI429:CI434" ca="1" si="192">+IF(CL429&gt;0,DAYS360(O429,CL429)/DAYS360(O429,BJ429),CH429)</f>
        <v>1</v>
      </c>
      <c r="CJ429" s="36">
        <f t="shared" ca="1" si="189"/>
        <v>100</v>
      </c>
      <c r="CK429" s="34">
        <f t="shared" si="190"/>
        <v>0</v>
      </c>
      <c r="CL429" s="21"/>
      <c r="CM429" s="35" t="str">
        <f t="shared" ca="1" si="191"/>
        <v>TERMINADO</v>
      </c>
      <c r="CN429" s="82"/>
      <c r="CO429" s="145" t="s">
        <v>3622</v>
      </c>
      <c r="CP429" s="26" t="s">
        <v>123</v>
      </c>
      <c r="CR429" s="78"/>
    </row>
    <row r="430" spans="1:96" ht="24.75" customHeight="1">
      <c r="A430" s="48" t="s">
        <v>3623</v>
      </c>
      <c r="B430" s="77" t="s">
        <v>3624</v>
      </c>
      <c r="C430" s="17" t="s">
        <v>104</v>
      </c>
      <c r="D430" s="18" t="s">
        <v>3625</v>
      </c>
      <c r="E430" s="17" t="s">
        <v>106</v>
      </c>
      <c r="F430" s="17" t="s">
        <v>107</v>
      </c>
      <c r="G430" s="17" t="s">
        <v>108</v>
      </c>
      <c r="H430" s="78">
        <v>51897309</v>
      </c>
      <c r="I430" s="74" t="s">
        <v>3626</v>
      </c>
      <c r="J430" s="16"/>
      <c r="K430" s="16"/>
      <c r="L430" s="20" t="s">
        <v>3477</v>
      </c>
      <c r="M430" s="16" t="s">
        <v>111</v>
      </c>
      <c r="N430" s="115">
        <v>45323</v>
      </c>
      <c r="O430" s="22">
        <v>45328</v>
      </c>
      <c r="P430" s="115">
        <v>45657</v>
      </c>
      <c r="Q430" s="23">
        <f t="shared" si="169"/>
        <v>329</v>
      </c>
      <c r="R430" s="17" t="s">
        <v>112</v>
      </c>
      <c r="S430" s="117" t="s">
        <v>3627</v>
      </c>
      <c r="T430" s="16" t="s">
        <v>3628</v>
      </c>
      <c r="U430" s="24">
        <v>64057620</v>
      </c>
      <c r="V430" s="16" t="s">
        <v>216</v>
      </c>
      <c r="W430" s="227">
        <v>61388553</v>
      </c>
      <c r="X430" s="24">
        <v>5338135</v>
      </c>
      <c r="Y430" s="24"/>
      <c r="Z430" s="24"/>
      <c r="AA430" s="17" t="s">
        <v>116</v>
      </c>
      <c r="AB430" s="23" t="str">
        <f>IFERROR(VLOOKUP(AA430,Listas!$A$1:$C$14,2,FALSE),"")</f>
        <v>FREDY CÉSPEDES VILLA</v>
      </c>
      <c r="AC430" s="23">
        <f>IFERROR(VLOOKUP(AA430,Listas!$A$1:$C$14,3,FALSE),"")</f>
        <v>93363483</v>
      </c>
      <c r="AD430" s="17" t="s">
        <v>217</v>
      </c>
      <c r="AE430" s="17" t="s">
        <v>381</v>
      </c>
      <c r="AF430" s="23" t="str">
        <f>IFERROR(VLOOKUP(AE430,Listas!$AD$1:$AF$65,2,FALSE),"")</f>
        <v>MARINA AZUCENA MEDINA SANDOVAL</v>
      </c>
      <c r="AG430" s="23">
        <f>IFERROR(VLOOKUP(AE430,Listas!$AD$1:$AF$65,3,FALSE),"")</f>
        <v>51842510</v>
      </c>
      <c r="AH430" s="17" t="s">
        <v>118</v>
      </c>
      <c r="AI430" s="65" t="s">
        <v>3629</v>
      </c>
      <c r="AJ430" s="25" t="s">
        <v>119</v>
      </c>
      <c r="AK430" s="26" t="s">
        <v>120</v>
      </c>
      <c r="AL430" s="26" t="s">
        <v>120</v>
      </c>
      <c r="AM430" s="90" t="s">
        <v>119</v>
      </c>
      <c r="AN430" s="105">
        <v>24942</v>
      </c>
      <c r="AO430" s="91">
        <f t="shared" ca="1" si="170"/>
        <v>57</v>
      </c>
      <c r="AP430" s="26" t="s">
        <v>121</v>
      </c>
      <c r="AQ430" s="26" t="s">
        <v>220</v>
      </c>
      <c r="AR430" s="89"/>
      <c r="AS430" s="27"/>
      <c r="AT430" s="16"/>
      <c r="AU430" s="27"/>
      <c r="AV430" s="86"/>
      <c r="AW430" s="27"/>
      <c r="AX430" s="27"/>
      <c r="AY430" s="27"/>
      <c r="AZ430" s="27"/>
      <c r="BA430" s="27"/>
      <c r="BB430" s="27"/>
      <c r="BC430" s="97"/>
      <c r="BD430" s="27"/>
      <c r="BE430" s="16"/>
      <c r="BF430" s="28">
        <f t="shared" si="183"/>
        <v>0</v>
      </c>
      <c r="BG430" s="29"/>
      <c r="BH430" s="27"/>
      <c r="BI430" s="30">
        <f t="shared" si="184"/>
        <v>329</v>
      </c>
      <c r="BJ430" s="31">
        <f t="shared" si="185"/>
        <v>45657</v>
      </c>
      <c r="BK430" s="27"/>
      <c r="BL430" s="16"/>
      <c r="BM430" s="27"/>
      <c r="BN430" s="16"/>
      <c r="BO430" s="27"/>
      <c r="BP430" s="16"/>
      <c r="BQ430" s="27"/>
      <c r="BR430" s="24"/>
      <c r="BS430" s="24"/>
      <c r="BT430" s="32"/>
      <c r="BU430" s="27"/>
      <c r="BV430" s="24"/>
      <c r="BW430" s="24"/>
      <c r="BX430" s="16"/>
      <c r="BY430" s="27"/>
      <c r="BZ430" s="24"/>
      <c r="CA430" s="24"/>
      <c r="CB430" s="16"/>
      <c r="CC430" s="49">
        <f t="shared" si="186"/>
        <v>0</v>
      </c>
      <c r="CD430" s="24"/>
      <c r="CE430" s="49">
        <f t="shared" si="182"/>
        <v>61388553</v>
      </c>
      <c r="CF430" s="50"/>
      <c r="CG430" s="49">
        <f t="shared" ca="1" si="187"/>
        <v>61388553</v>
      </c>
      <c r="CH430" s="33">
        <f t="shared" ca="1" si="188"/>
        <v>1</v>
      </c>
      <c r="CI430" s="33">
        <f t="shared" ca="1" si="192"/>
        <v>1</v>
      </c>
      <c r="CJ430" s="36">
        <f t="shared" ca="1" si="189"/>
        <v>100</v>
      </c>
      <c r="CK430" s="34">
        <f t="shared" si="190"/>
        <v>0</v>
      </c>
      <c r="CL430" s="21"/>
      <c r="CM430" s="35" t="str">
        <f t="shared" ca="1" si="191"/>
        <v>TERMINADO</v>
      </c>
      <c r="CN430" s="82"/>
      <c r="CO430" s="145" t="s">
        <v>3630</v>
      </c>
      <c r="CP430" s="26" t="s">
        <v>123</v>
      </c>
      <c r="CR430" s="78"/>
    </row>
    <row r="431" spans="1:96" ht="24.75" customHeight="1">
      <c r="A431" s="48" t="s">
        <v>3631</v>
      </c>
      <c r="B431" s="77" t="s">
        <v>3632</v>
      </c>
      <c r="C431" s="17" t="s">
        <v>104</v>
      </c>
      <c r="D431" s="18" t="s">
        <v>3633</v>
      </c>
      <c r="E431" s="17" t="s">
        <v>106</v>
      </c>
      <c r="F431" s="17" t="s">
        <v>107</v>
      </c>
      <c r="G431" s="17" t="s">
        <v>108</v>
      </c>
      <c r="H431" s="78">
        <v>12203515</v>
      </c>
      <c r="I431" s="74" t="s">
        <v>3634</v>
      </c>
      <c r="J431" s="16"/>
      <c r="K431" s="16"/>
      <c r="L431" s="20" t="s">
        <v>3459</v>
      </c>
      <c r="M431" s="16" t="s">
        <v>111</v>
      </c>
      <c r="N431" s="115">
        <v>45323</v>
      </c>
      <c r="O431" s="22">
        <v>45329</v>
      </c>
      <c r="P431" s="115">
        <v>45657</v>
      </c>
      <c r="Q431" s="23">
        <f t="shared" si="169"/>
        <v>328</v>
      </c>
      <c r="R431" s="17" t="s">
        <v>112</v>
      </c>
      <c r="S431" s="117" t="s">
        <v>3635</v>
      </c>
      <c r="T431" s="16" t="s">
        <v>3628</v>
      </c>
      <c r="U431" s="24">
        <v>64057620</v>
      </c>
      <c r="V431" s="16" t="s">
        <v>216</v>
      </c>
      <c r="W431" s="227">
        <v>61388553</v>
      </c>
      <c r="X431" s="24">
        <v>5338135</v>
      </c>
      <c r="Y431" s="24"/>
      <c r="Z431" s="24"/>
      <c r="AA431" s="17" t="s">
        <v>116</v>
      </c>
      <c r="AB431" s="23" t="str">
        <f>IFERROR(VLOOKUP(AA431,Listas!$A$1:$C$14,2,FALSE),"")</f>
        <v>FREDY CÉSPEDES VILLA</v>
      </c>
      <c r="AC431" s="23">
        <f>IFERROR(VLOOKUP(AA431,Listas!$A$1:$C$14,3,FALSE),"")</f>
        <v>93363483</v>
      </c>
      <c r="AD431" s="17" t="s">
        <v>217</v>
      </c>
      <c r="AE431" s="17" t="s">
        <v>381</v>
      </c>
      <c r="AF431" s="23" t="str">
        <f>IFERROR(VLOOKUP(AE431,Listas!$AD$1:$AF$65,2,FALSE),"")</f>
        <v>MARINA AZUCENA MEDINA SANDOVAL</v>
      </c>
      <c r="AG431" s="23">
        <f>IFERROR(VLOOKUP(AE431,Listas!$AD$1:$AF$65,3,FALSE),"")</f>
        <v>51842510</v>
      </c>
      <c r="AH431" s="17" t="s">
        <v>118</v>
      </c>
      <c r="AI431" s="65" t="s">
        <v>3636</v>
      </c>
      <c r="AJ431" s="25" t="s">
        <v>119</v>
      </c>
      <c r="AK431" s="26" t="s">
        <v>120</v>
      </c>
      <c r="AL431" s="26" t="s">
        <v>120</v>
      </c>
      <c r="AM431" s="90" t="s">
        <v>119</v>
      </c>
      <c r="AN431" s="105">
        <v>31247</v>
      </c>
      <c r="AO431" s="91">
        <f t="shared" ca="1" si="170"/>
        <v>40</v>
      </c>
      <c r="AP431" s="26" t="s">
        <v>121</v>
      </c>
      <c r="AQ431" s="26" t="s">
        <v>220</v>
      </c>
      <c r="AR431" s="89"/>
      <c r="AS431" s="27"/>
      <c r="AT431" s="16"/>
      <c r="AU431" s="27"/>
      <c r="AV431" s="86"/>
      <c r="AW431" s="27"/>
      <c r="AX431" s="27"/>
      <c r="AY431" s="27"/>
      <c r="AZ431" s="27"/>
      <c r="BA431" s="27"/>
      <c r="BB431" s="27"/>
      <c r="BC431" s="97"/>
      <c r="BD431" s="27"/>
      <c r="BE431" s="16"/>
      <c r="BF431" s="28">
        <f t="shared" si="183"/>
        <v>0</v>
      </c>
      <c r="BG431" s="29"/>
      <c r="BH431" s="27"/>
      <c r="BI431" s="30">
        <f t="shared" si="184"/>
        <v>328</v>
      </c>
      <c r="BJ431" s="31">
        <f t="shared" si="185"/>
        <v>45657</v>
      </c>
      <c r="BK431" s="27"/>
      <c r="BL431" s="16"/>
      <c r="BM431" s="27"/>
      <c r="BN431" s="16"/>
      <c r="BO431" s="27"/>
      <c r="BP431" s="16"/>
      <c r="BQ431" s="27"/>
      <c r="BR431" s="24"/>
      <c r="BS431" s="24"/>
      <c r="BT431" s="32"/>
      <c r="BU431" s="27"/>
      <c r="BV431" s="24"/>
      <c r="BW431" s="24"/>
      <c r="BX431" s="16"/>
      <c r="BY431" s="27"/>
      <c r="BZ431" s="24"/>
      <c r="CA431" s="24"/>
      <c r="CB431" s="16"/>
      <c r="CC431" s="49">
        <f t="shared" si="186"/>
        <v>0</v>
      </c>
      <c r="CD431" s="24"/>
      <c r="CE431" s="49">
        <f t="shared" si="182"/>
        <v>61388553</v>
      </c>
      <c r="CF431" s="50"/>
      <c r="CG431" s="49">
        <f t="shared" ca="1" si="187"/>
        <v>61388553</v>
      </c>
      <c r="CH431" s="33">
        <f t="shared" ca="1" si="188"/>
        <v>1</v>
      </c>
      <c r="CI431" s="33">
        <f t="shared" ca="1" si="192"/>
        <v>1</v>
      </c>
      <c r="CJ431" s="36">
        <f t="shared" ca="1" si="189"/>
        <v>100</v>
      </c>
      <c r="CK431" s="34">
        <f t="shared" si="190"/>
        <v>0</v>
      </c>
      <c r="CL431" s="21"/>
      <c r="CM431" s="35" t="str">
        <f t="shared" ca="1" si="191"/>
        <v>TERMINADO</v>
      </c>
      <c r="CN431" s="82"/>
      <c r="CO431" s="145" t="s">
        <v>3637</v>
      </c>
      <c r="CP431" s="26" t="s">
        <v>142</v>
      </c>
      <c r="CR431" s="78"/>
    </row>
    <row r="432" spans="1:96" ht="24.75" customHeight="1">
      <c r="A432" s="48" t="s">
        <v>3638</v>
      </c>
      <c r="B432" s="77" t="s">
        <v>3639</v>
      </c>
      <c r="C432" s="17" t="s">
        <v>104</v>
      </c>
      <c r="D432" s="18" t="s">
        <v>3640</v>
      </c>
      <c r="E432" s="17" t="s">
        <v>106</v>
      </c>
      <c r="F432" s="17" t="s">
        <v>107</v>
      </c>
      <c r="G432" s="17" t="s">
        <v>108</v>
      </c>
      <c r="H432" s="78">
        <v>1007344450</v>
      </c>
      <c r="I432" s="74" t="s">
        <v>3641</v>
      </c>
      <c r="J432" s="16"/>
      <c r="K432" s="16"/>
      <c r="L432" s="20" t="s">
        <v>3642</v>
      </c>
      <c r="M432" s="16" t="s">
        <v>111</v>
      </c>
      <c r="N432" s="115">
        <v>45323</v>
      </c>
      <c r="O432" s="115">
        <v>45323</v>
      </c>
      <c r="P432" s="115">
        <v>45656</v>
      </c>
      <c r="Q432" s="23">
        <f t="shared" si="169"/>
        <v>333</v>
      </c>
      <c r="R432" s="17" t="s">
        <v>112</v>
      </c>
      <c r="S432" s="117" t="s">
        <v>3643</v>
      </c>
      <c r="T432" s="16" t="s">
        <v>364</v>
      </c>
      <c r="U432" s="24">
        <v>51414230</v>
      </c>
      <c r="V432" s="16" t="s">
        <v>365</v>
      </c>
      <c r="W432" s="227">
        <v>51414230</v>
      </c>
      <c r="X432" s="24">
        <v>4659900</v>
      </c>
      <c r="Y432" s="24"/>
      <c r="Z432" s="24"/>
      <c r="AA432" s="17" t="s">
        <v>116</v>
      </c>
      <c r="AB432" s="23" t="str">
        <f>IFERROR(VLOOKUP(AA432,Listas!$A$1:$C$14,2,FALSE),"")</f>
        <v>FREDY CÉSPEDES VILLA</v>
      </c>
      <c r="AC432" s="23">
        <f>IFERROR(VLOOKUP(AA432,Listas!$A$1:$C$14,3,FALSE),"")</f>
        <v>93363483</v>
      </c>
      <c r="AD432" s="17" t="s">
        <v>345</v>
      </c>
      <c r="AE432" s="17" t="s">
        <v>346</v>
      </c>
      <c r="AF432" s="23" t="str">
        <f>IFERROR(VLOOKUP(AE432,Listas!$AD$1:$AF$65,2,FALSE),"")</f>
        <v>RODOLFO GIOVANNI CANCHILA SUÁREZ</v>
      </c>
      <c r="AG432" s="23">
        <f>IFERROR(VLOOKUP(AE432,Listas!$AD$1:$AF$65,3,FALSE),"")</f>
        <v>79672493</v>
      </c>
      <c r="AH432" s="17" t="s">
        <v>118</v>
      </c>
      <c r="AI432" s="65" t="s">
        <v>3644</v>
      </c>
      <c r="AJ432" s="25" t="s">
        <v>119</v>
      </c>
      <c r="AK432" s="26" t="s">
        <v>120</v>
      </c>
      <c r="AL432" s="26" t="s">
        <v>120</v>
      </c>
      <c r="AM432" s="90" t="s">
        <v>119</v>
      </c>
      <c r="AN432" s="105">
        <v>36600</v>
      </c>
      <c r="AO432" s="91">
        <f t="shared" ca="1" si="170"/>
        <v>25</v>
      </c>
      <c r="AP432" s="26" t="s">
        <v>121</v>
      </c>
      <c r="AQ432" s="26" t="s">
        <v>367</v>
      </c>
      <c r="AR432" s="89"/>
      <c r="AS432" s="27"/>
      <c r="AT432" s="16"/>
      <c r="AU432" s="27"/>
      <c r="AV432" s="86"/>
      <c r="AW432" s="27"/>
      <c r="AX432" s="27"/>
      <c r="AY432" s="27"/>
      <c r="AZ432" s="27"/>
      <c r="BA432" s="27"/>
      <c r="BB432" s="27"/>
      <c r="BC432" s="97"/>
      <c r="BD432" s="27"/>
      <c r="BE432" s="16"/>
      <c r="BF432" s="28">
        <f t="shared" si="183"/>
        <v>0</v>
      </c>
      <c r="BG432" s="29"/>
      <c r="BH432" s="27"/>
      <c r="BI432" s="30">
        <f t="shared" si="184"/>
        <v>333</v>
      </c>
      <c r="BJ432" s="31">
        <f t="shared" si="185"/>
        <v>45656</v>
      </c>
      <c r="BK432" s="27"/>
      <c r="BL432" s="16"/>
      <c r="BM432" s="27"/>
      <c r="BN432" s="16"/>
      <c r="BO432" s="27"/>
      <c r="BP432" s="16"/>
      <c r="BQ432" s="27"/>
      <c r="BR432" s="24"/>
      <c r="BS432" s="24"/>
      <c r="BT432" s="32"/>
      <c r="BU432" s="27"/>
      <c r="BV432" s="24"/>
      <c r="BW432" s="24"/>
      <c r="BX432" s="16"/>
      <c r="BY432" s="27"/>
      <c r="BZ432" s="24"/>
      <c r="CA432" s="24"/>
      <c r="CB432" s="16"/>
      <c r="CC432" s="49">
        <f t="shared" si="186"/>
        <v>0</v>
      </c>
      <c r="CD432" s="24"/>
      <c r="CE432" s="49">
        <f t="shared" si="182"/>
        <v>51414230</v>
      </c>
      <c r="CF432" s="50"/>
      <c r="CG432" s="49">
        <f t="shared" ca="1" si="187"/>
        <v>51414230</v>
      </c>
      <c r="CH432" s="33">
        <f t="shared" ca="1" si="188"/>
        <v>1</v>
      </c>
      <c r="CI432" s="33">
        <f t="shared" ca="1" si="192"/>
        <v>1</v>
      </c>
      <c r="CJ432" s="36">
        <f t="shared" ca="1" si="189"/>
        <v>100</v>
      </c>
      <c r="CK432" s="34">
        <f t="shared" si="190"/>
        <v>0</v>
      </c>
      <c r="CL432" s="21"/>
      <c r="CM432" s="35" t="str">
        <f t="shared" ca="1" si="191"/>
        <v>TERMINADO</v>
      </c>
      <c r="CN432" s="82"/>
      <c r="CO432" s="145" t="s">
        <v>3645</v>
      </c>
      <c r="CP432" s="26" t="s">
        <v>142</v>
      </c>
      <c r="CR432" s="78"/>
    </row>
    <row r="433" spans="1:96" ht="24.75" customHeight="1">
      <c r="A433" s="48" t="s">
        <v>3646</v>
      </c>
      <c r="B433" s="77" t="s">
        <v>3647</v>
      </c>
      <c r="C433" s="17" t="s">
        <v>104</v>
      </c>
      <c r="D433" s="18" t="s">
        <v>3648</v>
      </c>
      <c r="E433" s="17" t="s">
        <v>106</v>
      </c>
      <c r="F433" s="17" t="s">
        <v>107</v>
      </c>
      <c r="G433" s="17" t="s">
        <v>108</v>
      </c>
      <c r="H433" s="78">
        <v>1010169061</v>
      </c>
      <c r="I433" s="74" t="s">
        <v>3649</v>
      </c>
      <c r="J433" s="16"/>
      <c r="K433" s="16"/>
      <c r="L433" s="20" t="s">
        <v>1884</v>
      </c>
      <c r="M433" s="16" t="s">
        <v>111</v>
      </c>
      <c r="N433" s="115">
        <v>45323</v>
      </c>
      <c r="O433" s="115">
        <v>45328</v>
      </c>
      <c r="P433" s="115">
        <v>45656</v>
      </c>
      <c r="Q433" s="23">
        <f t="shared" si="169"/>
        <v>328</v>
      </c>
      <c r="R433" s="17" t="s">
        <v>242</v>
      </c>
      <c r="S433" s="117" t="s">
        <v>3650</v>
      </c>
      <c r="T433" s="16" t="s">
        <v>1128</v>
      </c>
      <c r="U433" s="24">
        <v>70826667</v>
      </c>
      <c r="V433" s="16" t="s">
        <v>815</v>
      </c>
      <c r="W433" s="227">
        <v>70826667</v>
      </c>
      <c r="X433" s="24">
        <v>6400000</v>
      </c>
      <c r="Y433" s="24"/>
      <c r="Z433" s="24"/>
      <c r="AA433" s="17" t="s">
        <v>116</v>
      </c>
      <c r="AB433" s="23" t="str">
        <f>IFERROR(VLOOKUP(AA433,Listas!$A$1:$C$14,2,FALSE),"")</f>
        <v>FREDY CÉSPEDES VILLA</v>
      </c>
      <c r="AC433" s="23">
        <f>IFERROR(VLOOKUP(AA433,Listas!$A$1:$C$14,3,FALSE),"")</f>
        <v>93363483</v>
      </c>
      <c r="AD433" s="17" t="s">
        <v>816</v>
      </c>
      <c r="AE433" s="17" t="s">
        <v>817</v>
      </c>
      <c r="AF433" s="23" t="str">
        <f>IFERROR(VLOOKUP(AE433,Listas!$AD$1:$AF$65,2,FALSE),"")</f>
        <v>JOSÉ EDUARDO PARADA JIMÉNEZ</v>
      </c>
      <c r="AG433" s="23">
        <f>IFERROR(VLOOKUP(AE433,Listas!$AD$1:$AF$65,3,FALSE),"")</f>
        <v>79434805</v>
      </c>
      <c r="AH433" s="17" t="s">
        <v>118</v>
      </c>
      <c r="AI433" s="65" t="s">
        <v>1442</v>
      </c>
      <c r="AJ433" s="25" t="s">
        <v>119</v>
      </c>
      <c r="AK433" s="26" t="s">
        <v>120</v>
      </c>
      <c r="AL433" s="26" t="s">
        <v>120</v>
      </c>
      <c r="AM433" s="90" t="s">
        <v>119</v>
      </c>
      <c r="AN433" s="105">
        <v>31744</v>
      </c>
      <c r="AO433" s="91">
        <f t="shared" ca="1" si="170"/>
        <v>39</v>
      </c>
      <c r="AP433" s="26" t="s">
        <v>121</v>
      </c>
      <c r="AQ433" s="26" t="s">
        <v>819</v>
      </c>
      <c r="AR433" s="89"/>
      <c r="AS433" s="27"/>
      <c r="AT433" s="16"/>
      <c r="AU433" s="27"/>
      <c r="AV433" s="86"/>
      <c r="AW433" s="27"/>
      <c r="AX433" s="27"/>
      <c r="AY433" s="27"/>
      <c r="AZ433" s="27"/>
      <c r="BA433" s="27"/>
      <c r="BB433" s="27"/>
      <c r="BC433" s="97"/>
      <c r="BD433" s="27"/>
      <c r="BE433" s="16"/>
      <c r="BF433" s="28">
        <f t="shared" si="183"/>
        <v>0</v>
      </c>
      <c r="BG433" s="29"/>
      <c r="BH433" s="27"/>
      <c r="BI433" s="30">
        <f t="shared" si="184"/>
        <v>328</v>
      </c>
      <c r="BJ433" s="31">
        <f t="shared" si="185"/>
        <v>45656</v>
      </c>
      <c r="BK433" s="27"/>
      <c r="BL433" s="16"/>
      <c r="BM433" s="27"/>
      <c r="BN433" s="16"/>
      <c r="BO433" s="27"/>
      <c r="BP433" s="16"/>
      <c r="BQ433" s="27"/>
      <c r="BR433" s="24"/>
      <c r="BS433" s="24"/>
      <c r="BT433" s="32"/>
      <c r="BU433" s="27"/>
      <c r="BV433" s="24"/>
      <c r="BW433" s="24"/>
      <c r="BX433" s="16"/>
      <c r="BY433" s="27"/>
      <c r="BZ433" s="24"/>
      <c r="CA433" s="24"/>
      <c r="CB433" s="16"/>
      <c r="CC433" s="49">
        <f t="shared" si="186"/>
        <v>0</v>
      </c>
      <c r="CD433" s="24"/>
      <c r="CE433" s="49">
        <f t="shared" si="182"/>
        <v>70826667</v>
      </c>
      <c r="CF433" s="50"/>
      <c r="CG433" s="49">
        <f t="shared" ca="1" si="187"/>
        <v>70826667</v>
      </c>
      <c r="CH433" s="33">
        <f t="shared" ca="1" si="188"/>
        <v>1</v>
      </c>
      <c r="CI433" s="33">
        <f t="shared" ca="1" si="192"/>
        <v>1</v>
      </c>
      <c r="CJ433" s="36">
        <f t="shared" ca="1" si="189"/>
        <v>100</v>
      </c>
      <c r="CK433" s="34">
        <f t="shared" si="190"/>
        <v>0</v>
      </c>
      <c r="CL433" s="21"/>
      <c r="CM433" s="35" t="str">
        <f t="shared" ca="1" si="191"/>
        <v>TERMINADO</v>
      </c>
      <c r="CN433" s="82"/>
      <c r="CO433" s="145" t="s">
        <v>3651</v>
      </c>
      <c r="CP433" s="26" t="s">
        <v>123</v>
      </c>
      <c r="CR433" s="78"/>
    </row>
    <row r="434" spans="1:96" ht="24.75" customHeight="1">
      <c r="A434" s="48" t="s">
        <v>3652</v>
      </c>
      <c r="B434" s="77" t="s">
        <v>3653</v>
      </c>
      <c r="C434" s="17" t="s">
        <v>104</v>
      </c>
      <c r="D434" s="18" t="s">
        <v>3654</v>
      </c>
      <c r="E434" s="17" t="s">
        <v>106</v>
      </c>
      <c r="F434" s="17" t="s">
        <v>107</v>
      </c>
      <c r="G434" s="17" t="s">
        <v>108</v>
      </c>
      <c r="H434" s="78">
        <v>33103982</v>
      </c>
      <c r="I434" s="74" t="s">
        <v>3655</v>
      </c>
      <c r="J434" s="16"/>
      <c r="K434" s="16"/>
      <c r="L434" s="20" t="s">
        <v>2944</v>
      </c>
      <c r="M434" s="16" t="s">
        <v>111</v>
      </c>
      <c r="N434" s="115">
        <v>45323</v>
      </c>
      <c r="O434" s="115">
        <v>45327</v>
      </c>
      <c r="P434" s="115">
        <v>45656</v>
      </c>
      <c r="Q434" s="23">
        <f t="shared" si="169"/>
        <v>329</v>
      </c>
      <c r="R434" s="17" t="s">
        <v>242</v>
      </c>
      <c r="S434" s="117" t="s">
        <v>3656</v>
      </c>
      <c r="T434" s="16" t="s">
        <v>1128</v>
      </c>
      <c r="U434" s="24">
        <v>110000000</v>
      </c>
      <c r="V434" s="16" t="s">
        <v>1239</v>
      </c>
      <c r="W434" s="227">
        <v>110000000</v>
      </c>
      <c r="X434" s="24">
        <v>10000000</v>
      </c>
      <c r="Y434" s="24"/>
      <c r="Z434" s="24"/>
      <c r="AA434" s="17" t="s">
        <v>116</v>
      </c>
      <c r="AB434" s="23" t="str">
        <f>IFERROR(VLOOKUP(AA434,Listas!$A$1:$C$14,2,FALSE),"")</f>
        <v>FREDY CÉSPEDES VILLA</v>
      </c>
      <c r="AC434" s="23">
        <f>IFERROR(VLOOKUP(AA434,Listas!$A$1:$C$14,3,FALSE),"")</f>
        <v>93363483</v>
      </c>
      <c r="AD434" s="17" t="s">
        <v>816</v>
      </c>
      <c r="AE434" s="17" t="s">
        <v>1450</v>
      </c>
      <c r="AF434" s="23" t="str">
        <f>IFERROR(VLOOKUP(AE434,Listas!$AD$1:$AF$65,2,FALSE),"")</f>
        <v>LINA MARIA CRUZ SILVA</v>
      </c>
      <c r="AG434" s="23">
        <f>IFERROR(VLOOKUP(AE434,Listas!$AD$1:$AF$65,3,FALSE),"")</f>
        <v>52423537</v>
      </c>
      <c r="AH434" s="17" t="s">
        <v>118</v>
      </c>
      <c r="AI434" s="65" t="s">
        <v>3657</v>
      </c>
      <c r="AJ434" s="25" t="s">
        <v>119</v>
      </c>
      <c r="AK434" s="26" t="s">
        <v>120</v>
      </c>
      <c r="AL434" s="26" t="s">
        <v>120</v>
      </c>
      <c r="AM434" s="90" t="s">
        <v>119</v>
      </c>
      <c r="AN434" s="105">
        <v>29165</v>
      </c>
      <c r="AO434" s="91">
        <f t="shared" ca="1" si="170"/>
        <v>46</v>
      </c>
      <c r="AP434" s="26" t="s">
        <v>121</v>
      </c>
      <c r="AQ434" s="26" t="s">
        <v>515</v>
      </c>
      <c r="AR434" s="89"/>
      <c r="AS434" s="27"/>
      <c r="AT434" s="16"/>
      <c r="AU434" s="27"/>
      <c r="AV434" s="86"/>
      <c r="AW434" s="27"/>
      <c r="AX434" s="27"/>
      <c r="AY434" s="27"/>
      <c r="AZ434" s="27"/>
      <c r="BA434" s="27"/>
      <c r="BB434" s="27"/>
      <c r="BC434" s="97"/>
      <c r="BD434" s="27"/>
      <c r="BE434" s="16"/>
      <c r="BF434" s="28"/>
      <c r="BG434" s="29"/>
      <c r="BH434" s="27"/>
      <c r="BI434" s="30">
        <v>329</v>
      </c>
      <c r="BJ434" s="31">
        <v>45656</v>
      </c>
      <c r="BK434" s="27"/>
      <c r="BL434" s="16"/>
      <c r="BM434" s="27"/>
      <c r="BN434" s="16"/>
      <c r="BO434" s="27"/>
      <c r="BP434" s="16"/>
      <c r="BQ434" s="27"/>
      <c r="BR434" s="24"/>
      <c r="BS434" s="24"/>
      <c r="BT434" s="32"/>
      <c r="BU434" s="27"/>
      <c r="BV434" s="24"/>
      <c r="BW434" s="24"/>
      <c r="BX434" s="16"/>
      <c r="BY434" s="27"/>
      <c r="BZ434" s="24"/>
      <c r="CA434" s="24"/>
      <c r="CB434" s="16"/>
      <c r="CC434" s="49">
        <f t="shared" si="186"/>
        <v>0</v>
      </c>
      <c r="CD434" s="24"/>
      <c r="CE434" s="49">
        <f t="shared" si="182"/>
        <v>110000000</v>
      </c>
      <c r="CF434" s="50">
        <v>110000000</v>
      </c>
      <c r="CG434" s="49">
        <f t="shared" ca="1" si="187"/>
        <v>110000000</v>
      </c>
      <c r="CH434" s="33">
        <f t="shared" ca="1" si="188"/>
        <v>1</v>
      </c>
      <c r="CI434" s="33">
        <f t="shared" ca="1" si="192"/>
        <v>1</v>
      </c>
      <c r="CJ434" s="36">
        <f t="shared" ca="1" si="189"/>
        <v>100</v>
      </c>
      <c r="CK434" s="34">
        <f t="shared" si="190"/>
        <v>100</v>
      </c>
      <c r="CL434" s="21"/>
      <c r="CM434" s="35" t="str">
        <f t="shared" ca="1" si="191"/>
        <v>TERMINADO</v>
      </c>
      <c r="CN434" s="82"/>
      <c r="CO434" s="145" t="s">
        <v>3658</v>
      </c>
      <c r="CP434" s="26" t="s">
        <v>123</v>
      </c>
      <c r="CR434" s="78"/>
    </row>
    <row r="435" spans="1:96" ht="24.75" customHeight="1">
      <c r="A435" s="48" t="s">
        <v>3659</v>
      </c>
      <c r="B435" s="77" t="s">
        <v>3660</v>
      </c>
      <c r="C435" s="17" t="s">
        <v>104</v>
      </c>
      <c r="D435" s="18" t="s">
        <v>3661</v>
      </c>
      <c r="E435" s="17" t="s">
        <v>106</v>
      </c>
      <c r="F435" s="17" t="s">
        <v>107</v>
      </c>
      <c r="G435" s="17" t="s">
        <v>108</v>
      </c>
      <c r="H435" s="78">
        <v>52955349</v>
      </c>
      <c r="I435" s="74" t="s">
        <v>3662</v>
      </c>
      <c r="J435" s="16"/>
      <c r="K435" s="16"/>
      <c r="L435" s="20" t="s">
        <v>3663</v>
      </c>
      <c r="M435" s="16" t="s">
        <v>111</v>
      </c>
      <c r="N435" s="115">
        <v>45323</v>
      </c>
      <c r="O435" s="22">
        <v>45330</v>
      </c>
      <c r="P435" s="22">
        <v>45657</v>
      </c>
      <c r="Q435" s="23">
        <f t="shared" ref="Q435:Q472" si="193">P435-O435</f>
        <v>327</v>
      </c>
      <c r="R435" s="17" t="s">
        <v>112</v>
      </c>
      <c r="S435" s="117" t="s">
        <v>3664</v>
      </c>
      <c r="T435" s="16" t="s">
        <v>3628</v>
      </c>
      <c r="U435" s="24">
        <v>73563888</v>
      </c>
      <c r="V435" s="16" t="s">
        <v>216</v>
      </c>
      <c r="W435" s="227">
        <v>73563888</v>
      </c>
      <c r="X435" s="24">
        <v>6130324</v>
      </c>
      <c r="Y435" s="24"/>
      <c r="Z435" s="24"/>
      <c r="AA435" s="17" t="s">
        <v>116</v>
      </c>
      <c r="AB435" s="23" t="str">
        <f>IFERROR(VLOOKUP(AA435,Listas!$A$1:$C$14,2,FALSE),"")</f>
        <v>FREDY CÉSPEDES VILLA</v>
      </c>
      <c r="AC435" s="23">
        <f>IFERROR(VLOOKUP(AA435,Listas!$A$1:$C$14,3,FALSE),"")</f>
        <v>93363483</v>
      </c>
      <c r="AD435" s="17" t="s">
        <v>217</v>
      </c>
      <c r="AE435" s="17" t="s">
        <v>381</v>
      </c>
      <c r="AF435" s="23" t="str">
        <f>IFERROR(VLOOKUP(AE435,Listas!$AD$1:$AF$65,2,FALSE),"")</f>
        <v>MARINA AZUCENA MEDINA SANDOVAL</v>
      </c>
      <c r="AG435" s="23">
        <f>IFERROR(VLOOKUP(AE435,Listas!$AD$1:$AF$65,3,FALSE),"")</f>
        <v>51842510</v>
      </c>
      <c r="AH435" s="17" t="s">
        <v>118</v>
      </c>
      <c r="AI435" s="65" t="s">
        <v>3665</v>
      </c>
      <c r="AJ435" s="25" t="s">
        <v>119</v>
      </c>
      <c r="AK435" s="26" t="s">
        <v>120</v>
      </c>
      <c r="AL435" s="26" t="s">
        <v>120</v>
      </c>
      <c r="AM435" s="90" t="s">
        <v>119</v>
      </c>
      <c r="AN435" s="105">
        <v>30519</v>
      </c>
      <c r="AO435" s="91">
        <f t="shared" ref="AO435:AO472" ca="1" si="194">IF(YEAR(TODAY())-YEAR(AN435)&gt;100," ",YEAR(TODAY())-YEAR(AN435))</f>
        <v>42</v>
      </c>
      <c r="AP435" s="26" t="s">
        <v>121</v>
      </c>
      <c r="AQ435" s="26" t="s">
        <v>220</v>
      </c>
      <c r="AR435" s="89"/>
      <c r="AS435" s="27"/>
      <c r="AT435" s="16"/>
      <c r="AU435" s="27"/>
      <c r="AV435" s="86"/>
      <c r="AW435" s="27"/>
      <c r="AX435" s="27"/>
      <c r="AY435" s="27"/>
      <c r="AZ435" s="27"/>
      <c r="BA435" s="27"/>
      <c r="BB435" s="27"/>
      <c r="BC435" s="97"/>
      <c r="BD435" s="27"/>
      <c r="BE435" s="16"/>
      <c r="BF435" s="28">
        <f t="shared" ref="BF435:BF472" si="195">BC435+BE435</f>
        <v>0</v>
      </c>
      <c r="BG435" s="29"/>
      <c r="BH435" s="27"/>
      <c r="BI435" s="30">
        <f t="shared" ref="BI435:BI472" si="196">BF435+Q435</f>
        <v>327</v>
      </c>
      <c r="BJ435" s="31">
        <f t="shared" ref="BJ435:BJ472" si="197">IF(BH435="",P435+BF435,BH435)</f>
        <v>45657</v>
      </c>
      <c r="BK435" s="27"/>
      <c r="BL435" s="16"/>
      <c r="BM435" s="27"/>
      <c r="BN435" s="16"/>
      <c r="BO435" s="27"/>
      <c r="BP435" s="16"/>
      <c r="BQ435" s="27"/>
      <c r="BR435" s="24"/>
      <c r="BS435" s="24"/>
      <c r="BT435" s="32"/>
      <c r="BU435" s="27"/>
      <c r="BV435" s="24"/>
      <c r="BW435" s="24"/>
      <c r="BX435" s="16"/>
      <c r="BY435" s="27"/>
      <c r="BZ435" s="24"/>
      <c r="CA435" s="24"/>
      <c r="CB435" s="16"/>
      <c r="CC435" s="49">
        <f t="shared" si="186"/>
        <v>0</v>
      </c>
      <c r="CD435" s="24"/>
      <c r="CE435" s="49">
        <f t="shared" si="182"/>
        <v>73563888</v>
      </c>
      <c r="CF435" s="50"/>
      <c r="CG435" s="49">
        <f t="shared" ca="1" si="187"/>
        <v>73563888</v>
      </c>
      <c r="CH435" s="33">
        <f t="shared" ref="CH435:CH472" ca="1" si="198">IF(TODAY()&gt;BJ435,1,+(DAYS360(O435,TODAY())/DAYS360(O435,BJ435)))</f>
        <v>1</v>
      </c>
      <c r="CI435" s="33">
        <f t="shared" ref="CI435:CI472" ca="1" si="199">+IF(CL435&gt;0,DAYS360(O435,CL435)/DAYS360(O435,BJ435),CH435)</f>
        <v>1</v>
      </c>
      <c r="CJ435" s="36">
        <f t="shared" ca="1" si="189"/>
        <v>100</v>
      </c>
      <c r="CK435" s="34">
        <f t="shared" si="190"/>
        <v>0</v>
      </c>
      <c r="CL435" s="21"/>
      <c r="CM435" s="35" t="str">
        <f t="shared" ca="1" si="191"/>
        <v>TERMINADO</v>
      </c>
      <c r="CN435" s="82"/>
      <c r="CP435" s="26" t="s">
        <v>123</v>
      </c>
      <c r="CR435" s="78"/>
    </row>
    <row r="436" spans="1:96" ht="24.75" customHeight="1">
      <c r="A436" s="48" t="s">
        <v>3666</v>
      </c>
      <c r="B436" s="77" t="s">
        <v>3667</v>
      </c>
      <c r="C436" s="17" t="s">
        <v>104</v>
      </c>
      <c r="D436" s="18" t="s">
        <v>3668</v>
      </c>
      <c r="E436" s="17" t="s">
        <v>106</v>
      </c>
      <c r="F436" s="17" t="s">
        <v>107</v>
      </c>
      <c r="G436" s="17" t="s">
        <v>108</v>
      </c>
      <c r="H436" s="78">
        <v>1073170538</v>
      </c>
      <c r="I436" s="74" t="s">
        <v>3669</v>
      </c>
      <c r="J436" s="16"/>
      <c r="K436" s="16"/>
      <c r="L436" s="20" t="s">
        <v>3670</v>
      </c>
      <c r="M436" s="16" t="s">
        <v>111</v>
      </c>
      <c r="N436" s="115">
        <v>45323</v>
      </c>
      <c r="O436" s="22">
        <v>45329</v>
      </c>
      <c r="P436" s="115">
        <v>45656</v>
      </c>
      <c r="Q436" s="23">
        <f t="shared" si="193"/>
        <v>327</v>
      </c>
      <c r="R436" s="17" t="s">
        <v>242</v>
      </c>
      <c r="S436" s="117" t="s">
        <v>3671</v>
      </c>
      <c r="T436" s="16" t="s">
        <v>1470</v>
      </c>
      <c r="U436" s="24">
        <v>63387456</v>
      </c>
      <c r="V436" s="16" t="s">
        <v>1212</v>
      </c>
      <c r="W436" s="227">
        <v>63387456</v>
      </c>
      <c r="X436" s="24">
        <v>5762496</v>
      </c>
      <c r="Y436" s="24"/>
      <c r="Z436" s="24"/>
      <c r="AA436" s="17" t="s">
        <v>116</v>
      </c>
      <c r="AB436" s="23" t="str">
        <f>IFERROR(VLOOKUP(AA436,Listas!$A$1:$C$14,2,FALSE),"")</f>
        <v>FREDY CÉSPEDES VILLA</v>
      </c>
      <c r="AC436" s="23">
        <f>IFERROR(VLOOKUP(AA436,Listas!$A$1:$C$14,3,FALSE),"")</f>
        <v>93363483</v>
      </c>
      <c r="AD436" s="17" t="s">
        <v>577</v>
      </c>
      <c r="AE436" s="17" t="s">
        <v>578</v>
      </c>
      <c r="AF436" s="23" t="str">
        <f>IFERROR(VLOOKUP(AE436,Listas!$AD$1:$AF$65,2,FALSE),"")</f>
        <v>EDGAR FABIO DÍAZ RAMIREZ</v>
      </c>
      <c r="AG436" s="23">
        <f>IFERROR(VLOOKUP(AE436,Listas!$AD$1:$AF$65,3,FALSE),"")</f>
        <v>79537198</v>
      </c>
      <c r="AH436" s="17" t="s">
        <v>118</v>
      </c>
      <c r="AI436" s="65" t="s">
        <v>3672</v>
      </c>
      <c r="AJ436" s="25" t="s">
        <v>119</v>
      </c>
      <c r="AK436" s="26" t="s">
        <v>120</v>
      </c>
      <c r="AL436" s="26" t="s">
        <v>120</v>
      </c>
      <c r="AM436" s="90" t="s">
        <v>119</v>
      </c>
      <c r="AN436" s="105">
        <v>35097</v>
      </c>
      <c r="AO436" s="91">
        <f t="shared" ca="1" si="194"/>
        <v>29</v>
      </c>
      <c r="AP436" s="26" t="s">
        <v>121</v>
      </c>
      <c r="AQ436" s="26" t="s">
        <v>886</v>
      </c>
      <c r="AR436" s="89"/>
      <c r="AS436" s="27"/>
      <c r="AT436" s="16"/>
      <c r="AU436" s="27"/>
      <c r="AV436" s="86"/>
      <c r="AW436" s="27"/>
      <c r="AX436" s="27"/>
      <c r="AY436" s="27"/>
      <c r="AZ436" s="27"/>
      <c r="BA436" s="27"/>
      <c r="BB436" s="27"/>
      <c r="BC436" s="97"/>
      <c r="BD436" s="27"/>
      <c r="BE436" s="16"/>
      <c r="BF436" s="28">
        <f t="shared" si="195"/>
        <v>0</v>
      </c>
      <c r="BG436" s="29"/>
      <c r="BH436" s="27"/>
      <c r="BI436" s="30">
        <f t="shared" si="196"/>
        <v>327</v>
      </c>
      <c r="BJ436" s="31">
        <f t="shared" si="197"/>
        <v>45656</v>
      </c>
      <c r="BK436" s="27"/>
      <c r="BL436" s="16"/>
      <c r="BM436" s="27"/>
      <c r="BN436" s="16"/>
      <c r="BO436" s="27"/>
      <c r="BP436" s="16"/>
      <c r="BQ436" s="27"/>
      <c r="BR436" s="24"/>
      <c r="BS436" s="24"/>
      <c r="BT436" s="32"/>
      <c r="BU436" s="27"/>
      <c r="BV436" s="24"/>
      <c r="BW436" s="24"/>
      <c r="BX436" s="16"/>
      <c r="BY436" s="27"/>
      <c r="BZ436" s="24"/>
      <c r="CA436" s="24"/>
      <c r="CB436" s="16"/>
      <c r="CC436" s="49">
        <f t="shared" si="186"/>
        <v>0</v>
      </c>
      <c r="CD436" s="24"/>
      <c r="CE436" s="49">
        <f t="shared" si="182"/>
        <v>63387456</v>
      </c>
      <c r="CF436" s="50"/>
      <c r="CG436" s="49">
        <f t="shared" ca="1" si="187"/>
        <v>63387456</v>
      </c>
      <c r="CH436" s="33">
        <f t="shared" ca="1" si="198"/>
        <v>1</v>
      </c>
      <c r="CI436" s="33">
        <f t="shared" ca="1" si="199"/>
        <v>1</v>
      </c>
      <c r="CJ436" s="36">
        <f t="shared" ca="1" si="189"/>
        <v>100</v>
      </c>
      <c r="CK436" s="34">
        <f t="shared" si="190"/>
        <v>0</v>
      </c>
      <c r="CL436" s="21"/>
      <c r="CM436" s="35" t="str">
        <f t="shared" ca="1" si="191"/>
        <v>TERMINADO</v>
      </c>
      <c r="CN436" s="82"/>
      <c r="CO436" s="145" t="s">
        <v>3673</v>
      </c>
      <c r="CP436" s="26" t="s">
        <v>123</v>
      </c>
      <c r="CR436" s="78"/>
    </row>
    <row r="437" spans="1:96" ht="24.75" customHeight="1">
      <c r="A437" s="48" t="s">
        <v>3674</v>
      </c>
      <c r="B437" s="77" t="s">
        <v>3675</v>
      </c>
      <c r="C437" s="17" t="s">
        <v>104</v>
      </c>
      <c r="D437" s="18" t="s">
        <v>3676</v>
      </c>
      <c r="E437" s="17" t="s">
        <v>106</v>
      </c>
      <c r="F437" s="17" t="s">
        <v>107</v>
      </c>
      <c r="G437" s="17" t="s">
        <v>108</v>
      </c>
      <c r="H437" s="78">
        <v>1033742820</v>
      </c>
      <c r="I437" s="74" t="s">
        <v>3677</v>
      </c>
      <c r="J437" s="16"/>
      <c r="K437" s="16"/>
      <c r="L437" s="20" t="s">
        <v>3477</v>
      </c>
      <c r="M437" s="16" t="s">
        <v>111</v>
      </c>
      <c r="N437" s="115">
        <v>45323</v>
      </c>
      <c r="O437" s="22">
        <v>45327</v>
      </c>
      <c r="P437" s="22">
        <v>45657</v>
      </c>
      <c r="Q437" s="23">
        <f t="shared" si="193"/>
        <v>330</v>
      </c>
      <c r="R437" s="17" t="s">
        <v>112</v>
      </c>
      <c r="S437" s="117" t="s">
        <v>3664</v>
      </c>
      <c r="T437" s="16" t="s">
        <v>3628</v>
      </c>
      <c r="U437" s="24">
        <v>69149952</v>
      </c>
      <c r="V437" s="16" t="s">
        <v>216</v>
      </c>
      <c r="W437" s="227">
        <v>69149952</v>
      </c>
      <c r="X437" s="24">
        <v>5338135</v>
      </c>
      <c r="Y437" s="24"/>
      <c r="Z437" s="24"/>
      <c r="AA437" s="17" t="s">
        <v>116</v>
      </c>
      <c r="AB437" s="23" t="str">
        <f>IFERROR(VLOOKUP(AA437,Listas!$A$1:$C$14,2,FALSE),"")</f>
        <v>FREDY CÉSPEDES VILLA</v>
      </c>
      <c r="AC437" s="23">
        <f>IFERROR(VLOOKUP(AA437,Listas!$A$1:$C$14,3,FALSE),"")</f>
        <v>93363483</v>
      </c>
      <c r="AD437" s="17" t="s">
        <v>217</v>
      </c>
      <c r="AE437" s="17" t="s">
        <v>381</v>
      </c>
      <c r="AF437" s="23" t="str">
        <f>IFERROR(VLOOKUP(AE437,Listas!$AD$1:$AF$65,2,FALSE),"")</f>
        <v>MARINA AZUCENA MEDINA SANDOVAL</v>
      </c>
      <c r="AG437" s="23">
        <f>IFERROR(VLOOKUP(AE437,Listas!$AD$1:$AF$65,3,FALSE),"")</f>
        <v>51842510</v>
      </c>
      <c r="AH437" s="17" t="s">
        <v>118</v>
      </c>
      <c r="AI437" s="65" t="s">
        <v>3678</v>
      </c>
      <c r="AJ437" s="25" t="s">
        <v>119</v>
      </c>
      <c r="AK437" s="26" t="s">
        <v>120</v>
      </c>
      <c r="AL437" s="26" t="s">
        <v>120</v>
      </c>
      <c r="AM437" s="90" t="s">
        <v>119</v>
      </c>
      <c r="AN437" s="105">
        <v>33651</v>
      </c>
      <c r="AO437" s="91">
        <f t="shared" ca="1" si="194"/>
        <v>33</v>
      </c>
      <c r="AP437" s="26" t="s">
        <v>121</v>
      </c>
      <c r="AQ437" s="26" t="s">
        <v>220</v>
      </c>
      <c r="AR437" s="89"/>
      <c r="AS437" s="27"/>
      <c r="AT437" s="16"/>
      <c r="AU437" s="27"/>
      <c r="AV437" s="86"/>
      <c r="AW437" s="27"/>
      <c r="AX437" s="27"/>
      <c r="AY437" s="27"/>
      <c r="AZ437" s="27"/>
      <c r="BA437" s="27"/>
      <c r="BB437" s="27"/>
      <c r="BC437" s="97"/>
      <c r="BD437" s="27"/>
      <c r="BE437" s="16"/>
      <c r="BF437" s="28">
        <f t="shared" si="195"/>
        <v>0</v>
      </c>
      <c r="BG437" s="29"/>
      <c r="BH437" s="27"/>
      <c r="BI437" s="30">
        <f t="shared" si="196"/>
        <v>330</v>
      </c>
      <c r="BJ437" s="31">
        <f t="shared" si="197"/>
        <v>45657</v>
      </c>
      <c r="BK437" s="27"/>
      <c r="BL437" s="16"/>
      <c r="BM437" s="27"/>
      <c r="BN437" s="16"/>
      <c r="BO437" s="27"/>
      <c r="BP437" s="16"/>
      <c r="BQ437" s="27"/>
      <c r="BR437" s="24"/>
      <c r="BS437" s="24"/>
      <c r="BT437" s="32"/>
      <c r="BU437" s="27"/>
      <c r="BV437" s="24"/>
      <c r="BW437" s="24"/>
      <c r="BX437" s="16"/>
      <c r="BY437" s="27"/>
      <c r="BZ437" s="24"/>
      <c r="CA437" s="24"/>
      <c r="CB437" s="16"/>
      <c r="CC437" s="49">
        <f t="shared" si="186"/>
        <v>0</v>
      </c>
      <c r="CD437" s="24"/>
      <c r="CE437" s="49">
        <f t="shared" si="182"/>
        <v>69149952</v>
      </c>
      <c r="CF437" s="50"/>
      <c r="CG437" s="49">
        <f t="shared" ca="1" si="187"/>
        <v>69149952</v>
      </c>
      <c r="CH437" s="33">
        <f t="shared" ca="1" si="198"/>
        <v>1</v>
      </c>
      <c r="CI437" s="33">
        <f t="shared" ca="1" si="199"/>
        <v>1</v>
      </c>
      <c r="CJ437" s="36">
        <f t="shared" ca="1" si="189"/>
        <v>100</v>
      </c>
      <c r="CK437" s="34">
        <f t="shared" si="190"/>
        <v>0</v>
      </c>
      <c r="CL437" s="21"/>
      <c r="CM437" s="35" t="str">
        <f t="shared" ca="1" si="191"/>
        <v>TERMINADO</v>
      </c>
      <c r="CN437" s="82"/>
      <c r="CO437" s="145" t="s">
        <v>3673</v>
      </c>
      <c r="CP437" s="26" t="s">
        <v>123</v>
      </c>
      <c r="CR437" s="78"/>
    </row>
    <row r="438" spans="1:96" ht="24.75" customHeight="1">
      <c r="A438" s="48" t="s">
        <v>3679</v>
      </c>
      <c r="B438" s="77" t="s">
        <v>3680</v>
      </c>
      <c r="C438" s="17" t="s">
        <v>104</v>
      </c>
      <c r="D438" s="18" t="s">
        <v>3681</v>
      </c>
      <c r="E438" s="17" t="s">
        <v>106</v>
      </c>
      <c r="F438" s="17" t="s">
        <v>107</v>
      </c>
      <c r="G438" s="17" t="s">
        <v>108</v>
      </c>
      <c r="H438" s="78">
        <v>1077849748</v>
      </c>
      <c r="I438" s="74" t="s">
        <v>3682</v>
      </c>
      <c r="J438" s="16"/>
      <c r="K438" s="16"/>
      <c r="L438" s="20" t="s">
        <v>3683</v>
      </c>
      <c r="M438" s="16" t="s">
        <v>111</v>
      </c>
      <c r="N438" s="115">
        <v>45323</v>
      </c>
      <c r="O438" s="22">
        <v>45328</v>
      </c>
      <c r="P438" s="22">
        <v>45657</v>
      </c>
      <c r="Q438" s="23">
        <f t="shared" si="193"/>
        <v>329</v>
      </c>
      <c r="R438" s="17" t="s">
        <v>242</v>
      </c>
      <c r="S438" s="117" t="s">
        <v>3664</v>
      </c>
      <c r="T438" s="16" t="s">
        <v>2801</v>
      </c>
      <c r="U438" s="24">
        <v>72855204</v>
      </c>
      <c r="V438" s="16" t="s">
        <v>245</v>
      </c>
      <c r="W438" s="227">
        <v>72855204</v>
      </c>
      <c r="X438" s="24">
        <v>6071267</v>
      </c>
      <c r="Y438" s="24"/>
      <c r="Z438" s="24"/>
      <c r="AA438" s="17" t="s">
        <v>116</v>
      </c>
      <c r="AB438" s="23" t="str">
        <f>IFERROR(VLOOKUP(AA438,Listas!$A$1:$C$14,2,FALSE),"")</f>
        <v>FREDY CÉSPEDES VILLA</v>
      </c>
      <c r="AC438" s="23">
        <f>IFERROR(VLOOKUP(AA438,Listas!$A$1:$C$14,3,FALSE),"")</f>
        <v>93363483</v>
      </c>
      <c r="AD438" s="17" t="s">
        <v>217</v>
      </c>
      <c r="AE438" s="17" t="s">
        <v>381</v>
      </c>
      <c r="AF438" s="23" t="str">
        <f>IFERROR(VLOOKUP(AE438,Listas!$AD$1:$AF$65,2,FALSE),"")</f>
        <v>MARINA AZUCENA MEDINA SANDOVAL</v>
      </c>
      <c r="AG438" s="23">
        <f>IFERROR(VLOOKUP(AE438,Listas!$AD$1:$AF$65,3,FALSE),"")</f>
        <v>51842510</v>
      </c>
      <c r="AH438" s="17" t="s">
        <v>118</v>
      </c>
      <c r="AI438" s="65"/>
      <c r="AJ438" s="25" t="s">
        <v>119</v>
      </c>
      <c r="AK438" s="26" t="s">
        <v>120</v>
      </c>
      <c r="AL438" s="26" t="s">
        <v>120</v>
      </c>
      <c r="AM438" s="90" t="s">
        <v>119</v>
      </c>
      <c r="AN438" s="105">
        <v>32280</v>
      </c>
      <c r="AO438" s="91">
        <f t="shared" ca="1" si="194"/>
        <v>37</v>
      </c>
      <c r="AP438" s="26" t="s">
        <v>121</v>
      </c>
      <c r="AQ438" s="26" t="s">
        <v>220</v>
      </c>
      <c r="AR438" s="89"/>
      <c r="AS438" s="27"/>
      <c r="AT438" s="16"/>
      <c r="AU438" s="27"/>
      <c r="AV438" s="86"/>
      <c r="AW438" s="27"/>
      <c r="AX438" s="27"/>
      <c r="AY438" s="27"/>
      <c r="AZ438" s="27"/>
      <c r="BA438" s="27"/>
      <c r="BB438" s="27"/>
      <c r="BC438" s="97"/>
      <c r="BD438" s="27"/>
      <c r="BE438" s="16"/>
      <c r="BF438" s="28">
        <f t="shared" si="195"/>
        <v>0</v>
      </c>
      <c r="BG438" s="29"/>
      <c r="BH438" s="27"/>
      <c r="BI438" s="30">
        <f t="shared" si="196"/>
        <v>329</v>
      </c>
      <c r="BJ438" s="31">
        <f t="shared" si="197"/>
        <v>45657</v>
      </c>
      <c r="BK438" s="27"/>
      <c r="BL438" s="16"/>
      <c r="BM438" s="27"/>
      <c r="BN438" s="16"/>
      <c r="BO438" s="27"/>
      <c r="BP438" s="16"/>
      <c r="BQ438" s="27"/>
      <c r="BR438" s="24"/>
      <c r="BS438" s="24"/>
      <c r="BT438" s="32"/>
      <c r="BU438" s="27"/>
      <c r="BV438" s="24"/>
      <c r="BW438" s="24"/>
      <c r="BX438" s="16"/>
      <c r="BY438" s="27"/>
      <c r="BZ438" s="24"/>
      <c r="CA438" s="24"/>
      <c r="CB438" s="16"/>
      <c r="CC438" s="49">
        <f t="shared" si="186"/>
        <v>0</v>
      </c>
      <c r="CD438" s="24"/>
      <c r="CE438" s="49">
        <f t="shared" si="182"/>
        <v>72855204</v>
      </c>
      <c r="CF438" s="50"/>
      <c r="CG438" s="49">
        <f t="shared" ca="1" si="187"/>
        <v>72855204</v>
      </c>
      <c r="CH438" s="33">
        <f t="shared" ca="1" si="198"/>
        <v>1</v>
      </c>
      <c r="CI438" s="33">
        <f t="shared" ca="1" si="199"/>
        <v>1</v>
      </c>
      <c r="CJ438" s="36">
        <f t="shared" ca="1" si="189"/>
        <v>100</v>
      </c>
      <c r="CK438" s="34">
        <f t="shared" si="190"/>
        <v>0</v>
      </c>
      <c r="CL438" s="21"/>
      <c r="CM438" s="35" t="str">
        <f t="shared" ca="1" si="191"/>
        <v>TERMINADO</v>
      </c>
      <c r="CN438" s="82"/>
      <c r="CO438" s="145" t="s">
        <v>3684</v>
      </c>
      <c r="CP438" s="26" t="s">
        <v>123</v>
      </c>
      <c r="CR438" s="78"/>
    </row>
    <row r="439" spans="1:96" ht="24.75" customHeight="1">
      <c r="A439" s="48" t="s">
        <v>3685</v>
      </c>
      <c r="B439" s="77" t="s">
        <v>3686</v>
      </c>
      <c r="C439" s="17" t="s">
        <v>104</v>
      </c>
      <c r="D439" s="18" t="s">
        <v>3687</v>
      </c>
      <c r="E439" s="17" t="s">
        <v>106</v>
      </c>
      <c r="F439" s="17" t="s">
        <v>107</v>
      </c>
      <c r="G439" s="17" t="s">
        <v>108</v>
      </c>
      <c r="H439" s="78">
        <v>52231971</v>
      </c>
      <c r="I439" s="74" t="s">
        <v>3688</v>
      </c>
      <c r="J439" s="16"/>
      <c r="K439" s="16"/>
      <c r="L439" s="20" t="s">
        <v>3689</v>
      </c>
      <c r="M439" s="16" t="s">
        <v>111</v>
      </c>
      <c r="N439" s="115">
        <v>45323</v>
      </c>
      <c r="O439" s="22">
        <v>45328</v>
      </c>
      <c r="P439" s="115">
        <v>45656</v>
      </c>
      <c r="Q439" s="23">
        <f t="shared" si="193"/>
        <v>328</v>
      </c>
      <c r="R439" s="17" t="s">
        <v>242</v>
      </c>
      <c r="S439" s="117" t="s">
        <v>3664</v>
      </c>
      <c r="T439" s="16" t="s">
        <v>1470</v>
      </c>
      <c r="U439" s="24">
        <v>114363874</v>
      </c>
      <c r="V439" s="16" t="s">
        <v>1212</v>
      </c>
      <c r="W439" s="227">
        <v>114636874</v>
      </c>
      <c r="X439" s="24">
        <v>10421534</v>
      </c>
      <c r="Y439" s="24"/>
      <c r="Z439" s="24"/>
      <c r="AA439" s="17" t="s">
        <v>116</v>
      </c>
      <c r="AB439" s="23" t="str">
        <f>IFERROR(VLOOKUP(AA439,Listas!$A$1:$C$14,2,FALSE),"")</f>
        <v>FREDY CÉSPEDES VILLA</v>
      </c>
      <c r="AC439" s="23">
        <f>IFERROR(VLOOKUP(AA439,Listas!$A$1:$C$14,3,FALSE),"")</f>
        <v>93363483</v>
      </c>
      <c r="AD439" s="17" t="s">
        <v>577</v>
      </c>
      <c r="AE439" s="17" t="s">
        <v>578</v>
      </c>
      <c r="AF439" s="23" t="str">
        <f>IFERROR(VLOOKUP(AE439,Listas!$AD$1:$AF$65,2,FALSE),"")</f>
        <v>EDGAR FABIO DÍAZ RAMIREZ</v>
      </c>
      <c r="AG439" s="23">
        <f>IFERROR(VLOOKUP(AE439,Listas!$AD$1:$AF$65,3,FALSE),"")</f>
        <v>79537198</v>
      </c>
      <c r="AH439" s="17" t="s">
        <v>118</v>
      </c>
      <c r="AI439" s="65" t="s">
        <v>3690</v>
      </c>
      <c r="AJ439" s="25" t="s">
        <v>119</v>
      </c>
      <c r="AK439" s="26" t="s">
        <v>120</v>
      </c>
      <c r="AL439" s="26" t="s">
        <v>120</v>
      </c>
      <c r="AM439" s="90" t="s">
        <v>119</v>
      </c>
      <c r="AN439" s="105">
        <v>28178</v>
      </c>
      <c r="AO439" s="91">
        <f t="shared" ca="1" si="194"/>
        <v>48</v>
      </c>
      <c r="AP439" s="26" t="s">
        <v>121</v>
      </c>
      <c r="AQ439" s="26" t="s">
        <v>886</v>
      </c>
      <c r="AR439" s="89"/>
      <c r="AS439" s="27"/>
      <c r="AT439" s="16"/>
      <c r="AU439" s="27"/>
      <c r="AV439" s="86"/>
      <c r="AW439" s="27"/>
      <c r="AX439" s="27"/>
      <c r="AY439" s="27"/>
      <c r="AZ439" s="27"/>
      <c r="BA439" s="27"/>
      <c r="BB439" s="27"/>
      <c r="BC439" s="97"/>
      <c r="BD439" s="27"/>
      <c r="BE439" s="16"/>
      <c r="BF439" s="28">
        <f t="shared" si="195"/>
        <v>0</v>
      </c>
      <c r="BG439" s="29"/>
      <c r="BH439" s="27"/>
      <c r="BI439" s="30">
        <f t="shared" si="196"/>
        <v>328</v>
      </c>
      <c r="BJ439" s="31">
        <f t="shared" si="197"/>
        <v>45656</v>
      </c>
      <c r="BK439" s="27"/>
      <c r="BL439" s="16"/>
      <c r="BM439" s="27"/>
      <c r="BN439" s="16"/>
      <c r="BO439" s="27"/>
      <c r="BP439" s="16"/>
      <c r="BQ439" s="27"/>
      <c r="BR439" s="24"/>
      <c r="BS439" s="24"/>
      <c r="BT439" s="32"/>
      <c r="BU439" s="27"/>
      <c r="BV439" s="24"/>
      <c r="BW439" s="24"/>
      <c r="BX439" s="16"/>
      <c r="BY439" s="27"/>
      <c r="BZ439" s="24"/>
      <c r="CA439" s="24"/>
      <c r="CB439" s="16"/>
      <c r="CC439" s="49">
        <f t="shared" si="186"/>
        <v>0</v>
      </c>
      <c r="CD439" s="24"/>
      <c r="CE439" s="49">
        <f t="shared" si="182"/>
        <v>114636874</v>
      </c>
      <c r="CF439" s="50"/>
      <c r="CG439" s="49">
        <f t="shared" ca="1" si="187"/>
        <v>114636874</v>
      </c>
      <c r="CH439" s="33">
        <f t="shared" ca="1" si="198"/>
        <v>1</v>
      </c>
      <c r="CI439" s="33">
        <f t="shared" ca="1" si="199"/>
        <v>1</v>
      </c>
      <c r="CJ439" s="36">
        <f t="shared" ca="1" si="189"/>
        <v>100</v>
      </c>
      <c r="CK439" s="34">
        <f t="shared" si="190"/>
        <v>0</v>
      </c>
      <c r="CL439" s="21"/>
      <c r="CM439" s="35" t="str">
        <f t="shared" ca="1" si="191"/>
        <v>TERMINADO</v>
      </c>
      <c r="CN439" s="82"/>
      <c r="CO439" s="145" t="s">
        <v>3691</v>
      </c>
      <c r="CP439" s="26" t="s">
        <v>123</v>
      </c>
      <c r="CR439" s="78"/>
    </row>
    <row r="440" spans="1:96" ht="24.75" customHeight="1">
      <c r="A440" s="48" t="s">
        <v>3692</v>
      </c>
      <c r="B440" s="77" t="s">
        <v>3693</v>
      </c>
      <c r="C440" s="17" t="s">
        <v>104</v>
      </c>
      <c r="D440" s="18" t="s">
        <v>3694</v>
      </c>
      <c r="E440" s="17" t="s">
        <v>106</v>
      </c>
      <c r="F440" s="17" t="s">
        <v>107</v>
      </c>
      <c r="G440" s="17" t="s">
        <v>108</v>
      </c>
      <c r="H440" s="78">
        <v>1030526346</v>
      </c>
      <c r="I440" s="74" t="s">
        <v>3695</v>
      </c>
      <c r="J440" s="16"/>
      <c r="K440" s="16"/>
      <c r="L440" s="20" t="s">
        <v>3568</v>
      </c>
      <c r="M440" s="16" t="s">
        <v>111</v>
      </c>
      <c r="N440" s="115">
        <v>45323</v>
      </c>
      <c r="O440" s="115">
        <v>45330</v>
      </c>
      <c r="P440" s="115">
        <v>45507</v>
      </c>
      <c r="Q440" s="23">
        <f t="shared" si="193"/>
        <v>177</v>
      </c>
      <c r="R440" s="17" t="s">
        <v>242</v>
      </c>
      <c r="S440" s="117" t="s">
        <v>3696</v>
      </c>
      <c r="T440" s="16" t="s">
        <v>1145</v>
      </c>
      <c r="U440" s="24">
        <v>52656870</v>
      </c>
      <c r="V440" s="16" t="s">
        <v>426</v>
      </c>
      <c r="W440" s="227">
        <v>52656870</v>
      </c>
      <c r="X440" s="24">
        <v>4659900</v>
      </c>
      <c r="Y440" s="24"/>
      <c r="Z440" s="24"/>
      <c r="AA440" s="17" t="s">
        <v>116</v>
      </c>
      <c r="AB440" s="23" t="str">
        <f>IFERROR(VLOOKUP(AA440,Listas!$A$1:$C$14,2,FALSE),"")</f>
        <v>FREDY CÉSPEDES VILLA</v>
      </c>
      <c r="AC440" s="23">
        <f>IFERROR(VLOOKUP(AA440,Listas!$A$1:$C$14,3,FALSE),"")</f>
        <v>93363483</v>
      </c>
      <c r="AD440" s="17" t="s">
        <v>427</v>
      </c>
      <c r="AE440" s="17" t="s">
        <v>2561</v>
      </c>
      <c r="AF440" s="23" t="str">
        <f>IFERROR(VLOOKUP(AE440,Listas!$AD$1:$AF$65,2,FALSE),"")</f>
        <v>MARÍA TERESA COMBARIZA MARTÍN</v>
      </c>
      <c r="AG440" s="23">
        <f>IFERROR(VLOOKUP(AE440,Listas!$AD$1:$AF$65,3,FALSE),"")</f>
        <v>51803256</v>
      </c>
      <c r="AH440" s="17" t="s">
        <v>118</v>
      </c>
      <c r="AI440" s="65" t="s">
        <v>1271</v>
      </c>
      <c r="AJ440" s="25" t="s">
        <v>119</v>
      </c>
      <c r="AK440" s="26" t="s">
        <v>120</v>
      </c>
      <c r="AL440" s="26" t="s">
        <v>120</v>
      </c>
      <c r="AM440" s="90" t="s">
        <v>119</v>
      </c>
      <c r="AN440" s="105">
        <v>31608</v>
      </c>
      <c r="AO440" s="91">
        <f t="shared" ca="1" si="194"/>
        <v>39</v>
      </c>
      <c r="AP440" s="26" t="s">
        <v>121</v>
      </c>
      <c r="AQ440" s="26" t="s">
        <v>1272</v>
      </c>
      <c r="AR440" s="89"/>
      <c r="AS440" s="27"/>
      <c r="AT440" s="16"/>
      <c r="AU440" s="27"/>
      <c r="AV440" s="86"/>
      <c r="AW440" s="27"/>
      <c r="AX440" s="27"/>
      <c r="AY440" s="27"/>
      <c r="AZ440" s="27"/>
      <c r="BA440" s="27"/>
      <c r="BB440" s="27"/>
      <c r="BC440" s="97"/>
      <c r="BD440" s="27"/>
      <c r="BE440" s="16"/>
      <c r="BF440" s="28">
        <f t="shared" si="195"/>
        <v>0</v>
      </c>
      <c r="BG440" s="29"/>
      <c r="BH440" s="27"/>
      <c r="BI440" s="30">
        <f t="shared" si="196"/>
        <v>177</v>
      </c>
      <c r="BJ440" s="31">
        <f t="shared" si="197"/>
        <v>45507</v>
      </c>
      <c r="BK440" s="27"/>
      <c r="BL440" s="16"/>
      <c r="BM440" s="27"/>
      <c r="BN440" s="16"/>
      <c r="BO440" s="27"/>
      <c r="BP440" s="16"/>
      <c r="BQ440" s="27"/>
      <c r="BR440" s="24"/>
      <c r="BS440" s="24"/>
      <c r="BT440" s="32"/>
      <c r="BU440" s="27"/>
      <c r="BV440" s="24"/>
      <c r="BW440" s="24"/>
      <c r="BX440" s="16"/>
      <c r="BY440" s="27"/>
      <c r="BZ440" s="24"/>
      <c r="CA440" s="24"/>
      <c r="CB440" s="16"/>
      <c r="CC440" s="49">
        <f t="shared" si="186"/>
        <v>0</v>
      </c>
      <c r="CD440" s="24"/>
      <c r="CE440" s="49">
        <f t="shared" si="182"/>
        <v>52656870</v>
      </c>
      <c r="CF440" s="50"/>
      <c r="CG440" s="49">
        <f t="shared" ca="1" si="187"/>
        <v>52656870</v>
      </c>
      <c r="CH440" s="33">
        <f t="shared" ca="1" si="198"/>
        <v>1</v>
      </c>
      <c r="CI440" s="33">
        <f t="shared" ca="1" si="199"/>
        <v>1</v>
      </c>
      <c r="CJ440" s="36">
        <f t="shared" ca="1" si="189"/>
        <v>100</v>
      </c>
      <c r="CK440" s="34">
        <f t="shared" si="190"/>
        <v>0</v>
      </c>
      <c r="CL440" s="21"/>
      <c r="CM440" s="35" t="str">
        <f t="shared" ca="1" si="191"/>
        <v>TERMINADO</v>
      </c>
      <c r="CN440" s="82"/>
      <c r="CO440" s="145" t="s">
        <v>3697</v>
      </c>
      <c r="CP440" s="26" t="s">
        <v>123</v>
      </c>
      <c r="CR440" s="78"/>
    </row>
    <row r="441" spans="1:96" ht="24.75" customHeight="1">
      <c r="A441" s="48" t="s">
        <v>3698</v>
      </c>
      <c r="B441" s="77" t="s">
        <v>3699</v>
      </c>
      <c r="C441" s="17" t="s">
        <v>104</v>
      </c>
      <c r="D441" s="18" t="s">
        <v>3700</v>
      </c>
      <c r="E441" s="17" t="s">
        <v>106</v>
      </c>
      <c r="F441" s="17" t="s">
        <v>107</v>
      </c>
      <c r="G441" s="17" t="s">
        <v>108</v>
      </c>
      <c r="H441" s="78">
        <v>39744675</v>
      </c>
      <c r="I441" s="74" t="s">
        <v>3701</v>
      </c>
      <c r="J441" s="16"/>
      <c r="K441" s="16"/>
      <c r="L441" s="20" t="s">
        <v>3702</v>
      </c>
      <c r="M441" s="16" t="s">
        <v>111</v>
      </c>
      <c r="N441" s="115">
        <v>45323</v>
      </c>
      <c r="O441" s="22">
        <v>45329</v>
      </c>
      <c r="P441" s="22">
        <v>45657</v>
      </c>
      <c r="Q441" s="23">
        <f t="shared" si="193"/>
        <v>328</v>
      </c>
      <c r="R441" s="17" t="s">
        <v>112</v>
      </c>
      <c r="S441" s="117" t="s">
        <v>3703</v>
      </c>
      <c r="T441" s="16" t="s">
        <v>3628</v>
      </c>
      <c r="U441" s="24">
        <v>64057620</v>
      </c>
      <c r="V441" s="16" t="s">
        <v>216</v>
      </c>
      <c r="W441" s="227">
        <v>61388553</v>
      </c>
      <c r="X441" s="24">
        <v>5338135</v>
      </c>
      <c r="Y441" s="24"/>
      <c r="Z441" s="24"/>
      <c r="AA441" s="17" t="s">
        <v>116</v>
      </c>
      <c r="AB441" s="23" t="str">
        <f>IFERROR(VLOOKUP(AA441,Listas!$A$1:$C$14,2,FALSE),"")</f>
        <v>FREDY CÉSPEDES VILLA</v>
      </c>
      <c r="AC441" s="23">
        <f>IFERROR(VLOOKUP(AA441,Listas!$A$1:$C$14,3,FALSE),"")</f>
        <v>93363483</v>
      </c>
      <c r="AD441" s="17" t="s">
        <v>217</v>
      </c>
      <c r="AE441" s="17" t="s">
        <v>381</v>
      </c>
      <c r="AF441" s="23" t="str">
        <f>IFERROR(VLOOKUP(AE441,Listas!$AD$1:$AF$65,2,FALSE),"")</f>
        <v>MARINA AZUCENA MEDINA SANDOVAL</v>
      </c>
      <c r="AG441" s="23">
        <f>IFERROR(VLOOKUP(AE441,Listas!$AD$1:$AF$65,3,FALSE),"")</f>
        <v>51842510</v>
      </c>
      <c r="AH441" s="17" t="s">
        <v>118</v>
      </c>
      <c r="AI441" s="65" t="s">
        <v>3704</v>
      </c>
      <c r="AJ441" s="25" t="s">
        <v>119</v>
      </c>
      <c r="AK441" s="26" t="s">
        <v>120</v>
      </c>
      <c r="AL441" s="26" t="s">
        <v>120</v>
      </c>
      <c r="AM441" s="90" t="s">
        <v>119</v>
      </c>
      <c r="AN441" s="105">
        <v>30064</v>
      </c>
      <c r="AO441" s="91">
        <f t="shared" ca="1" si="194"/>
        <v>43</v>
      </c>
      <c r="AP441" s="26" t="s">
        <v>121</v>
      </c>
      <c r="AQ441" s="26" t="s">
        <v>220</v>
      </c>
      <c r="AR441" s="89"/>
      <c r="AS441" s="27"/>
      <c r="AT441" s="16"/>
      <c r="AU441" s="27"/>
      <c r="AV441" s="86"/>
      <c r="AW441" s="27"/>
      <c r="AX441" s="27"/>
      <c r="AY441" s="27"/>
      <c r="AZ441" s="27"/>
      <c r="BA441" s="27"/>
      <c r="BB441" s="27"/>
      <c r="BC441" s="97"/>
      <c r="BD441" s="27"/>
      <c r="BE441" s="16"/>
      <c r="BF441" s="28">
        <f t="shared" si="195"/>
        <v>0</v>
      </c>
      <c r="BG441" s="29"/>
      <c r="BH441" s="27"/>
      <c r="BI441" s="30">
        <f t="shared" si="196"/>
        <v>328</v>
      </c>
      <c r="BJ441" s="31">
        <f t="shared" si="197"/>
        <v>45657</v>
      </c>
      <c r="BK441" s="27"/>
      <c r="BL441" s="16"/>
      <c r="BM441" s="27"/>
      <c r="BN441" s="16"/>
      <c r="BO441" s="27"/>
      <c r="BP441" s="16"/>
      <c r="BQ441" s="27"/>
      <c r="BR441" s="24"/>
      <c r="BS441" s="24"/>
      <c r="BT441" s="32"/>
      <c r="BU441" s="27"/>
      <c r="BV441" s="24"/>
      <c r="BW441" s="24"/>
      <c r="BX441" s="16"/>
      <c r="BY441" s="27"/>
      <c r="BZ441" s="24"/>
      <c r="CA441" s="24"/>
      <c r="CB441" s="16"/>
      <c r="CC441" s="49">
        <f t="shared" si="186"/>
        <v>0</v>
      </c>
      <c r="CD441" s="24"/>
      <c r="CE441" s="49">
        <f t="shared" si="182"/>
        <v>61388553</v>
      </c>
      <c r="CF441" s="50"/>
      <c r="CG441" s="49">
        <f t="shared" ca="1" si="187"/>
        <v>61388553</v>
      </c>
      <c r="CH441" s="33">
        <f t="shared" ca="1" si="198"/>
        <v>1</v>
      </c>
      <c r="CI441" s="33">
        <f t="shared" ca="1" si="199"/>
        <v>1</v>
      </c>
      <c r="CJ441" s="36">
        <f t="shared" ca="1" si="189"/>
        <v>100</v>
      </c>
      <c r="CK441" s="34">
        <f t="shared" si="190"/>
        <v>0</v>
      </c>
      <c r="CL441" s="21"/>
      <c r="CM441" s="35" t="str">
        <f t="shared" ca="1" si="191"/>
        <v>TERMINADO</v>
      </c>
      <c r="CN441" s="82"/>
      <c r="CO441" s="145" t="s">
        <v>3705</v>
      </c>
      <c r="CP441" s="26" t="s">
        <v>123</v>
      </c>
      <c r="CR441" s="78"/>
    </row>
    <row r="442" spans="1:96" ht="24.75" customHeight="1">
      <c r="A442" s="148" t="s">
        <v>3706</v>
      </c>
      <c r="B442" s="77" t="s">
        <v>3707</v>
      </c>
      <c r="C442" s="17" t="s">
        <v>104</v>
      </c>
      <c r="D442" s="18" t="s">
        <v>3708</v>
      </c>
      <c r="E442" s="17" t="s">
        <v>106</v>
      </c>
      <c r="F442" s="17" t="s">
        <v>107</v>
      </c>
      <c r="G442" s="17" t="s">
        <v>108</v>
      </c>
      <c r="H442" s="78">
        <v>80126464</v>
      </c>
      <c r="I442" s="74" t="s">
        <v>3709</v>
      </c>
      <c r="J442" s="16"/>
      <c r="K442" s="16"/>
      <c r="L442" s="20" t="s">
        <v>2156</v>
      </c>
      <c r="M442" s="16" t="s">
        <v>111</v>
      </c>
      <c r="N442" s="115">
        <v>45324</v>
      </c>
      <c r="O442" s="115">
        <v>45327</v>
      </c>
      <c r="P442" s="115">
        <v>45656</v>
      </c>
      <c r="Q442" s="23">
        <f t="shared" si="193"/>
        <v>329</v>
      </c>
      <c r="R442" s="17" t="s">
        <v>242</v>
      </c>
      <c r="S442" s="117" t="s">
        <v>3710</v>
      </c>
      <c r="T442" s="16" t="s">
        <v>1345</v>
      </c>
      <c r="U442" s="24">
        <v>67421203</v>
      </c>
      <c r="V442" s="16" t="s">
        <v>437</v>
      </c>
      <c r="W442" s="227">
        <v>67421203</v>
      </c>
      <c r="X442" s="24">
        <v>5762495</v>
      </c>
      <c r="Y442" s="24"/>
      <c r="Z442" s="24"/>
      <c r="AA442" s="17" t="s">
        <v>116</v>
      </c>
      <c r="AB442" s="23" t="str">
        <f>IFERROR(VLOOKUP(AA442,Listas!$A$1:$C$14,2,FALSE),"")</f>
        <v>FREDY CÉSPEDES VILLA</v>
      </c>
      <c r="AC442" s="23">
        <f>IFERROR(VLOOKUP(AA442,Listas!$A$1:$C$14,3,FALSE),"")</f>
        <v>93363483</v>
      </c>
      <c r="AD442" s="17" t="s">
        <v>1533</v>
      </c>
      <c r="AE442" s="17" t="s">
        <v>1534</v>
      </c>
      <c r="AF442" s="23" t="str">
        <f>IFERROR(VLOOKUP(AE442,Listas!$AD$1:$AF$65,2,FALSE),"")</f>
        <v>ESTEBAN GUERRERO ALVAREZ</v>
      </c>
      <c r="AG442" s="23">
        <f>IFERROR(VLOOKUP(AE442,Listas!$AD$1:$AF$65,3,FALSE),"")</f>
        <v>1032460552</v>
      </c>
      <c r="AH442" s="17" t="s">
        <v>118</v>
      </c>
      <c r="AI442" s="65" t="s">
        <v>2158</v>
      </c>
      <c r="AJ442" s="25" t="s">
        <v>119</v>
      </c>
      <c r="AK442" s="26" t="s">
        <v>120</v>
      </c>
      <c r="AL442" s="26" t="s">
        <v>120</v>
      </c>
      <c r="AM442" s="90" t="s">
        <v>119</v>
      </c>
      <c r="AN442" s="105">
        <v>30042</v>
      </c>
      <c r="AO442" s="91">
        <f t="shared" ca="1" si="194"/>
        <v>43</v>
      </c>
      <c r="AP442" s="26" t="s">
        <v>121</v>
      </c>
      <c r="AQ442" s="26" t="s">
        <v>327</v>
      </c>
      <c r="AR442" s="89"/>
      <c r="AS442" s="27"/>
      <c r="AT442" s="16"/>
      <c r="AU442" s="27"/>
      <c r="AV442" s="86"/>
      <c r="AW442" s="27"/>
      <c r="AX442" s="27"/>
      <c r="AY442" s="27"/>
      <c r="AZ442" s="27"/>
      <c r="BA442" s="27"/>
      <c r="BB442" s="27"/>
      <c r="BC442" s="97"/>
      <c r="BD442" s="27"/>
      <c r="BE442" s="16"/>
      <c r="BF442" s="28">
        <f t="shared" si="195"/>
        <v>0</v>
      </c>
      <c r="BG442" s="29"/>
      <c r="BH442" s="27"/>
      <c r="BI442" s="30">
        <f t="shared" si="196"/>
        <v>329</v>
      </c>
      <c r="BJ442" s="31">
        <f t="shared" si="197"/>
        <v>45656</v>
      </c>
      <c r="BK442" s="27"/>
      <c r="BL442" s="16"/>
      <c r="BM442" s="27"/>
      <c r="BN442" s="16"/>
      <c r="BO442" s="27"/>
      <c r="BP442" s="16"/>
      <c r="BQ442" s="27"/>
      <c r="BR442" s="24"/>
      <c r="BS442" s="24"/>
      <c r="BT442" s="32"/>
      <c r="BU442" s="27"/>
      <c r="BV442" s="24"/>
      <c r="BW442" s="24"/>
      <c r="BX442" s="16"/>
      <c r="BY442" s="27"/>
      <c r="BZ442" s="24"/>
      <c r="CA442" s="24"/>
      <c r="CB442" s="16"/>
      <c r="CC442" s="49">
        <f t="shared" si="186"/>
        <v>0</v>
      </c>
      <c r="CD442" s="24"/>
      <c r="CE442" s="49">
        <f t="shared" si="182"/>
        <v>67421203</v>
      </c>
      <c r="CF442" s="50"/>
      <c r="CG442" s="49">
        <f t="shared" ca="1" si="187"/>
        <v>67421203</v>
      </c>
      <c r="CH442" s="33">
        <f t="shared" ca="1" si="198"/>
        <v>1</v>
      </c>
      <c r="CI442" s="33">
        <f t="shared" ca="1" si="199"/>
        <v>1</v>
      </c>
      <c r="CJ442" s="36">
        <f t="shared" ca="1" si="189"/>
        <v>100</v>
      </c>
      <c r="CK442" s="34">
        <f t="shared" si="190"/>
        <v>0</v>
      </c>
      <c r="CL442" s="21"/>
      <c r="CM442" s="35" t="str">
        <f t="shared" ca="1" si="191"/>
        <v>TERMINADO</v>
      </c>
      <c r="CN442" s="82"/>
      <c r="CO442" s="145" t="s">
        <v>3711</v>
      </c>
      <c r="CP442" s="26" t="s">
        <v>142</v>
      </c>
      <c r="CR442" s="78"/>
    </row>
    <row r="443" spans="1:96" ht="24.75" customHeight="1">
      <c r="A443" s="148" t="s">
        <v>3712</v>
      </c>
      <c r="B443" s="77" t="s">
        <v>3713</v>
      </c>
      <c r="C443" s="17" t="s">
        <v>104</v>
      </c>
      <c r="D443" s="18" t="s">
        <v>3714</v>
      </c>
      <c r="E443" s="17" t="s">
        <v>106</v>
      </c>
      <c r="F443" s="17" t="s">
        <v>107</v>
      </c>
      <c r="G443" s="17" t="s">
        <v>108</v>
      </c>
      <c r="H443" s="78">
        <v>25276454</v>
      </c>
      <c r="I443" s="74" t="s">
        <v>3715</v>
      </c>
      <c r="J443" s="16"/>
      <c r="K443" s="16"/>
      <c r="L443" s="20" t="s">
        <v>647</v>
      </c>
      <c r="M443" s="16" t="s">
        <v>3716</v>
      </c>
      <c r="N443" s="115">
        <v>45324</v>
      </c>
      <c r="O443" s="115">
        <v>45329</v>
      </c>
      <c r="P443" s="115">
        <v>45656</v>
      </c>
      <c r="Q443" s="23">
        <f t="shared" si="193"/>
        <v>327</v>
      </c>
      <c r="R443" s="17" t="s">
        <v>242</v>
      </c>
      <c r="S443" s="117" t="s">
        <v>3717</v>
      </c>
      <c r="T443" s="16" t="s">
        <v>1345</v>
      </c>
      <c r="U443" s="24">
        <v>67037031</v>
      </c>
      <c r="V443" s="16" t="s">
        <v>437</v>
      </c>
      <c r="W443" s="227">
        <v>67037031</v>
      </c>
      <c r="X443" s="24">
        <v>5762496</v>
      </c>
      <c r="Y443" s="24"/>
      <c r="Z443" s="24"/>
      <c r="AA443" s="17" t="s">
        <v>116</v>
      </c>
      <c r="AB443" s="23" t="str">
        <f>IFERROR(VLOOKUP(AA443,Listas!$A$1:$C$14,2,FALSE),"")</f>
        <v>FREDY CÉSPEDES VILLA</v>
      </c>
      <c r="AC443" s="23">
        <f>IFERROR(VLOOKUP(AA443,Listas!$A$1:$C$14,3,FALSE),"")</f>
        <v>93363483</v>
      </c>
      <c r="AD443" s="17" t="s">
        <v>559</v>
      </c>
      <c r="AE443" s="17" t="s">
        <v>560</v>
      </c>
      <c r="AF443" s="23" t="str">
        <f>IFERROR(VLOOKUP(AE443,Listas!$AD$1:$AF$65,2,FALSE),"")</f>
        <v>CESAR AUGUSTO LÓPEZ LÓPEZ</v>
      </c>
      <c r="AG443" s="23">
        <f>IFERROR(VLOOKUP(AE443,Listas!$AD$1:$AF$65,3,FALSE),"")</f>
        <v>6103856</v>
      </c>
      <c r="AH443" s="17" t="s">
        <v>118</v>
      </c>
      <c r="AI443" s="65" t="s">
        <v>1657</v>
      </c>
      <c r="AJ443" s="25" t="s">
        <v>119</v>
      </c>
      <c r="AK443" s="26" t="s">
        <v>120</v>
      </c>
      <c r="AL443" s="26" t="s">
        <v>120</v>
      </c>
      <c r="AM443" s="90" t="s">
        <v>119</v>
      </c>
      <c r="AN443" s="105">
        <v>28602</v>
      </c>
      <c r="AO443" s="91">
        <f t="shared" ca="1" si="194"/>
        <v>47</v>
      </c>
      <c r="AP443" s="26" t="s">
        <v>121</v>
      </c>
      <c r="AQ443" s="26" t="s">
        <v>327</v>
      </c>
      <c r="AR443" s="89"/>
      <c r="AS443" s="27"/>
      <c r="AT443" s="16"/>
      <c r="AU443" s="27"/>
      <c r="AV443" s="86"/>
      <c r="AW443" s="27"/>
      <c r="AX443" s="27"/>
      <c r="AY443" s="27"/>
      <c r="AZ443" s="27"/>
      <c r="BA443" s="27"/>
      <c r="BB443" s="27"/>
      <c r="BC443" s="97"/>
      <c r="BD443" s="27"/>
      <c r="BE443" s="16"/>
      <c r="BF443" s="28">
        <f t="shared" si="195"/>
        <v>0</v>
      </c>
      <c r="BG443" s="29"/>
      <c r="BH443" s="27"/>
      <c r="BI443" s="30">
        <f t="shared" si="196"/>
        <v>327</v>
      </c>
      <c r="BJ443" s="31">
        <f t="shared" si="197"/>
        <v>45656</v>
      </c>
      <c r="BK443" s="27"/>
      <c r="BL443" s="16"/>
      <c r="BM443" s="27"/>
      <c r="BN443" s="16"/>
      <c r="BO443" s="27"/>
      <c r="BP443" s="16"/>
      <c r="BQ443" s="27"/>
      <c r="BR443" s="24"/>
      <c r="BS443" s="24"/>
      <c r="BT443" s="32"/>
      <c r="BU443" s="27"/>
      <c r="BV443" s="24"/>
      <c r="BW443" s="24"/>
      <c r="BX443" s="16"/>
      <c r="BY443" s="27"/>
      <c r="BZ443" s="24"/>
      <c r="CA443" s="24"/>
      <c r="CB443" s="16"/>
      <c r="CC443" s="49">
        <f t="shared" si="186"/>
        <v>0</v>
      </c>
      <c r="CD443" s="24"/>
      <c r="CE443" s="49">
        <f t="shared" si="182"/>
        <v>67037031</v>
      </c>
      <c r="CF443" s="50"/>
      <c r="CG443" s="49">
        <f t="shared" ca="1" si="187"/>
        <v>67037031</v>
      </c>
      <c r="CH443" s="33">
        <f t="shared" ca="1" si="198"/>
        <v>1</v>
      </c>
      <c r="CI443" s="33">
        <f t="shared" ca="1" si="199"/>
        <v>1</v>
      </c>
      <c r="CJ443" s="36">
        <f t="shared" ca="1" si="189"/>
        <v>100</v>
      </c>
      <c r="CK443" s="34">
        <f t="shared" si="190"/>
        <v>0</v>
      </c>
      <c r="CL443" s="21"/>
      <c r="CM443" s="35" t="str">
        <f t="shared" ca="1" si="191"/>
        <v>TERMINADO</v>
      </c>
      <c r="CN443" s="82"/>
      <c r="CO443" s="145" t="s">
        <v>3718</v>
      </c>
      <c r="CP443" s="26" t="s">
        <v>123</v>
      </c>
      <c r="CR443" s="78"/>
    </row>
    <row r="444" spans="1:96" ht="24.75" customHeight="1">
      <c r="A444" s="48" t="s">
        <v>1424</v>
      </c>
      <c r="B444" s="77" t="s">
        <v>3719</v>
      </c>
      <c r="C444" s="17" t="s">
        <v>2927</v>
      </c>
      <c r="D444" s="18" t="s">
        <v>3720</v>
      </c>
      <c r="E444" s="17" t="s">
        <v>2929</v>
      </c>
      <c r="F444" s="17" t="s">
        <v>1426</v>
      </c>
      <c r="G444" s="17" t="s">
        <v>1427</v>
      </c>
      <c r="H444" s="78" t="s">
        <v>3721</v>
      </c>
      <c r="I444" s="74" t="s">
        <v>3722</v>
      </c>
      <c r="J444" s="16" t="s">
        <v>3723</v>
      </c>
      <c r="K444" s="104">
        <v>94295998</v>
      </c>
      <c r="L444" s="20" t="s">
        <v>2933</v>
      </c>
      <c r="M444" s="16"/>
      <c r="N444" s="115">
        <v>45324</v>
      </c>
      <c r="O444" s="115">
        <v>45324</v>
      </c>
      <c r="P444" s="115">
        <v>45690</v>
      </c>
      <c r="Q444" s="23">
        <f t="shared" si="193"/>
        <v>366</v>
      </c>
      <c r="R444" s="17" t="s">
        <v>2934</v>
      </c>
      <c r="S444" s="117" t="s">
        <v>1424</v>
      </c>
      <c r="T444" s="16" t="s">
        <v>1424</v>
      </c>
      <c r="U444" s="24" t="s">
        <v>1424</v>
      </c>
      <c r="V444" s="16" t="s">
        <v>1424</v>
      </c>
      <c r="W444" s="227">
        <v>0</v>
      </c>
      <c r="X444" s="24"/>
      <c r="Y444" s="24" t="s">
        <v>2935</v>
      </c>
      <c r="Z444" s="24"/>
      <c r="AA444" s="17" t="s">
        <v>406</v>
      </c>
      <c r="AB444" s="23" t="str">
        <f>IFERROR(VLOOKUP(AA444,Listas!$A$1:$C$14,2,FALSE),"")</f>
        <v>EDUARDO ELÍAS BARCHA BOLÍVAR</v>
      </c>
      <c r="AC444" s="23">
        <f>IFERROR(VLOOKUP(AA444,Listas!$A$1:$C$14,3,FALSE),"")</f>
        <v>72133921</v>
      </c>
      <c r="AD444" s="17" t="s">
        <v>559</v>
      </c>
      <c r="AE444" s="17" t="s">
        <v>560</v>
      </c>
      <c r="AF444" s="23" t="str">
        <f>IFERROR(VLOOKUP(AE444,Listas!$AD$1:$AF$65,2,FALSE),"")</f>
        <v>CESAR AUGUSTO LÓPEZ LÓPEZ</v>
      </c>
      <c r="AG444" s="23">
        <f>IFERROR(VLOOKUP(AE444,Listas!$AD$1:$AF$65,3,FALSE),"")</f>
        <v>6103856</v>
      </c>
      <c r="AH444" s="17" t="s">
        <v>2936</v>
      </c>
      <c r="AI444" s="65"/>
      <c r="AJ444" s="25" t="s">
        <v>1435</v>
      </c>
      <c r="AK444" s="26" t="s">
        <v>2071</v>
      </c>
      <c r="AL444" s="26" t="s">
        <v>2071</v>
      </c>
      <c r="AM444" s="90" t="s">
        <v>1435</v>
      </c>
      <c r="AN444" s="105"/>
      <c r="AO444" s="91" t="str">
        <f t="shared" ca="1" si="194"/>
        <v xml:space="preserve"> </v>
      </c>
      <c r="AP444" s="26" t="s">
        <v>2937</v>
      </c>
      <c r="AQ444" s="26"/>
      <c r="AR444" s="89"/>
      <c r="AS444" s="27"/>
      <c r="AT444" s="16"/>
      <c r="AU444" s="27"/>
      <c r="AV444" s="86"/>
      <c r="AW444" s="27"/>
      <c r="AX444" s="27"/>
      <c r="AY444" s="27"/>
      <c r="AZ444" s="27"/>
      <c r="BA444" s="27"/>
      <c r="BB444" s="27">
        <v>45688</v>
      </c>
      <c r="BC444" s="97">
        <v>332</v>
      </c>
      <c r="BD444" s="27"/>
      <c r="BE444" s="16"/>
      <c r="BF444" s="28">
        <f t="shared" si="195"/>
        <v>332</v>
      </c>
      <c r="BG444" s="29"/>
      <c r="BH444" s="27"/>
      <c r="BI444" s="30">
        <f t="shared" si="196"/>
        <v>698</v>
      </c>
      <c r="BJ444" s="31">
        <f t="shared" si="197"/>
        <v>46022</v>
      </c>
      <c r="BK444" s="27">
        <v>45688</v>
      </c>
      <c r="BL444" s="16" t="s">
        <v>3724</v>
      </c>
      <c r="BM444" s="27"/>
      <c r="BN444" s="16"/>
      <c r="BO444" s="27"/>
      <c r="BP444" s="16"/>
      <c r="BQ444" s="27"/>
      <c r="BR444" s="24"/>
      <c r="BS444" s="24"/>
      <c r="BT444" s="32"/>
      <c r="BU444" s="27"/>
      <c r="BV444" s="24"/>
      <c r="BW444" s="24"/>
      <c r="BX444" s="16"/>
      <c r="BY444" s="27"/>
      <c r="BZ444" s="24"/>
      <c r="CA444" s="24"/>
      <c r="CB444" s="16"/>
      <c r="CC444" s="49">
        <f t="shared" si="186"/>
        <v>0</v>
      </c>
      <c r="CD444" s="24"/>
      <c r="CE444" s="49" t="str">
        <f>IFERROR(IF(Y444=0,(W444+CC444)-CD444,IF(Y444&gt;0,(Y444+CC444)-CD444)),"")</f>
        <v/>
      </c>
      <c r="CF444" s="50">
        <v>2025065408.26</v>
      </c>
      <c r="CG444" s="49" t="str">
        <f t="shared" ca="1" si="187"/>
        <v/>
      </c>
      <c r="CH444" s="33">
        <f t="shared" ca="1" si="198"/>
        <v>0.89695210449927432</v>
      </c>
      <c r="CI444" s="33">
        <f t="shared" ca="1" si="199"/>
        <v>0.89695210449927432</v>
      </c>
      <c r="CJ444" s="36" t="str">
        <f t="shared" ca="1" si="189"/>
        <v/>
      </c>
      <c r="CK444" s="34" t="str">
        <f t="shared" si="190"/>
        <v/>
      </c>
      <c r="CL444" s="21"/>
      <c r="CM444" s="35" t="str">
        <f t="shared" ca="1" si="191"/>
        <v>VIGENTE</v>
      </c>
      <c r="CN444" s="82"/>
      <c r="CP444" s="26"/>
      <c r="CR444" s="78"/>
    </row>
    <row r="445" spans="1:96" ht="24.75" customHeight="1">
      <c r="A445" s="48" t="s">
        <v>1424</v>
      </c>
      <c r="B445" s="77" t="s">
        <v>3725</v>
      </c>
      <c r="C445" s="17" t="s">
        <v>2927</v>
      </c>
      <c r="D445" s="18" t="s">
        <v>3726</v>
      </c>
      <c r="E445" s="17" t="s">
        <v>2929</v>
      </c>
      <c r="F445" s="17" t="s">
        <v>1426</v>
      </c>
      <c r="G445" s="17" t="s">
        <v>1427</v>
      </c>
      <c r="H445" s="78" t="s">
        <v>3727</v>
      </c>
      <c r="I445" s="74" t="s">
        <v>3728</v>
      </c>
      <c r="J445" s="16" t="s">
        <v>3729</v>
      </c>
      <c r="K445" s="104">
        <v>16214559</v>
      </c>
      <c r="L445" s="20" t="s">
        <v>2933</v>
      </c>
      <c r="M445" s="16"/>
      <c r="N445" s="115">
        <v>45324</v>
      </c>
      <c r="O445" s="115">
        <v>45324</v>
      </c>
      <c r="P445" s="115">
        <v>45690</v>
      </c>
      <c r="Q445" s="23">
        <f t="shared" si="193"/>
        <v>366</v>
      </c>
      <c r="R445" s="17" t="s">
        <v>2934</v>
      </c>
      <c r="S445" s="117" t="s">
        <v>1424</v>
      </c>
      <c r="T445" s="16" t="s">
        <v>1424</v>
      </c>
      <c r="U445" s="24" t="s">
        <v>1424</v>
      </c>
      <c r="V445" s="16" t="s">
        <v>1424</v>
      </c>
      <c r="W445" s="227">
        <v>0</v>
      </c>
      <c r="X445" s="24"/>
      <c r="Y445" s="24" t="s">
        <v>2935</v>
      </c>
      <c r="Z445" s="24"/>
      <c r="AA445" s="17" t="s">
        <v>406</v>
      </c>
      <c r="AB445" s="23" t="str">
        <f>IFERROR(VLOOKUP(AA445,Listas!$A$1:$C$14,2,FALSE),"")</f>
        <v>EDUARDO ELÍAS BARCHA BOLÍVAR</v>
      </c>
      <c r="AC445" s="23">
        <f>IFERROR(VLOOKUP(AA445,Listas!$A$1:$C$14,3,FALSE),"")</f>
        <v>72133921</v>
      </c>
      <c r="AD445" s="17" t="s">
        <v>559</v>
      </c>
      <c r="AE445" s="17" t="s">
        <v>504</v>
      </c>
      <c r="AF445" s="23" t="str">
        <f>IFERROR(VLOOKUP(AE445,Listas!$AD$1:$AF$65,2,FALSE),"")</f>
        <v>EDUARDO ELÍAS BARCHA BOLÍVAR</v>
      </c>
      <c r="AG445" s="23">
        <f>IFERROR(VLOOKUP(AE445,Listas!$AD$1:$AF$65,3,FALSE),"")</f>
        <v>72133921</v>
      </c>
      <c r="AH445" s="17" t="s">
        <v>2936</v>
      </c>
      <c r="AI445" s="65"/>
      <c r="AJ445" s="25" t="s">
        <v>1435</v>
      </c>
      <c r="AK445" s="26" t="s">
        <v>2071</v>
      </c>
      <c r="AL445" s="26" t="s">
        <v>2071</v>
      </c>
      <c r="AM445" s="90" t="s">
        <v>1435</v>
      </c>
      <c r="AN445" s="105"/>
      <c r="AO445" s="91" t="str">
        <f t="shared" ca="1" si="194"/>
        <v xml:space="preserve"> </v>
      </c>
      <c r="AP445" s="26" t="s">
        <v>2937</v>
      </c>
      <c r="AQ445" s="26" t="s">
        <v>3437</v>
      </c>
      <c r="AR445" s="89"/>
      <c r="AS445" s="27"/>
      <c r="AT445" s="16"/>
      <c r="AU445" s="27"/>
      <c r="AV445" s="86"/>
      <c r="AW445" s="27"/>
      <c r="AX445" s="27"/>
      <c r="AY445" s="27"/>
      <c r="AZ445" s="27"/>
      <c r="BA445" s="27"/>
      <c r="BB445" s="27"/>
      <c r="BC445" s="97"/>
      <c r="BD445" s="27"/>
      <c r="BE445" s="16"/>
      <c r="BF445" s="28">
        <f t="shared" si="195"/>
        <v>0</v>
      </c>
      <c r="BG445" s="29"/>
      <c r="BH445" s="27"/>
      <c r="BI445" s="30">
        <f t="shared" si="196"/>
        <v>366</v>
      </c>
      <c r="BJ445" s="31">
        <f t="shared" si="197"/>
        <v>45690</v>
      </c>
      <c r="BK445" s="27"/>
      <c r="BL445" s="16"/>
      <c r="BM445" s="27"/>
      <c r="BN445" s="16"/>
      <c r="BO445" s="27"/>
      <c r="BP445" s="16"/>
      <c r="BQ445" s="27"/>
      <c r="BR445" s="24"/>
      <c r="BS445" s="24"/>
      <c r="BT445" s="32"/>
      <c r="BU445" s="27"/>
      <c r="BV445" s="24"/>
      <c r="BW445" s="24"/>
      <c r="BX445" s="16"/>
      <c r="BY445" s="27"/>
      <c r="BZ445" s="24"/>
      <c r="CA445" s="24"/>
      <c r="CB445" s="16"/>
      <c r="CC445" s="49">
        <f t="shared" si="186"/>
        <v>0</v>
      </c>
      <c r="CD445" s="24"/>
      <c r="CE445" s="49" t="str">
        <f>IFERROR(IF(Y445=0,(W445+CC445)-CD445,IF(Y445&gt;0,(Y445+CC445)-CD445)),"")</f>
        <v/>
      </c>
      <c r="CF445" s="50">
        <v>2374236</v>
      </c>
      <c r="CG445" s="49" t="str">
        <f t="shared" ca="1" si="187"/>
        <v/>
      </c>
      <c r="CH445" s="33">
        <f t="shared" ca="1" si="198"/>
        <v>1</v>
      </c>
      <c r="CI445" s="33">
        <f t="shared" ca="1" si="199"/>
        <v>1</v>
      </c>
      <c r="CJ445" s="36" t="str">
        <f t="shared" ca="1" si="189"/>
        <v/>
      </c>
      <c r="CK445" s="34" t="str">
        <f t="shared" si="190"/>
        <v/>
      </c>
      <c r="CL445" s="21"/>
      <c r="CM445" s="35" t="str">
        <f t="shared" ca="1" si="191"/>
        <v>TERMINADO</v>
      </c>
      <c r="CN445" s="82"/>
      <c r="CP445" s="26"/>
      <c r="CR445" s="78"/>
    </row>
    <row r="446" spans="1:96" ht="24.75" customHeight="1">
      <c r="A446" s="48" t="s">
        <v>3730</v>
      </c>
      <c r="B446" s="77" t="s">
        <v>3731</v>
      </c>
      <c r="C446" s="17" t="s">
        <v>104</v>
      </c>
      <c r="D446" s="18" t="s">
        <v>3732</v>
      </c>
      <c r="E446" s="17" t="s">
        <v>106</v>
      </c>
      <c r="F446" s="17" t="s">
        <v>107</v>
      </c>
      <c r="G446" s="17" t="s">
        <v>108</v>
      </c>
      <c r="H446" s="78">
        <v>40327515</v>
      </c>
      <c r="I446" s="74" t="s">
        <v>3733</v>
      </c>
      <c r="J446" s="16"/>
      <c r="K446" s="16"/>
      <c r="L446" s="20" t="s">
        <v>3734</v>
      </c>
      <c r="M446" s="16" t="s">
        <v>111</v>
      </c>
      <c r="N446" s="115">
        <v>45324</v>
      </c>
      <c r="O446" s="115">
        <v>45328</v>
      </c>
      <c r="P446" s="115">
        <v>45656</v>
      </c>
      <c r="Q446" s="23">
        <f t="shared" si="193"/>
        <v>328</v>
      </c>
      <c r="R446" s="17" t="s">
        <v>242</v>
      </c>
      <c r="S446" s="117" t="s">
        <v>3735</v>
      </c>
      <c r="T446" s="16" t="s">
        <v>2708</v>
      </c>
      <c r="U446" s="24">
        <v>97104180</v>
      </c>
      <c r="V446" s="16" t="s">
        <v>3736</v>
      </c>
      <c r="W446" s="227">
        <v>89012165</v>
      </c>
      <c r="X446" s="24">
        <v>8092015</v>
      </c>
      <c r="Y446" s="24"/>
      <c r="Z446" s="24"/>
      <c r="AA446" s="17" t="s">
        <v>116</v>
      </c>
      <c r="AB446" s="23" t="str">
        <f>IFERROR(VLOOKUP(AA446,Listas!$A$1:$C$14,2,FALSE),"")</f>
        <v>FREDY CÉSPEDES VILLA</v>
      </c>
      <c r="AC446" s="23">
        <f>IFERROR(VLOOKUP(AA446,Listas!$A$1:$C$14,3,FALSE),"")</f>
        <v>93363483</v>
      </c>
      <c r="AD446" s="17" t="s">
        <v>116</v>
      </c>
      <c r="AE446" s="17" t="s">
        <v>2309</v>
      </c>
      <c r="AF446" s="23" t="str">
        <f>IFERROR(VLOOKUP(AE446,Listas!$AD$1:$AF$65,2,FALSE),"")</f>
        <v>YURY NAYIBE LADINO</v>
      </c>
      <c r="AG446" s="23">
        <f>IFERROR(VLOOKUP(AE446,Listas!$AD$1:$AF$65,3,FALSE),"")</f>
        <v>1013587191</v>
      </c>
      <c r="AH446" s="17" t="s">
        <v>118</v>
      </c>
      <c r="AI446" s="65" t="s">
        <v>3737</v>
      </c>
      <c r="AJ446" s="25" t="s">
        <v>119</v>
      </c>
      <c r="AK446" s="26" t="s">
        <v>120</v>
      </c>
      <c r="AL446" s="26" t="s">
        <v>120</v>
      </c>
      <c r="AM446" s="90" t="s">
        <v>119</v>
      </c>
      <c r="AN446" s="105">
        <v>30592</v>
      </c>
      <c r="AO446" s="91">
        <f t="shared" ca="1" si="194"/>
        <v>42</v>
      </c>
      <c r="AP446" s="26" t="s">
        <v>121</v>
      </c>
      <c r="AQ446" s="26" t="s">
        <v>285</v>
      </c>
      <c r="AR446" s="89"/>
      <c r="AS446" s="27"/>
      <c r="AT446" s="16"/>
      <c r="AU446" s="27"/>
      <c r="AV446" s="86"/>
      <c r="AW446" s="27"/>
      <c r="AX446" s="27"/>
      <c r="AY446" s="27"/>
      <c r="AZ446" s="27"/>
      <c r="BA446" s="27"/>
      <c r="BB446" s="27"/>
      <c r="BC446" s="97"/>
      <c r="BD446" s="27"/>
      <c r="BE446" s="16"/>
      <c r="BF446" s="28">
        <f t="shared" si="195"/>
        <v>0</v>
      </c>
      <c r="BG446" s="29"/>
      <c r="BH446" s="27"/>
      <c r="BI446" s="30">
        <f t="shared" si="196"/>
        <v>328</v>
      </c>
      <c r="BJ446" s="31">
        <f t="shared" si="197"/>
        <v>45656</v>
      </c>
      <c r="BK446" s="27"/>
      <c r="BL446" s="16"/>
      <c r="BM446" s="27"/>
      <c r="BN446" s="16"/>
      <c r="BO446" s="27"/>
      <c r="BP446" s="16"/>
      <c r="BQ446" s="27"/>
      <c r="BR446" s="24"/>
      <c r="BS446" s="24"/>
      <c r="BT446" s="32"/>
      <c r="BU446" s="27"/>
      <c r="BV446" s="24"/>
      <c r="BW446" s="24"/>
      <c r="BX446" s="16"/>
      <c r="BY446" s="27"/>
      <c r="BZ446" s="24"/>
      <c r="CA446" s="24"/>
      <c r="CB446" s="16"/>
      <c r="CC446" s="49">
        <f t="shared" si="186"/>
        <v>0</v>
      </c>
      <c r="CD446" s="24"/>
      <c r="CE446" s="49">
        <f t="shared" si="182"/>
        <v>89012165</v>
      </c>
      <c r="CF446" s="50"/>
      <c r="CG446" s="49">
        <f t="shared" ca="1" si="187"/>
        <v>89012165</v>
      </c>
      <c r="CH446" s="33">
        <f t="shared" ca="1" si="198"/>
        <v>1</v>
      </c>
      <c r="CI446" s="33">
        <f t="shared" ca="1" si="199"/>
        <v>1</v>
      </c>
      <c r="CJ446" s="36">
        <f t="shared" ca="1" si="189"/>
        <v>100</v>
      </c>
      <c r="CK446" s="34">
        <f t="shared" si="190"/>
        <v>0</v>
      </c>
      <c r="CL446" s="21"/>
      <c r="CM446" s="35" t="str">
        <f t="shared" ca="1" si="191"/>
        <v>TERMINADO</v>
      </c>
      <c r="CN446" s="82"/>
      <c r="CO446" s="145" t="s">
        <v>3738</v>
      </c>
      <c r="CP446" s="26" t="s">
        <v>123</v>
      </c>
      <c r="CR446" s="78"/>
    </row>
    <row r="447" spans="1:96" ht="24.75" customHeight="1">
      <c r="A447" s="48" t="s">
        <v>3739</v>
      </c>
      <c r="B447" s="77" t="s">
        <v>3740</v>
      </c>
      <c r="C447" s="17" t="s">
        <v>104</v>
      </c>
      <c r="D447" s="18" t="s">
        <v>3741</v>
      </c>
      <c r="E447" s="17" t="s">
        <v>106</v>
      </c>
      <c r="F447" s="17" t="s">
        <v>107</v>
      </c>
      <c r="G447" s="17" t="s">
        <v>108</v>
      </c>
      <c r="H447" s="78">
        <v>1072446921</v>
      </c>
      <c r="I447" s="74" t="s">
        <v>3742</v>
      </c>
      <c r="J447" s="16"/>
      <c r="K447" s="16"/>
      <c r="L447" s="20" t="s">
        <v>3743</v>
      </c>
      <c r="M447" s="16" t="s">
        <v>111</v>
      </c>
      <c r="N447" s="115">
        <v>45324</v>
      </c>
      <c r="O447" s="115">
        <v>45328</v>
      </c>
      <c r="P447" s="115">
        <v>45656</v>
      </c>
      <c r="Q447" s="23">
        <f t="shared" si="193"/>
        <v>328</v>
      </c>
      <c r="R447" s="17" t="s">
        <v>242</v>
      </c>
      <c r="S447" s="117" t="s">
        <v>3744</v>
      </c>
      <c r="T447" s="16" t="s">
        <v>2708</v>
      </c>
      <c r="U447" s="24">
        <v>97104180</v>
      </c>
      <c r="V447" s="16" t="s">
        <v>3736</v>
      </c>
      <c r="W447" s="227">
        <v>89012165</v>
      </c>
      <c r="X447" s="24">
        <v>8092015</v>
      </c>
      <c r="Y447" s="24"/>
      <c r="Z447" s="24"/>
      <c r="AA447" s="17" t="s">
        <v>116</v>
      </c>
      <c r="AB447" s="23" t="str">
        <f>IFERROR(VLOOKUP(AA447,Listas!$A$1:$C$14,2,FALSE),"")</f>
        <v>FREDY CÉSPEDES VILLA</v>
      </c>
      <c r="AC447" s="23">
        <f>IFERROR(VLOOKUP(AA447,Listas!$A$1:$C$14,3,FALSE),"")</f>
        <v>93363483</v>
      </c>
      <c r="AD447" s="17" t="s">
        <v>116</v>
      </c>
      <c r="AE447" s="17" t="s">
        <v>2309</v>
      </c>
      <c r="AF447" s="23" t="str">
        <f>IFERROR(VLOOKUP(AE447,Listas!$AD$1:$AF$65,2,FALSE),"")</f>
        <v>YURY NAYIBE LADINO</v>
      </c>
      <c r="AG447" s="23">
        <f>IFERROR(VLOOKUP(AE447,Listas!$AD$1:$AF$65,3,FALSE),"")</f>
        <v>1013587191</v>
      </c>
      <c r="AH447" s="17" t="s">
        <v>118</v>
      </c>
      <c r="AI447" s="65" t="s">
        <v>3745</v>
      </c>
      <c r="AJ447" s="25" t="s">
        <v>119</v>
      </c>
      <c r="AK447" s="26" t="s">
        <v>120</v>
      </c>
      <c r="AL447" s="26" t="s">
        <v>120</v>
      </c>
      <c r="AM447" s="90" t="s">
        <v>119</v>
      </c>
      <c r="AN447" s="105">
        <v>33443</v>
      </c>
      <c r="AO447" s="91">
        <f t="shared" ca="1" si="194"/>
        <v>34</v>
      </c>
      <c r="AP447" s="26" t="s">
        <v>121</v>
      </c>
      <c r="AQ447" s="26" t="s">
        <v>285</v>
      </c>
      <c r="AR447" s="89">
        <v>45566</v>
      </c>
      <c r="AS447" s="27" t="s">
        <v>3746</v>
      </c>
      <c r="AT447" s="104">
        <v>52428002</v>
      </c>
      <c r="AU447" s="27" t="s">
        <v>3743</v>
      </c>
      <c r="AV447" s="86">
        <v>24276046</v>
      </c>
      <c r="AW447" s="27"/>
      <c r="AX447" s="27"/>
      <c r="AY447" s="27"/>
      <c r="AZ447" s="27"/>
      <c r="BA447" s="27"/>
      <c r="BB447" s="27"/>
      <c r="BC447" s="97"/>
      <c r="BD447" s="27"/>
      <c r="BE447" s="16"/>
      <c r="BF447" s="28">
        <f t="shared" si="195"/>
        <v>0</v>
      </c>
      <c r="BG447" s="29"/>
      <c r="BH447" s="27"/>
      <c r="BI447" s="30">
        <f t="shared" si="196"/>
        <v>328</v>
      </c>
      <c r="BJ447" s="31">
        <f t="shared" si="197"/>
        <v>45656</v>
      </c>
      <c r="BK447" s="27"/>
      <c r="BL447" s="16"/>
      <c r="BM447" s="27"/>
      <c r="BN447" s="16"/>
      <c r="BO447" s="27"/>
      <c r="BP447" s="16"/>
      <c r="BQ447" s="27"/>
      <c r="BR447" s="24"/>
      <c r="BS447" s="24"/>
      <c r="BT447" s="32"/>
      <c r="BU447" s="27"/>
      <c r="BV447" s="24"/>
      <c r="BW447" s="24"/>
      <c r="BX447" s="16"/>
      <c r="BY447" s="27"/>
      <c r="BZ447" s="24"/>
      <c r="CA447" s="24"/>
      <c r="CB447" s="16"/>
      <c r="CC447" s="49">
        <f t="shared" si="186"/>
        <v>0</v>
      </c>
      <c r="CD447" s="24"/>
      <c r="CE447" s="49">
        <f t="shared" si="182"/>
        <v>89012165</v>
      </c>
      <c r="CF447" s="50"/>
      <c r="CG447" s="49">
        <f t="shared" ca="1" si="187"/>
        <v>89012165</v>
      </c>
      <c r="CH447" s="33">
        <f t="shared" ca="1" si="198"/>
        <v>1</v>
      </c>
      <c r="CI447" s="33">
        <f t="shared" ca="1" si="199"/>
        <v>1</v>
      </c>
      <c r="CJ447" s="36">
        <f t="shared" ca="1" si="189"/>
        <v>100</v>
      </c>
      <c r="CK447" s="34">
        <f t="shared" si="190"/>
        <v>0</v>
      </c>
      <c r="CL447" s="21"/>
      <c r="CM447" s="35" t="str">
        <f t="shared" ca="1" si="191"/>
        <v>TERMINADO</v>
      </c>
      <c r="CN447" s="82"/>
      <c r="CO447" s="145" t="s">
        <v>3747</v>
      </c>
      <c r="CP447" s="26" t="s">
        <v>123</v>
      </c>
      <c r="CR447" s="78"/>
    </row>
    <row r="448" spans="1:96" ht="24.75" customHeight="1">
      <c r="A448" s="48" t="s">
        <v>3748</v>
      </c>
      <c r="B448" s="77" t="s">
        <v>3749</v>
      </c>
      <c r="C448" s="17" t="s">
        <v>104</v>
      </c>
      <c r="D448" s="18" t="s">
        <v>3750</v>
      </c>
      <c r="E448" s="17" t="s">
        <v>106</v>
      </c>
      <c r="F448" s="17" t="s">
        <v>107</v>
      </c>
      <c r="G448" s="17" t="s">
        <v>108</v>
      </c>
      <c r="H448" s="78">
        <v>1020753682</v>
      </c>
      <c r="I448" s="74" t="s">
        <v>3751</v>
      </c>
      <c r="J448" s="16"/>
      <c r="K448" s="16"/>
      <c r="L448" s="20" t="s">
        <v>3752</v>
      </c>
      <c r="M448" s="16" t="s">
        <v>111</v>
      </c>
      <c r="N448" s="115">
        <v>45324</v>
      </c>
      <c r="O448" s="115">
        <v>45327</v>
      </c>
      <c r="P448" s="115">
        <v>45656</v>
      </c>
      <c r="Q448" s="23">
        <f t="shared" si="193"/>
        <v>329</v>
      </c>
      <c r="R448" s="17" t="s">
        <v>112</v>
      </c>
      <c r="S448" s="117" t="s">
        <v>3753</v>
      </c>
      <c r="T448" s="16" t="s">
        <v>364</v>
      </c>
      <c r="U448" s="24">
        <v>97104180</v>
      </c>
      <c r="V448" s="16" t="s">
        <v>1590</v>
      </c>
      <c r="W448" s="227">
        <v>99499090</v>
      </c>
      <c r="X448" s="24">
        <v>9072865</v>
      </c>
      <c r="Y448" s="24"/>
      <c r="Z448" s="24"/>
      <c r="AA448" s="17" t="s">
        <v>116</v>
      </c>
      <c r="AB448" s="23" t="str">
        <f>IFERROR(VLOOKUP(AA448,Listas!$A$1:$C$14,2,FALSE),"")</f>
        <v>FREDY CÉSPEDES VILLA</v>
      </c>
      <c r="AC448" s="23">
        <f>IFERROR(VLOOKUP(AA448,Listas!$A$1:$C$14,3,FALSE),"")</f>
        <v>93363483</v>
      </c>
      <c r="AD448" s="17" t="s">
        <v>345</v>
      </c>
      <c r="AE448" s="17" t="s">
        <v>346</v>
      </c>
      <c r="AF448" s="23" t="str">
        <f>IFERROR(VLOOKUP(AE448,Listas!$AD$1:$AF$65,2,FALSE),"")</f>
        <v>RODOLFO GIOVANNI CANCHILA SUÁREZ</v>
      </c>
      <c r="AG448" s="23">
        <f>IFERROR(VLOOKUP(AE448,Listas!$AD$1:$AF$65,3,FALSE),"")</f>
        <v>79672493</v>
      </c>
      <c r="AH448" s="17" t="s">
        <v>118</v>
      </c>
      <c r="AI448" s="65" t="s">
        <v>3754</v>
      </c>
      <c r="AJ448" s="25" t="s">
        <v>119</v>
      </c>
      <c r="AK448" s="26" t="s">
        <v>120</v>
      </c>
      <c r="AL448" s="26" t="s">
        <v>120</v>
      </c>
      <c r="AM448" s="90" t="s">
        <v>119</v>
      </c>
      <c r="AN448" s="105">
        <v>33041</v>
      </c>
      <c r="AO448" s="91">
        <f t="shared" ca="1" si="194"/>
        <v>35</v>
      </c>
      <c r="AP448" s="26" t="s">
        <v>121</v>
      </c>
      <c r="AQ448" s="26" t="s">
        <v>367</v>
      </c>
      <c r="AR448" s="89"/>
      <c r="AS448" s="27"/>
      <c r="AT448" s="16"/>
      <c r="AU448" s="27"/>
      <c r="AV448" s="86"/>
      <c r="AW448" s="27"/>
      <c r="AX448" s="27"/>
      <c r="AY448" s="27"/>
      <c r="AZ448" s="27"/>
      <c r="BA448" s="27"/>
      <c r="BB448" s="27"/>
      <c r="BC448" s="97"/>
      <c r="BD448" s="27"/>
      <c r="BE448" s="16"/>
      <c r="BF448" s="28">
        <f t="shared" si="195"/>
        <v>0</v>
      </c>
      <c r="BG448" s="29"/>
      <c r="BH448" s="27"/>
      <c r="BI448" s="30">
        <f t="shared" si="196"/>
        <v>329</v>
      </c>
      <c r="BJ448" s="31">
        <f t="shared" si="197"/>
        <v>45656</v>
      </c>
      <c r="BK448" s="27"/>
      <c r="BL448" s="16"/>
      <c r="BM448" s="27"/>
      <c r="BN448" s="16"/>
      <c r="BO448" s="27"/>
      <c r="BP448" s="16"/>
      <c r="BQ448" s="27"/>
      <c r="BR448" s="24"/>
      <c r="BS448" s="24"/>
      <c r="BT448" s="32"/>
      <c r="BU448" s="27"/>
      <c r="BV448" s="24"/>
      <c r="BW448" s="24"/>
      <c r="BX448" s="16"/>
      <c r="BY448" s="27"/>
      <c r="BZ448" s="24"/>
      <c r="CA448" s="24"/>
      <c r="CB448" s="16"/>
      <c r="CC448" s="49">
        <f t="shared" si="186"/>
        <v>0</v>
      </c>
      <c r="CD448" s="24"/>
      <c r="CE448" s="49">
        <f t="shared" si="182"/>
        <v>99499090</v>
      </c>
      <c r="CF448" s="50"/>
      <c r="CG448" s="49">
        <f t="shared" ca="1" si="187"/>
        <v>99499090</v>
      </c>
      <c r="CH448" s="33">
        <f t="shared" ca="1" si="198"/>
        <v>1</v>
      </c>
      <c r="CI448" s="33">
        <f t="shared" ca="1" si="199"/>
        <v>1</v>
      </c>
      <c r="CJ448" s="36">
        <f t="shared" ca="1" si="189"/>
        <v>100</v>
      </c>
      <c r="CK448" s="34">
        <f t="shared" si="190"/>
        <v>0</v>
      </c>
      <c r="CL448" s="21"/>
      <c r="CM448" s="35" t="str">
        <f t="shared" ca="1" si="191"/>
        <v>TERMINADO</v>
      </c>
      <c r="CN448" s="82"/>
      <c r="CO448" s="145" t="s">
        <v>3755</v>
      </c>
      <c r="CP448" s="26" t="s">
        <v>142</v>
      </c>
      <c r="CR448" s="78"/>
    </row>
    <row r="449" spans="1:96" ht="24.75" customHeight="1">
      <c r="A449" s="48" t="s">
        <v>3756</v>
      </c>
      <c r="B449" s="77" t="s">
        <v>3757</v>
      </c>
      <c r="C449" s="17" t="s">
        <v>104</v>
      </c>
      <c r="D449" s="18" t="s">
        <v>3758</v>
      </c>
      <c r="E449" s="17" t="s">
        <v>106</v>
      </c>
      <c r="F449" s="17" t="s">
        <v>107</v>
      </c>
      <c r="G449" s="17" t="s">
        <v>108</v>
      </c>
      <c r="H449" s="78">
        <v>1023881715</v>
      </c>
      <c r="I449" s="74" t="s">
        <v>3759</v>
      </c>
      <c r="J449" s="16"/>
      <c r="K449" s="16"/>
      <c r="L449" s="20" t="s">
        <v>874</v>
      </c>
      <c r="M449" s="16" t="s">
        <v>111</v>
      </c>
      <c r="N449" s="115">
        <v>45324</v>
      </c>
      <c r="O449" s="115">
        <v>45328</v>
      </c>
      <c r="P449" s="115">
        <v>45656</v>
      </c>
      <c r="Q449" s="23">
        <f t="shared" si="193"/>
        <v>328</v>
      </c>
      <c r="R449" s="17" t="s">
        <v>242</v>
      </c>
      <c r="S449" s="117" t="s">
        <v>3760</v>
      </c>
      <c r="T449" s="16" t="s">
        <v>1128</v>
      </c>
      <c r="U449" s="24">
        <v>70613333</v>
      </c>
      <c r="V449" s="16" t="s">
        <v>815</v>
      </c>
      <c r="W449" s="227">
        <v>70613333</v>
      </c>
      <c r="X449" s="24">
        <v>6400000</v>
      </c>
      <c r="Y449" s="24"/>
      <c r="Z449" s="24"/>
      <c r="AA449" s="17" t="s">
        <v>116</v>
      </c>
      <c r="AB449" s="23" t="str">
        <f>IFERROR(VLOOKUP(AA449,Listas!$A$1:$C$14,2,FALSE),"")</f>
        <v>FREDY CÉSPEDES VILLA</v>
      </c>
      <c r="AC449" s="23">
        <f>IFERROR(VLOOKUP(AA449,Listas!$A$1:$C$14,3,FALSE),"")</f>
        <v>93363483</v>
      </c>
      <c r="AD449" s="17" t="s">
        <v>816</v>
      </c>
      <c r="AE449" s="17" t="s">
        <v>817</v>
      </c>
      <c r="AF449" s="23" t="str">
        <f>IFERROR(VLOOKUP(AE449,Listas!$AD$1:$AF$65,2,FALSE),"")</f>
        <v>JOSÉ EDUARDO PARADA JIMÉNEZ</v>
      </c>
      <c r="AG449" s="23">
        <f>IFERROR(VLOOKUP(AE449,Listas!$AD$1:$AF$65,3,FALSE),"")</f>
        <v>79434805</v>
      </c>
      <c r="AH449" s="17" t="s">
        <v>118</v>
      </c>
      <c r="AI449" s="65" t="s">
        <v>3147</v>
      </c>
      <c r="AJ449" s="25" t="s">
        <v>119</v>
      </c>
      <c r="AK449" s="26" t="s">
        <v>120</v>
      </c>
      <c r="AL449" s="26" t="s">
        <v>120</v>
      </c>
      <c r="AM449" s="90" t="s">
        <v>119</v>
      </c>
      <c r="AN449" s="105">
        <v>32425</v>
      </c>
      <c r="AO449" s="91">
        <f t="shared" ca="1" si="194"/>
        <v>37</v>
      </c>
      <c r="AP449" s="26" t="s">
        <v>121</v>
      </c>
      <c r="AQ449" s="26" t="s">
        <v>819</v>
      </c>
      <c r="AR449" s="89"/>
      <c r="AS449" s="27"/>
      <c r="AT449" s="16"/>
      <c r="AU449" s="27"/>
      <c r="AV449" s="86"/>
      <c r="AW449" s="27"/>
      <c r="AX449" s="27"/>
      <c r="AY449" s="27"/>
      <c r="AZ449" s="27"/>
      <c r="BA449" s="27"/>
      <c r="BB449" s="27"/>
      <c r="BC449" s="97"/>
      <c r="BD449" s="27"/>
      <c r="BE449" s="16"/>
      <c r="BF449" s="28">
        <f t="shared" si="195"/>
        <v>0</v>
      </c>
      <c r="BG449" s="29"/>
      <c r="BH449" s="27"/>
      <c r="BI449" s="30">
        <f t="shared" si="196"/>
        <v>328</v>
      </c>
      <c r="BJ449" s="31">
        <f t="shared" si="197"/>
        <v>45656</v>
      </c>
      <c r="BK449" s="27"/>
      <c r="BL449" s="16"/>
      <c r="BM449" s="27"/>
      <c r="BN449" s="16"/>
      <c r="BO449" s="27"/>
      <c r="BP449" s="16"/>
      <c r="BQ449" s="27"/>
      <c r="BR449" s="24"/>
      <c r="BS449" s="24"/>
      <c r="BT449" s="32"/>
      <c r="BU449" s="27"/>
      <c r="BV449" s="24"/>
      <c r="BW449" s="24"/>
      <c r="BX449" s="16"/>
      <c r="BY449" s="27"/>
      <c r="BZ449" s="24"/>
      <c r="CA449" s="24"/>
      <c r="CB449" s="16"/>
      <c r="CC449" s="49">
        <f t="shared" si="186"/>
        <v>0</v>
      </c>
      <c r="CD449" s="24"/>
      <c r="CE449" s="49">
        <f t="shared" si="182"/>
        <v>70613333</v>
      </c>
      <c r="CF449" s="50"/>
      <c r="CG449" s="49">
        <f t="shared" ca="1" si="187"/>
        <v>70613333</v>
      </c>
      <c r="CH449" s="33">
        <f t="shared" ca="1" si="198"/>
        <v>1</v>
      </c>
      <c r="CI449" s="33">
        <f t="shared" ca="1" si="199"/>
        <v>1</v>
      </c>
      <c r="CJ449" s="36">
        <f t="shared" ca="1" si="189"/>
        <v>100</v>
      </c>
      <c r="CK449" s="34">
        <f t="shared" si="190"/>
        <v>0</v>
      </c>
      <c r="CL449" s="21"/>
      <c r="CM449" s="35" t="str">
        <f t="shared" ca="1" si="191"/>
        <v>TERMINADO</v>
      </c>
      <c r="CN449" s="82"/>
      <c r="CO449" s="145" t="s">
        <v>3761</v>
      </c>
      <c r="CP449" s="26" t="s">
        <v>123</v>
      </c>
      <c r="CR449" s="78"/>
    </row>
    <row r="450" spans="1:96" ht="24.75" customHeight="1">
      <c r="A450" s="48" t="s">
        <v>3762</v>
      </c>
      <c r="B450" s="77" t="s">
        <v>3763</v>
      </c>
      <c r="C450" s="17" t="s">
        <v>104</v>
      </c>
      <c r="D450" s="18" t="s">
        <v>3764</v>
      </c>
      <c r="E450" s="17" t="s">
        <v>106</v>
      </c>
      <c r="F450" s="17" t="s">
        <v>107</v>
      </c>
      <c r="G450" s="17" t="s">
        <v>108</v>
      </c>
      <c r="H450" s="78">
        <v>1030633429</v>
      </c>
      <c r="I450" s="74" t="s">
        <v>3765</v>
      </c>
      <c r="J450" s="16"/>
      <c r="K450" s="16"/>
      <c r="L450" s="20" t="s">
        <v>2844</v>
      </c>
      <c r="M450" s="16" t="s">
        <v>111</v>
      </c>
      <c r="N450" s="115">
        <v>45324</v>
      </c>
      <c r="O450" s="115">
        <v>45329</v>
      </c>
      <c r="P450" s="115">
        <v>45656</v>
      </c>
      <c r="Q450" s="23">
        <f t="shared" si="193"/>
        <v>327</v>
      </c>
      <c r="R450" s="17" t="s">
        <v>242</v>
      </c>
      <c r="S450" s="117" t="s">
        <v>3766</v>
      </c>
      <c r="T450" s="16" t="s">
        <v>1128</v>
      </c>
      <c r="U450" s="24">
        <v>78573333</v>
      </c>
      <c r="V450" s="16" t="s">
        <v>815</v>
      </c>
      <c r="W450" s="227">
        <v>78573333</v>
      </c>
      <c r="X450" s="24">
        <v>7100000</v>
      </c>
      <c r="Y450" s="24"/>
      <c r="Z450" s="24"/>
      <c r="AA450" s="17" t="s">
        <v>116</v>
      </c>
      <c r="AB450" s="23" t="str">
        <f>IFERROR(VLOOKUP(AA450,Listas!$A$1:$C$14,2,FALSE),"")</f>
        <v>FREDY CÉSPEDES VILLA</v>
      </c>
      <c r="AC450" s="23">
        <f>IFERROR(VLOOKUP(AA450,Listas!$A$1:$C$14,3,FALSE),"")</f>
        <v>93363483</v>
      </c>
      <c r="AD450" s="17" t="s">
        <v>816</v>
      </c>
      <c r="AE450" s="17" t="s">
        <v>817</v>
      </c>
      <c r="AF450" s="23" t="str">
        <f>IFERROR(VLOOKUP(AE450,Listas!$AD$1:$AF$65,2,FALSE),"")</f>
        <v>JOSÉ EDUARDO PARADA JIMÉNEZ</v>
      </c>
      <c r="AG450" s="23">
        <f>IFERROR(VLOOKUP(AE450,Listas!$AD$1:$AF$65,3,FALSE),"")</f>
        <v>79434805</v>
      </c>
      <c r="AH450" s="17" t="s">
        <v>118</v>
      </c>
      <c r="AI450" s="65" t="s">
        <v>3767</v>
      </c>
      <c r="AJ450" s="25" t="s">
        <v>119</v>
      </c>
      <c r="AK450" s="26" t="s">
        <v>120</v>
      </c>
      <c r="AL450" s="26" t="s">
        <v>120</v>
      </c>
      <c r="AM450" s="90" t="s">
        <v>119</v>
      </c>
      <c r="AN450" s="105">
        <v>34306</v>
      </c>
      <c r="AO450" s="91">
        <f t="shared" ca="1" si="194"/>
        <v>32</v>
      </c>
      <c r="AP450" s="26" t="s">
        <v>121</v>
      </c>
      <c r="AQ450" s="26" t="s">
        <v>819</v>
      </c>
      <c r="AR450" s="89"/>
      <c r="AS450" s="27"/>
      <c r="AT450" s="16"/>
      <c r="AU450" s="27"/>
      <c r="AV450" s="86"/>
      <c r="AW450" s="27"/>
      <c r="AX450" s="27"/>
      <c r="AY450" s="27"/>
      <c r="AZ450" s="27"/>
      <c r="BA450" s="27"/>
      <c r="BB450" s="27"/>
      <c r="BC450" s="97"/>
      <c r="BD450" s="27"/>
      <c r="BE450" s="16"/>
      <c r="BF450" s="28">
        <f t="shared" si="195"/>
        <v>0</v>
      </c>
      <c r="BG450" s="29"/>
      <c r="BH450" s="27"/>
      <c r="BI450" s="30">
        <f t="shared" si="196"/>
        <v>327</v>
      </c>
      <c r="BJ450" s="31">
        <f t="shared" si="197"/>
        <v>45656</v>
      </c>
      <c r="BK450" s="27"/>
      <c r="BL450" s="16"/>
      <c r="BM450" s="27"/>
      <c r="BN450" s="16"/>
      <c r="BO450" s="27"/>
      <c r="BP450" s="16"/>
      <c r="BQ450" s="27"/>
      <c r="BR450" s="24"/>
      <c r="BS450" s="24"/>
      <c r="BT450" s="32"/>
      <c r="BU450" s="27"/>
      <c r="BV450" s="24"/>
      <c r="BW450" s="24"/>
      <c r="BX450" s="16"/>
      <c r="BY450" s="27"/>
      <c r="BZ450" s="24"/>
      <c r="CA450" s="24"/>
      <c r="CB450" s="16"/>
      <c r="CC450" s="49">
        <f t="shared" si="186"/>
        <v>0</v>
      </c>
      <c r="CD450" s="24"/>
      <c r="CE450" s="49">
        <f t="shared" si="182"/>
        <v>78573333</v>
      </c>
      <c r="CF450" s="50"/>
      <c r="CG450" s="49">
        <f t="shared" ca="1" si="187"/>
        <v>78573333</v>
      </c>
      <c r="CH450" s="33">
        <f t="shared" ca="1" si="198"/>
        <v>1</v>
      </c>
      <c r="CI450" s="33">
        <f t="shared" ca="1" si="199"/>
        <v>1</v>
      </c>
      <c r="CJ450" s="36">
        <f t="shared" ca="1" si="189"/>
        <v>100</v>
      </c>
      <c r="CK450" s="34">
        <f t="shared" si="190"/>
        <v>0</v>
      </c>
      <c r="CL450" s="21"/>
      <c r="CM450" s="35" t="str">
        <f t="shared" ca="1" si="191"/>
        <v>TERMINADO</v>
      </c>
      <c r="CN450" s="82"/>
      <c r="CO450" s="145" t="s">
        <v>3768</v>
      </c>
      <c r="CP450" s="26" t="s">
        <v>142</v>
      </c>
      <c r="CR450" s="78"/>
    </row>
    <row r="451" spans="1:96" ht="24.75" customHeight="1">
      <c r="A451" s="48" t="s">
        <v>3769</v>
      </c>
      <c r="B451" s="77" t="s">
        <v>3770</v>
      </c>
      <c r="C451" s="17" t="s">
        <v>104</v>
      </c>
      <c r="D451" s="18" t="s">
        <v>3771</v>
      </c>
      <c r="E451" s="17" t="s">
        <v>106</v>
      </c>
      <c r="F451" s="17" t="s">
        <v>107</v>
      </c>
      <c r="G451" s="17" t="s">
        <v>108</v>
      </c>
      <c r="H451" s="78">
        <v>52977291</v>
      </c>
      <c r="I451" s="74" t="s">
        <v>3772</v>
      </c>
      <c r="J451" s="16"/>
      <c r="K451" s="16"/>
      <c r="L451" s="20" t="s">
        <v>874</v>
      </c>
      <c r="M451" s="16" t="s">
        <v>111</v>
      </c>
      <c r="N451" s="115">
        <v>45324</v>
      </c>
      <c r="O451" s="115">
        <v>45329</v>
      </c>
      <c r="P451" s="115">
        <v>45656</v>
      </c>
      <c r="Q451" s="23">
        <f t="shared" si="193"/>
        <v>327</v>
      </c>
      <c r="R451" s="17" t="s">
        <v>242</v>
      </c>
      <c r="S451" s="117" t="s">
        <v>3773</v>
      </c>
      <c r="T451" s="16" t="s">
        <v>1128</v>
      </c>
      <c r="U451" s="24">
        <v>70613333</v>
      </c>
      <c r="V451" s="16" t="s">
        <v>815</v>
      </c>
      <c r="W451" s="227">
        <v>70613333</v>
      </c>
      <c r="X451" s="24">
        <v>6400000</v>
      </c>
      <c r="Y451" s="24"/>
      <c r="Z451" s="24"/>
      <c r="AA451" s="17" t="s">
        <v>116</v>
      </c>
      <c r="AB451" s="23" t="str">
        <f>IFERROR(VLOOKUP(AA451,Listas!$A$1:$C$14,2,FALSE),"")</f>
        <v>FREDY CÉSPEDES VILLA</v>
      </c>
      <c r="AC451" s="23">
        <f>IFERROR(VLOOKUP(AA451,Listas!$A$1:$C$14,3,FALSE),"")</f>
        <v>93363483</v>
      </c>
      <c r="AD451" s="17" t="s">
        <v>816</v>
      </c>
      <c r="AE451" s="17" t="s">
        <v>817</v>
      </c>
      <c r="AF451" s="23" t="str">
        <f>IFERROR(VLOOKUP(AE451,Listas!$AD$1:$AF$65,2,FALSE),"")</f>
        <v>JOSÉ EDUARDO PARADA JIMÉNEZ</v>
      </c>
      <c r="AG451" s="23">
        <f>IFERROR(VLOOKUP(AE451,Listas!$AD$1:$AF$65,3,FALSE),"")</f>
        <v>79434805</v>
      </c>
      <c r="AH451" s="17" t="s">
        <v>118</v>
      </c>
      <c r="AI451" s="65" t="s">
        <v>3147</v>
      </c>
      <c r="AJ451" s="25" t="s">
        <v>119</v>
      </c>
      <c r="AK451" s="26" t="s">
        <v>120</v>
      </c>
      <c r="AL451" s="26" t="s">
        <v>120</v>
      </c>
      <c r="AM451" s="90" t="s">
        <v>119</v>
      </c>
      <c r="AN451" s="105">
        <v>30671</v>
      </c>
      <c r="AO451" s="91">
        <f t="shared" ca="1" si="194"/>
        <v>42</v>
      </c>
      <c r="AP451" s="26" t="s">
        <v>121</v>
      </c>
      <c r="AQ451" s="26" t="s">
        <v>819</v>
      </c>
      <c r="AR451" s="89"/>
      <c r="AS451" s="27"/>
      <c r="AT451" s="16"/>
      <c r="AU451" s="27"/>
      <c r="AV451" s="86"/>
      <c r="AW451" s="27"/>
      <c r="AX451" s="27"/>
      <c r="AY451" s="27"/>
      <c r="AZ451" s="27"/>
      <c r="BA451" s="27"/>
      <c r="BB451" s="27"/>
      <c r="BC451" s="97"/>
      <c r="BD451" s="27"/>
      <c r="BE451" s="16"/>
      <c r="BF451" s="28">
        <f t="shared" si="195"/>
        <v>0</v>
      </c>
      <c r="BG451" s="29"/>
      <c r="BH451" s="27"/>
      <c r="BI451" s="30">
        <f t="shared" si="196"/>
        <v>327</v>
      </c>
      <c r="BJ451" s="31">
        <f t="shared" si="197"/>
        <v>45656</v>
      </c>
      <c r="BK451" s="27"/>
      <c r="BL451" s="16"/>
      <c r="BM451" s="27"/>
      <c r="BN451" s="16"/>
      <c r="BO451" s="27"/>
      <c r="BP451" s="16"/>
      <c r="BQ451" s="27"/>
      <c r="BR451" s="24"/>
      <c r="BS451" s="24"/>
      <c r="BT451" s="32"/>
      <c r="BU451" s="27"/>
      <c r="BV451" s="24"/>
      <c r="BW451" s="24"/>
      <c r="BX451" s="16"/>
      <c r="BY451" s="27"/>
      <c r="BZ451" s="24"/>
      <c r="CA451" s="24"/>
      <c r="CB451" s="16"/>
      <c r="CC451" s="49">
        <f t="shared" si="186"/>
        <v>0</v>
      </c>
      <c r="CD451" s="24"/>
      <c r="CE451" s="49">
        <f t="shared" si="182"/>
        <v>70613333</v>
      </c>
      <c r="CF451" s="50"/>
      <c r="CG451" s="49">
        <f t="shared" ca="1" si="187"/>
        <v>70613333</v>
      </c>
      <c r="CH451" s="33">
        <f t="shared" ca="1" si="198"/>
        <v>1</v>
      </c>
      <c r="CI451" s="33">
        <f t="shared" ca="1" si="199"/>
        <v>1</v>
      </c>
      <c r="CJ451" s="36">
        <f t="shared" ca="1" si="189"/>
        <v>100</v>
      </c>
      <c r="CK451" s="34">
        <f t="shared" si="190"/>
        <v>0</v>
      </c>
      <c r="CL451" s="21"/>
      <c r="CM451" s="35" t="str">
        <f t="shared" ca="1" si="191"/>
        <v>TERMINADO</v>
      </c>
      <c r="CN451" s="82"/>
      <c r="CO451" s="145" t="s">
        <v>3774</v>
      </c>
      <c r="CP451" s="26" t="s">
        <v>123</v>
      </c>
      <c r="CR451" s="78"/>
    </row>
    <row r="452" spans="1:96" ht="24.75" customHeight="1">
      <c r="A452" s="48" t="s">
        <v>3775</v>
      </c>
      <c r="B452" s="77" t="s">
        <v>3776</v>
      </c>
      <c r="C452" s="17" t="s">
        <v>104</v>
      </c>
      <c r="D452" s="18" t="s">
        <v>3777</v>
      </c>
      <c r="E452" s="17" t="s">
        <v>106</v>
      </c>
      <c r="F452" s="17" t="s">
        <v>107</v>
      </c>
      <c r="G452" s="17" t="s">
        <v>108</v>
      </c>
      <c r="H452" s="78">
        <v>52496397</v>
      </c>
      <c r="I452" s="74" t="s">
        <v>3778</v>
      </c>
      <c r="J452" s="16"/>
      <c r="K452" s="16"/>
      <c r="L452" s="20" t="s">
        <v>874</v>
      </c>
      <c r="M452" s="16" t="s">
        <v>111</v>
      </c>
      <c r="N452" s="115">
        <v>45324</v>
      </c>
      <c r="O452" s="115">
        <v>45328</v>
      </c>
      <c r="P452" s="115">
        <v>45656</v>
      </c>
      <c r="Q452" s="23">
        <f t="shared" si="193"/>
        <v>328</v>
      </c>
      <c r="R452" s="17" t="s">
        <v>242</v>
      </c>
      <c r="S452" s="117" t="s">
        <v>3779</v>
      </c>
      <c r="T452" s="16" t="s">
        <v>1128</v>
      </c>
      <c r="U452" s="24">
        <v>70613333</v>
      </c>
      <c r="V452" s="16" t="s">
        <v>815</v>
      </c>
      <c r="W452" s="227">
        <v>70613333</v>
      </c>
      <c r="X452" s="24">
        <v>6400000</v>
      </c>
      <c r="Y452" s="24"/>
      <c r="Z452" s="24"/>
      <c r="AA452" s="17" t="s">
        <v>116</v>
      </c>
      <c r="AB452" s="23" t="str">
        <f>IFERROR(VLOOKUP(AA452,Listas!$A$1:$C$14,2,FALSE),"")</f>
        <v>FREDY CÉSPEDES VILLA</v>
      </c>
      <c r="AC452" s="23">
        <f>IFERROR(VLOOKUP(AA452,Listas!$A$1:$C$14,3,FALSE),"")</f>
        <v>93363483</v>
      </c>
      <c r="AD452" s="17" t="s">
        <v>816</v>
      </c>
      <c r="AE452" s="17" t="s">
        <v>817</v>
      </c>
      <c r="AF452" s="23" t="str">
        <f>IFERROR(VLOOKUP(AE452,Listas!$AD$1:$AF$65,2,FALSE),"")</f>
        <v>JOSÉ EDUARDO PARADA JIMÉNEZ</v>
      </c>
      <c r="AG452" s="23">
        <f>IFERROR(VLOOKUP(AE452,Listas!$AD$1:$AF$65,3,FALSE),"")</f>
        <v>79434805</v>
      </c>
      <c r="AH452" s="17" t="s">
        <v>118</v>
      </c>
      <c r="AI452" s="65" t="s">
        <v>3147</v>
      </c>
      <c r="AJ452" s="25" t="s">
        <v>119</v>
      </c>
      <c r="AK452" s="26" t="s">
        <v>120</v>
      </c>
      <c r="AL452" s="26" t="s">
        <v>120</v>
      </c>
      <c r="AM452" s="90" t="s">
        <v>119</v>
      </c>
      <c r="AN452" s="105">
        <v>28873</v>
      </c>
      <c r="AO452" s="91">
        <f t="shared" ca="1" si="194"/>
        <v>46</v>
      </c>
      <c r="AP452" s="26" t="s">
        <v>121</v>
      </c>
      <c r="AQ452" s="26" t="s">
        <v>819</v>
      </c>
      <c r="AR452" s="89"/>
      <c r="AS452" s="27"/>
      <c r="AT452" s="16"/>
      <c r="AU452" s="27"/>
      <c r="AV452" s="86"/>
      <c r="AW452" s="27"/>
      <c r="AX452" s="27"/>
      <c r="AY452" s="27"/>
      <c r="AZ452" s="27"/>
      <c r="BA452" s="27"/>
      <c r="BB452" s="27"/>
      <c r="BC452" s="97"/>
      <c r="BD452" s="27"/>
      <c r="BE452" s="16"/>
      <c r="BF452" s="28">
        <f t="shared" si="195"/>
        <v>0</v>
      </c>
      <c r="BG452" s="29"/>
      <c r="BH452" s="27"/>
      <c r="BI452" s="30">
        <f t="shared" si="196"/>
        <v>328</v>
      </c>
      <c r="BJ452" s="31">
        <f t="shared" si="197"/>
        <v>45656</v>
      </c>
      <c r="BK452" s="27"/>
      <c r="BL452" s="16"/>
      <c r="BM452" s="27"/>
      <c r="BN452" s="16"/>
      <c r="BO452" s="27"/>
      <c r="BP452" s="16"/>
      <c r="BQ452" s="27"/>
      <c r="BR452" s="24"/>
      <c r="BS452" s="24"/>
      <c r="BT452" s="32"/>
      <c r="BU452" s="27"/>
      <c r="BV452" s="24"/>
      <c r="BW452" s="24"/>
      <c r="BX452" s="16"/>
      <c r="BY452" s="27"/>
      <c r="BZ452" s="24"/>
      <c r="CA452" s="24"/>
      <c r="CB452" s="16"/>
      <c r="CC452" s="49">
        <f t="shared" si="186"/>
        <v>0</v>
      </c>
      <c r="CD452" s="24"/>
      <c r="CE452" s="49">
        <f t="shared" si="182"/>
        <v>70613333</v>
      </c>
      <c r="CF452" s="50"/>
      <c r="CG452" s="49">
        <f t="shared" ca="1" si="187"/>
        <v>70613333</v>
      </c>
      <c r="CH452" s="33">
        <f t="shared" ca="1" si="198"/>
        <v>1</v>
      </c>
      <c r="CI452" s="33">
        <f t="shared" ca="1" si="199"/>
        <v>1</v>
      </c>
      <c r="CJ452" s="36">
        <f t="shared" ca="1" si="189"/>
        <v>100</v>
      </c>
      <c r="CK452" s="34">
        <f t="shared" si="190"/>
        <v>0</v>
      </c>
      <c r="CL452" s="21"/>
      <c r="CM452" s="35" t="str">
        <f t="shared" ca="1" si="191"/>
        <v>TERMINADO</v>
      </c>
      <c r="CN452" s="82"/>
      <c r="CO452" s="145" t="s">
        <v>3780</v>
      </c>
      <c r="CP452" s="26" t="s">
        <v>123</v>
      </c>
      <c r="CR452" s="78"/>
    </row>
    <row r="453" spans="1:96" ht="24.75" customHeight="1">
      <c r="A453" s="48" t="s">
        <v>3781</v>
      </c>
      <c r="B453" s="77" t="s">
        <v>3782</v>
      </c>
      <c r="C453" s="17" t="s">
        <v>104</v>
      </c>
      <c r="D453" s="18" t="s">
        <v>3783</v>
      </c>
      <c r="E453" s="17" t="s">
        <v>106</v>
      </c>
      <c r="F453" s="17" t="s">
        <v>107</v>
      </c>
      <c r="G453" s="17" t="s">
        <v>108</v>
      </c>
      <c r="H453" s="78">
        <v>1024519953</v>
      </c>
      <c r="I453" s="74" t="s">
        <v>3784</v>
      </c>
      <c r="J453" s="16"/>
      <c r="K453" s="16"/>
      <c r="L453" s="20" t="s">
        <v>3785</v>
      </c>
      <c r="M453" s="16" t="s">
        <v>111</v>
      </c>
      <c r="N453" s="115">
        <v>45324</v>
      </c>
      <c r="O453" s="115">
        <v>45327</v>
      </c>
      <c r="P453" s="115">
        <v>45656</v>
      </c>
      <c r="Q453" s="23">
        <f t="shared" si="193"/>
        <v>329</v>
      </c>
      <c r="R453" s="17" t="s">
        <v>242</v>
      </c>
      <c r="S453" s="117" t="s">
        <v>3786</v>
      </c>
      <c r="T453" s="16" t="s">
        <v>1128</v>
      </c>
      <c r="U453" s="24">
        <v>70613333</v>
      </c>
      <c r="V453" s="16" t="s">
        <v>815</v>
      </c>
      <c r="W453" s="227">
        <v>88920000</v>
      </c>
      <c r="X453" s="24">
        <v>7800000</v>
      </c>
      <c r="Y453" s="24"/>
      <c r="Z453" s="24"/>
      <c r="AA453" s="17" t="s">
        <v>116</v>
      </c>
      <c r="AB453" s="23" t="str">
        <f>IFERROR(VLOOKUP(AA453,Listas!$A$1:$C$14,2,FALSE),"")</f>
        <v>FREDY CÉSPEDES VILLA</v>
      </c>
      <c r="AC453" s="23">
        <f>IFERROR(VLOOKUP(AA453,Listas!$A$1:$C$14,3,FALSE),"")</f>
        <v>93363483</v>
      </c>
      <c r="AD453" s="17" t="s">
        <v>816</v>
      </c>
      <c r="AE453" s="17" t="s">
        <v>3787</v>
      </c>
      <c r="AF453" s="23" t="str">
        <f>IFERROR(VLOOKUP(AE453,Listas!$AD$1:$AF$65,2,FALSE),"")</f>
        <v>FREDY GONZALO FONTECHA BERNAL</v>
      </c>
      <c r="AG453" s="23">
        <f>IFERROR(VLOOKUP(AE453,Listas!$AD$1:$AF$65,3,FALSE),"")</f>
        <v>80006563</v>
      </c>
      <c r="AH453" s="17" t="s">
        <v>118</v>
      </c>
      <c r="AI453" s="65" t="s">
        <v>3788</v>
      </c>
      <c r="AJ453" s="25" t="s">
        <v>119</v>
      </c>
      <c r="AK453" s="26" t="s">
        <v>120</v>
      </c>
      <c r="AL453" s="26" t="s">
        <v>120</v>
      </c>
      <c r="AM453" s="90" t="s">
        <v>119</v>
      </c>
      <c r="AN453" s="105">
        <v>33434</v>
      </c>
      <c r="AO453" s="91">
        <f t="shared" ca="1" si="194"/>
        <v>34</v>
      </c>
      <c r="AP453" s="26" t="s">
        <v>121</v>
      </c>
      <c r="AQ453" s="26" t="s">
        <v>1641</v>
      </c>
      <c r="AR453" s="89"/>
      <c r="AS453" s="27"/>
      <c r="AT453" s="16"/>
      <c r="AU453" s="27"/>
      <c r="AV453" s="86"/>
      <c r="AW453" s="27"/>
      <c r="AX453" s="27"/>
      <c r="AY453" s="27"/>
      <c r="AZ453" s="27"/>
      <c r="BA453" s="27"/>
      <c r="BB453" s="27"/>
      <c r="BC453" s="97"/>
      <c r="BD453" s="27"/>
      <c r="BE453" s="16"/>
      <c r="BF453" s="28">
        <f t="shared" si="195"/>
        <v>0</v>
      </c>
      <c r="BG453" s="29"/>
      <c r="BH453" s="27"/>
      <c r="BI453" s="30">
        <f t="shared" si="196"/>
        <v>329</v>
      </c>
      <c r="BJ453" s="31">
        <f t="shared" si="197"/>
        <v>45656</v>
      </c>
      <c r="BK453" s="27"/>
      <c r="BL453" s="16"/>
      <c r="BM453" s="27"/>
      <c r="BN453" s="16"/>
      <c r="BO453" s="27"/>
      <c r="BP453" s="16"/>
      <c r="BQ453" s="27"/>
      <c r="BR453" s="24"/>
      <c r="BS453" s="24"/>
      <c r="BT453" s="32"/>
      <c r="BU453" s="27"/>
      <c r="BV453" s="24"/>
      <c r="BW453" s="24"/>
      <c r="BX453" s="16"/>
      <c r="BY453" s="27"/>
      <c r="BZ453" s="24"/>
      <c r="CA453" s="24"/>
      <c r="CB453" s="16"/>
      <c r="CC453" s="49">
        <f t="shared" si="186"/>
        <v>0</v>
      </c>
      <c r="CD453" s="24"/>
      <c r="CE453" s="49">
        <f t="shared" si="182"/>
        <v>88920000</v>
      </c>
      <c r="CF453" s="50"/>
      <c r="CG453" s="49">
        <f t="shared" ca="1" si="187"/>
        <v>88920000</v>
      </c>
      <c r="CH453" s="33">
        <f t="shared" ca="1" si="198"/>
        <v>1</v>
      </c>
      <c r="CI453" s="33">
        <f t="shared" ca="1" si="199"/>
        <v>1</v>
      </c>
      <c r="CJ453" s="36">
        <f t="shared" ca="1" si="189"/>
        <v>100</v>
      </c>
      <c r="CK453" s="34">
        <f t="shared" si="190"/>
        <v>0</v>
      </c>
      <c r="CL453" s="21"/>
      <c r="CM453" s="35" t="str">
        <f t="shared" ca="1" si="191"/>
        <v>TERMINADO</v>
      </c>
      <c r="CN453" s="82"/>
      <c r="CO453" s="145" t="s">
        <v>3789</v>
      </c>
      <c r="CP453" s="26" t="s">
        <v>123</v>
      </c>
      <c r="CR453" s="78"/>
    </row>
    <row r="454" spans="1:96" ht="24.75" customHeight="1">
      <c r="A454" s="48" t="s">
        <v>3790</v>
      </c>
      <c r="B454" s="77" t="s">
        <v>3791</v>
      </c>
      <c r="C454" s="17" t="s">
        <v>104</v>
      </c>
      <c r="D454" s="18" t="s">
        <v>3792</v>
      </c>
      <c r="E454" s="17" t="s">
        <v>106</v>
      </c>
      <c r="F454" s="17" t="s">
        <v>107</v>
      </c>
      <c r="G454" s="17" t="s">
        <v>108</v>
      </c>
      <c r="H454" s="78">
        <v>53103209</v>
      </c>
      <c r="I454" s="74" t="s">
        <v>3793</v>
      </c>
      <c r="J454" s="16"/>
      <c r="K454" s="16"/>
      <c r="L454" s="20" t="s">
        <v>3794</v>
      </c>
      <c r="M454" s="16" t="s">
        <v>111</v>
      </c>
      <c r="N454" s="115">
        <v>45324</v>
      </c>
      <c r="O454" s="115">
        <v>45327</v>
      </c>
      <c r="P454" s="115">
        <v>45656</v>
      </c>
      <c r="Q454" s="23">
        <f t="shared" si="193"/>
        <v>329</v>
      </c>
      <c r="R454" s="17" t="s">
        <v>242</v>
      </c>
      <c r="S454" s="117" t="s">
        <v>3795</v>
      </c>
      <c r="T454" s="16" t="s">
        <v>1128</v>
      </c>
      <c r="U454" s="24">
        <v>121333333</v>
      </c>
      <c r="V454" s="16" t="s">
        <v>815</v>
      </c>
      <c r="W454" s="227">
        <v>121333333</v>
      </c>
      <c r="X454" s="24">
        <v>10400000</v>
      </c>
      <c r="Y454" s="24"/>
      <c r="Z454" s="24"/>
      <c r="AA454" s="17" t="s">
        <v>116</v>
      </c>
      <c r="AB454" s="23" t="str">
        <f>IFERROR(VLOOKUP(AA454,Listas!$A$1:$C$14,2,FALSE),"")</f>
        <v>FREDY CÉSPEDES VILLA</v>
      </c>
      <c r="AC454" s="23">
        <f>IFERROR(VLOOKUP(AA454,Listas!$A$1:$C$14,3,FALSE),"")</f>
        <v>93363483</v>
      </c>
      <c r="AD454" s="17" t="s">
        <v>816</v>
      </c>
      <c r="AE454" s="17" t="s">
        <v>2450</v>
      </c>
      <c r="AF454" s="23" t="str">
        <f>IFERROR(VLOOKUP(AE454,Listas!$AD$1:$AF$65,2,FALSE),"")</f>
        <v>VICTOR MANUEL MONDRAGÓN MACA</v>
      </c>
      <c r="AG454" s="23">
        <f>IFERROR(VLOOKUP(AE454,Listas!$AD$1:$AF$65,3,FALSE),"")</f>
        <v>76322322</v>
      </c>
      <c r="AH454" s="17" t="s">
        <v>118</v>
      </c>
      <c r="AI454" s="65" t="s">
        <v>3796</v>
      </c>
      <c r="AJ454" s="25" t="s">
        <v>119</v>
      </c>
      <c r="AK454" s="26" t="s">
        <v>120</v>
      </c>
      <c r="AL454" s="26" t="s">
        <v>120</v>
      </c>
      <c r="AM454" s="90" t="s">
        <v>119</v>
      </c>
      <c r="AN454" s="105">
        <v>31350</v>
      </c>
      <c r="AO454" s="91">
        <f t="shared" ca="1" si="194"/>
        <v>40</v>
      </c>
      <c r="AP454" s="26" t="s">
        <v>121</v>
      </c>
      <c r="AQ454" s="26" t="s">
        <v>1641</v>
      </c>
      <c r="AR454" s="89"/>
      <c r="AS454" s="27"/>
      <c r="AT454" s="16"/>
      <c r="AU454" s="27"/>
      <c r="AV454" s="86"/>
      <c r="AW454" s="27"/>
      <c r="AX454" s="27"/>
      <c r="AY454" s="27"/>
      <c r="AZ454" s="27"/>
      <c r="BA454" s="27"/>
      <c r="BB454" s="27"/>
      <c r="BC454" s="97"/>
      <c r="BD454" s="27"/>
      <c r="BE454" s="16"/>
      <c r="BF454" s="28">
        <f t="shared" si="195"/>
        <v>0</v>
      </c>
      <c r="BG454" s="29"/>
      <c r="BH454" s="27"/>
      <c r="BI454" s="30">
        <f t="shared" si="196"/>
        <v>329</v>
      </c>
      <c r="BJ454" s="31">
        <f t="shared" si="197"/>
        <v>45656</v>
      </c>
      <c r="BK454" s="27"/>
      <c r="BL454" s="16"/>
      <c r="BM454" s="27"/>
      <c r="BN454" s="16"/>
      <c r="BO454" s="27"/>
      <c r="BP454" s="16"/>
      <c r="BQ454" s="27"/>
      <c r="BR454" s="24"/>
      <c r="BS454" s="24"/>
      <c r="BT454" s="32"/>
      <c r="BU454" s="27"/>
      <c r="BV454" s="24"/>
      <c r="BW454" s="24"/>
      <c r="BX454" s="16"/>
      <c r="BY454" s="27"/>
      <c r="BZ454" s="24"/>
      <c r="CA454" s="24"/>
      <c r="CB454" s="16"/>
      <c r="CC454" s="49">
        <f t="shared" si="186"/>
        <v>0</v>
      </c>
      <c r="CD454" s="24"/>
      <c r="CE454" s="49">
        <f t="shared" si="182"/>
        <v>121333333</v>
      </c>
      <c r="CF454" s="50"/>
      <c r="CG454" s="49">
        <f t="shared" ca="1" si="187"/>
        <v>121333333</v>
      </c>
      <c r="CH454" s="33">
        <f t="shared" ca="1" si="198"/>
        <v>1</v>
      </c>
      <c r="CI454" s="33">
        <f t="shared" ca="1" si="199"/>
        <v>1</v>
      </c>
      <c r="CJ454" s="36">
        <f t="shared" ca="1" si="189"/>
        <v>100</v>
      </c>
      <c r="CK454" s="34">
        <f t="shared" si="190"/>
        <v>0</v>
      </c>
      <c r="CL454" s="21"/>
      <c r="CM454" s="35" t="str">
        <f t="shared" ca="1" si="191"/>
        <v>TERMINADO</v>
      </c>
      <c r="CN454" s="82"/>
      <c r="CO454" s="145" t="s">
        <v>3797</v>
      </c>
      <c r="CP454" s="26" t="s">
        <v>123</v>
      </c>
      <c r="CR454" s="78"/>
    </row>
    <row r="455" spans="1:96" ht="24.75" customHeight="1">
      <c r="A455" s="48" t="s">
        <v>3798</v>
      </c>
      <c r="B455" s="77" t="s">
        <v>3799</v>
      </c>
      <c r="C455" s="17" t="s">
        <v>104</v>
      </c>
      <c r="D455" s="18" t="s">
        <v>3800</v>
      </c>
      <c r="E455" s="17" t="s">
        <v>106</v>
      </c>
      <c r="F455" s="17" t="s">
        <v>107</v>
      </c>
      <c r="G455" s="17" t="s">
        <v>108</v>
      </c>
      <c r="H455" s="78">
        <v>1010193327</v>
      </c>
      <c r="I455" s="74" t="s">
        <v>3801</v>
      </c>
      <c r="J455" s="16"/>
      <c r="K455" s="16"/>
      <c r="L455" s="20" t="s">
        <v>3802</v>
      </c>
      <c r="M455" s="16" t="s">
        <v>111</v>
      </c>
      <c r="N455" s="115">
        <v>45324</v>
      </c>
      <c r="O455" s="115">
        <v>45327</v>
      </c>
      <c r="P455" s="115">
        <v>45656</v>
      </c>
      <c r="Q455" s="23">
        <f t="shared" si="193"/>
        <v>329</v>
      </c>
      <c r="R455" s="17" t="s">
        <v>242</v>
      </c>
      <c r="S455" s="117" t="s">
        <v>3803</v>
      </c>
      <c r="T455" s="16" t="s">
        <v>3058</v>
      </c>
      <c r="U455" s="24">
        <v>67037031</v>
      </c>
      <c r="V455" s="16" t="s">
        <v>3059</v>
      </c>
      <c r="W455" s="227">
        <v>48699218</v>
      </c>
      <c r="X455" s="24">
        <v>4413826</v>
      </c>
      <c r="Y455" s="24"/>
      <c r="Z455" s="24"/>
      <c r="AA455" s="17" t="s">
        <v>116</v>
      </c>
      <c r="AB455" s="23" t="str">
        <f>IFERROR(VLOOKUP(AA455,Listas!$A$1:$C$14,2,FALSE),"")</f>
        <v>FREDY CÉSPEDES VILLA</v>
      </c>
      <c r="AC455" s="23">
        <f>IFERROR(VLOOKUP(AA455,Listas!$A$1:$C$14,3,FALSE),"")</f>
        <v>93363483</v>
      </c>
      <c r="AD455" s="17" t="s">
        <v>345</v>
      </c>
      <c r="AE455" s="17" t="s">
        <v>346</v>
      </c>
      <c r="AF455" s="23" t="str">
        <f>IFERROR(VLOOKUP(AE455,Listas!$AD$1:$AF$65,2,FALSE),"")</f>
        <v>RODOLFO GIOVANNI CANCHILA SUÁREZ</v>
      </c>
      <c r="AG455" s="23">
        <f>IFERROR(VLOOKUP(AE455,Listas!$AD$1:$AF$65,3,FALSE),"")</f>
        <v>79672493</v>
      </c>
      <c r="AH455" s="17" t="s">
        <v>118</v>
      </c>
      <c r="AI455" s="65" t="s">
        <v>3804</v>
      </c>
      <c r="AJ455" s="25" t="s">
        <v>119</v>
      </c>
      <c r="AK455" s="26" t="s">
        <v>120</v>
      </c>
      <c r="AL455" s="26" t="s">
        <v>120</v>
      </c>
      <c r="AM455" s="90" t="s">
        <v>119</v>
      </c>
      <c r="AN455" s="105">
        <v>33127</v>
      </c>
      <c r="AO455" s="91">
        <f t="shared" ca="1" si="194"/>
        <v>35</v>
      </c>
      <c r="AP455" s="26" t="s">
        <v>121</v>
      </c>
      <c r="AQ455" s="26" t="s">
        <v>367</v>
      </c>
      <c r="AR455" s="89"/>
      <c r="AS455" s="27"/>
      <c r="AT455" s="16"/>
      <c r="AU455" s="27"/>
      <c r="AV455" s="86"/>
      <c r="AW455" s="27"/>
      <c r="AX455" s="27"/>
      <c r="AY455" s="27"/>
      <c r="AZ455" s="27"/>
      <c r="BA455" s="27"/>
      <c r="BB455" s="27"/>
      <c r="BC455" s="97"/>
      <c r="BD455" s="27"/>
      <c r="BE455" s="16"/>
      <c r="BF455" s="28">
        <f t="shared" si="195"/>
        <v>0</v>
      </c>
      <c r="BG455" s="29"/>
      <c r="BH455" s="27"/>
      <c r="BI455" s="30">
        <f t="shared" si="196"/>
        <v>329</v>
      </c>
      <c r="BJ455" s="31">
        <f t="shared" si="197"/>
        <v>45656</v>
      </c>
      <c r="BK455" s="27"/>
      <c r="BL455" s="16"/>
      <c r="BM455" s="27"/>
      <c r="BN455" s="16"/>
      <c r="BO455" s="27"/>
      <c r="BP455" s="16"/>
      <c r="BQ455" s="27"/>
      <c r="BR455" s="24"/>
      <c r="BS455" s="24"/>
      <c r="BT455" s="32"/>
      <c r="BU455" s="27"/>
      <c r="BV455" s="24"/>
      <c r="BW455" s="24"/>
      <c r="BX455" s="16"/>
      <c r="BY455" s="27"/>
      <c r="BZ455" s="24"/>
      <c r="CA455" s="24"/>
      <c r="CB455" s="16"/>
      <c r="CC455" s="49">
        <f t="shared" si="186"/>
        <v>0</v>
      </c>
      <c r="CD455" s="24"/>
      <c r="CE455" s="49">
        <f t="shared" ref="CE455:CE471" si="200">IF(Y455=0,(W455+CC455)-CD455,IF(Y455&gt;0,(Y455+CC455)-CD455))</f>
        <v>48699218</v>
      </c>
      <c r="CF455" s="50"/>
      <c r="CG455" s="49">
        <f t="shared" ca="1" si="187"/>
        <v>48699218</v>
      </c>
      <c r="CH455" s="33">
        <f t="shared" ca="1" si="198"/>
        <v>1</v>
      </c>
      <c r="CI455" s="33">
        <f t="shared" ca="1" si="199"/>
        <v>1</v>
      </c>
      <c r="CJ455" s="36">
        <f t="shared" ca="1" si="189"/>
        <v>100</v>
      </c>
      <c r="CK455" s="34">
        <f t="shared" si="190"/>
        <v>0</v>
      </c>
      <c r="CL455" s="21"/>
      <c r="CM455" s="35" t="str">
        <f t="shared" ca="1" si="191"/>
        <v>TERMINADO</v>
      </c>
      <c r="CN455" s="82"/>
      <c r="CO455" s="145" t="s">
        <v>3805</v>
      </c>
      <c r="CP455" s="26" t="s">
        <v>142</v>
      </c>
      <c r="CR455" s="78"/>
    </row>
    <row r="456" spans="1:96" ht="24.75" customHeight="1">
      <c r="A456" s="48" t="s">
        <v>3806</v>
      </c>
      <c r="B456" s="77" t="s">
        <v>3807</v>
      </c>
      <c r="C456" s="17" t="s">
        <v>104</v>
      </c>
      <c r="D456" s="18" t="s">
        <v>3808</v>
      </c>
      <c r="E456" s="17" t="s">
        <v>106</v>
      </c>
      <c r="F456" s="17" t="s">
        <v>107</v>
      </c>
      <c r="G456" s="17" t="s">
        <v>108</v>
      </c>
      <c r="H456" s="78">
        <v>1010188587</v>
      </c>
      <c r="I456" s="74" t="s">
        <v>3809</v>
      </c>
      <c r="J456" s="16"/>
      <c r="K456" s="16"/>
      <c r="L456" s="20" t="s">
        <v>3810</v>
      </c>
      <c r="M456" s="16" t="s">
        <v>111</v>
      </c>
      <c r="N456" s="115">
        <v>45324</v>
      </c>
      <c r="O456" s="115">
        <v>45328</v>
      </c>
      <c r="P456" s="115">
        <v>45656</v>
      </c>
      <c r="Q456" s="23">
        <f t="shared" si="193"/>
        <v>328</v>
      </c>
      <c r="R456" s="17" t="s">
        <v>242</v>
      </c>
      <c r="S456" s="117" t="s">
        <v>3811</v>
      </c>
      <c r="T456" s="16" t="s">
        <v>1345</v>
      </c>
      <c r="U456" s="24">
        <v>65116200</v>
      </c>
      <c r="V456" s="16" t="s">
        <v>437</v>
      </c>
      <c r="W456" s="227">
        <v>65116200</v>
      </c>
      <c r="X456" s="24">
        <v>5762496</v>
      </c>
      <c r="Y456" s="24"/>
      <c r="Z456" s="24"/>
      <c r="AA456" s="17" t="s">
        <v>116</v>
      </c>
      <c r="AB456" s="23" t="str">
        <f>IFERROR(VLOOKUP(AA456,Listas!$A$1:$C$14,2,FALSE),"")</f>
        <v>FREDY CÉSPEDES VILLA</v>
      </c>
      <c r="AC456" s="23">
        <f>IFERROR(VLOOKUP(AA456,Listas!$A$1:$C$14,3,FALSE),"")</f>
        <v>93363483</v>
      </c>
      <c r="AD456" s="17" t="s">
        <v>345</v>
      </c>
      <c r="AE456" s="17" t="s">
        <v>632</v>
      </c>
      <c r="AF456" s="23" t="str">
        <f>IFERROR(VLOOKUP(AE456,Listas!$AD$1:$AF$65,2,FALSE),"")</f>
        <v>MANUEL ALBERTO LOZANO CARDONA</v>
      </c>
      <c r="AG456" s="23">
        <f>IFERROR(VLOOKUP(AE456,Listas!$AD$1:$AF$65,3,FALSE),"")</f>
        <v>79940034</v>
      </c>
      <c r="AH456" s="17" t="s">
        <v>118</v>
      </c>
      <c r="AI456" s="65" t="s">
        <v>3812</v>
      </c>
      <c r="AJ456" s="25" t="s">
        <v>119</v>
      </c>
      <c r="AK456" s="26" t="s">
        <v>120</v>
      </c>
      <c r="AL456" s="26" t="s">
        <v>120</v>
      </c>
      <c r="AM456" s="90" t="s">
        <v>119</v>
      </c>
      <c r="AN456" s="105">
        <v>32910</v>
      </c>
      <c r="AO456" s="91">
        <f t="shared" ca="1" si="194"/>
        <v>35</v>
      </c>
      <c r="AP456" s="26" t="s">
        <v>121</v>
      </c>
      <c r="AQ456" s="26" t="s">
        <v>347</v>
      </c>
      <c r="AR456" s="89"/>
      <c r="AS456" s="27"/>
      <c r="AT456" s="16"/>
      <c r="AU456" s="27"/>
      <c r="AV456" s="86"/>
      <c r="AW456" s="27"/>
      <c r="AX456" s="27"/>
      <c r="AY456" s="27"/>
      <c r="AZ456" s="27"/>
      <c r="BA456" s="27"/>
      <c r="BB456" s="27"/>
      <c r="BC456" s="97"/>
      <c r="BD456" s="27"/>
      <c r="BE456" s="16"/>
      <c r="BF456" s="28">
        <f t="shared" si="195"/>
        <v>0</v>
      </c>
      <c r="BG456" s="29"/>
      <c r="BH456" s="27"/>
      <c r="BI456" s="30">
        <f t="shared" si="196"/>
        <v>328</v>
      </c>
      <c r="BJ456" s="31">
        <f t="shared" si="197"/>
        <v>45656</v>
      </c>
      <c r="BK456" s="27"/>
      <c r="BL456" s="16"/>
      <c r="BM456" s="27"/>
      <c r="BN456" s="16"/>
      <c r="BO456" s="27"/>
      <c r="BP456" s="16"/>
      <c r="BQ456" s="27"/>
      <c r="BR456" s="24"/>
      <c r="BS456" s="24"/>
      <c r="BT456" s="32"/>
      <c r="BU456" s="27"/>
      <c r="BV456" s="24"/>
      <c r="BW456" s="24"/>
      <c r="BX456" s="16"/>
      <c r="BY456" s="27"/>
      <c r="BZ456" s="24"/>
      <c r="CA456" s="24"/>
      <c r="CB456" s="16"/>
      <c r="CC456" s="49">
        <f t="shared" ref="CC456:CC472" si="201">BR456+BV456+BZ456</f>
        <v>0</v>
      </c>
      <c r="CD456" s="24"/>
      <c r="CE456" s="49">
        <f t="shared" si="200"/>
        <v>65116200</v>
      </c>
      <c r="CF456" s="50"/>
      <c r="CG456" s="49">
        <f t="shared" ref="CG456:CG472" ca="1" si="202">IFERROR(IF(((CE456/BI456)*(TODAY()-N456))&gt;CE456,CE456,((CE456/BI456)*(TODAY()-N456))),"")</f>
        <v>65116200</v>
      </c>
      <c r="CH456" s="33">
        <f t="shared" ca="1" si="198"/>
        <v>1</v>
      </c>
      <c r="CI456" s="33">
        <f t="shared" ca="1" si="199"/>
        <v>1</v>
      </c>
      <c r="CJ456" s="36">
        <f t="shared" ref="CJ456:CJ472" ca="1" si="203">IFERROR(IF(((CG456/CE456)*100)&gt;100,100,((CG456/CE456)*100)),"")</f>
        <v>100</v>
      </c>
      <c r="CK456" s="34">
        <f t="shared" ref="CK456:CK472" si="204">IFERROR((CF456/CE456)*100,"")</f>
        <v>0</v>
      </c>
      <c r="CL456" s="21"/>
      <c r="CM456" s="35" t="str">
        <f t="shared" ref="CM456:CM472" ca="1" si="205">IF(CL456&gt;1/1/6,"LIQUIDADO",IF(BJ456=$BE$20003,"",IF(BJ456&gt;=TODAY(),"VIGENTE",IF(BJ456&lt;TODAY(),"TERMINADO",))))</f>
        <v>TERMINADO</v>
      </c>
      <c r="CN456" s="82"/>
      <c r="CO456" s="145" t="s">
        <v>3813</v>
      </c>
      <c r="CP456" s="26" t="s">
        <v>142</v>
      </c>
      <c r="CR456" s="78"/>
    </row>
    <row r="457" spans="1:96" ht="24.75" customHeight="1">
      <c r="A457" s="48" t="s">
        <v>3814</v>
      </c>
      <c r="B457" s="77" t="s">
        <v>3815</v>
      </c>
      <c r="C457" s="17" t="s">
        <v>104</v>
      </c>
      <c r="D457" s="18" t="s">
        <v>3816</v>
      </c>
      <c r="E457" s="17" t="s">
        <v>106</v>
      </c>
      <c r="F457" s="17" t="s">
        <v>107</v>
      </c>
      <c r="G457" s="17" t="s">
        <v>108</v>
      </c>
      <c r="H457" s="78">
        <v>1082836086</v>
      </c>
      <c r="I457" s="74" t="s">
        <v>3817</v>
      </c>
      <c r="J457" s="16"/>
      <c r="K457" s="16"/>
      <c r="L457" s="20" t="s">
        <v>3818</v>
      </c>
      <c r="M457" s="16" t="s">
        <v>111</v>
      </c>
      <c r="N457" s="115">
        <v>45324</v>
      </c>
      <c r="O457" s="115">
        <v>45328</v>
      </c>
      <c r="P457" s="115">
        <v>45656</v>
      </c>
      <c r="Q457" s="23">
        <f t="shared" si="193"/>
        <v>328</v>
      </c>
      <c r="R457" s="17" t="s">
        <v>242</v>
      </c>
      <c r="S457" s="117" t="s">
        <v>3819</v>
      </c>
      <c r="T457" s="16" t="s">
        <v>1128</v>
      </c>
      <c r="U457" s="24">
        <v>93066667</v>
      </c>
      <c r="V457" s="16" t="s">
        <v>815</v>
      </c>
      <c r="W457" s="227">
        <v>93066667</v>
      </c>
      <c r="X457" s="24">
        <v>8000000</v>
      </c>
      <c r="Y457" s="24"/>
      <c r="Z457" s="24"/>
      <c r="AA457" s="17" t="s">
        <v>116</v>
      </c>
      <c r="AB457" s="23" t="str">
        <f>IFERROR(VLOOKUP(AA457,Listas!$A$1:$C$14,2,FALSE),"")</f>
        <v>FREDY CÉSPEDES VILLA</v>
      </c>
      <c r="AC457" s="23">
        <f>IFERROR(VLOOKUP(AA457,Listas!$A$1:$C$14,3,FALSE),"")</f>
        <v>93363483</v>
      </c>
      <c r="AD457" s="17" t="s">
        <v>816</v>
      </c>
      <c r="AE457" s="17" t="s">
        <v>2577</v>
      </c>
      <c r="AF457" s="23" t="str">
        <f>IFERROR(VLOOKUP(AE457,Listas!$AD$1:$AF$65,2,FALSE),"")</f>
        <v>VICTOR RAUL BAUTISTA GALINDO</v>
      </c>
      <c r="AG457" s="23">
        <f>IFERROR(VLOOKUP(AE457,Listas!$AD$1:$AF$65,3,FALSE),"")</f>
        <v>79352968</v>
      </c>
      <c r="AH457" s="17" t="s">
        <v>118</v>
      </c>
      <c r="AI457" s="65" t="s">
        <v>3820</v>
      </c>
      <c r="AJ457" s="25" t="s">
        <v>119</v>
      </c>
      <c r="AK457" s="26" t="s">
        <v>120</v>
      </c>
      <c r="AL457" s="26" t="s">
        <v>120</v>
      </c>
      <c r="AM457" s="90" t="s">
        <v>119</v>
      </c>
      <c r="AN457" s="105">
        <v>31341</v>
      </c>
      <c r="AO457" s="91">
        <f t="shared" ca="1" si="194"/>
        <v>40</v>
      </c>
      <c r="AP457" s="26" t="s">
        <v>121</v>
      </c>
      <c r="AQ457" s="26" t="s">
        <v>1641</v>
      </c>
      <c r="AR457" s="89"/>
      <c r="AS457" s="27"/>
      <c r="AT457" s="16"/>
      <c r="AU457" s="27"/>
      <c r="AV457" s="86"/>
      <c r="AW457" s="27"/>
      <c r="AX457" s="27"/>
      <c r="AY457" s="27"/>
      <c r="AZ457" s="27"/>
      <c r="BA457" s="27"/>
      <c r="BB457" s="27"/>
      <c r="BC457" s="97"/>
      <c r="BD457" s="27"/>
      <c r="BE457" s="16"/>
      <c r="BF457" s="28">
        <f t="shared" si="195"/>
        <v>0</v>
      </c>
      <c r="BG457" s="29"/>
      <c r="BH457" s="27"/>
      <c r="BI457" s="30">
        <f t="shared" si="196"/>
        <v>328</v>
      </c>
      <c r="BJ457" s="31">
        <f t="shared" si="197"/>
        <v>45656</v>
      </c>
      <c r="BK457" s="27"/>
      <c r="BL457" s="16"/>
      <c r="BM457" s="27"/>
      <c r="BN457" s="16"/>
      <c r="BO457" s="27"/>
      <c r="BP457" s="16"/>
      <c r="BQ457" s="27"/>
      <c r="BR457" s="24"/>
      <c r="BS457" s="24"/>
      <c r="BT457" s="32"/>
      <c r="BU457" s="27"/>
      <c r="BV457" s="24"/>
      <c r="BW457" s="24"/>
      <c r="BX457" s="16"/>
      <c r="BY457" s="27"/>
      <c r="BZ457" s="24"/>
      <c r="CA457" s="24"/>
      <c r="CB457" s="16"/>
      <c r="CC457" s="49">
        <f t="shared" si="201"/>
        <v>0</v>
      </c>
      <c r="CD457" s="24"/>
      <c r="CE457" s="49">
        <f t="shared" si="200"/>
        <v>93066667</v>
      </c>
      <c r="CF457" s="50"/>
      <c r="CG457" s="49">
        <f t="shared" ca="1" si="202"/>
        <v>93066667</v>
      </c>
      <c r="CH457" s="33">
        <f t="shared" ca="1" si="198"/>
        <v>1</v>
      </c>
      <c r="CI457" s="33">
        <f t="shared" ca="1" si="199"/>
        <v>1</v>
      </c>
      <c r="CJ457" s="36">
        <f t="shared" ca="1" si="203"/>
        <v>100</v>
      </c>
      <c r="CK457" s="34">
        <f t="shared" si="204"/>
        <v>0</v>
      </c>
      <c r="CL457" s="21"/>
      <c r="CM457" s="35" t="str">
        <f t="shared" ca="1" si="205"/>
        <v>TERMINADO</v>
      </c>
      <c r="CN457" s="82"/>
      <c r="CO457" s="145" t="s">
        <v>3821</v>
      </c>
      <c r="CP457" s="26" t="s">
        <v>142</v>
      </c>
      <c r="CR457" s="78"/>
    </row>
    <row r="458" spans="1:96" ht="24.75" customHeight="1">
      <c r="A458" s="48" t="s">
        <v>3822</v>
      </c>
      <c r="B458" s="77" t="s">
        <v>3823</v>
      </c>
      <c r="C458" s="17" t="s">
        <v>104</v>
      </c>
      <c r="D458" s="18" t="s">
        <v>3824</v>
      </c>
      <c r="E458" s="17" t="s">
        <v>106</v>
      </c>
      <c r="F458" s="17" t="s">
        <v>107</v>
      </c>
      <c r="G458" s="17" t="s">
        <v>108</v>
      </c>
      <c r="H458" s="78">
        <v>1015451936</v>
      </c>
      <c r="I458" s="74" t="s">
        <v>3825</v>
      </c>
      <c r="J458" s="16"/>
      <c r="K458" s="16"/>
      <c r="L458" s="20" t="s">
        <v>3826</v>
      </c>
      <c r="M458" s="16" t="s">
        <v>111</v>
      </c>
      <c r="N458" s="115">
        <v>45324</v>
      </c>
      <c r="O458" s="115">
        <v>45328</v>
      </c>
      <c r="P458" s="115">
        <v>45656</v>
      </c>
      <c r="Q458" s="23">
        <f t="shared" si="193"/>
        <v>328</v>
      </c>
      <c r="R458" s="17" t="s">
        <v>242</v>
      </c>
      <c r="S458" s="117" t="s">
        <v>3827</v>
      </c>
      <c r="T458" s="16" t="s">
        <v>1345</v>
      </c>
      <c r="U458" s="24">
        <v>64539950</v>
      </c>
      <c r="V458" s="16" t="s">
        <v>437</v>
      </c>
      <c r="W458" s="227">
        <v>64539950</v>
      </c>
      <c r="X458" s="24">
        <v>5762496</v>
      </c>
      <c r="Y458" s="24"/>
      <c r="Z458" s="24"/>
      <c r="AA458" s="17" t="s">
        <v>116</v>
      </c>
      <c r="AB458" s="23" t="str">
        <f>IFERROR(VLOOKUP(AA458,Listas!$A$1:$C$14,2,FALSE),"")</f>
        <v>FREDY CÉSPEDES VILLA</v>
      </c>
      <c r="AC458" s="23">
        <f>IFERROR(VLOOKUP(AA458,Listas!$A$1:$C$14,3,FALSE),"")</f>
        <v>93363483</v>
      </c>
      <c r="AD458" s="17" t="s">
        <v>345</v>
      </c>
      <c r="AE458" s="17" t="s">
        <v>632</v>
      </c>
      <c r="AF458" s="23" t="str">
        <f>IFERROR(VLOOKUP(AE458,Listas!$AD$1:$AF$65,2,FALSE),"")</f>
        <v>MANUEL ALBERTO LOZANO CARDONA</v>
      </c>
      <c r="AG458" s="23">
        <f>IFERROR(VLOOKUP(AE458,Listas!$AD$1:$AF$65,3,FALSE),"")</f>
        <v>79940034</v>
      </c>
      <c r="AH458" s="17" t="s">
        <v>118</v>
      </c>
      <c r="AI458" s="65" t="s">
        <v>3828</v>
      </c>
      <c r="AJ458" s="25" t="s">
        <v>119</v>
      </c>
      <c r="AK458" s="26" t="s">
        <v>120</v>
      </c>
      <c r="AL458" s="26" t="s">
        <v>120</v>
      </c>
      <c r="AM458" s="90" t="s">
        <v>119</v>
      </c>
      <c r="AN458" s="105">
        <v>34743</v>
      </c>
      <c r="AO458" s="91">
        <f t="shared" ca="1" si="194"/>
        <v>30</v>
      </c>
      <c r="AP458" s="26" t="s">
        <v>121</v>
      </c>
      <c r="AQ458" s="26" t="s">
        <v>347</v>
      </c>
      <c r="AR458" s="89"/>
      <c r="AS458" s="27"/>
      <c r="AT458" s="16"/>
      <c r="AU458" s="27"/>
      <c r="AV458" s="86"/>
      <c r="AW458" s="27"/>
      <c r="AX458" s="27"/>
      <c r="AY458" s="27"/>
      <c r="AZ458" s="27"/>
      <c r="BA458" s="27"/>
      <c r="BB458" s="27"/>
      <c r="BC458" s="97"/>
      <c r="BD458" s="27"/>
      <c r="BE458" s="16"/>
      <c r="BF458" s="28">
        <f t="shared" si="195"/>
        <v>0</v>
      </c>
      <c r="BG458" s="29"/>
      <c r="BH458" s="27"/>
      <c r="BI458" s="30">
        <f t="shared" si="196"/>
        <v>328</v>
      </c>
      <c r="BJ458" s="31">
        <f t="shared" si="197"/>
        <v>45656</v>
      </c>
      <c r="BK458" s="27"/>
      <c r="BL458" s="16"/>
      <c r="BM458" s="27"/>
      <c r="BN458" s="16"/>
      <c r="BO458" s="27"/>
      <c r="BP458" s="16"/>
      <c r="BQ458" s="27"/>
      <c r="BR458" s="24"/>
      <c r="BS458" s="24"/>
      <c r="BT458" s="32"/>
      <c r="BU458" s="27"/>
      <c r="BV458" s="24"/>
      <c r="BW458" s="24"/>
      <c r="BX458" s="16"/>
      <c r="BY458" s="27"/>
      <c r="BZ458" s="24"/>
      <c r="CA458" s="24"/>
      <c r="CB458" s="16"/>
      <c r="CC458" s="49">
        <f t="shared" si="201"/>
        <v>0</v>
      </c>
      <c r="CD458" s="24"/>
      <c r="CE458" s="49">
        <f t="shared" si="200"/>
        <v>64539950</v>
      </c>
      <c r="CF458" s="50"/>
      <c r="CG458" s="49">
        <f t="shared" ca="1" si="202"/>
        <v>64539950</v>
      </c>
      <c r="CH458" s="33">
        <f t="shared" ca="1" si="198"/>
        <v>1</v>
      </c>
      <c r="CI458" s="33">
        <f t="shared" ca="1" si="199"/>
        <v>1</v>
      </c>
      <c r="CJ458" s="36">
        <f t="shared" ca="1" si="203"/>
        <v>100</v>
      </c>
      <c r="CK458" s="34">
        <f t="shared" si="204"/>
        <v>0</v>
      </c>
      <c r="CL458" s="21"/>
      <c r="CM458" s="35" t="str">
        <f t="shared" ca="1" si="205"/>
        <v>TERMINADO</v>
      </c>
      <c r="CN458" s="82"/>
      <c r="CO458" s="145" t="s">
        <v>3829</v>
      </c>
      <c r="CP458" s="26" t="s">
        <v>142</v>
      </c>
      <c r="CR458" s="78"/>
    </row>
    <row r="459" spans="1:96" ht="24.75" customHeight="1">
      <c r="A459" s="48" t="s">
        <v>3830</v>
      </c>
      <c r="B459" s="77" t="s">
        <v>3831</v>
      </c>
      <c r="C459" s="17" t="s">
        <v>104</v>
      </c>
      <c r="D459" s="18" t="s">
        <v>3832</v>
      </c>
      <c r="E459" s="17" t="s">
        <v>106</v>
      </c>
      <c r="F459" s="17" t="s">
        <v>107</v>
      </c>
      <c r="G459" s="17" t="s">
        <v>108</v>
      </c>
      <c r="H459" s="78">
        <v>1030589324</v>
      </c>
      <c r="I459" s="74" t="s">
        <v>3833</v>
      </c>
      <c r="J459" s="16"/>
      <c r="K459" s="16"/>
      <c r="L459" s="20" t="s">
        <v>3834</v>
      </c>
      <c r="M459" s="16" t="s">
        <v>111</v>
      </c>
      <c r="N459" s="115">
        <v>45324</v>
      </c>
      <c r="O459" s="115">
        <v>45329</v>
      </c>
      <c r="P459" s="115">
        <v>45656</v>
      </c>
      <c r="Q459" s="23">
        <f t="shared" si="193"/>
        <v>327</v>
      </c>
      <c r="R459" s="17" t="s">
        <v>112</v>
      </c>
      <c r="S459" s="117" t="s">
        <v>3835</v>
      </c>
      <c r="T459" s="16" t="s">
        <v>3836</v>
      </c>
      <c r="U459" s="24">
        <v>60300636</v>
      </c>
      <c r="V459" s="16" t="s">
        <v>1318</v>
      </c>
      <c r="W459" s="227">
        <v>55275583</v>
      </c>
      <c r="X459" s="24">
        <v>5025053</v>
      </c>
      <c r="Y459" s="24"/>
      <c r="Z459" s="24"/>
      <c r="AA459" s="17" t="s">
        <v>116</v>
      </c>
      <c r="AB459" s="23" t="str">
        <f>IFERROR(VLOOKUP(AA459,Listas!$A$1:$C$14,2,FALSE),"")</f>
        <v>FREDY CÉSPEDES VILLA</v>
      </c>
      <c r="AC459" s="23">
        <f>IFERROR(VLOOKUP(AA459,Listas!$A$1:$C$14,3,FALSE),"")</f>
        <v>93363483</v>
      </c>
      <c r="AD459" s="17" t="s">
        <v>116</v>
      </c>
      <c r="AE459" s="17" t="s">
        <v>659</v>
      </c>
      <c r="AF459" s="23" t="str">
        <f>IFERROR(VLOOKUP(AE459,Listas!$AD$1:$AF$65,2,FALSE),"")</f>
        <v>TATIANA FORERO TORRES</v>
      </c>
      <c r="AG459" s="23">
        <f>IFERROR(VLOOKUP(AE459,Listas!$AD$1:$AF$65,3,FALSE),"")</f>
        <v>1072446921</v>
      </c>
      <c r="AH459" s="17" t="s">
        <v>118</v>
      </c>
      <c r="AI459" s="65" t="s">
        <v>3837</v>
      </c>
      <c r="AJ459" s="25" t="s">
        <v>119</v>
      </c>
      <c r="AK459" s="26" t="s">
        <v>120</v>
      </c>
      <c r="AL459" s="26" t="s">
        <v>120</v>
      </c>
      <c r="AM459" s="90" t="s">
        <v>119</v>
      </c>
      <c r="AN459" s="105">
        <v>33310</v>
      </c>
      <c r="AO459" s="91">
        <f t="shared" ca="1" si="194"/>
        <v>34</v>
      </c>
      <c r="AP459" s="26" t="s">
        <v>121</v>
      </c>
      <c r="AQ459" s="26" t="s">
        <v>285</v>
      </c>
      <c r="AR459" s="89"/>
      <c r="AS459" s="27"/>
      <c r="AT459" s="16"/>
      <c r="AU459" s="27"/>
      <c r="AV459" s="86"/>
      <c r="AW459" s="27"/>
      <c r="AX459" s="27"/>
      <c r="AY459" s="27"/>
      <c r="AZ459" s="27"/>
      <c r="BA459" s="27"/>
      <c r="BB459" s="27"/>
      <c r="BC459" s="97"/>
      <c r="BD459" s="27"/>
      <c r="BE459" s="16"/>
      <c r="BF459" s="28">
        <f t="shared" si="195"/>
        <v>0</v>
      </c>
      <c r="BG459" s="29"/>
      <c r="BH459" s="27"/>
      <c r="BI459" s="30">
        <f t="shared" si="196"/>
        <v>327</v>
      </c>
      <c r="BJ459" s="31">
        <f t="shared" si="197"/>
        <v>45656</v>
      </c>
      <c r="BK459" s="27"/>
      <c r="BL459" s="16"/>
      <c r="BM459" s="27"/>
      <c r="BN459" s="16"/>
      <c r="BO459" s="27"/>
      <c r="BP459" s="16"/>
      <c r="BQ459" s="27"/>
      <c r="BR459" s="24"/>
      <c r="BS459" s="24"/>
      <c r="BT459" s="32"/>
      <c r="BU459" s="27"/>
      <c r="BV459" s="24"/>
      <c r="BW459" s="24"/>
      <c r="BX459" s="16"/>
      <c r="BY459" s="27"/>
      <c r="BZ459" s="24"/>
      <c r="CA459" s="24"/>
      <c r="CB459" s="16"/>
      <c r="CC459" s="49">
        <f t="shared" si="201"/>
        <v>0</v>
      </c>
      <c r="CD459" s="24"/>
      <c r="CE459" s="49">
        <f t="shared" si="200"/>
        <v>55275583</v>
      </c>
      <c r="CF459" s="50"/>
      <c r="CG459" s="49">
        <f t="shared" ca="1" si="202"/>
        <v>55275583</v>
      </c>
      <c r="CH459" s="33">
        <f t="shared" ca="1" si="198"/>
        <v>1</v>
      </c>
      <c r="CI459" s="33">
        <f t="shared" ca="1" si="199"/>
        <v>1</v>
      </c>
      <c r="CJ459" s="36">
        <f t="shared" ca="1" si="203"/>
        <v>100</v>
      </c>
      <c r="CK459" s="34">
        <f t="shared" si="204"/>
        <v>0</v>
      </c>
      <c r="CL459" s="21"/>
      <c r="CM459" s="35" t="str">
        <f t="shared" ca="1" si="205"/>
        <v>TERMINADO</v>
      </c>
      <c r="CN459" s="82"/>
      <c r="CO459" s="145" t="s">
        <v>3838</v>
      </c>
      <c r="CP459" s="26" t="s">
        <v>123</v>
      </c>
      <c r="CR459" s="78"/>
    </row>
    <row r="460" spans="1:96" ht="24.75" customHeight="1">
      <c r="A460" s="48" t="s">
        <v>3839</v>
      </c>
      <c r="B460" s="77" t="s">
        <v>3840</v>
      </c>
      <c r="C460" s="17" t="s">
        <v>104</v>
      </c>
      <c r="D460" s="18" t="s">
        <v>3841</v>
      </c>
      <c r="E460" s="17" t="s">
        <v>106</v>
      </c>
      <c r="F460" s="17" t="s">
        <v>107</v>
      </c>
      <c r="G460" s="17" t="s">
        <v>108</v>
      </c>
      <c r="H460" s="78">
        <v>52798205</v>
      </c>
      <c r="I460" s="74" t="s">
        <v>3842</v>
      </c>
      <c r="J460" s="16"/>
      <c r="K460" s="16"/>
      <c r="L460" s="20" t="s">
        <v>3843</v>
      </c>
      <c r="M460" s="16" t="s">
        <v>111</v>
      </c>
      <c r="N460" s="115">
        <v>45324</v>
      </c>
      <c r="O460" s="115">
        <v>45330</v>
      </c>
      <c r="P460" s="115">
        <v>45656</v>
      </c>
      <c r="Q460" s="23">
        <f t="shared" si="193"/>
        <v>326</v>
      </c>
      <c r="R460" s="17" t="s">
        <v>242</v>
      </c>
      <c r="S460" s="117" t="s">
        <v>3844</v>
      </c>
      <c r="T460" s="16" t="s">
        <v>1128</v>
      </c>
      <c r="U460" s="24">
        <v>91733333</v>
      </c>
      <c r="V460" s="16" t="s">
        <v>815</v>
      </c>
      <c r="W460" s="227">
        <v>91733333</v>
      </c>
      <c r="X460" s="24">
        <v>8000000</v>
      </c>
      <c r="Y460" s="24"/>
      <c r="Z460" s="24"/>
      <c r="AA460" s="17" t="s">
        <v>116</v>
      </c>
      <c r="AB460" s="23" t="str">
        <f>IFERROR(VLOOKUP(AA460,Listas!$A$1:$C$14,2,FALSE),"")</f>
        <v>FREDY CÉSPEDES VILLA</v>
      </c>
      <c r="AC460" s="23">
        <f>IFERROR(VLOOKUP(AA460,Listas!$A$1:$C$14,3,FALSE),"")</f>
        <v>93363483</v>
      </c>
      <c r="AD460" s="17" t="s">
        <v>816</v>
      </c>
      <c r="AE460" s="17" t="s">
        <v>3578</v>
      </c>
      <c r="AF460" s="23" t="str">
        <f>IFERROR(VLOOKUP(AE460,Listas!$AD$1:$AF$65,2,FALSE),"")</f>
        <v>MARTHA RUTH ROBAYO LÓPEZ</v>
      </c>
      <c r="AG460" s="23">
        <f>IFERROR(VLOOKUP(AE460,Listas!$AD$1:$AF$65,3,FALSE),"")</f>
        <v>52193887</v>
      </c>
      <c r="AH460" s="17" t="s">
        <v>118</v>
      </c>
      <c r="AI460" s="65" t="s">
        <v>3845</v>
      </c>
      <c r="AJ460" s="25" t="s">
        <v>119</v>
      </c>
      <c r="AK460" s="26" t="s">
        <v>120</v>
      </c>
      <c r="AL460" s="26" t="s">
        <v>120</v>
      </c>
      <c r="AM460" s="90" t="s">
        <v>119</v>
      </c>
      <c r="AN460" s="105">
        <v>29382</v>
      </c>
      <c r="AO460" s="91">
        <f t="shared" ca="1" si="194"/>
        <v>45</v>
      </c>
      <c r="AP460" s="26" t="s">
        <v>121</v>
      </c>
      <c r="AQ460" s="26" t="s">
        <v>1641</v>
      </c>
      <c r="AR460" s="89"/>
      <c r="AS460" s="27"/>
      <c r="AT460" s="16"/>
      <c r="AU460" s="27"/>
      <c r="AV460" s="86"/>
      <c r="AW460" s="27"/>
      <c r="AX460" s="27"/>
      <c r="AY460" s="27"/>
      <c r="AZ460" s="27"/>
      <c r="BA460" s="27"/>
      <c r="BB460" s="27"/>
      <c r="BC460" s="97"/>
      <c r="BD460" s="27"/>
      <c r="BE460" s="16"/>
      <c r="BF460" s="28">
        <f t="shared" si="195"/>
        <v>0</v>
      </c>
      <c r="BG460" s="29"/>
      <c r="BH460" s="27"/>
      <c r="BI460" s="30">
        <f t="shared" si="196"/>
        <v>326</v>
      </c>
      <c r="BJ460" s="31">
        <f t="shared" si="197"/>
        <v>45656</v>
      </c>
      <c r="BK460" s="27"/>
      <c r="BL460" s="16"/>
      <c r="BM460" s="27"/>
      <c r="BN460" s="16"/>
      <c r="BO460" s="27"/>
      <c r="BP460" s="16"/>
      <c r="BQ460" s="27"/>
      <c r="BR460" s="24"/>
      <c r="BS460" s="24"/>
      <c r="BT460" s="32"/>
      <c r="BU460" s="27"/>
      <c r="BV460" s="24"/>
      <c r="BW460" s="24"/>
      <c r="BX460" s="16"/>
      <c r="BY460" s="27"/>
      <c r="BZ460" s="24"/>
      <c r="CA460" s="24"/>
      <c r="CB460" s="16"/>
      <c r="CC460" s="49">
        <f t="shared" si="201"/>
        <v>0</v>
      </c>
      <c r="CD460" s="24"/>
      <c r="CE460" s="49">
        <f t="shared" si="200"/>
        <v>91733333</v>
      </c>
      <c r="CF460" s="50"/>
      <c r="CG460" s="49">
        <f t="shared" ca="1" si="202"/>
        <v>91733333</v>
      </c>
      <c r="CH460" s="33">
        <f t="shared" ca="1" si="198"/>
        <v>1</v>
      </c>
      <c r="CI460" s="33">
        <f t="shared" ca="1" si="199"/>
        <v>1</v>
      </c>
      <c r="CJ460" s="36">
        <f t="shared" ca="1" si="203"/>
        <v>100</v>
      </c>
      <c r="CK460" s="34">
        <f t="shared" si="204"/>
        <v>0</v>
      </c>
      <c r="CL460" s="21"/>
      <c r="CM460" s="35" t="str">
        <f t="shared" ca="1" si="205"/>
        <v>TERMINADO</v>
      </c>
      <c r="CN460" s="82"/>
      <c r="CO460" s="145" t="s">
        <v>3846</v>
      </c>
      <c r="CP460" s="26" t="s">
        <v>123</v>
      </c>
      <c r="CR460" s="78"/>
    </row>
    <row r="461" spans="1:96" ht="24.75" customHeight="1">
      <c r="A461" s="48" t="s">
        <v>3847</v>
      </c>
      <c r="B461" s="77" t="s">
        <v>3848</v>
      </c>
      <c r="C461" s="17" t="s">
        <v>104</v>
      </c>
      <c r="D461" s="18" t="s">
        <v>3849</v>
      </c>
      <c r="E461" s="17" t="s">
        <v>106</v>
      </c>
      <c r="F461" s="17" t="s">
        <v>107</v>
      </c>
      <c r="G461" s="17" t="s">
        <v>108</v>
      </c>
      <c r="H461" s="78">
        <v>80801369</v>
      </c>
      <c r="I461" s="74" t="s">
        <v>3850</v>
      </c>
      <c r="J461" s="16"/>
      <c r="K461" s="16"/>
      <c r="L461" s="20" t="s">
        <v>3851</v>
      </c>
      <c r="M461" s="16" t="s">
        <v>111</v>
      </c>
      <c r="N461" s="115">
        <v>45324</v>
      </c>
      <c r="O461" s="115">
        <v>45327</v>
      </c>
      <c r="P461" s="115">
        <v>45656</v>
      </c>
      <c r="Q461" s="23">
        <f t="shared" si="193"/>
        <v>329</v>
      </c>
      <c r="R461" s="17" t="s">
        <v>242</v>
      </c>
      <c r="S461" s="117" t="s">
        <v>3852</v>
      </c>
      <c r="T461" s="16" t="s">
        <v>1345</v>
      </c>
      <c r="U461" s="24">
        <v>67637802</v>
      </c>
      <c r="V461" s="16" t="s">
        <v>344</v>
      </c>
      <c r="W461" s="227">
        <v>67637802</v>
      </c>
      <c r="X461" s="24">
        <v>6130614</v>
      </c>
      <c r="Y461" s="24"/>
      <c r="Z461" s="24"/>
      <c r="AA461" s="17" t="s">
        <v>116</v>
      </c>
      <c r="AB461" s="23" t="str">
        <f>IFERROR(VLOOKUP(AA461,Listas!$A$1:$C$14,2,FALSE),"")</f>
        <v>FREDY CÉSPEDES VILLA</v>
      </c>
      <c r="AC461" s="23">
        <f>IFERROR(VLOOKUP(AA461,Listas!$A$1:$C$14,3,FALSE),"")</f>
        <v>93363483</v>
      </c>
      <c r="AD461" s="17" t="s">
        <v>345</v>
      </c>
      <c r="AE461" s="17" t="s">
        <v>346</v>
      </c>
      <c r="AF461" s="23" t="str">
        <f>IFERROR(VLOOKUP(AE461,Listas!$AD$1:$AF$65,2,FALSE),"")</f>
        <v>RODOLFO GIOVANNI CANCHILA SUÁREZ</v>
      </c>
      <c r="AG461" s="23">
        <f>IFERROR(VLOOKUP(AE461,Listas!$AD$1:$AF$65,3,FALSE),"")</f>
        <v>79672493</v>
      </c>
      <c r="AH461" s="17" t="s">
        <v>118</v>
      </c>
      <c r="AI461" s="65" t="s">
        <v>3853</v>
      </c>
      <c r="AJ461" s="25" t="s">
        <v>119</v>
      </c>
      <c r="AK461" s="26" t="s">
        <v>120</v>
      </c>
      <c r="AL461" s="26" t="s">
        <v>120</v>
      </c>
      <c r="AM461" s="90" t="s">
        <v>119</v>
      </c>
      <c r="AN461" s="105">
        <v>31042</v>
      </c>
      <c r="AO461" s="91">
        <f t="shared" ca="1" si="194"/>
        <v>41</v>
      </c>
      <c r="AP461" s="26" t="s">
        <v>121</v>
      </c>
      <c r="AQ461" s="26" t="s">
        <v>367</v>
      </c>
      <c r="AR461" s="89"/>
      <c r="AS461" s="27"/>
      <c r="AT461" s="16"/>
      <c r="AU461" s="27"/>
      <c r="AV461" s="86"/>
      <c r="AW461" s="27"/>
      <c r="AX461" s="27"/>
      <c r="AY461" s="27"/>
      <c r="AZ461" s="27"/>
      <c r="BA461" s="27"/>
      <c r="BB461" s="27"/>
      <c r="BC461" s="97"/>
      <c r="BD461" s="27"/>
      <c r="BE461" s="16"/>
      <c r="BF461" s="28">
        <f t="shared" si="195"/>
        <v>0</v>
      </c>
      <c r="BG461" s="29"/>
      <c r="BH461" s="27"/>
      <c r="BI461" s="30">
        <f t="shared" si="196"/>
        <v>329</v>
      </c>
      <c r="BJ461" s="31">
        <f t="shared" si="197"/>
        <v>45656</v>
      </c>
      <c r="BK461" s="27"/>
      <c r="BL461" s="16"/>
      <c r="BM461" s="27"/>
      <c r="BN461" s="16"/>
      <c r="BO461" s="27"/>
      <c r="BP461" s="16"/>
      <c r="BQ461" s="27"/>
      <c r="BR461" s="24"/>
      <c r="BS461" s="24"/>
      <c r="BT461" s="32"/>
      <c r="BU461" s="27"/>
      <c r="BV461" s="24"/>
      <c r="BW461" s="24"/>
      <c r="BX461" s="16"/>
      <c r="BY461" s="27"/>
      <c r="BZ461" s="24"/>
      <c r="CA461" s="24"/>
      <c r="CB461" s="16"/>
      <c r="CC461" s="49">
        <f t="shared" si="201"/>
        <v>0</v>
      </c>
      <c r="CD461" s="24"/>
      <c r="CE461" s="49">
        <f t="shared" si="200"/>
        <v>67637802</v>
      </c>
      <c r="CF461" s="50"/>
      <c r="CG461" s="49">
        <f t="shared" ca="1" si="202"/>
        <v>67637802</v>
      </c>
      <c r="CH461" s="33">
        <f t="shared" ca="1" si="198"/>
        <v>1</v>
      </c>
      <c r="CI461" s="33">
        <f t="shared" ca="1" si="199"/>
        <v>1</v>
      </c>
      <c r="CJ461" s="36">
        <f t="shared" ca="1" si="203"/>
        <v>100</v>
      </c>
      <c r="CK461" s="34">
        <f t="shared" si="204"/>
        <v>0</v>
      </c>
      <c r="CL461" s="21"/>
      <c r="CM461" s="35" t="str">
        <f t="shared" ca="1" si="205"/>
        <v>TERMINADO</v>
      </c>
      <c r="CN461" s="82"/>
      <c r="CO461" s="145" t="s">
        <v>3854</v>
      </c>
      <c r="CP461" s="26" t="s">
        <v>142</v>
      </c>
      <c r="CR461" s="78"/>
    </row>
    <row r="462" spans="1:96" ht="24.75" customHeight="1">
      <c r="A462" s="48" t="s">
        <v>3855</v>
      </c>
      <c r="B462" s="77" t="s">
        <v>3856</v>
      </c>
      <c r="C462" s="17" t="s">
        <v>104</v>
      </c>
      <c r="D462" s="18" t="s">
        <v>3857</v>
      </c>
      <c r="E462" s="17" t="s">
        <v>106</v>
      </c>
      <c r="F462" s="17" t="s">
        <v>107</v>
      </c>
      <c r="G462" s="17" t="s">
        <v>108</v>
      </c>
      <c r="H462" s="78">
        <v>76322507</v>
      </c>
      <c r="I462" s="74" t="s">
        <v>3858</v>
      </c>
      <c r="J462" s="16"/>
      <c r="K462" s="16"/>
      <c r="L462" s="20" t="s">
        <v>3859</v>
      </c>
      <c r="M462" s="16" t="s">
        <v>111</v>
      </c>
      <c r="N462" s="115">
        <v>45324</v>
      </c>
      <c r="O462" s="115">
        <v>45330</v>
      </c>
      <c r="P462" s="115">
        <v>45656</v>
      </c>
      <c r="Q462" s="23">
        <f t="shared" si="193"/>
        <v>326</v>
      </c>
      <c r="R462" s="17" t="s">
        <v>242</v>
      </c>
      <c r="S462" s="117" t="s">
        <v>3860</v>
      </c>
      <c r="T462" s="16" t="s">
        <v>732</v>
      </c>
      <c r="U462" s="24">
        <v>125058413</v>
      </c>
      <c r="V462" s="16" t="s">
        <v>3470</v>
      </c>
      <c r="W462" s="227">
        <v>125058413</v>
      </c>
      <c r="X462" s="24">
        <v>10421534</v>
      </c>
      <c r="Y462" s="24"/>
      <c r="Z462" s="24"/>
      <c r="AA462" s="17" t="s">
        <v>116</v>
      </c>
      <c r="AB462" s="23" t="str">
        <f>IFERROR(VLOOKUP(AA462,Listas!$A$1:$C$14,2,FALSE),"")</f>
        <v>FREDY CÉSPEDES VILLA</v>
      </c>
      <c r="AC462" s="23">
        <f>IFERROR(VLOOKUP(AA462,Listas!$A$1:$C$14,3,FALSE),"")</f>
        <v>93363483</v>
      </c>
      <c r="AD462" s="17" t="s">
        <v>588</v>
      </c>
      <c r="AE462" s="17" t="s">
        <v>589</v>
      </c>
      <c r="AF462" s="23" t="str">
        <f>IFERROR(VLOOKUP(AE462,Listas!$AD$1:$AF$65,2,FALSE),"")</f>
        <v>ANA LUCY CASTRO CASTRO</v>
      </c>
      <c r="AG462" s="23">
        <f>IFERROR(VLOOKUP(AE462,Listas!$AD$1:$AF$65,3,FALSE),"")</f>
        <v>51743499</v>
      </c>
      <c r="AH462" s="17" t="s">
        <v>118</v>
      </c>
      <c r="AI462" s="65" t="s">
        <v>3861</v>
      </c>
      <c r="AJ462" s="25" t="s">
        <v>119</v>
      </c>
      <c r="AK462" s="26" t="s">
        <v>120</v>
      </c>
      <c r="AL462" s="26" t="s">
        <v>120</v>
      </c>
      <c r="AM462" s="90" t="s">
        <v>119</v>
      </c>
      <c r="AN462" s="105"/>
      <c r="AO462" s="91" t="str">
        <f t="shared" ca="1" si="194"/>
        <v xml:space="preserve"> </v>
      </c>
      <c r="AP462" s="26" t="s">
        <v>121</v>
      </c>
      <c r="AQ462" s="26" t="s">
        <v>486</v>
      </c>
      <c r="AR462" s="89"/>
      <c r="AS462" s="27"/>
      <c r="AT462" s="16"/>
      <c r="AU462" s="27"/>
      <c r="AV462" s="86"/>
      <c r="AW462" s="27"/>
      <c r="AX462" s="27"/>
      <c r="AY462" s="27"/>
      <c r="AZ462" s="27"/>
      <c r="BA462" s="27"/>
      <c r="BB462" s="27"/>
      <c r="BC462" s="97"/>
      <c r="BD462" s="27"/>
      <c r="BE462" s="16"/>
      <c r="BF462" s="28">
        <f t="shared" si="195"/>
        <v>0</v>
      </c>
      <c r="BG462" s="29"/>
      <c r="BH462" s="27"/>
      <c r="BI462" s="30">
        <f t="shared" si="196"/>
        <v>326</v>
      </c>
      <c r="BJ462" s="31">
        <f t="shared" si="197"/>
        <v>45656</v>
      </c>
      <c r="BK462" s="27"/>
      <c r="BL462" s="16"/>
      <c r="BM462" s="27"/>
      <c r="BN462" s="16"/>
      <c r="BO462" s="27"/>
      <c r="BP462" s="16"/>
      <c r="BQ462" s="27"/>
      <c r="BR462" s="24"/>
      <c r="BS462" s="24"/>
      <c r="BT462" s="32"/>
      <c r="BU462" s="27"/>
      <c r="BV462" s="24"/>
      <c r="BW462" s="24"/>
      <c r="BX462" s="16"/>
      <c r="BY462" s="27"/>
      <c r="BZ462" s="24"/>
      <c r="CA462" s="24"/>
      <c r="CB462" s="16"/>
      <c r="CC462" s="49">
        <f t="shared" si="201"/>
        <v>0</v>
      </c>
      <c r="CD462" s="24"/>
      <c r="CE462" s="49">
        <f t="shared" si="200"/>
        <v>125058413</v>
      </c>
      <c r="CF462" s="50"/>
      <c r="CG462" s="49">
        <f t="shared" ca="1" si="202"/>
        <v>125058413</v>
      </c>
      <c r="CH462" s="33">
        <f t="shared" ca="1" si="198"/>
        <v>1</v>
      </c>
      <c r="CI462" s="33">
        <f t="shared" ca="1" si="199"/>
        <v>1</v>
      </c>
      <c r="CJ462" s="36">
        <f t="shared" ca="1" si="203"/>
        <v>100</v>
      </c>
      <c r="CK462" s="34">
        <f t="shared" si="204"/>
        <v>0</v>
      </c>
      <c r="CL462" s="21"/>
      <c r="CM462" s="35" t="str">
        <f t="shared" ca="1" si="205"/>
        <v>TERMINADO</v>
      </c>
      <c r="CN462" s="82"/>
      <c r="CO462" s="145" t="s">
        <v>3862</v>
      </c>
      <c r="CP462" s="26" t="s">
        <v>142</v>
      </c>
      <c r="CR462" s="78"/>
    </row>
    <row r="463" spans="1:96" ht="24.75" customHeight="1">
      <c r="A463" s="48" t="s">
        <v>3863</v>
      </c>
      <c r="B463" s="77" t="s">
        <v>3864</v>
      </c>
      <c r="C463" s="17" t="s">
        <v>104</v>
      </c>
      <c r="D463" s="18" t="s">
        <v>3865</v>
      </c>
      <c r="E463" s="17" t="s">
        <v>106</v>
      </c>
      <c r="F463" s="17" t="s">
        <v>107</v>
      </c>
      <c r="G463" s="17" t="s">
        <v>108</v>
      </c>
      <c r="H463" s="78">
        <v>1018418593</v>
      </c>
      <c r="I463" s="74" t="s">
        <v>3866</v>
      </c>
      <c r="J463" s="16"/>
      <c r="K463" s="16"/>
      <c r="L463" s="20" t="s">
        <v>3867</v>
      </c>
      <c r="M463" s="16" t="s">
        <v>111</v>
      </c>
      <c r="N463" s="115">
        <v>45327</v>
      </c>
      <c r="O463" s="115">
        <v>45330</v>
      </c>
      <c r="P463" s="115">
        <v>45656</v>
      </c>
      <c r="Q463" s="23">
        <f t="shared" si="193"/>
        <v>326</v>
      </c>
      <c r="R463" s="17" t="s">
        <v>242</v>
      </c>
      <c r="S463" s="117" t="s">
        <v>3868</v>
      </c>
      <c r="T463" s="16" t="s">
        <v>1345</v>
      </c>
      <c r="U463" s="24">
        <v>67229120</v>
      </c>
      <c r="V463" s="16" t="s">
        <v>344</v>
      </c>
      <c r="W463" s="227">
        <v>67229120</v>
      </c>
      <c r="X463" s="24">
        <v>5762496</v>
      </c>
      <c r="Y463" s="24"/>
      <c r="Z463" s="24"/>
      <c r="AA463" s="17" t="s">
        <v>116</v>
      </c>
      <c r="AB463" s="23" t="str">
        <f>IFERROR(VLOOKUP(AA463,Listas!$A$1:$C$14,2,FALSE),"")</f>
        <v>FREDY CÉSPEDES VILLA</v>
      </c>
      <c r="AC463" s="23">
        <f>IFERROR(VLOOKUP(AA463,Listas!$A$1:$C$14,3,FALSE),"")</f>
        <v>93363483</v>
      </c>
      <c r="AD463" s="17" t="s">
        <v>1533</v>
      </c>
      <c r="AE463" s="17" t="s">
        <v>1534</v>
      </c>
      <c r="AF463" s="23" t="str">
        <f>IFERROR(VLOOKUP(AE463,Listas!$AD$1:$AF$65,2,FALSE),"")</f>
        <v>ESTEBAN GUERRERO ALVAREZ</v>
      </c>
      <c r="AG463" s="23">
        <f>IFERROR(VLOOKUP(AE463,Listas!$AD$1:$AF$65,3,FALSE),"")</f>
        <v>1032460552</v>
      </c>
      <c r="AH463" s="17" t="s">
        <v>118</v>
      </c>
      <c r="AI463" s="65" t="s">
        <v>2158</v>
      </c>
      <c r="AJ463" s="25" t="s">
        <v>119</v>
      </c>
      <c r="AK463" s="26" t="s">
        <v>120</v>
      </c>
      <c r="AL463" s="26" t="s">
        <v>120</v>
      </c>
      <c r="AM463" s="90" t="s">
        <v>119</v>
      </c>
      <c r="AN463" s="105">
        <v>32378</v>
      </c>
      <c r="AO463" s="91">
        <f t="shared" ca="1" si="194"/>
        <v>37</v>
      </c>
      <c r="AP463" s="26" t="s">
        <v>121</v>
      </c>
      <c r="AQ463" s="26" t="s">
        <v>327</v>
      </c>
      <c r="AR463" s="89"/>
      <c r="AS463" s="27"/>
      <c r="AT463" s="16"/>
      <c r="AU463" s="27"/>
      <c r="AV463" s="86"/>
      <c r="AW463" s="27"/>
      <c r="AX463" s="27"/>
      <c r="AY463" s="27"/>
      <c r="AZ463" s="27"/>
      <c r="BA463" s="27"/>
      <c r="BB463" s="27"/>
      <c r="BC463" s="97"/>
      <c r="BD463" s="27"/>
      <c r="BE463" s="16"/>
      <c r="BF463" s="28">
        <f t="shared" si="195"/>
        <v>0</v>
      </c>
      <c r="BG463" s="29"/>
      <c r="BH463" s="27"/>
      <c r="BI463" s="30">
        <f t="shared" si="196"/>
        <v>326</v>
      </c>
      <c r="BJ463" s="31">
        <f t="shared" si="197"/>
        <v>45656</v>
      </c>
      <c r="BK463" s="27"/>
      <c r="BL463" s="16"/>
      <c r="BM463" s="27"/>
      <c r="BN463" s="16"/>
      <c r="BO463" s="27"/>
      <c r="BP463" s="16"/>
      <c r="BQ463" s="27"/>
      <c r="BR463" s="24"/>
      <c r="BS463" s="24"/>
      <c r="BT463" s="32"/>
      <c r="BU463" s="27"/>
      <c r="BV463" s="24"/>
      <c r="BW463" s="24"/>
      <c r="BX463" s="16"/>
      <c r="BY463" s="27"/>
      <c r="BZ463" s="24"/>
      <c r="CA463" s="24"/>
      <c r="CB463" s="16"/>
      <c r="CC463" s="49">
        <f t="shared" si="201"/>
        <v>0</v>
      </c>
      <c r="CD463" s="24"/>
      <c r="CE463" s="49">
        <f t="shared" si="200"/>
        <v>67229120</v>
      </c>
      <c r="CF463" s="50"/>
      <c r="CG463" s="49">
        <f t="shared" ca="1" si="202"/>
        <v>67229120</v>
      </c>
      <c r="CH463" s="33">
        <f t="shared" ca="1" si="198"/>
        <v>1</v>
      </c>
      <c r="CI463" s="33">
        <f t="shared" ca="1" si="199"/>
        <v>1</v>
      </c>
      <c r="CJ463" s="36">
        <f t="shared" ca="1" si="203"/>
        <v>100</v>
      </c>
      <c r="CK463" s="34">
        <f t="shared" si="204"/>
        <v>0</v>
      </c>
      <c r="CL463" s="21"/>
      <c r="CM463" s="35" t="str">
        <f t="shared" ca="1" si="205"/>
        <v>TERMINADO</v>
      </c>
      <c r="CN463" s="82"/>
      <c r="CO463" s="145" t="s">
        <v>3869</v>
      </c>
      <c r="CP463" s="26" t="s">
        <v>123</v>
      </c>
      <c r="CR463" s="78"/>
    </row>
    <row r="464" spans="1:96" ht="24.75" customHeight="1">
      <c r="A464" s="48" t="s">
        <v>3870</v>
      </c>
      <c r="B464" s="77" t="s">
        <v>3871</v>
      </c>
      <c r="C464" s="17" t="s">
        <v>104</v>
      </c>
      <c r="D464" s="18" t="s">
        <v>3872</v>
      </c>
      <c r="E464" s="17" t="s">
        <v>106</v>
      </c>
      <c r="F464" s="17" t="s">
        <v>107</v>
      </c>
      <c r="G464" s="17" t="s">
        <v>108</v>
      </c>
      <c r="H464" s="78">
        <v>80771197</v>
      </c>
      <c r="I464" s="74" t="s">
        <v>3873</v>
      </c>
      <c r="J464" s="16"/>
      <c r="K464" s="16"/>
      <c r="L464" s="20" t="s">
        <v>3874</v>
      </c>
      <c r="M464" s="16" t="s">
        <v>111</v>
      </c>
      <c r="N464" s="115">
        <v>45327</v>
      </c>
      <c r="O464" s="115">
        <v>45327</v>
      </c>
      <c r="P464" s="115">
        <v>45656</v>
      </c>
      <c r="Q464" s="23">
        <f t="shared" si="193"/>
        <v>329</v>
      </c>
      <c r="R464" s="17" t="s">
        <v>242</v>
      </c>
      <c r="S464" s="117" t="s">
        <v>3875</v>
      </c>
      <c r="T464" s="16" t="s">
        <v>1345</v>
      </c>
      <c r="U464" s="24">
        <v>67421203</v>
      </c>
      <c r="V464" s="16" t="s">
        <v>344</v>
      </c>
      <c r="W464" s="227">
        <v>63387456</v>
      </c>
      <c r="X464" s="24">
        <v>5762496</v>
      </c>
      <c r="Y464" s="24"/>
      <c r="Z464" s="24"/>
      <c r="AA464" s="17" t="s">
        <v>116</v>
      </c>
      <c r="AB464" s="23" t="str">
        <f>IFERROR(VLOOKUP(AA464,Listas!$A$1:$C$14,2,FALSE),"")</f>
        <v>FREDY CÉSPEDES VILLA</v>
      </c>
      <c r="AC464" s="23">
        <f>IFERROR(VLOOKUP(AA464,Listas!$A$1:$C$14,3,FALSE),"")</f>
        <v>93363483</v>
      </c>
      <c r="AD464" s="17" t="s">
        <v>1533</v>
      </c>
      <c r="AE464" s="17" t="s">
        <v>1534</v>
      </c>
      <c r="AF464" s="23" t="str">
        <f>IFERROR(VLOOKUP(AE464,Listas!$AD$1:$AF$65,2,FALSE),"")</f>
        <v>ESTEBAN GUERRERO ALVAREZ</v>
      </c>
      <c r="AG464" s="23">
        <f>IFERROR(VLOOKUP(AE464,Listas!$AD$1:$AF$65,3,FALSE),"")</f>
        <v>1032460552</v>
      </c>
      <c r="AH464" s="17" t="s">
        <v>118</v>
      </c>
      <c r="AI464" s="65" t="s">
        <v>2158</v>
      </c>
      <c r="AJ464" s="25" t="s">
        <v>119</v>
      </c>
      <c r="AK464" s="26" t="s">
        <v>120</v>
      </c>
      <c r="AL464" s="26" t="s">
        <v>120</v>
      </c>
      <c r="AM464" s="90" t="s">
        <v>119</v>
      </c>
      <c r="AN464" s="105">
        <v>31083</v>
      </c>
      <c r="AO464" s="91">
        <f t="shared" ca="1" si="194"/>
        <v>40</v>
      </c>
      <c r="AP464" s="26" t="s">
        <v>121</v>
      </c>
      <c r="AQ464" s="26" t="s">
        <v>327</v>
      </c>
      <c r="AR464" s="89"/>
      <c r="AS464" s="27"/>
      <c r="AT464" s="16"/>
      <c r="AU464" s="27"/>
      <c r="AV464" s="86"/>
      <c r="AW464" s="27"/>
      <c r="AX464" s="27"/>
      <c r="AY464" s="27"/>
      <c r="AZ464" s="27"/>
      <c r="BA464" s="27"/>
      <c r="BB464" s="27"/>
      <c r="BC464" s="97"/>
      <c r="BD464" s="27"/>
      <c r="BE464" s="16"/>
      <c r="BF464" s="28">
        <f t="shared" si="195"/>
        <v>0</v>
      </c>
      <c r="BG464" s="29"/>
      <c r="BH464" s="27"/>
      <c r="BI464" s="30">
        <f t="shared" si="196"/>
        <v>329</v>
      </c>
      <c r="BJ464" s="31">
        <f t="shared" si="197"/>
        <v>45656</v>
      </c>
      <c r="BK464" s="27"/>
      <c r="BL464" s="16"/>
      <c r="BM464" s="27"/>
      <c r="BN464" s="16"/>
      <c r="BO464" s="27"/>
      <c r="BP464" s="16"/>
      <c r="BQ464" s="27"/>
      <c r="BR464" s="24"/>
      <c r="BS464" s="24"/>
      <c r="BT464" s="32"/>
      <c r="BU464" s="27"/>
      <c r="BV464" s="24"/>
      <c r="BW464" s="24"/>
      <c r="BX464" s="16"/>
      <c r="BY464" s="27"/>
      <c r="BZ464" s="24"/>
      <c r="CA464" s="24"/>
      <c r="CB464" s="16"/>
      <c r="CC464" s="49">
        <f t="shared" si="201"/>
        <v>0</v>
      </c>
      <c r="CD464" s="24"/>
      <c r="CE464" s="49">
        <f t="shared" si="200"/>
        <v>63387456</v>
      </c>
      <c r="CF464" s="50"/>
      <c r="CG464" s="49">
        <f t="shared" ca="1" si="202"/>
        <v>63387456</v>
      </c>
      <c r="CH464" s="33">
        <f t="shared" ca="1" si="198"/>
        <v>1</v>
      </c>
      <c r="CI464" s="33">
        <f t="shared" ca="1" si="199"/>
        <v>1</v>
      </c>
      <c r="CJ464" s="36">
        <f t="shared" ca="1" si="203"/>
        <v>100</v>
      </c>
      <c r="CK464" s="34">
        <f t="shared" si="204"/>
        <v>0</v>
      </c>
      <c r="CL464" s="21"/>
      <c r="CM464" s="35" t="str">
        <f t="shared" ca="1" si="205"/>
        <v>TERMINADO</v>
      </c>
      <c r="CN464" s="82"/>
      <c r="CO464" s="145" t="s">
        <v>3876</v>
      </c>
      <c r="CP464" s="26" t="s">
        <v>142</v>
      </c>
      <c r="CR464" s="78"/>
    </row>
    <row r="465" spans="1:98" ht="24.75" customHeight="1">
      <c r="A465" s="48" t="s">
        <v>3877</v>
      </c>
      <c r="B465" s="77" t="s">
        <v>3878</v>
      </c>
      <c r="C465" s="17" t="s">
        <v>104</v>
      </c>
      <c r="D465" s="18" t="s">
        <v>3879</v>
      </c>
      <c r="E465" s="17" t="s">
        <v>106</v>
      </c>
      <c r="F465" s="17" t="s">
        <v>107</v>
      </c>
      <c r="G465" s="17" t="s">
        <v>108</v>
      </c>
      <c r="H465" s="78">
        <v>10178015</v>
      </c>
      <c r="I465" s="74" t="s">
        <v>3880</v>
      </c>
      <c r="J465" s="16"/>
      <c r="K465" s="16"/>
      <c r="L465" s="20" t="s">
        <v>3874</v>
      </c>
      <c r="M465" s="16" t="s">
        <v>111</v>
      </c>
      <c r="N465" s="115">
        <v>45327</v>
      </c>
      <c r="O465" s="115">
        <v>45328</v>
      </c>
      <c r="P465" s="115">
        <v>45656</v>
      </c>
      <c r="Q465" s="23">
        <f t="shared" si="193"/>
        <v>328</v>
      </c>
      <c r="R465" s="17" t="s">
        <v>242</v>
      </c>
      <c r="S465" s="117" t="s">
        <v>3881</v>
      </c>
      <c r="T465" s="16" t="s">
        <v>1345</v>
      </c>
      <c r="U465" s="24">
        <v>66460787</v>
      </c>
      <c r="V465" s="16" t="s">
        <v>344</v>
      </c>
      <c r="W465" s="227">
        <v>63387456</v>
      </c>
      <c r="X465" s="24">
        <v>5762496</v>
      </c>
      <c r="Y465" s="24"/>
      <c r="Z465" s="24"/>
      <c r="AA465" s="17" t="s">
        <v>116</v>
      </c>
      <c r="AB465" s="23" t="str">
        <f>IFERROR(VLOOKUP(AA465,Listas!$A$1:$C$14,2,FALSE),"")</f>
        <v>FREDY CÉSPEDES VILLA</v>
      </c>
      <c r="AC465" s="23">
        <f>IFERROR(VLOOKUP(AA465,Listas!$A$1:$C$14,3,FALSE),"")</f>
        <v>93363483</v>
      </c>
      <c r="AD465" s="17" t="s">
        <v>1533</v>
      </c>
      <c r="AE465" s="17" t="s">
        <v>1534</v>
      </c>
      <c r="AF465" s="23" t="str">
        <f>IFERROR(VLOOKUP(AE465,Listas!$AD$1:$AF$65,2,FALSE),"")</f>
        <v>ESTEBAN GUERRERO ALVAREZ</v>
      </c>
      <c r="AG465" s="23">
        <f>IFERROR(VLOOKUP(AE465,Listas!$AD$1:$AF$65,3,FALSE),"")</f>
        <v>1032460552</v>
      </c>
      <c r="AH465" s="17" t="s">
        <v>118</v>
      </c>
      <c r="AI465" s="65" t="s">
        <v>2158</v>
      </c>
      <c r="AJ465" s="25" t="s">
        <v>119</v>
      </c>
      <c r="AK465" s="26" t="s">
        <v>120</v>
      </c>
      <c r="AL465" s="26" t="s">
        <v>120</v>
      </c>
      <c r="AM465" s="90" t="s">
        <v>119</v>
      </c>
      <c r="AN465" s="105">
        <v>26261</v>
      </c>
      <c r="AO465" s="91">
        <f t="shared" ca="1" si="194"/>
        <v>54</v>
      </c>
      <c r="AP465" s="26" t="s">
        <v>121</v>
      </c>
      <c r="AQ465" s="26" t="s">
        <v>327</v>
      </c>
      <c r="AR465" s="89"/>
      <c r="AS465" s="27"/>
      <c r="AT465" s="16"/>
      <c r="AU465" s="27"/>
      <c r="AV465" s="86"/>
      <c r="AW465" s="27"/>
      <c r="AX465" s="27"/>
      <c r="AY465" s="27"/>
      <c r="AZ465" s="27"/>
      <c r="BA465" s="27"/>
      <c r="BB465" s="27"/>
      <c r="BC465" s="97"/>
      <c r="BD465" s="27"/>
      <c r="BE465" s="16"/>
      <c r="BF465" s="28">
        <f t="shared" si="195"/>
        <v>0</v>
      </c>
      <c r="BG465" s="29"/>
      <c r="BH465" s="27"/>
      <c r="BI465" s="30">
        <f t="shared" si="196"/>
        <v>328</v>
      </c>
      <c r="BJ465" s="31">
        <f t="shared" si="197"/>
        <v>45656</v>
      </c>
      <c r="BK465" s="27"/>
      <c r="BL465" s="16"/>
      <c r="BM465" s="27"/>
      <c r="BN465" s="16"/>
      <c r="BO465" s="27"/>
      <c r="BP465" s="16"/>
      <c r="BQ465" s="27"/>
      <c r="BR465" s="24"/>
      <c r="BS465" s="24"/>
      <c r="BT465" s="32"/>
      <c r="BU465" s="27"/>
      <c r="BV465" s="24"/>
      <c r="BW465" s="24"/>
      <c r="BX465" s="16"/>
      <c r="BY465" s="27"/>
      <c r="BZ465" s="24"/>
      <c r="CA465" s="24"/>
      <c r="CB465" s="16"/>
      <c r="CC465" s="49">
        <f t="shared" si="201"/>
        <v>0</v>
      </c>
      <c r="CD465" s="24"/>
      <c r="CE465" s="49">
        <f t="shared" si="200"/>
        <v>63387456</v>
      </c>
      <c r="CF465" s="50"/>
      <c r="CG465" s="49">
        <f t="shared" ca="1" si="202"/>
        <v>63387456</v>
      </c>
      <c r="CH465" s="33">
        <f t="shared" ca="1" si="198"/>
        <v>1</v>
      </c>
      <c r="CI465" s="33">
        <f t="shared" ca="1" si="199"/>
        <v>1</v>
      </c>
      <c r="CJ465" s="36">
        <f t="shared" ca="1" si="203"/>
        <v>100</v>
      </c>
      <c r="CK465" s="34">
        <f t="shared" si="204"/>
        <v>0</v>
      </c>
      <c r="CL465" s="21"/>
      <c r="CM465" s="35" t="str">
        <f t="shared" ca="1" si="205"/>
        <v>TERMINADO</v>
      </c>
      <c r="CN465" s="82"/>
      <c r="CO465" s="145" t="s">
        <v>3882</v>
      </c>
      <c r="CP465" s="26" t="s">
        <v>142</v>
      </c>
      <c r="CR465" s="78"/>
    </row>
    <row r="466" spans="1:98" ht="24.75" customHeight="1">
      <c r="A466" s="48" t="s">
        <v>3883</v>
      </c>
      <c r="B466" s="77" t="s">
        <v>3884</v>
      </c>
      <c r="C466" s="17" t="s">
        <v>104</v>
      </c>
      <c r="D466" s="18" t="s">
        <v>3885</v>
      </c>
      <c r="E466" s="17" t="s">
        <v>106</v>
      </c>
      <c r="F466" s="17" t="s">
        <v>107</v>
      </c>
      <c r="G466" s="17" t="s">
        <v>108</v>
      </c>
      <c r="H466" s="78">
        <v>1047222447</v>
      </c>
      <c r="I466" s="74" t="s">
        <v>3886</v>
      </c>
      <c r="J466" s="16"/>
      <c r="K466" s="16"/>
      <c r="L466" s="20" t="s">
        <v>3874</v>
      </c>
      <c r="M466" s="16" t="s">
        <v>111</v>
      </c>
      <c r="N466" s="115">
        <v>45327</v>
      </c>
      <c r="O466" s="115">
        <v>45329</v>
      </c>
      <c r="P466" s="115">
        <v>45656</v>
      </c>
      <c r="Q466" s="23">
        <f t="shared" si="193"/>
        <v>327</v>
      </c>
      <c r="R466" s="17" t="s">
        <v>242</v>
      </c>
      <c r="S466" s="117" t="s">
        <v>3887</v>
      </c>
      <c r="T466" s="16" t="s">
        <v>1345</v>
      </c>
      <c r="U466" s="24">
        <v>67229120</v>
      </c>
      <c r="V466" s="16" t="s">
        <v>344</v>
      </c>
      <c r="W466" s="227">
        <v>63387456</v>
      </c>
      <c r="X466" s="24">
        <v>5762496</v>
      </c>
      <c r="Y466" s="24"/>
      <c r="Z466" s="24"/>
      <c r="AA466" s="17" t="s">
        <v>116</v>
      </c>
      <c r="AB466" s="23" t="str">
        <f>IFERROR(VLOOKUP(AA466,Listas!$A$1:$C$14,2,FALSE),"")</f>
        <v>FREDY CÉSPEDES VILLA</v>
      </c>
      <c r="AC466" s="23">
        <f>IFERROR(VLOOKUP(AA466,Listas!$A$1:$C$14,3,FALSE),"")</f>
        <v>93363483</v>
      </c>
      <c r="AD466" s="17" t="s">
        <v>1533</v>
      </c>
      <c r="AE466" s="17" t="s">
        <v>1534</v>
      </c>
      <c r="AF466" s="23" t="str">
        <f>IFERROR(VLOOKUP(AE466,Listas!$AD$1:$AF$65,2,FALSE),"")</f>
        <v>ESTEBAN GUERRERO ALVAREZ</v>
      </c>
      <c r="AG466" s="23">
        <f>IFERROR(VLOOKUP(AE466,Listas!$AD$1:$AF$65,3,FALSE),"")</f>
        <v>1032460552</v>
      </c>
      <c r="AH466" s="17" t="s">
        <v>118</v>
      </c>
      <c r="AI466" s="65" t="s">
        <v>3888</v>
      </c>
      <c r="AJ466" s="25" t="s">
        <v>119</v>
      </c>
      <c r="AK466" s="26" t="s">
        <v>120</v>
      </c>
      <c r="AL466" s="26" t="s">
        <v>120</v>
      </c>
      <c r="AM466" s="90" t="s">
        <v>119</v>
      </c>
      <c r="AN466" s="105">
        <v>32325</v>
      </c>
      <c r="AO466" s="91">
        <f t="shared" ca="1" si="194"/>
        <v>37</v>
      </c>
      <c r="AP466" s="26" t="s">
        <v>121</v>
      </c>
      <c r="AQ466" s="26" t="s">
        <v>327</v>
      </c>
      <c r="AR466" s="89"/>
      <c r="AS466" s="27"/>
      <c r="AT466" s="16"/>
      <c r="AU466" s="27"/>
      <c r="AV466" s="86"/>
      <c r="AW466" s="27"/>
      <c r="AX466" s="27"/>
      <c r="AY466" s="27"/>
      <c r="AZ466" s="27"/>
      <c r="BA466" s="27"/>
      <c r="BB466" s="27"/>
      <c r="BC466" s="97"/>
      <c r="BD466" s="27"/>
      <c r="BE466" s="16"/>
      <c r="BF466" s="28">
        <f t="shared" si="195"/>
        <v>0</v>
      </c>
      <c r="BG466" s="29"/>
      <c r="BH466" s="27"/>
      <c r="BI466" s="30">
        <f t="shared" si="196"/>
        <v>327</v>
      </c>
      <c r="BJ466" s="31">
        <f t="shared" si="197"/>
        <v>45656</v>
      </c>
      <c r="BK466" s="27"/>
      <c r="BL466" s="16"/>
      <c r="BM466" s="27"/>
      <c r="BN466" s="16"/>
      <c r="BO466" s="27"/>
      <c r="BP466" s="16"/>
      <c r="BQ466" s="27"/>
      <c r="BR466" s="24"/>
      <c r="BS466" s="24"/>
      <c r="BT466" s="32"/>
      <c r="BU466" s="27"/>
      <c r="BV466" s="24"/>
      <c r="BW466" s="24"/>
      <c r="BX466" s="16"/>
      <c r="BY466" s="27"/>
      <c r="BZ466" s="24"/>
      <c r="CA466" s="24"/>
      <c r="CB466" s="16"/>
      <c r="CC466" s="49">
        <f t="shared" si="201"/>
        <v>0</v>
      </c>
      <c r="CD466" s="24"/>
      <c r="CE466" s="49">
        <f t="shared" si="200"/>
        <v>63387456</v>
      </c>
      <c r="CF466" s="50"/>
      <c r="CG466" s="49">
        <f t="shared" ca="1" si="202"/>
        <v>63387456</v>
      </c>
      <c r="CH466" s="33">
        <f t="shared" ca="1" si="198"/>
        <v>1</v>
      </c>
      <c r="CI466" s="33">
        <f t="shared" ca="1" si="199"/>
        <v>1</v>
      </c>
      <c r="CJ466" s="36">
        <f t="shared" ca="1" si="203"/>
        <v>100</v>
      </c>
      <c r="CK466" s="34">
        <f t="shared" si="204"/>
        <v>0</v>
      </c>
      <c r="CL466" s="21"/>
      <c r="CM466" s="35" t="str">
        <f t="shared" ca="1" si="205"/>
        <v>TERMINADO</v>
      </c>
      <c r="CN466" s="82"/>
      <c r="CO466" s="145" t="s">
        <v>3889</v>
      </c>
      <c r="CP466" s="26" t="s">
        <v>142</v>
      </c>
      <c r="CR466" s="78"/>
    </row>
    <row r="467" spans="1:98" ht="24.75" customHeight="1">
      <c r="A467" s="48" t="s">
        <v>3890</v>
      </c>
      <c r="B467" s="77" t="s">
        <v>3891</v>
      </c>
      <c r="C467" s="17" t="s">
        <v>104</v>
      </c>
      <c r="D467" s="18" t="s">
        <v>3892</v>
      </c>
      <c r="E467" s="17" t="s">
        <v>106</v>
      </c>
      <c r="F467" s="17" t="s">
        <v>107</v>
      </c>
      <c r="G467" s="17" t="s">
        <v>108</v>
      </c>
      <c r="H467" s="78">
        <v>1075211814</v>
      </c>
      <c r="I467" s="74" t="s">
        <v>3893</v>
      </c>
      <c r="J467" s="16"/>
      <c r="K467" s="16"/>
      <c r="L467" s="20" t="s">
        <v>3894</v>
      </c>
      <c r="M467" s="16" t="s">
        <v>111</v>
      </c>
      <c r="N467" s="115">
        <v>45327</v>
      </c>
      <c r="O467" s="115">
        <v>45327</v>
      </c>
      <c r="P467" s="115">
        <v>45656</v>
      </c>
      <c r="Q467" s="23">
        <f t="shared" si="193"/>
        <v>329</v>
      </c>
      <c r="R467" s="17" t="s">
        <v>242</v>
      </c>
      <c r="S467" s="117" t="s">
        <v>3895</v>
      </c>
      <c r="T467" s="16" t="s">
        <v>1128</v>
      </c>
      <c r="U467" s="24">
        <v>91733333</v>
      </c>
      <c r="V467" s="16" t="s">
        <v>815</v>
      </c>
      <c r="W467" s="224">
        <v>92266667</v>
      </c>
      <c r="X467" s="24">
        <v>8000000</v>
      </c>
      <c r="Y467" s="24"/>
      <c r="Z467" s="24"/>
      <c r="AA467" s="17" t="s">
        <v>116</v>
      </c>
      <c r="AB467" s="23" t="str">
        <f>IFERROR(VLOOKUP(AA467,Listas!$A$1:$C$14,2,FALSE),"")</f>
        <v>FREDY CÉSPEDES VILLA</v>
      </c>
      <c r="AC467" s="23">
        <f>IFERROR(VLOOKUP(AA467,Listas!$A$1:$C$14,3,FALSE),"")</f>
        <v>93363483</v>
      </c>
      <c r="AD467" s="17" t="s">
        <v>816</v>
      </c>
      <c r="AE467" s="17" t="s">
        <v>2835</v>
      </c>
      <c r="AF467" s="23" t="str">
        <f>IFERROR(VLOOKUP(AE467,Listas!$AD$1:$AF$65,2,FALSE),"")</f>
        <v>GUILLERMO ANDRES CARDONA HERRERA</v>
      </c>
      <c r="AG467" s="23">
        <f>IFERROR(VLOOKUP(AE467,Listas!$AD$1:$AF$65,3,FALSE),"")</f>
        <v>80018909</v>
      </c>
      <c r="AH467" s="17" t="s">
        <v>118</v>
      </c>
      <c r="AI467" s="65" t="s">
        <v>3896</v>
      </c>
      <c r="AJ467" s="25" t="s">
        <v>119</v>
      </c>
      <c r="AK467" s="26" t="s">
        <v>120</v>
      </c>
      <c r="AL467" s="26" t="s">
        <v>120</v>
      </c>
      <c r="AM467" s="90" t="s">
        <v>119</v>
      </c>
      <c r="AN467" s="105">
        <v>31547</v>
      </c>
      <c r="AO467" s="91">
        <f t="shared" ca="1" si="194"/>
        <v>39</v>
      </c>
      <c r="AP467" s="26" t="s">
        <v>121</v>
      </c>
      <c r="AQ467" s="26" t="s">
        <v>1641</v>
      </c>
      <c r="AR467" s="89"/>
      <c r="AS467" s="27"/>
      <c r="AT467" s="16"/>
      <c r="AU467" s="27"/>
      <c r="AV467" s="86"/>
      <c r="AW467" s="27"/>
      <c r="AX467" s="27"/>
      <c r="AY467" s="27"/>
      <c r="AZ467" s="27"/>
      <c r="BA467" s="27"/>
      <c r="BB467" s="27"/>
      <c r="BC467" s="97"/>
      <c r="BD467" s="27"/>
      <c r="BE467" s="16"/>
      <c r="BF467" s="28">
        <f t="shared" si="195"/>
        <v>0</v>
      </c>
      <c r="BG467" s="29"/>
      <c r="BH467" s="27"/>
      <c r="BI467" s="30">
        <f t="shared" si="196"/>
        <v>329</v>
      </c>
      <c r="BJ467" s="31">
        <f t="shared" si="197"/>
        <v>45656</v>
      </c>
      <c r="BK467" s="27"/>
      <c r="BL467" s="16"/>
      <c r="BM467" s="27"/>
      <c r="BN467" s="16"/>
      <c r="BO467" s="27"/>
      <c r="BP467" s="16"/>
      <c r="BQ467" s="27"/>
      <c r="BR467" s="24"/>
      <c r="BS467" s="24"/>
      <c r="BT467" s="32"/>
      <c r="BU467" s="27"/>
      <c r="BV467" s="24"/>
      <c r="BW467" s="24"/>
      <c r="BX467" s="16"/>
      <c r="BY467" s="27"/>
      <c r="BZ467" s="24"/>
      <c r="CA467" s="24"/>
      <c r="CB467" s="16"/>
      <c r="CC467" s="49">
        <f t="shared" si="201"/>
        <v>0</v>
      </c>
      <c r="CD467" s="24"/>
      <c r="CE467" s="49">
        <f t="shared" si="200"/>
        <v>92266667</v>
      </c>
      <c r="CF467" s="50"/>
      <c r="CG467" s="49">
        <f t="shared" ca="1" si="202"/>
        <v>92266667</v>
      </c>
      <c r="CH467" s="33">
        <f t="shared" ca="1" si="198"/>
        <v>1</v>
      </c>
      <c r="CI467" s="33">
        <f t="shared" ca="1" si="199"/>
        <v>1</v>
      </c>
      <c r="CJ467" s="36">
        <f t="shared" ca="1" si="203"/>
        <v>100</v>
      </c>
      <c r="CK467" s="34">
        <f t="shared" si="204"/>
        <v>0</v>
      </c>
      <c r="CL467" s="21"/>
      <c r="CM467" s="35" t="str">
        <f t="shared" ca="1" si="205"/>
        <v>TERMINADO</v>
      </c>
      <c r="CN467" s="82"/>
      <c r="CO467" s="145" t="s">
        <v>3897</v>
      </c>
      <c r="CP467" s="26" t="s">
        <v>123</v>
      </c>
    </row>
    <row r="468" spans="1:98" ht="24.75" customHeight="1">
      <c r="A468" s="48" t="s">
        <v>3898</v>
      </c>
      <c r="B468" s="77" t="s">
        <v>3899</v>
      </c>
      <c r="C468" s="17" t="s">
        <v>104</v>
      </c>
      <c r="D468" s="18" t="s">
        <v>3900</v>
      </c>
      <c r="E468" s="17" t="s">
        <v>106</v>
      </c>
      <c r="F468" s="17" t="s">
        <v>107</v>
      </c>
      <c r="G468" s="17" t="s">
        <v>108</v>
      </c>
      <c r="H468" s="78">
        <v>1082849460</v>
      </c>
      <c r="I468" s="74" t="s">
        <v>3901</v>
      </c>
      <c r="J468" s="16"/>
      <c r="K468" s="16"/>
      <c r="L468" s="20" t="s">
        <v>3902</v>
      </c>
      <c r="M468" s="16" t="s">
        <v>111</v>
      </c>
      <c r="N468" s="115">
        <v>45327</v>
      </c>
      <c r="O468" s="115">
        <v>45328</v>
      </c>
      <c r="P468" s="115">
        <v>45656</v>
      </c>
      <c r="Q468" s="23">
        <f t="shared" si="193"/>
        <v>328</v>
      </c>
      <c r="R468" s="17" t="s">
        <v>242</v>
      </c>
      <c r="S468" s="117" t="s">
        <v>3903</v>
      </c>
      <c r="T468" s="16" t="s">
        <v>1128</v>
      </c>
      <c r="U468" s="24">
        <v>100613333</v>
      </c>
      <c r="V468" s="16" t="s">
        <v>815</v>
      </c>
      <c r="W468" s="224">
        <v>100613333</v>
      </c>
      <c r="X468" s="24">
        <v>8800000</v>
      </c>
      <c r="Y468" s="24"/>
      <c r="Z468" s="24"/>
      <c r="AA468" s="17" t="s">
        <v>116</v>
      </c>
      <c r="AB468" s="23" t="str">
        <f>IFERROR(VLOOKUP(AA468,Listas!$A$1:$C$14,2,FALSE),"")</f>
        <v>FREDY CÉSPEDES VILLA</v>
      </c>
      <c r="AC468" s="23">
        <f>IFERROR(VLOOKUP(AA468,Listas!$A$1:$C$14,3,FALSE),"")</f>
        <v>93363483</v>
      </c>
      <c r="AD468" s="17" t="s">
        <v>816</v>
      </c>
      <c r="AE468" s="17" t="s">
        <v>2835</v>
      </c>
      <c r="AF468" s="23" t="str">
        <f>IFERROR(VLOOKUP(AE468,Listas!$AD$1:$AF$65,2,FALSE),"")</f>
        <v>GUILLERMO ANDRES CARDONA HERRERA</v>
      </c>
      <c r="AG468" s="23">
        <f>IFERROR(VLOOKUP(AE468,Listas!$AD$1:$AF$65,3,FALSE),"")</f>
        <v>80018909</v>
      </c>
      <c r="AH468" s="17" t="s">
        <v>118</v>
      </c>
      <c r="AI468" s="65" t="s">
        <v>3904</v>
      </c>
      <c r="AJ468" s="25" t="s">
        <v>119</v>
      </c>
      <c r="AK468" s="26" t="s">
        <v>120</v>
      </c>
      <c r="AL468" s="26" t="s">
        <v>120</v>
      </c>
      <c r="AM468" s="90" t="s">
        <v>119</v>
      </c>
      <c r="AN468" s="105">
        <v>31746</v>
      </c>
      <c r="AO468" s="91">
        <f t="shared" ca="1" si="194"/>
        <v>39</v>
      </c>
      <c r="AP468" s="26" t="s">
        <v>121</v>
      </c>
      <c r="AQ468" s="26" t="s">
        <v>1641</v>
      </c>
      <c r="AR468" s="89"/>
      <c r="AS468" s="27"/>
      <c r="AT468" s="16"/>
      <c r="AU468" s="27"/>
      <c r="AV468" s="86"/>
      <c r="AW468" s="27"/>
      <c r="AX468" s="27"/>
      <c r="AY468" s="27"/>
      <c r="AZ468" s="27"/>
      <c r="BA468" s="27"/>
      <c r="BB468" s="27"/>
      <c r="BC468" s="97"/>
      <c r="BD468" s="27"/>
      <c r="BE468" s="16"/>
      <c r="BF468" s="28">
        <f t="shared" si="195"/>
        <v>0</v>
      </c>
      <c r="BG468" s="29"/>
      <c r="BH468" s="27"/>
      <c r="BI468" s="30">
        <f t="shared" si="196"/>
        <v>328</v>
      </c>
      <c r="BJ468" s="31">
        <f t="shared" si="197"/>
        <v>45656</v>
      </c>
      <c r="BK468" s="27"/>
      <c r="BL468" s="16"/>
      <c r="BM468" s="27"/>
      <c r="BN468" s="16"/>
      <c r="BO468" s="27"/>
      <c r="BP468" s="16"/>
      <c r="BQ468" s="27"/>
      <c r="BR468" s="24"/>
      <c r="BS468" s="24"/>
      <c r="BT468" s="32"/>
      <c r="BU468" s="27"/>
      <c r="BV468" s="24"/>
      <c r="BW468" s="24"/>
      <c r="BX468" s="16"/>
      <c r="BY468" s="27"/>
      <c r="BZ468" s="24"/>
      <c r="CA468" s="24"/>
      <c r="CB468" s="16"/>
      <c r="CC468" s="49">
        <f t="shared" si="201"/>
        <v>0</v>
      </c>
      <c r="CD468" s="24"/>
      <c r="CE468" s="49">
        <f t="shared" si="200"/>
        <v>100613333</v>
      </c>
      <c r="CF468" s="50"/>
      <c r="CG468" s="49">
        <f t="shared" ca="1" si="202"/>
        <v>100613333</v>
      </c>
      <c r="CH468" s="33">
        <f t="shared" ca="1" si="198"/>
        <v>1</v>
      </c>
      <c r="CI468" s="33">
        <f t="shared" ca="1" si="199"/>
        <v>1</v>
      </c>
      <c r="CJ468" s="36">
        <f t="shared" ca="1" si="203"/>
        <v>100</v>
      </c>
      <c r="CK468" s="34">
        <f t="shared" si="204"/>
        <v>0</v>
      </c>
      <c r="CL468" s="21"/>
      <c r="CM468" s="35" t="str">
        <f t="shared" ca="1" si="205"/>
        <v>TERMINADO</v>
      </c>
      <c r="CN468" s="82"/>
      <c r="CO468" s="145" t="s">
        <v>3905</v>
      </c>
      <c r="CP468" s="26" t="s">
        <v>142</v>
      </c>
    </row>
    <row r="469" spans="1:98" ht="24.75" customHeight="1">
      <c r="A469" s="48" t="s">
        <v>3906</v>
      </c>
      <c r="B469" s="77" t="s">
        <v>3907</v>
      </c>
      <c r="C469" s="17" t="s">
        <v>104</v>
      </c>
      <c r="D469" s="18" t="s">
        <v>3908</v>
      </c>
      <c r="E469" s="17" t="s">
        <v>106</v>
      </c>
      <c r="F469" s="17" t="s">
        <v>107</v>
      </c>
      <c r="G469" s="17" t="s">
        <v>108</v>
      </c>
      <c r="H469" s="78">
        <v>1007321954</v>
      </c>
      <c r="I469" s="74" t="s">
        <v>3909</v>
      </c>
      <c r="J469" s="16"/>
      <c r="K469" s="16"/>
      <c r="L469" s="20" t="s">
        <v>3910</v>
      </c>
      <c r="M469" s="16" t="s">
        <v>111</v>
      </c>
      <c r="N469" s="115">
        <v>45327</v>
      </c>
      <c r="O469" s="22">
        <v>45329</v>
      </c>
      <c r="P469" s="115">
        <v>45656</v>
      </c>
      <c r="Q469" s="23">
        <f t="shared" si="193"/>
        <v>327</v>
      </c>
      <c r="R469" s="17" t="s">
        <v>242</v>
      </c>
      <c r="S469" s="117" t="s">
        <v>3911</v>
      </c>
      <c r="T469" s="16" t="s">
        <v>3912</v>
      </c>
      <c r="U469" s="24">
        <v>48552084</v>
      </c>
      <c r="V469" s="16" t="s">
        <v>3913</v>
      </c>
      <c r="W469" s="224">
        <v>44506077</v>
      </c>
      <c r="X469" s="24">
        <v>4046007</v>
      </c>
      <c r="Y469" s="24"/>
      <c r="Z469" s="24"/>
      <c r="AA469" s="17" t="s">
        <v>116</v>
      </c>
      <c r="AB469" s="23" t="str">
        <f>IFERROR(VLOOKUP(AA469,Listas!$A$1:$C$14,2,FALSE),"")</f>
        <v>FREDY CÉSPEDES VILLA</v>
      </c>
      <c r="AC469" s="23">
        <f>IFERROR(VLOOKUP(AA469,Listas!$A$1:$C$14,3,FALSE),"")</f>
        <v>93363483</v>
      </c>
      <c r="AD469" s="17" t="s">
        <v>951</v>
      </c>
      <c r="AE469" s="17" t="s">
        <v>952</v>
      </c>
      <c r="AF469" s="23" t="str">
        <f>IFERROR(VLOOKUP(AE469,Listas!$AD$1:$AF$65,2,FALSE),"")</f>
        <v>ANDRES MAURICIO LUQUE AYALA</v>
      </c>
      <c r="AG469" s="23">
        <f>IFERROR(VLOOKUP(AE469,Listas!$AD$1:$AF$65,3,FALSE),"")</f>
        <v>11443937</v>
      </c>
      <c r="AH469" s="17" t="s">
        <v>118</v>
      </c>
      <c r="AI469" s="65" t="s">
        <v>3914</v>
      </c>
      <c r="AJ469" s="25" t="s">
        <v>119</v>
      </c>
      <c r="AK469" s="26" t="s">
        <v>120</v>
      </c>
      <c r="AL469" s="26" t="s">
        <v>120</v>
      </c>
      <c r="AM469" s="90" t="s">
        <v>119</v>
      </c>
      <c r="AN469" s="105">
        <v>36506</v>
      </c>
      <c r="AO469" s="91">
        <f t="shared" ca="1" si="194"/>
        <v>26</v>
      </c>
      <c r="AP469" s="26" t="s">
        <v>121</v>
      </c>
      <c r="AQ469" s="26" t="s">
        <v>886</v>
      </c>
      <c r="AR469" s="89"/>
      <c r="AS469" s="27"/>
      <c r="AT469" s="16"/>
      <c r="AU469" s="27"/>
      <c r="AV469" s="86"/>
      <c r="AW469" s="27"/>
      <c r="AX469" s="27"/>
      <c r="AY469" s="27"/>
      <c r="AZ469" s="27"/>
      <c r="BA469" s="27"/>
      <c r="BB469" s="27"/>
      <c r="BC469" s="97"/>
      <c r="BD469" s="27"/>
      <c r="BE469" s="16"/>
      <c r="BF469" s="28">
        <f t="shared" si="195"/>
        <v>0</v>
      </c>
      <c r="BG469" s="29"/>
      <c r="BH469" s="27"/>
      <c r="BI469" s="30">
        <f t="shared" si="196"/>
        <v>327</v>
      </c>
      <c r="BJ469" s="31">
        <f t="shared" si="197"/>
        <v>45656</v>
      </c>
      <c r="BK469" s="27"/>
      <c r="BL469" s="16"/>
      <c r="BM469" s="27"/>
      <c r="BN469" s="16"/>
      <c r="BO469" s="27"/>
      <c r="BP469" s="16"/>
      <c r="BQ469" s="27"/>
      <c r="BR469" s="24"/>
      <c r="BS469" s="24"/>
      <c r="BT469" s="32"/>
      <c r="BU469" s="27"/>
      <c r="BV469" s="24"/>
      <c r="BW469" s="24"/>
      <c r="BX469" s="16"/>
      <c r="BY469" s="27"/>
      <c r="BZ469" s="24"/>
      <c r="CA469" s="24"/>
      <c r="CB469" s="16"/>
      <c r="CC469" s="49">
        <f t="shared" si="201"/>
        <v>0</v>
      </c>
      <c r="CD469" s="24"/>
      <c r="CE469" s="49">
        <f t="shared" si="200"/>
        <v>44506077</v>
      </c>
      <c r="CF469" s="50"/>
      <c r="CG469" s="49">
        <f t="shared" ca="1" si="202"/>
        <v>44506077</v>
      </c>
      <c r="CH469" s="33">
        <f t="shared" ca="1" si="198"/>
        <v>1</v>
      </c>
      <c r="CI469" s="33">
        <f t="shared" ca="1" si="199"/>
        <v>1</v>
      </c>
      <c r="CJ469" s="36">
        <f t="shared" ca="1" si="203"/>
        <v>100</v>
      </c>
      <c r="CK469" s="34">
        <f t="shared" si="204"/>
        <v>0</v>
      </c>
      <c r="CL469" s="21"/>
      <c r="CM469" s="35" t="str">
        <f t="shared" ca="1" si="205"/>
        <v>TERMINADO</v>
      </c>
      <c r="CN469" s="82"/>
      <c r="CO469" s="145" t="s">
        <v>3915</v>
      </c>
      <c r="CP469" s="26" t="s">
        <v>142</v>
      </c>
    </row>
    <row r="470" spans="1:98" ht="24.75" customHeight="1">
      <c r="A470" s="48" t="s">
        <v>3916</v>
      </c>
      <c r="B470" s="77" t="s">
        <v>3917</v>
      </c>
      <c r="C470" s="17" t="s">
        <v>104</v>
      </c>
      <c r="D470" s="18" t="s">
        <v>3918</v>
      </c>
      <c r="E470" s="17" t="s">
        <v>106</v>
      </c>
      <c r="F470" s="17" t="s">
        <v>107</v>
      </c>
      <c r="G470" s="17" t="s">
        <v>108</v>
      </c>
      <c r="H470" s="78">
        <v>1014183166</v>
      </c>
      <c r="I470" s="74" t="s">
        <v>3919</v>
      </c>
      <c r="J470" s="16"/>
      <c r="K470" s="16"/>
      <c r="L470" s="20" t="s">
        <v>3920</v>
      </c>
      <c r="M470" s="16" t="s">
        <v>111</v>
      </c>
      <c r="N470" s="115">
        <v>45327</v>
      </c>
      <c r="O470" s="22">
        <v>45327</v>
      </c>
      <c r="P470" s="115">
        <v>45656</v>
      </c>
      <c r="Q470" s="23">
        <f t="shared" si="193"/>
        <v>329</v>
      </c>
      <c r="R470" s="17" t="s">
        <v>242</v>
      </c>
      <c r="S470" s="117" t="s">
        <v>3921</v>
      </c>
      <c r="T470" s="16" t="s">
        <v>3912</v>
      </c>
      <c r="U470" s="24">
        <v>79214400</v>
      </c>
      <c r="V470" s="16" t="s">
        <v>3913</v>
      </c>
      <c r="W470" s="224">
        <v>72613200</v>
      </c>
      <c r="X470" s="24">
        <v>6601200</v>
      </c>
      <c r="Y470" s="24"/>
      <c r="Z470" s="24"/>
      <c r="AA470" s="17" t="s">
        <v>116</v>
      </c>
      <c r="AB470" s="23" t="str">
        <f>IFERROR(VLOOKUP(AA470,Listas!$A$1:$C$14,2,FALSE),"")</f>
        <v>FREDY CÉSPEDES VILLA</v>
      </c>
      <c r="AC470" s="23">
        <f>IFERROR(VLOOKUP(AA470,Listas!$A$1:$C$14,3,FALSE),"")</f>
        <v>93363483</v>
      </c>
      <c r="AD470" s="17" t="s">
        <v>951</v>
      </c>
      <c r="AE470" s="17" t="s">
        <v>952</v>
      </c>
      <c r="AF470" s="23" t="str">
        <f>IFERROR(VLOOKUP(AE470,Listas!$AD$1:$AF$65,2,FALSE),"")</f>
        <v>ANDRES MAURICIO LUQUE AYALA</v>
      </c>
      <c r="AG470" s="23">
        <f>IFERROR(VLOOKUP(AE470,Listas!$AD$1:$AF$65,3,FALSE),"")</f>
        <v>11443937</v>
      </c>
      <c r="AH470" s="17" t="s">
        <v>118</v>
      </c>
      <c r="AI470" s="65" t="s">
        <v>3389</v>
      </c>
      <c r="AJ470" s="25" t="s">
        <v>119</v>
      </c>
      <c r="AK470" s="26" t="s">
        <v>120</v>
      </c>
      <c r="AL470" s="26" t="s">
        <v>120</v>
      </c>
      <c r="AM470" s="90" t="s">
        <v>119</v>
      </c>
      <c r="AN470" s="105">
        <v>31638</v>
      </c>
      <c r="AO470" s="91">
        <f t="shared" ca="1" si="194"/>
        <v>39</v>
      </c>
      <c r="AP470" s="26" t="s">
        <v>121</v>
      </c>
      <c r="AQ470" s="26" t="s">
        <v>886</v>
      </c>
      <c r="AR470" s="89"/>
      <c r="AS470" s="231"/>
      <c r="AT470" s="16"/>
      <c r="AU470" s="27"/>
      <c r="AV470" s="86"/>
      <c r="AW470" s="27"/>
      <c r="AX470" s="27"/>
      <c r="AY470" s="27"/>
      <c r="AZ470" s="27"/>
      <c r="BA470" s="27"/>
      <c r="BB470" s="27"/>
      <c r="BC470" s="97"/>
      <c r="BD470" s="27"/>
      <c r="BE470" s="16"/>
      <c r="BF470" s="28">
        <f t="shared" si="195"/>
        <v>0</v>
      </c>
      <c r="BG470" s="29"/>
      <c r="BH470" s="27"/>
      <c r="BI470" s="30">
        <f t="shared" si="196"/>
        <v>329</v>
      </c>
      <c r="BJ470" s="31">
        <f t="shared" si="197"/>
        <v>45656</v>
      </c>
      <c r="BK470" s="27"/>
      <c r="BL470" s="16"/>
      <c r="BM470" s="27"/>
      <c r="BN470" s="16"/>
      <c r="BO470" s="27"/>
      <c r="BP470" s="16"/>
      <c r="BQ470" s="27"/>
      <c r="BR470" s="24"/>
      <c r="BS470" s="24"/>
      <c r="BT470" s="32"/>
      <c r="BU470" s="27"/>
      <c r="BV470" s="24"/>
      <c r="BW470" s="24"/>
      <c r="BX470" s="16"/>
      <c r="BY470" s="27"/>
      <c r="BZ470" s="24"/>
      <c r="CA470" s="24"/>
      <c r="CB470" s="16"/>
      <c r="CC470" s="49">
        <f t="shared" si="201"/>
        <v>0</v>
      </c>
      <c r="CD470" s="24"/>
      <c r="CE470" s="49">
        <f t="shared" si="200"/>
        <v>72613200</v>
      </c>
      <c r="CF470" s="50"/>
      <c r="CG470" s="49">
        <f t="shared" ca="1" si="202"/>
        <v>72613200</v>
      </c>
      <c r="CH470" s="33">
        <f t="shared" ca="1" si="198"/>
        <v>1</v>
      </c>
      <c r="CI470" s="33">
        <f t="shared" ca="1" si="199"/>
        <v>1</v>
      </c>
      <c r="CJ470" s="36">
        <f t="shared" ca="1" si="203"/>
        <v>100</v>
      </c>
      <c r="CK470" s="34">
        <f t="shared" si="204"/>
        <v>0</v>
      </c>
      <c r="CL470" s="21"/>
      <c r="CM470" s="35" t="str">
        <f t="shared" ca="1" si="205"/>
        <v>TERMINADO</v>
      </c>
      <c r="CN470" s="82"/>
      <c r="CO470" s="145" t="s">
        <v>3922</v>
      </c>
      <c r="CP470" s="26" t="s">
        <v>123</v>
      </c>
    </row>
    <row r="471" spans="1:98" ht="24.75" customHeight="1">
      <c r="A471" s="48" t="s">
        <v>3923</v>
      </c>
      <c r="B471" s="77" t="s">
        <v>3924</v>
      </c>
      <c r="C471" s="17" t="s">
        <v>104</v>
      </c>
      <c r="D471" s="18" t="s">
        <v>3925</v>
      </c>
      <c r="E471" s="17" t="s">
        <v>106</v>
      </c>
      <c r="F471" s="17" t="s">
        <v>107</v>
      </c>
      <c r="G471" s="17" t="s">
        <v>108</v>
      </c>
      <c r="H471" s="78">
        <v>1022397741</v>
      </c>
      <c r="I471" s="74" t="s">
        <v>3926</v>
      </c>
      <c r="J471" s="16"/>
      <c r="K471" s="16"/>
      <c r="L471" s="20" t="s">
        <v>3927</v>
      </c>
      <c r="M471" s="16" t="s">
        <v>111</v>
      </c>
      <c r="N471" s="115">
        <v>45327</v>
      </c>
      <c r="O471" s="22">
        <v>45334</v>
      </c>
      <c r="P471" s="115">
        <v>45656</v>
      </c>
      <c r="Q471" s="23">
        <f t="shared" si="193"/>
        <v>322</v>
      </c>
      <c r="R471" s="17" t="s">
        <v>242</v>
      </c>
      <c r="S471" s="117" t="s">
        <v>3928</v>
      </c>
      <c r="T471" s="16" t="s">
        <v>1249</v>
      </c>
      <c r="U471" s="24">
        <v>64736124</v>
      </c>
      <c r="V471" s="16" t="s">
        <v>3929</v>
      </c>
      <c r="W471" s="224">
        <v>59341447</v>
      </c>
      <c r="X471" s="24">
        <v>5394677</v>
      </c>
      <c r="Y471" s="24"/>
      <c r="Z471" s="24"/>
      <c r="AA471" s="17" t="s">
        <v>116</v>
      </c>
      <c r="AB471" s="23" t="str">
        <f>IFERROR(VLOOKUP(AA471,Listas!$A$1:$C$14,2,FALSE),"")</f>
        <v>FREDY CÉSPEDES VILLA</v>
      </c>
      <c r="AC471" s="23">
        <f>IFERROR(VLOOKUP(AA471,Listas!$A$1:$C$14,3,FALSE),"")</f>
        <v>93363483</v>
      </c>
      <c r="AD471" s="17" t="s">
        <v>577</v>
      </c>
      <c r="AE471" s="17" t="s">
        <v>578</v>
      </c>
      <c r="AF471" s="23" t="str">
        <f>IFERROR(VLOOKUP(AE471,Listas!$AD$1:$AF$65,2,FALSE),"")</f>
        <v>EDGAR FABIO DÍAZ RAMIREZ</v>
      </c>
      <c r="AG471" s="23">
        <f>IFERROR(VLOOKUP(AE471,Listas!$AD$1:$AF$65,3,FALSE),"")</f>
        <v>79537198</v>
      </c>
      <c r="AH471" s="17" t="s">
        <v>118</v>
      </c>
      <c r="AI471" s="65" t="s">
        <v>3930</v>
      </c>
      <c r="AJ471" s="25" t="s">
        <v>119</v>
      </c>
      <c r="AK471" s="26" t="s">
        <v>120</v>
      </c>
      <c r="AL471" s="26" t="s">
        <v>120</v>
      </c>
      <c r="AM471" s="90" t="s">
        <v>119</v>
      </c>
      <c r="AN471" s="105">
        <v>34634</v>
      </c>
      <c r="AO471" s="91">
        <f t="shared" ca="1" si="194"/>
        <v>31</v>
      </c>
      <c r="AP471" s="26" t="s">
        <v>121</v>
      </c>
      <c r="AQ471" s="26" t="s">
        <v>886</v>
      </c>
      <c r="AR471" s="89">
        <v>45525</v>
      </c>
      <c r="AS471" s="27" t="s">
        <v>3931</v>
      </c>
      <c r="AT471" s="104">
        <v>1121871773</v>
      </c>
      <c r="AU471" s="27" t="s">
        <v>3932</v>
      </c>
      <c r="AV471" s="86">
        <v>24276047</v>
      </c>
      <c r="AW471" s="27"/>
      <c r="AX471" s="27"/>
      <c r="AY471" s="27"/>
      <c r="AZ471" s="27"/>
      <c r="BA471" s="27"/>
      <c r="BB471" s="27"/>
      <c r="BC471" s="97"/>
      <c r="BD471" s="27"/>
      <c r="BE471" s="16"/>
      <c r="BF471" s="28">
        <f t="shared" si="195"/>
        <v>0</v>
      </c>
      <c r="BG471" s="29"/>
      <c r="BH471" s="27"/>
      <c r="BI471" s="30">
        <f t="shared" si="196"/>
        <v>322</v>
      </c>
      <c r="BJ471" s="31">
        <f t="shared" si="197"/>
        <v>45656</v>
      </c>
      <c r="BK471" s="27"/>
      <c r="BL471" s="16"/>
      <c r="BM471" s="27"/>
      <c r="BN471" s="16"/>
      <c r="BO471" s="27"/>
      <c r="BP471" s="16"/>
      <c r="BQ471" s="27"/>
      <c r="BR471" s="24"/>
      <c r="BS471" s="24"/>
      <c r="BT471" s="32"/>
      <c r="BU471" s="27"/>
      <c r="BV471" s="24"/>
      <c r="BW471" s="24"/>
      <c r="BX471" s="16"/>
      <c r="BY471" s="27"/>
      <c r="BZ471" s="24"/>
      <c r="CA471" s="24"/>
      <c r="CB471" s="16"/>
      <c r="CC471" s="49">
        <f t="shared" si="201"/>
        <v>0</v>
      </c>
      <c r="CD471" s="24"/>
      <c r="CE471" s="49">
        <f t="shared" si="200"/>
        <v>59341447</v>
      </c>
      <c r="CF471" s="50"/>
      <c r="CG471" s="49">
        <f t="shared" ca="1" si="202"/>
        <v>59341447</v>
      </c>
      <c r="CH471" s="33">
        <f t="shared" ca="1" si="198"/>
        <v>1</v>
      </c>
      <c r="CI471" s="33">
        <f t="shared" ca="1" si="199"/>
        <v>1</v>
      </c>
      <c r="CJ471" s="36">
        <f t="shared" ca="1" si="203"/>
        <v>100</v>
      </c>
      <c r="CK471" s="34">
        <f t="shared" si="204"/>
        <v>0</v>
      </c>
      <c r="CL471" s="21"/>
      <c r="CM471" s="35" t="str">
        <f t="shared" ca="1" si="205"/>
        <v>TERMINADO</v>
      </c>
      <c r="CN471" s="82"/>
      <c r="CO471" s="145" t="s">
        <v>3933</v>
      </c>
      <c r="CP471" s="26" t="s">
        <v>142</v>
      </c>
    </row>
    <row r="472" spans="1:98" ht="24.75" customHeight="1">
      <c r="A472" s="48" t="s">
        <v>1424</v>
      </c>
      <c r="B472" s="77" t="s">
        <v>3934</v>
      </c>
      <c r="C472" s="17" t="s">
        <v>2927</v>
      </c>
      <c r="D472" s="18" t="s">
        <v>3935</v>
      </c>
      <c r="E472" s="17" t="s">
        <v>2929</v>
      </c>
      <c r="F472" s="17" t="s">
        <v>1426</v>
      </c>
      <c r="G472" s="17" t="s">
        <v>1427</v>
      </c>
      <c r="H472" s="78" t="s">
        <v>3936</v>
      </c>
      <c r="I472" s="74" t="s">
        <v>3937</v>
      </c>
      <c r="J472" s="16" t="s">
        <v>3938</v>
      </c>
      <c r="K472" s="16">
        <v>17091372</v>
      </c>
      <c r="L472" s="20" t="s">
        <v>2933</v>
      </c>
      <c r="M472" s="16"/>
      <c r="N472" s="115">
        <v>45327</v>
      </c>
      <c r="O472" s="22">
        <v>45327</v>
      </c>
      <c r="P472" s="115">
        <v>45693</v>
      </c>
      <c r="Q472" s="23">
        <f t="shared" si="193"/>
        <v>366</v>
      </c>
      <c r="R472" s="17" t="s">
        <v>2934</v>
      </c>
      <c r="S472" s="117" t="s">
        <v>1424</v>
      </c>
      <c r="T472" s="16" t="s">
        <v>1424</v>
      </c>
      <c r="U472" s="24" t="s">
        <v>1424</v>
      </c>
      <c r="V472" s="16" t="s">
        <v>1424</v>
      </c>
      <c r="W472" s="227">
        <v>0</v>
      </c>
      <c r="X472" s="24"/>
      <c r="Y472" s="24" t="s">
        <v>2935</v>
      </c>
      <c r="Z472" s="24"/>
      <c r="AA472" s="17" t="s">
        <v>406</v>
      </c>
      <c r="AB472" s="23" t="str">
        <f>IFERROR(VLOOKUP(AA472,Listas!$A$1:$C$14,2,FALSE),"")</f>
        <v>EDUARDO ELÍAS BARCHA BOLÍVAR</v>
      </c>
      <c r="AC472" s="23">
        <f>IFERROR(VLOOKUP(AA472,Listas!$A$1:$C$14,3,FALSE),"")</f>
        <v>72133921</v>
      </c>
      <c r="AD472" s="17" t="s">
        <v>903</v>
      </c>
      <c r="AE472" s="17" t="s">
        <v>904</v>
      </c>
      <c r="AF472" s="23" t="str">
        <f>IFERROR(VLOOKUP(AE472,Listas!$AD$1:$AF$65,2,FALSE),"")</f>
        <v>VIVIANA MARGARITA ROMERO</v>
      </c>
      <c r="AG472" s="23">
        <f>IFERROR(VLOOKUP(AE472,Listas!$AD$1:$AF$65,3,FALSE),"")</f>
        <v>32794946</v>
      </c>
      <c r="AH472" s="17" t="s">
        <v>2936</v>
      </c>
      <c r="AI472" s="65"/>
      <c r="AJ472" s="25" t="s">
        <v>1435</v>
      </c>
      <c r="AK472" s="26" t="s">
        <v>2071</v>
      </c>
      <c r="AL472" s="26" t="s">
        <v>2071</v>
      </c>
      <c r="AM472" s="90" t="s">
        <v>1435</v>
      </c>
      <c r="AN472" s="105"/>
      <c r="AO472" s="91" t="str">
        <f t="shared" ca="1" si="194"/>
        <v xml:space="preserve"> </v>
      </c>
      <c r="AP472" s="26" t="s">
        <v>2937</v>
      </c>
      <c r="AQ472" s="26" t="s">
        <v>2938</v>
      </c>
      <c r="AR472" s="89"/>
      <c r="AS472" s="27"/>
      <c r="AT472" s="16"/>
      <c r="AU472" s="27"/>
      <c r="AV472" s="86"/>
      <c r="AW472" s="27"/>
      <c r="AX472" s="27"/>
      <c r="AY472" s="27"/>
      <c r="AZ472" s="27"/>
      <c r="BA472" s="27"/>
      <c r="BB472" s="27">
        <v>45653</v>
      </c>
      <c r="BC472" s="97">
        <v>329</v>
      </c>
      <c r="BD472" s="27"/>
      <c r="BE472" s="16"/>
      <c r="BF472" s="28">
        <f t="shared" si="195"/>
        <v>329</v>
      </c>
      <c r="BG472" s="29"/>
      <c r="BH472" s="27"/>
      <c r="BI472" s="30">
        <f t="shared" si="196"/>
        <v>695</v>
      </c>
      <c r="BJ472" s="31">
        <f t="shared" si="197"/>
        <v>46022</v>
      </c>
      <c r="BK472" s="27">
        <v>45653</v>
      </c>
      <c r="BL472" s="16" t="s">
        <v>3939</v>
      </c>
      <c r="BM472" s="27"/>
      <c r="BN472" s="16"/>
      <c r="BO472" s="27"/>
      <c r="BP472" s="16"/>
      <c r="BQ472" s="27"/>
      <c r="BR472" s="24"/>
      <c r="BS472" s="24"/>
      <c r="BT472" s="32"/>
      <c r="BU472" s="27"/>
      <c r="BV472" s="24"/>
      <c r="BW472" s="24"/>
      <c r="BX472" s="16"/>
      <c r="BY472" s="27"/>
      <c r="BZ472" s="24"/>
      <c r="CA472" s="24"/>
      <c r="CB472" s="16"/>
      <c r="CC472" s="49">
        <f t="shared" si="201"/>
        <v>0</v>
      </c>
      <c r="CD472" s="24"/>
      <c r="CE472" s="49" t="str">
        <f>IFERROR(IF(Y472=0,(W472+CC472)-CD472,IF(Y472&gt;0,(Y472+CC472)-CD472)),"")</f>
        <v/>
      </c>
      <c r="CF472" s="50">
        <v>87645745</v>
      </c>
      <c r="CG472" s="49" t="str">
        <f t="shared" ca="1" si="202"/>
        <v/>
      </c>
      <c r="CH472" s="33">
        <f t="shared" ca="1" si="198"/>
        <v>0.89650145772594747</v>
      </c>
      <c r="CI472" s="33">
        <f t="shared" ca="1" si="199"/>
        <v>0.89650145772594747</v>
      </c>
      <c r="CJ472" s="36" t="str">
        <f t="shared" ca="1" si="203"/>
        <v/>
      </c>
      <c r="CK472" s="34" t="str">
        <f t="shared" si="204"/>
        <v/>
      </c>
      <c r="CL472" s="21"/>
      <c r="CM472" s="35" t="str">
        <f t="shared" ca="1" si="205"/>
        <v>VIGENTE</v>
      </c>
      <c r="CN472" s="82"/>
      <c r="CP472" s="26"/>
    </row>
    <row r="473" spans="1:98" ht="24.75" customHeight="1">
      <c r="A473" s="48"/>
      <c r="B473" s="345" t="s">
        <v>3940</v>
      </c>
      <c r="C473" s="345" t="s">
        <v>1583</v>
      </c>
      <c r="D473" s="18"/>
      <c r="E473" s="17"/>
      <c r="F473" s="17"/>
      <c r="G473" s="17"/>
      <c r="H473" s="78"/>
      <c r="I473" s="74"/>
      <c r="J473" s="16"/>
      <c r="K473" s="16"/>
      <c r="L473" s="96"/>
      <c r="M473" s="16"/>
      <c r="N473" s="22"/>
      <c r="O473" s="22"/>
      <c r="P473" s="22"/>
      <c r="Q473" s="23"/>
      <c r="R473" s="17"/>
      <c r="S473" s="16"/>
      <c r="T473" s="16"/>
      <c r="U473" s="67"/>
      <c r="V473" s="16"/>
      <c r="W473" s="24"/>
      <c r="X473" s="24"/>
      <c r="Y473" s="24"/>
      <c r="Z473" s="24"/>
      <c r="AA473" s="17"/>
      <c r="AB473" s="23"/>
      <c r="AC473" s="23"/>
      <c r="AD473" s="17"/>
      <c r="AE473" s="17"/>
      <c r="AF473" s="23"/>
      <c r="AG473" s="23"/>
      <c r="AH473" s="17"/>
      <c r="AI473" s="65"/>
      <c r="AJ473" s="25"/>
      <c r="AK473" s="26"/>
      <c r="AL473" s="26"/>
      <c r="AM473" s="90"/>
      <c r="AN473" s="105"/>
      <c r="AO473" s="91"/>
      <c r="AP473" s="26"/>
      <c r="AQ473" s="26"/>
      <c r="AR473" s="89"/>
      <c r="AS473" s="27"/>
      <c r="AT473" s="16"/>
      <c r="AU473" s="27"/>
      <c r="AV473" s="86"/>
      <c r="AW473" s="27"/>
      <c r="AX473" s="27"/>
      <c r="AY473" s="27"/>
      <c r="AZ473" s="27"/>
      <c r="BA473" s="27"/>
      <c r="BB473" s="27"/>
      <c r="BC473" s="97"/>
      <c r="BD473" s="27"/>
      <c r="BE473" s="16"/>
      <c r="BF473" s="28"/>
      <c r="BG473" s="29"/>
      <c r="BH473" s="27"/>
      <c r="BI473" s="30"/>
      <c r="BJ473" s="31"/>
      <c r="BK473" s="27"/>
      <c r="BL473" s="16"/>
      <c r="BM473" s="27"/>
      <c r="BN473" s="16"/>
      <c r="BO473" s="27"/>
      <c r="BP473" s="16"/>
      <c r="BQ473" s="27"/>
      <c r="BR473" s="24"/>
      <c r="BS473" s="24"/>
      <c r="BT473" s="32"/>
      <c r="BU473" s="27"/>
      <c r="BV473" s="24"/>
      <c r="BW473" s="24"/>
      <c r="BX473" s="16"/>
      <c r="BY473" s="27"/>
      <c r="BZ473" s="24"/>
      <c r="CA473" s="24"/>
      <c r="CB473" s="16"/>
      <c r="CC473" s="49"/>
      <c r="CD473" s="24"/>
      <c r="CE473" s="49"/>
      <c r="CF473" s="50"/>
      <c r="CG473" s="49"/>
      <c r="CH473" s="33"/>
      <c r="CI473" s="33"/>
      <c r="CJ473" s="36"/>
      <c r="CK473" s="34"/>
      <c r="CL473" s="21"/>
      <c r="CM473" s="35"/>
      <c r="CN473" s="82"/>
      <c r="CP473" s="26"/>
      <c r="CS473" s="48"/>
      <c r="CT473" s="345"/>
    </row>
    <row r="474" spans="1:98" ht="24.75" customHeight="1">
      <c r="A474" s="48" t="s">
        <v>3941</v>
      </c>
      <c r="B474" s="77" t="s">
        <v>3942</v>
      </c>
      <c r="C474" s="17" t="s">
        <v>104</v>
      </c>
      <c r="D474" s="18" t="s">
        <v>3943</v>
      </c>
      <c r="E474" s="17" t="s">
        <v>106</v>
      </c>
      <c r="F474" s="17" t="s">
        <v>107</v>
      </c>
      <c r="G474" s="17" t="s">
        <v>108</v>
      </c>
      <c r="H474" s="78">
        <v>1070916159</v>
      </c>
      <c r="I474" s="74" t="s">
        <v>3944</v>
      </c>
      <c r="J474" s="16"/>
      <c r="K474" s="16"/>
      <c r="L474" s="20" t="s">
        <v>3945</v>
      </c>
      <c r="M474" s="16" t="s">
        <v>111</v>
      </c>
      <c r="N474" s="115">
        <v>45327</v>
      </c>
      <c r="O474" s="115">
        <v>45329</v>
      </c>
      <c r="P474" s="115">
        <v>45656</v>
      </c>
      <c r="Q474" s="23">
        <f t="shared" ref="Q474:Q484" si="206">P474-O474</f>
        <v>327</v>
      </c>
      <c r="R474" s="17" t="s">
        <v>242</v>
      </c>
      <c r="S474" s="117" t="s">
        <v>3946</v>
      </c>
      <c r="T474" s="16" t="s">
        <v>2708</v>
      </c>
      <c r="U474" s="24">
        <v>55908468</v>
      </c>
      <c r="V474" s="16" t="s">
        <v>3947</v>
      </c>
      <c r="W474" s="224">
        <v>51249429</v>
      </c>
      <c r="X474" s="24">
        <v>4659039</v>
      </c>
      <c r="Y474" s="24"/>
      <c r="Z474" s="24"/>
      <c r="AA474" s="17" t="s">
        <v>116</v>
      </c>
      <c r="AB474" s="23" t="str">
        <f>IFERROR(VLOOKUP(AA474,Listas!$A$1:$C$14,2,FALSE),"")</f>
        <v>FREDY CÉSPEDES VILLA</v>
      </c>
      <c r="AC474" s="23">
        <f>IFERROR(VLOOKUP(AA474,Listas!$A$1:$C$14,3,FALSE),"")</f>
        <v>93363483</v>
      </c>
      <c r="AD474" s="17" t="s">
        <v>116</v>
      </c>
      <c r="AE474" s="17" t="s">
        <v>2309</v>
      </c>
      <c r="AF474" s="23" t="str">
        <f>IFERROR(VLOOKUP(AE474,Listas!$AD$1:$AF$65,2,FALSE),"")</f>
        <v>YURY NAYIBE LADINO</v>
      </c>
      <c r="AG474" s="23">
        <f>IFERROR(VLOOKUP(AE474,Listas!$AD$1:$AF$65,3,FALSE),"")</f>
        <v>1013587191</v>
      </c>
      <c r="AH474" s="17" t="s">
        <v>118</v>
      </c>
      <c r="AI474" s="65" t="s">
        <v>3948</v>
      </c>
      <c r="AJ474" s="25" t="s">
        <v>119</v>
      </c>
      <c r="AK474" s="26" t="s">
        <v>120</v>
      </c>
      <c r="AL474" s="26" t="s">
        <v>120</v>
      </c>
      <c r="AM474" s="90" t="s">
        <v>119</v>
      </c>
      <c r="AN474" s="105">
        <v>31326</v>
      </c>
      <c r="AO474" s="91">
        <f t="shared" ref="AO474:AO487" ca="1" si="207">IF(YEAR(TODAY())-YEAR(AN474)&gt;100," ",YEAR(TODAY())-YEAR(AN474))</f>
        <v>40</v>
      </c>
      <c r="AP474" s="26" t="s">
        <v>121</v>
      </c>
      <c r="AQ474" s="26" t="s">
        <v>285</v>
      </c>
      <c r="AR474" s="89">
        <v>45456</v>
      </c>
      <c r="AS474" s="176" t="s">
        <v>3949</v>
      </c>
      <c r="AT474" s="176">
        <v>1020743829</v>
      </c>
      <c r="AU474" s="20" t="s">
        <v>3945</v>
      </c>
      <c r="AV474" s="86">
        <v>30749658</v>
      </c>
      <c r="AW474" s="27"/>
      <c r="AX474" s="27"/>
      <c r="AY474" s="27"/>
      <c r="AZ474" s="27"/>
      <c r="BA474" s="27"/>
      <c r="BB474" s="27"/>
      <c r="BC474" s="97"/>
      <c r="BD474" s="27"/>
      <c r="BE474" s="16"/>
      <c r="BF474" s="28">
        <f t="shared" ref="BF474:BF505" si="208">BC474+BE474</f>
        <v>0</v>
      </c>
      <c r="BG474" s="29"/>
      <c r="BH474" s="27"/>
      <c r="BI474" s="30">
        <f t="shared" ref="BI474:BI491" si="209">BF474+Q474</f>
        <v>327</v>
      </c>
      <c r="BJ474" s="31">
        <f t="shared" ref="BJ474:BJ491" si="210">IF(BH474="",P474+BF474,BH474)</f>
        <v>45656</v>
      </c>
      <c r="BK474" s="27"/>
      <c r="BL474" s="16"/>
      <c r="BM474" s="27"/>
      <c r="BN474" s="16"/>
      <c r="BO474" s="27"/>
      <c r="BP474" s="16"/>
      <c r="BQ474" s="27"/>
      <c r="BR474" s="24"/>
      <c r="BS474" s="24"/>
      <c r="BT474" s="32"/>
      <c r="BU474" s="27"/>
      <c r="BV474" s="24"/>
      <c r="BW474" s="24"/>
      <c r="BX474" s="16"/>
      <c r="BY474" s="27"/>
      <c r="BZ474" s="24"/>
      <c r="CA474" s="24"/>
      <c r="CB474" s="16"/>
      <c r="CC474" s="49">
        <f t="shared" ref="CC474:CC505" si="211">BR474+BV474+BZ474</f>
        <v>0</v>
      </c>
      <c r="CD474" s="24"/>
      <c r="CE474" s="49">
        <f t="shared" ref="CE474:CE516" si="212">IF(Y474=0,(W474+CC474)-CD474,IF(Y474&gt;0,(Y474+CC474)-CD474))</f>
        <v>51249429</v>
      </c>
      <c r="CF474" s="50"/>
      <c r="CG474" s="49">
        <f t="shared" ref="CG474:CG505" ca="1" si="213">IFERROR(IF(((CE474/BI474)*(TODAY()-N474))&gt;CE474,CE474,((CE474/BI474)*(TODAY()-N474))),"")</f>
        <v>51249429</v>
      </c>
      <c r="CH474" s="33">
        <f t="shared" ref="CH474:CH484" ca="1" si="214">IF(TODAY()&gt;BJ474,1,+(DAYS360(O474,TODAY())/DAYS360(O474,BJ474)))</f>
        <v>1</v>
      </c>
      <c r="CI474" s="33">
        <f t="shared" ref="CI474:CI484" ca="1" si="215">+IF(CL474&gt;0,DAYS360(O474,CL474)/DAYS360(O474,BJ474),CH474)</f>
        <v>1</v>
      </c>
      <c r="CJ474" s="36">
        <f t="shared" ref="CJ474:CJ505" ca="1" si="216">IFERROR(IF(((CG474/CE474)*100)&gt;100,100,((CG474/CE474)*100)),"")</f>
        <v>100</v>
      </c>
      <c r="CK474" s="34">
        <f t="shared" ref="CK474:CK505" si="217">IFERROR((CF474/CE474)*100,"")</f>
        <v>0</v>
      </c>
      <c r="CL474" s="21"/>
      <c r="CM474" s="35" t="str">
        <f t="shared" ref="CM474:CM490" ca="1" si="218">IF(CL474&gt;1/1/6,"LIQUIDADO",IF(BJ474=$BE$20003,"",IF(BJ474&gt;=TODAY(),"VIGENTE",IF(BJ474&lt;TODAY(),"TERMINADO",))))</f>
        <v>TERMINADO</v>
      </c>
      <c r="CN474" s="82"/>
      <c r="CO474" s="145" t="s">
        <v>3950</v>
      </c>
      <c r="CP474" s="26" t="s">
        <v>123</v>
      </c>
    </row>
    <row r="475" spans="1:98" ht="24.75" customHeight="1">
      <c r="A475" s="148" t="s">
        <v>3951</v>
      </c>
      <c r="B475" s="77" t="s">
        <v>3952</v>
      </c>
      <c r="C475" s="17" t="s">
        <v>104</v>
      </c>
      <c r="D475" s="18" t="s">
        <v>3953</v>
      </c>
      <c r="E475" s="17" t="s">
        <v>106</v>
      </c>
      <c r="F475" s="17" t="s">
        <v>107</v>
      </c>
      <c r="G475" s="17" t="s">
        <v>108</v>
      </c>
      <c r="H475" s="78">
        <v>69801039</v>
      </c>
      <c r="I475" s="74" t="s">
        <v>3954</v>
      </c>
      <c r="J475" s="16"/>
      <c r="K475" s="16"/>
      <c r="L475" s="20" t="s">
        <v>3955</v>
      </c>
      <c r="M475" s="16" t="s">
        <v>111</v>
      </c>
      <c r="N475" s="115">
        <v>45327</v>
      </c>
      <c r="O475" s="115">
        <v>45331</v>
      </c>
      <c r="P475" s="115">
        <v>45656</v>
      </c>
      <c r="Q475" s="23">
        <f t="shared" si="206"/>
        <v>325</v>
      </c>
      <c r="R475" s="17" t="s">
        <v>242</v>
      </c>
      <c r="S475" s="117" t="s">
        <v>3956</v>
      </c>
      <c r="T475" s="16" t="s">
        <v>1345</v>
      </c>
      <c r="U475" s="24">
        <v>104640376</v>
      </c>
      <c r="V475" s="16" t="s">
        <v>344</v>
      </c>
      <c r="W475" s="224">
        <v>104640376</v>
      </c>
      <c r="X475" s="24">
        <v>9072865</v>
      </c>
      <c r="Y475" s="24"/>
      <c r="Z475" s="24"/>
      <c r="AA475" s="17" t="s">
        <v>116</v>
      </c>
      <c r="AB475" s="23" t="str">
        <f>IFERROR(VLOOKUP(AA475,Listas!$A$1:$C$14,2,FALSE),"")</f>
        <v>FREDY CÉSPEDES VILLA</v>
      </c>
      <c r="AC475" s="23">
        <f>IFERROR(VLOOKUP(AA475,Listas!$A$1:$C$14,3,FALSE),"")</f>
        <v>93363483</v>
      </c>
      <c r="AD475" s="17" t="s">
        <v>1533</v>
      </c>
      <c r="AE475" s="17" t="s">
        <v>1534</v>
      </c>
      <c r="AF475" s="23" t="str">
        <f>IFERROR(VLOOKUP(AE475,Listas!$AD$1:$AF$65,2,FALSE),"")</f>
        <v>ESTEBAN GUERRERO ALVAREZ</v>
      </c>
      <c r="AG475" s="23">
        <f>IFERROR(VLOOKUP(AE475,Listas!$AD$1:$AF$65,3,FALSE),"")</f>
        <v>1032460552</v>
      </c>
      <c r="AH475" s="17" t="s">
        <v>118</v>
      </c>
      <c r="AI475" s="65" t="s">
        <v>3957</v>
      </c>
      <c r="AJ475" s="25" t="s">
        <v>119</v>
      </c>
      <c r="AK475" s="26" t="s">
        <v>120</v>
      </c>
      <c r="AL475" s="26" t="s">
        <v>120</v>
      </c>
      <c r="AM475" s="90" t="s">
        <v>119</v>
      </c>
      <c r="AN475" s="105">
        <v>28451</v>
      </c>
      <c r="AO475" s="91">
        <f t="shared" ca="1" si="207"/>
        <v>48</v>
      </c>
      <c r="AP475" s="26" t="s">
        <v>121</v>
      </c>
      <c r="AQ475" s="26" t="s">
        <v>327</v>
      </c>
      <c r="AR475" s="89"/>
      <c r="AS475" s="27"/>
      <c r="AT475" s="16"/>
      <c r="AU475" s="27"/>
      <c r="AV475" s="86"/>
      <c r="AW475" s="27"/>
      <c r="AX475" s="27"/>
      <c r="AY475" s="27"/>
      <c r="AZ475" s="27"/>
      <c r="BA475" s="27"/>
      <c r="BB475" s="27"/>
      <c r="BC475" s="97"/>
      <c r="BD475" s="27"/>
      <c r="BE475" s="16"/>
      <c r="BF475" s="28">
        <f t="shared" si="208"/>
        <v>0</v>
      </c>
      <c r="BG475" s="29"/>
      <c r="BH475" s="27"/>
      <c r="BI475" s="30">
        <f t="shared" si="209"/>
        <v>325</v>
      </c>
      <c r="BJ475" s="31">
        <f t="shared" si="210"/>
        <v>45656</v>
      </c>
      <c r="BK475" s="27"/>
      <c r="BL475" s="16"/>
      <c r="BM475" s="27"/>
      <c r="BN475" s="16"/>
      <c r="BO475" s="27"/>
      <c r="BP475" s="16"/>
      <c r="BQ475" s="27"/>
      <c r="BR475" s="24"/>
      <c r="BS475" s="24"/>
      <c r="BT475" s="32"/>
      <c r="BU475" s="27"/>
      <c r="BV475" s="24"/>
      <c r="BW475" s="24"/>
      <c r="BX475" s="16"/>
      <c r="BY475" s="27"/>
      <c r="BZ475" s="24"/>
      <c r="CA475" s="24"/>
      <c r="CB475" s="16"/>
      <c r="CC475" s="49">
        <f t="shared" si="211"/>
        <v>0</v>
      </c>
      <c r="CD475" s="24"/>
      <c r="CE475" s="49">
        <f t="shared" si="212"/>
        <v>104640376</v>
      </c>
      <c r="CF475" s="50"/>
      <c r="CG475" s="49">
        <f t="shared" ca="1" si="213"/>
        <v>104640376</v>
      </c>
      <c r="CH475" s="33">
        <f t="shared" ca="1" si="214"/>
        <v>1</v>
      </c>
      <c r="CI475" s="33">
        <f t="shared" ca="1" si="215"/>
        <v>1</v>
      </c>
      <c r="CJ475" s="36">
        <f t="shared" ca="1" si="216"/>
        <v>100</v>
      </c>
      <c r="CK475" s="34">
        <f t="shared" si="217"/>
        <v>0</v>
      </c>
      <c r="CL475" s="21"/>
      <c r="CM475" s="35" t="str">
        <f t="shared" ca="1" si="218"/>
        <v>TERMINADO</v>
      </c>
      <c r="CN475" s="82"/>
      <c r="CO475" s="145" t="s">
        <v>3958</v>
      </c>
      <c r="CP475" s="26" t="s">
        <v>123</v>
      </c>
    </row>
    <row r="476" spans="1:98" ht="24.75" customHeight="1">
      <c r="A476" s="48" t="s">
        <v>3959</v>
      </c>
      <c r="B476" s="77" t="s">
        <v>3960</v>
      </c>
      <c r="C476" s="17" t="s">
        <v>104</v>
      </c>
      <c r="D476" s="18" t="s">
        <v>3961</v>
      </c>
      <c r="E476" s="17" t="s">
        <v>106</v>
      </c>
      <c r="F476" s="17" t="s">
        <v>107</v>
      </c>
      <c r="G476" s="17" t="s">
        <v>108</v>
      </c>
      <c r="H476" s="78">
        <v>1010180934</v>
      </c>
      <c r="I476" s="74" t="s">
        <v>3962</v>
      </c>
      <c r="J476" s="16"/>
      <c r="K476" s="16"/>
      <c r="L476" s="20" t="s">
        <v>3963</v>
      </c>
      <c r="M476" s="16" t="s">
        <v>111</v>
      </c>
      <c r="N476" s="115">
        <v>45327</v>
      </c>
      <c r="O476" s="115">
        <v>45329</v>
      </c>
      <c r="P476" s="115">
        <v>45656</v>
      </c>
      <c r="Q476" s="23">
        <f t="shared" si="206"/>
        <v>327</v>
      </c>
      <c r="R476" s="17" t="s">
        <v>242</v>
      </c>
      <c r="S476" s="117" t="s">
        <v>3964</v>
      </c>
      <c r="T476" s="16" t="s">
        <v>1345</v>
      </c>
      <c r="U476" s="24">
        <v>48404958</v>
      </c>
      <c r="V476" s="16" t="s">
        <v>344</v>
      </c>
      <c r="W476" s="224">
        <v>48404958</v>
      </c>
      <c r="X476" s="24">
        <v>3433600</v>
      </c>
      <c r="Y476" s="24"/>
      <c r="Z476" s="24"/>
      <c r="AA476" s="17" t="s">
        <v>116</v>
      </c>
      <c r="AB476" s="23" t="str">
        <f>IFERROR(VLOOKUP(AA476,Listas!$A$1:$C$14,2,FALSE),"")</f>
        <v>FREDY CÉSPEDES VILLA</v>
      </c>
      <c r="AC476" s="23">
        <f>IFERROR(VLOOKUP(AA476,Listas!$A$1:$C$14,3,FALSE),"")</f>
        <v>93363483</v>
      </c>
      <c r="AD476" s="17" t="s">
        <v>345</v>
      </c>
      <c r="AE476" s="17" t="s">
        <v>346</v>
      </c>
      <c r="AF476" s="23" t="str">
        <f>IFERROR(VLOOKUP(AE476,Listas!$AD$1:$AF$65,2,FALSE),"")</f>
        <v>RODOLFO GIOVANNI CANCHILA SUÁREZ</v>
      </c>
      <c r="AG476" s="23">
        <f>IFERROR(VLOOKUP(AE476,Listas!$AD$1:$AF$65,3,FALSE),"")</f>
        <v>79672493</v>
      </c>
      <c r="AH476" s="17" t="s">
        <v>118</v>
      </c>
      <c r="AI476" s="65" t="s">
        <v>3957</v>
      </c>
      <c r="AJ476" s="25" t="s">
        <v>119</v>
      </c>
      <c r="AK476" s="26" t="s">
        <v>120</v>
      </c>
      <c r="AL476" s="26" t="s">
        <v>120</v>
      </c>
      <c r="AM476" s="90" t="s">
        <v>119</v>
      </c>
      <c r="AN476" s="105">
        <v>32510</v>
      </c>
      <c r="AO476" s="91">
        <f t="shared" ca="1" si="207"/>
        <v>36</v>
      </c>
      <c r="AP476" s="26" t="s">
        <v>121</v>
      </c>
      <c r="AQ476" s="26" t="s">
        <v>347</v>
      </c>
      <c r="AR476" s="89"/>
      <c r="AS476" s="27"/>
      <c r="AT476" s="16"/>
      <c r="AU476" s="27"/>
      <c r="AV476" s="86"/>
      <c r="AW476" s="27"/>
      <c r="AX476" s="27"/>
      <c r="AY476" s="27"/>
      <c r="AZ476" s="27"/>
      <c r="BA476" s="27"/>
      <c r="BB476" s="27"/>
      <c r="BC476" s="97"/>
      <c r="BD476" s="27"/>
      <c r="BE476" s="16"/>
      <c r="BF476" s="28">
        <f t="shared" si="208"/>
        <v>0</v>
      </c>
      <c r="BG476" s="29"/>
      <c r="BH476" s="27"/>
      <c r="BI476" s="30">
        <f t="shared" si="209"/>
        <v>327</v>
      </c>
      <c r="BJ476" s="31">
        <f t="shared" si="210"/>
        <v>45656</v>
      </c>
      <c r="BK476" s="27"/>
      <c r="BL476" s="16"/>
      <c r="BM476" s="27"/>
      <c r="BN476" s="16"/>
      <c r="BO476" s="27"/>
      <c r="BP476" s="16"/>
      <c r="BQ476" s="27"/>
      <c r="BR476" s="24"/>
      <c r="BS476" s="24"/>
      <c r="BT476" s="32"/>
      <c r="BU476" s="27"/>
      <c r="BV476" s="24"/>
      <c r="BW476" s="24"/>
      <c r="BX476" s="16"/>
      <c r="BY476" s="27"/>
      <c r="BZ476" s="24"/>
      <c r="CA476" s="24"/>
      <c r="CB476" s="16"/>
      <c r="CC476" s="49">
        <f t="shared" si="211"/>
        <v>0</v>
      </c>
      <c r="CD476" s="24"/>
      <c r="CE476" s="49">
        <f t="shared" si="212"/>
        <v>48404958</v>
      </c>
      <c r="CF476" s="50"/>
      <c r="CG476" s="49">
        <f t="shared" ca="1" si="213"/>
        <v>48404958</v>
      </c>
      <c r="CH476" s="33">
        <f t="shared" ca="1" si="214"/>
        <v>1</v>
      </c>
      <c r="CI476" s="33">
        <f t="shared" ca="1" si="215"/>
        <v>1</v>
      </c>
      <c r="CJ476" s="36">
        <f t="shared" ca="1" si="216"/>
        <v>100</v>
      </c>
      <c r="CK476" s="34">
        <f t="shared" si="217"/>
        <v>0</v>
      </c>
      <c r="CL476" s="21"/>
      <c r="CM476" s="35" t="str">
        <f t="shared" ca="1" si="218"/>
        <v>TERMINADO</v>
      </c>
      <c r="CN476" s="82"/>
      <c r="CO476" s="145" t="s">
        <v>3965</v>
      </c>
      <c r="CP476" s="26" t="s">
        <v>142</v>
      </c>
    </row>
    <row r="477" spans="1:98" ht="24.75" customHeight="1">
      <c r="A477" s="48" t="s">
        <v>3966</v>
      </c>
      <c r="B477" s="77" t="s">
        <v>3967</v>
      </c>
      <c r="C477" s="17" t="s">
        <v>104</v>
      </c>
      <c r="D477" s="18" t="s">
        <v>3968</v>
      </c>
      <c r="E477" s="17" t="s">
        <v>106</v>
      </c>
      <c r="F477" s="17" t="s">
        <v>107</v>
      </c>
      <c r="G477" s="17" t="s">
        <v>108</v>
      </c>
      <c r="H477" s="78">
        <v>1015420687</v>
      </c>
      <c r="I477" s="74" t="s">
        <v>3969</v>
      </c>
      <c r="J477" s="16"/>
      <c r="K477" s="16"/>
      <c r="L477" s="20" t="s">
        <v>3970</v>
      </c>
      <c r="M477" s="16" t="s">
        <v>111</v>
      </c>
      <c r="N477" s="115">
        <v>45327</v>
      </c>
      <c r="O477" s="115">
        <v>45329</v>
      </c>
      <c r="P477" s="115">
        <v>45656</v>
      </c>
      <c r="Q477" s="23">
        <f t="shared" si="206"/>
        <v>327</v>
      </c>
      <c r="R477" s="17" t="s">
        <v>242</v>
      </c>
      <c r="S477" s="117" t="s">
        <v>3971</v>
      </c>
      <c r="T477" s="16" t="s">
        <v>1128</v>
      </c>
      <c r="U477" s="24">
        <v>51366667</v>
      </c>
      <c r="V477" s="16" t="s">
        <v>815</v>
      </c>
      <c r="W477" s="224">
        <v>51366667</v>
      </c>
      <c r="X477" s="24">
        <v>4600000</v>
      </c>
      <c r="Y477" s="24"/>
      <c r="Z477" s="24"/>
      <c r="AA477" s="17" t="s">
        <v>116</v>
      </c>
      <c r="AB477" s="23" t="str">
        <f>IFERROR(VLOOKUP(AA477,Listas!$A$1:$C$14,2,FALSE),"")</f>
        <v>FREDY CÉSPEDES VILLA</v>
      </c>
      <c r="AC477" s="23">
        <f>IFERROR(VLOOKUP(AA477,Listas!$A$1:$C$14,3,FALSE),"")</f>
        <v>93363483</v>
      </c>
      <c r="AD477" s="17" t="s">
        <v>816</v>
      </c>
      <c r="AE477" s="17" t="s">
        <v>817</v>
      </c>
      <c r="AF477" s="23" t="str">
        <f>IFERROR(VLOOKUP(AE477,Listas!$AD$1:$AF$65,2,FALSE),"")</f>
        <v>JOSÉ EDUARDO PARADA JIMÉNEZ</v>
      </c>
      <c r="AG477" s="23">
        <f>IFERROR(VLOOKUP(AE477,Listas!$AD$1:$AF$65,3,FALSE),"")</f>
        <v>79434805</v>
      </c>
      <c r="AH477" s="17" t="s">
        <v>118</v>
      </c>
      <c r="AI477" s="65" t="s">
        <v>3972</v>
      </c>
      <c r="AJ477" s="25" t="s">
        <v>119</v>
      </c>
      <c r="AK477" s="26" t="s">
        <v>120</v>
      </c>
      <c r="AL477" s="26" t="s">
        <v>120</v>
      </c>
      <c r="AM477" s="90" t="s">
        <v>119</v>
      </c>
      <c r="AN477" s="105">
        <v>33219</v>
      </c>
      <c r="AO477" s="91">
        <f t="shared" ca="1" si="207"/>
        <v>35</v>
      </c>
      <c r="AP477" s="26" t="s">
        <v>121</v>
      </c>
      <c r="AQ477" s="26" t="s">
        <v>819</v>
      </c>
      <c r="AR477" s="89"/>
      <c r="AS477" s="27"/>
      <c r="AT477" s="16"/>
      <c r="AU477" s="27"/>
      <c r="AV477" s="86"/>
      <c r="AW477" s="27"/>
      <c r="AX477" s="27"/>
      <c r="AY477" s="27"/>
      <c r="AZ477" s="27"/>
      <c r="BA477" s="27"/>
      <c r="BB477" s="27"/>
      <c r="BC477" s="97"/>
      <c r="BD477" s="27"/>
      <c r="BE477" s="16"/>
      <c r="BF477" s="28">
        <f t="shared" si="208"/>
        <v>0</v>
      </c>
      <c r="BG477" s="29"/>
      <c r="BH477" s="27"/>
      <c r="BI477" s="30">
        <f t="shared" si="209"/>
        <v>327</v>
      </c>
      <c r="BJ477" s="31">
        <f t="shared" si="210"/>
        <v>45656</v>
      </c>
      <c r="BK477" s="27"/>
      <c r="BL477" s="16"/>
      <c r="BM477" s="27"/>
      <c r="BN477" s="16"/>
      <c r="BO477" s="27"/>
      <c r="BP477" s="16"/>
      <c r="BQ477" s="27"/>
      <c r="BR477" s="24"/>
      <c r="BS477" s="24"/>
      <c r="BT477" s="32"/>
      <c r="BU477" s="27"/>
      <c r="BV477" s="24"/>
      <c r="BW477" s="24"/>
      <c r="BX477" s="16"/>
      <c r="BY477" s="27"/>
      <c r="BZ477" s="24"/>
      <c r="CA477" s="24"/>
      <c r="CB477" s="16"/>
      <c r="CC477" s="49">
        <f t="shared" si="211"/>
        <v>0</v>
      </c>
      <c r="CD477" s="24"/>
      <c r="CE477" s="49">
        <f t="shared" si="212"/>
        <v>51366667</v>
      </c>
      <c r="CF477" s="50"/>
      <c r="CG477" s="49">
        <f t="shared" ca="1" si="213"/>
        <v>51366667</v>
      </c>
      <c r="CH477" s="33">
        <f t="shared" ca="1" si="214"/>
        <v>1</v>
      </c>
      <c r="CI477" s="33">
        <f t="shared" ca="1" si="215"/>
        <v>1</v>
      </c>
      <c r="CJ477" s="36">
        <f t="shared" ca="1" si="216"/>
        <v>100</v>
      </c>
      <c r="CK477" s="34">
        <f t="shared" si="217"/>
        <v>0</v>
      </c>
      <c r="CL477" s="21"/>
      <c r="CM477" s="35" t="str">
        <f t="shared" ca="1" si="218"/>
        <v>TERMINADO</v>
      </c>
      <c r="CN477" s="82"/>
      <c r="CO477" s="145" t="s">
        <v>3973</v>
      </c>
      <c r="CP477" s="26" t="s">
        <v>142</v>
      </c>
    </row>
    <row r="478" spans="1:98" ht="24.75" customHeight="1">
      <c r="A478" s="48" t="s">
        <v>3974</v>
      </c>
      <c r="B478" s="77" t="s">
        <v>3975</v>
      </c>
      <c r="C478" s="17" t="s">
        <v>104</v>
      </c>
      <c r="D478" s="18" t="s">
        <v>3976</v>
      </c>
      <c r="E478" s="17" t="s">
        <v>106</v>
      </c>
      <c r="F478" s="17" t="s">
        <v>107</v>
      </c>
      <c r="G478" s="17" t="s">
        <v>108</v>
      </c>
      <c r="H478" s="78">
        <v>1082945364</v>
      </c>
      <c r="I478" s="74" t="s">
        <v>3977</v>
      </c>
      <c r="J478" s="16"/>
      <c r="K478" s="16"/>
      <c r="L478" s="20" t="s">
        <v>874</v>
      </c>
      <c r="M478" s="16" t="s">
        <v>111</v>
      </c>
      <c r="N478" s="115">
        <v>45327</v>
      </c>
      <c r="O478" s="115">
        <v>45329</v>
      </c>
      <c r="P478" s="115">
        <v>45656</v>
      </c>
      <c r="Q478" s="23">
        <f t="shared" si="206"/>
        <v>327</v>
      </c>
      <c r="R478" s="17" t="s">
        <v>242</v>
      </c>
      <c r="S478" s="117" t="s">
        <v>3978</v>
      </c>
      <c r="T478" s="16" t="s">
        <v>1128</v>
      </c>
      <c r="U478" s="24">
        <v>69546667</v>
      </c>
      <c r="V478" s="16" t="s">
        <v>815</v>
      </c>
      <c r="W478" s="224">
        <v>69546667</v>
      </c>
      <c r="X478" s="24">
        <v>6400000</v>
      </c>
      <c r="Y478" s="24"/>
      <c r="Z478" s="24"/>
      <c r="AA478" s="17" t="s">
        <v>116</v>
      </c>
      <c r="AB478" s="23" t="str">
        <f>IFERROR(VLOOKUP(AA478,Listas!$A$1:$C$14,2,FALSE),"")</f>
        <v>FREDY CÉSPEDES VILLA</v>
      </c>
      <c r="AC478" s="23">
        <f>IFERROR(VLOOKUP(AA478,Listas!$A$1:$C$14,3,FALSE),"")</f>
        <v>93363483</v>
      </c>
      <c r="AD478" s="17" t="s">
        <v>816</v>
      </c>
      <c r="AE478" s="17" t="s">
        <v>817</v>
      </c>
      <c r="AF478" s="23" t="str">
        <f>IFERROR(VLOOKUP(AE478,Listas!$AD$1:$AF$65,2,FALSE),"")</f>
        <v>JOSÉ EDUARDO PARADA JIMÉNEZ</v>
      </c>
      <c r="AG478" s="23">
        <f>IFERROR(VLOOKUP(AE478,Listas!$AD$1:$AF$65,3,FALSE),"")</f>
        <v>79434805</v>
      </c>
      <c r="AH478" s="17" t="s">
        <v>118</v>
      </c>
      <c r="AI478" s="65" t="s">
        <v>3147</v>
      </c>
      <c r="AJ478" s="25" t="s">
        <v>119</v>
      </c>
      <c r="AK478" s="26" t="s">
        <v>120</v>
      </c>
      <c r="AL478" s="26" t="s">
        <v>120</v>
      </c>
      <c r="AM478" s="90" t="s">
        <v>119</v>
      </c>
      <c r="AN478" s="105">
        <v>33436</v>
      </c>
      <c r="AO478" s="91">
        <f t="shared" ca="1" si="207"/>
        <v>34</v>
      </c>
      <c r="AP478" s="26" t="s">
        <v>121</v>
      </c>
      <c r="AQ478" s="26" t="s">
        <v>819</v>
      </c>
      <c r="AR478" s="89"/>
      <c r="AS478" s="27"/>
      <c r="AT478" s="16"/>
      <c r="AU478" s="27"/>
      <c r="AV478" s="86"/>
      <c r="AW478" s="27"/>
      <c r="AX478" s="27"/>
      <c r="AY478" s="27"/>
      <c r="AZ478" s="27"/>
      <c r="BA478" s="27"/>
      <c r="BB478" s="27"/>
      <c r="BC478" s="97"/>
      <c r="BD478" s="27"/>
      <c r="BE478" s="16"/>
      <c r="BF478" s="28">
        <f t="shared" si="208"/>
        <v>0</v>
      </c>
      <c r="BG478" s="29"/>
      <c r="BH478" s="27"/>
      <c r="BI478" s="30">
        <f t="shared" si="209"/>
        <v>327</v>
      </c>
      <c r="BJ478" s="31">
        <f t="shared" si="210"/>
        <v>45656</v>
      </c>
      <c r="BK478" s="27"/>
      <c r="BL478" s="16"/>
      <c r="BM478" s="27"/>
      <c r="BN478" s="16"/>
      <c r="BO478" s="27"/>
      <c r="BP478" s="16"/>
      <c r="BQ478" s="27"/>
      <c r="BR478" s="24"/>
      <c r="BS478" s="24"/>
      <c r="BT478" s="32"/>
      <c r="BU478" s="27"/>
      <c r="BV478" s="24"/>
      <c r="BW478" s="24"/>
      <c r="BX478" s="16"/>
      <c r="BY478" s="27"/>
      <c r="BZ478" s="24"/>
      <c r="CA478" s="24"/>
      <c r="CB478" s="16"/>
      <c r="CC478" s="49">
        <f t="shared" si="211"/>
        <v>0</v>
      </c>
      <c r="CD478" s="24"/>
      <c r="CE478" s="49">
        <f t="shared" si="212"/>
        <v>69546667</v>
      </c>
      <c r="CF478" s="50"/>
      <c r="CG478" s="49">
        <f t="shared" ca="1" si="213"/>
        <v>69546667</v>
      </c>
      <c r="CH478" s="33">
        <f t="shared" ca="1" si="214"/>
        <v>1</v>
      </c>
      <c r="CI478" s="33">
        <f t="shared" ca="1" si="215"/>
        <v>1</v>
      </c>
      <c r="CJ478" s="36">
        <f t="shared" ca="1" si="216"/>
        <v>100</v>
      </c>
      <c r="CK478" s="34">
        <f t="shared" si="217"/>
        <v>0</v>
      </c>
      <c r="CL478" s="21"/>
      <c r="CM478" s="35" t="str">
        <f t="shared" ca="1" si="218"/>
        <v>TERMINADO</v>
      </c>
      <c r="CN478" s="82"/>
      <c r="CO478" s="145" t="s">
        <v>3979</v>
      </c>
      <c r="CP478" s="26" t="s">
        <v>123</v>
      </c>
    </row>
    <row r="479" spans="1:98" ht="24.75" customHeight="1">
      <c r="A479" s="48" t="s">
        <v>3980</v>
      </c>
      <c r="B479" s="77" t="s">
        <v>3981</v>
      </c>
      <c r="C479" s="17" t="s">
        <v>104</v>
      </c>
      <c r="D479" s="18" t="s">
        <v>3982</v>
      </c>
      <c r="E479" s="17" t="s">
        <v>106</v>
      </c>
      <c r="F479" s="17" t="s">
        <v>107</v>
      </c>
      <c r="G479" s="17" t="s">
        <v>108</v>
      </c>
      <c r="H479" s="78">
        <v>5711867</v>
      </c>
      <c r="I479" s="74" t="s">
        <v>3983</v>
      </c>
      <c r="J479" s="16"/>
      <c r="K479" s="16"/>
      <c r="L479" s="20" t="s">
        <v>3984</v>
      </c>
      <c r="M479" s="16" t="s">
        <v>111</v>
      </c>
      <c r="N479" s="115">
        <v>45327</v>
      </c>
      <c r="O479" s="115">
        <v>45328</v>
      </c>
      <c r="P479" s="115">
        <v>45451</v>
      </c>
      <c r="Q479" s="23">
        <f t="shared" si="206"/>
        <v>123</v>
      </c>
      <c r="R479" s="17" t="s">
        <v>112</v>
      </c>
      <c r="S479" s="117" t="s">
        <v>3985</v>
      </c>
      <c r="T479" s="16" t="s">
        <v>1495</v>
      </c>
      <c r="U479" s="24">
        <v>84600000</v>
      </c>
      <c r="V479" s="16" t="s">
        <v>1418</v>
      </c>
      <c r="W479" s="224">
        <v>56400000</v>
      </c>
      <c r="X479" s="24">
        <v>6400000</v>
      </c>
      <c r="Y479" s="24"/>
      <c r="Z479" s="24"/>
      <c r="AA479" s="17" t="s">
        <v>116</v>
      </c>
      <c r="AB479" s="23" t="str">
        <f>IFERROR(VLOOKUP(AA479,Listas!$A$1:$C$14,2,FALSE),"")</f>
        <v>FREDY CÉSPEDES VILLA</v>
      </c>
      <c r="AC479" s="23">
        <f>IFERROR(VLOOKUP(AA479,Listas!$A$1:$C$14,3,FALSE),"")</f>
        <v>93363483</v>
      </c>
      <c r="AD479" s="17" t="s">
        <v>116</v>
      </c>
      <c r="AE479" s="17" t="s">
        <v>484</v>
      </c>
      <c r="AF479" s="23" t="str">
        <f>IFERROR(VLOOKUP(AE479,Listas!$AD$1:$AF$65,2,FALSE),"")</f>
        <v>JAIME ANDRES GIL ACOSTA</v>
      </c>
      <c r="AG479" s="23">
        <f>IFERROR(VLOOKUP(AE479,Listas!$AD$1:$AF$65,3,FALSE),"")</f>
        <v>98622827</v>
      </c>
      <c r="AH479" s="17" t="s">
        <v>118</v>
      </c>
      <c r="AI479" s="65" t="s">
        <v>3986</v>
      </c>
      <c r="AJ479" s="25" t="s">
        <v>119</v>
      </c>
      <c r="AK479" s="26" t="s">
        <v>120</v>
      </c>
      <c r="AL479" s="26" t="s">
        <v>120</v>
      </c>
      <c r="AM479" s="90" t="s">
        <v>119</v>
      </c>
      <c r="AN479" s="105">
        <v>22042</v>
      </c>
      <c r="AO479" s="91">
        <f t="shared" ca="1" si="207"/>
        <v>65</v>
      </c>
      <c r="AP479" s="26" t="s">
        <v>121</v>
      </c>
      <c r="AQ479" s="26" t="s">
        <v>122</v>
      </c>
      <c r="AR479" s="89"/>
      <c r="AS479" s="27"/>
      <c r="AT479" s="16"/>
      <c r="AU479" s="27"/>
      <c r="AV479" s="86"/>
      <c r="AW479" s="27"/>
      <c r="AX479" s="27"/>
      <c r="AY479" s="27"/>
      <c r="AZ479" s="27"/>
      <c r="BA479" s="27"/>
      <c r="BB479" s="27"/>
      <c r="BC479" s="97"/>
      <c r="BD479" s="27"/>
      <c r="BE479" s="16"/>
      <c r="BF479" s="28">
        <f t="shared" si="208"/>
        <v>0</v>
      </c>
      <c r="BG479" s="29"/>
      <c r="BH479" s="27"/>
      <c r="BI479" s="30">
        <f t="shared" si="209"/>
        <v>123</v>
      </c>
      <c r="BJ479" s="31">
        <f t="shared" si="210"/>
        <v>45451</v>
      </c>
      <c r="BK479" s="27"/>
      <c r="BL479" s="16"/>
      <c r="BM479" s="27"/>
      <c r="BN479" s="16"/>
      <c r="BO479" s="27"/>
      <c r="BP479" s="16"/>
      <c r="BQ479" s="27"/>
      <c r="BR479" s="24"/>
      <c r="BS479" s="24"/>
      <c r="BT479" s="32"/>
      <c r="BU479" s="27"/>
      <c r="BV479" s="24"/>
      <c r="BW479" s="24"/>
      <c r="BX479" s="16"/>
      <c r="BY479" s="27"/>
      <c r="BZ479" s="24"/>
      <c r="CA479" s="24"/>
      <c r="CB479" s="16"/>
      <c r="CC479" s="49">
        <f t="shared" si="211"/>
        <v>0</v>
      </c>
      <c r="CD479" s="24"/>
      <c r="CE479" s="49">
        <f t="shared" si="212"/>
        <v>56400000</v>
      </c>
      <c r="CF479" s="50"/>
      <c r="CG479" s="49">
        <f t="shared" ca="1" si="213"/>
        <v>56400000</v>
      </c>
      <c r="CH479" s="33">
        <f t="shared" ca="1" si="214"/>
        <v>1</v>
      </c>
      <c r="CI479" s="33">
        <f t="shared" ca="1" si="215"/>
        <v>1</v>
      </c>
      <c r="CJ479" s="36">
        <f t="shared" ca="1" si="216"/>
        <v>100</v>
      </c>
      <c r="CK479" s="34">
        <f t="shared" si="217"/>
        <v>0</v>
      </c>
      <c r="CL479" s="21"/>
      <c r="CM479" s="35" t="str">
        <f t="shared" ca="1" si="218"/>
        <v>TERMINADO</v>
      </c>
      <c r="CN479" s="82"/>
      <c r="CO479" s="145" t="s">
        <v>3987</v>
      </c>
      <c r="CP479" s="26" t="s">
        <v>142</v>
      </c>
    </row>
    <row r="480" spans="1:98" ht="24.75" customHeight="1">
      <c r="A480" s="48" t="s">
        <v>3988</v>
      </c>
      <c r="B480" s="77" t="s">
        <v>3989</v>
      </c>
      <c r="C480" s="17" t="s">
        <v>104</v>
      </c>
      <c r="D480" s="18" t="s">
        <v>3990</v>
      </c>
      <c r="E480" s="17" t="s">
        <v>106</v>
      </c>
      <c r="F480" s="17" t="s">
        <v>107</v>
      </c>
      <c r="G480" s="17" t="s">
        <v>108</v>
      </c>
      <c r="H480" s="78">
        <v>52866413</v>
      </c>
      <c r="I480" s="74" t="s">
        <v>3991</v>
      </c>
      <c r="J480" s="16"/>
      <c r="K480" s="16"/>
      <c r="L480" s="20" t="s">
        <v>3992</v>
      </c>
      <c r="M480" s="16" t="s">
        <v>111</v>
      </c>
      <c r="N480" s="115">
        <v>45327</v>
      </c>
      <c r="O480" s="115">
        <v>45329</v>
      </c>
      <c r="P480" s="115">
        <v>45656</v>
      </c>
      <c r="Q480" s="23">
        <f t="shared" si="206"/>
        <v>327</v>
      </c>
      <c r="R480" s="17" t="s">
        <v>242</v>
      </c>
      <c r="S480" s="117" t="s">
        <v>3993</v>
      </c>
      <c r="T480" s="16" t="s">
        <v>1408</v>
      </c>
      <c r="U480" s="24">
        <v>97104180</v>
      </c>
      <c r="V480" s="16" t="s">
        <v>884</v>
      </c>
      <c r="W480" s="224">
        <v>89012165</v>
      </c>
      <c r="X480" s="24">
        <v>8092015</v>
      </c>
      <c r="Y480" s="24"/>
      <c r="Z480" s="24"/>
      <c r="AA480" s="17" t="s">
        <v>116</v>
      </c>
      <c r="AB480" s="23" t="str">
        <f>IFERROR(VLOOKUP(AA480,Listas!$A$1:$C$14,2,FALSE),"")</f>
        <v>FREDY CÉSPEDES VILLA</v>
      </c>
      <c r="AC480" s="23">
        <f>IFERROR(VLOOKUP(AA480,Listas!$A$1:$C$14,3,FALSE),"")</f>
        <v>93363483</v>
      </c>
      <c r="AD480" s="17" t="s">
        <v>406</v>
      </c>
      <c r="AE480" s="17" t="s">
        <v>504</v>
      </c>
      <c r="AF480" s="23" t="str">
        <f>IFERROR(VLOOKUP(AE480,Listas!$AD$1:$AF$65,2,FALSE),"")</f>
        <v>EDUARDO ELÍAS BARCHA BOLÍVAR</v>
      </c>
      <c r="AG480" s="23">
        <f>IFERROR(VLOOKUP(AE480,Listas!$AD$1:$AF$65,3,FALSE),"")</f>
        <v>72133921</v>
      </c>
      <c r="AH480" s="17" t="s">
        <v>118</v>
      </c>
      <c r="AI480" s="65" t="s">
        <v>3994</v>
      </c>
      <c r="AJ480" s="25" t="s">
        <v>119</v>
      </c>
      <c r="AK480" s="26" t="s">
        <v>120</v>
      </c>
      <c r="AL480" s="26" t="s">
        <v>120</v>
      </c>
      <c r="AM480" s="90" t="s">
        <v>119</v>
      </c>
      <c r="AN480" s="105">
        <v>29777</v>
      </c>
      <c r="AO480" s="91">
        <f t="shared" ca="1" si="207"/>
        <v>44</v>
      </c>
      <c r="AP480" s="26" t="s">
        <v>121</v>
      </c>
      <c r="AQ480" s="26" t="s">
        <v>409</v>
      </c>
      <c r="AR480" s="89"/>
      <c r="AS480" s="27"/>
      <c r="AT480" s="16"/>
      <c r="AU480" s="27"/>
      <c r="AV480" s="86"/>
      <c r="AW480" s="27"/>
      <c r="AX480" s="27"/>
      <c r="AY480" s="27"/>
      <c r="AZ480" s="27"/>
      <c r="BA480" s="27"/>
      <c r="BB480" s="27"/>
      <c r="BC480" s="97"/>
      <c r="BD480" s="27"/>
      <c r="BE480" s="16"/>
      <c r="BF480" s="28">
        <f t="shared" si="208"/>
        <v>0</v>
      </c>
      <c r="BG480" s="29"/>
      <c r="BH480" s="27"/>
      <c r="BI480" s="30">
        <f t="shared" si="209"/>
        <v>327</v>
      </c>
      <c r="BJ480" s="31">
        <f t="shared" si="210"/>
        <v>45656</v>
      </c>
      <c r="BK480" s="27"/>
      <c r="BL480" s="16"/>
      <c r="BM480" s="27"/>
      <c r="BN480" s="16"/>
      <c r="BO480" s="27"/>
      <c r="BP480" s="16"/>
      <c r="BQ480" s="27"/>
      <c r="BR480" s="24"/>
      <c r="BS480" s="24"/>
      <c r="BT480" s="32"/>
      <c r="BU480" s="27"/>
      <c r="BV480" s="24"/>
      <c r="BW480" s="24"/>
      <c r="BX480" s="16"/>
      <c r="BY480" s="27"/>
      <c r="BZ480" s="24"/>
      <c r="CA480" s="24"/>
      <c r="CB480" s="16"/>
      <c r="CC480" s="49">
        <f t="shared" si="211"/>
        <v>0</v>
      </c>
      <c r="CD480" s="24"/>
      <c r="CE480" s="49">
        <f t="shared" si="212"/>
        <v>89012165</v>
      </c>
      <c r="CF480" s="50"/>
      <c r="CG480" s="49">
        <f t="shared" ca="1" si="213"/>
        <v>89012165</v>
      </c>
      <c r="CH480" s="33">
        <f t="shared" ca="1" si="214"/>
        <v>1</v>
      </c>
      <c r="CI480" s="33">
        <f t="shared" ca="1" si="215"/>
        <v>1</v>
      </c>
      <c r="CJ480" s="36">
        <f t="shared" ca="1" si="216"/>
        <v>100</v>
      </c>
      <c r="CK480" s="34">
        <f t="shared" si="217"/>
        <v>0</v>
      </c>
      <c r="CL480" s="21"/>
      <c r="CM480" s="35" t="str">
        <f t="shared" ca="1" si="218"/>
        <v>TERMINADO</v>
      </c>
      <c r="CN480" s="82"/>
      <c r="CO480" s="145" t="s">
        <v>3995</v>
      </c>
      <c r="CP480" s="26" t="s">
        <v>123</v>
      </c>
    </row>
    <row r="481" spans="1:98" ht="24.75" customHeight="1">
      <c r="A481" s="48" t="s">
        <v>3996</v>
      </c>
      <c r="B481" s="77" t="s">
        <v>3997</v>
      </c>
      <c r="C481" s="17" t="s">
        <v>104</v>
      </c>
      <c r="D481" s="18" t="s">
        <v>3998</v>
      </c>
      <c r="E481" s="17" t="s">
        <v>106</v>
      </c>
      <c r="F481" s="17" t="s">
        <v>107</v>
      </c>
      <c r="G481" s="17" t="s">
        <v>108</v>
      </c>
      <c r="H481" s="78">
        <v>1049646528</v>
      </c>
      <c r="I481" s="74" t="s">
        <v>3999</v>
      </c>
      <c r="J481" s="16"/>
      <c r="K481" s="16"/>
      <c r="L481" s="20" t="s">
        <v>4000</v>
      </c>
      <c r="M481" s="16" t="s">
        <v>111</v>
      </c>
      <c r="N481" s="115">
        <v>45327</v>
      </c>
      <c r="O481" s="115">
        <v>45329</v>
      </c>
      <c r="P481" s="115">
        <v>45656</v>
      </c>
      <c r="Q481" s="23">
        <f t="shared" si="206"/>
        <v>327</v>
      </c>
      <c r="R481" s="17" t="s">
        <v>242</v>
      </c>
      <c r="S481" s="117" t="s">
        <v>4001</v>
      </c>
      <c r="T481" s="16" t="s">
        <v>1345</v>
      </c>
      <c r="U481" s="24">
        <v>59701089</v>
      </c>
      <c r="V481" s="16" t="s">
        <v>344</v>
      </c>
      <c r="W481" s="224">
        <v>59701089</v>
      </c>
      <c r="X481" s="24">
        <v>5394677</v>
      </c>
      <c r="Y481" s="24"/>
      <c r="Z481" s="24"/>
      <c r="AA481" s="17" t="s">
        <v>116</v>
      </c>
      <c r="AB481" s="23" t="str">
        <f>IFERROR(VLOOKUP(AA481,Listas!$A$1:$C$14,2,FALSE),"")</f>
        <v>FREDY CÉSPEDES VILLA</v>
      </c>
      <c r="AC481" s="23">
        <f>IFERROR(VLOOKUP(AA481,Listas!$A$1:$C$14,3,FALSE),"")</f>
        <v>93363483</v>
      </c>
      <c r="AD481" s="17" t="s">
        <v>345</v>
      </c>
      <c r="AE481" s="17" t="s">
        <v>632</v>
      </c>
      <c r="AF481" s="23" t="str">
        <f>IFERROR(VLOOKUP(AE481,Listas!$AD$1:$AF$65,2,FALSE),"")</f>
        <v>MANUEL ALBERTO LOZANO CARDONA</v>
      </c>
      <c r="AG481" s="23">
        <f>IFERROR(VLOOKUP(AE481,Listas!$AD$1:$AF$65,3,FALSE),"")</f>
        <v>79940034</v>
      </c>
      <c r="AH481" s="17" t="s">
        <v>118</v>
      </c>
      <c r="AI481" s="65" t="s">
        <v>4002</v>
      </c>
      <c r="AJ481" s="25" t="s">
        <v>119</v>
      </c>
      <c r="AK481" s="26" t="s">
        <v>120</v>
      </c>
      <c r="AL481" s="26" t="s">
        <v>120</v>
      </c>
      <c r="AM481" s="90" t="s">
        <v>119</v>
      </c>
      <c r="AN481" s="105">
        <v>35252</v>
      </c>
      <c r="AO481" s="91">
        <f t="shared" ca="1" si="207"/>
        <v>29</v>
      </c>
      <c r="AP481" s="26" t="s">
        <v>121</v>
      </c>
      <c r="AQ481" s="26" t="s">
        <v>347</v>
      </c>
      <c r="AR481" s="89"/>
      <c r="AS481" s="27"/>
      <c r="AT481" s="16"/>
      <c r="AU481" s="27"/>
      <c r="AV481" s="86"/>
      <c r="AW481" s="27"/>
      <c r="AX481" s="27"/>
      <c r="AY481" s="27"/>
      <c r="AZ481" s="27"/>
      <c r="BA481" s="27"/>
      <c r="BB481" s="27"/>
      <c r="BC481" s="97"/>
      <c r="BD481" s="27"/>
      <c r="BE481" s="16"/>
      <c r="BF481" s="28">
        <f t="shared" si="208"/>
        <v>0</v>
      </c>
      <c r="BG481" s="29"/>
      <c r="BH481" s="27"/>
      <c r="BI481" s="30">
        <f t="shared" si="209"/>
        <v>327</v>
      </c>
      <c r="BJ481" s="31">
        <f t="shared" si="210"/>
        <v>45656</v>
      </c>
      <c r="BK481" s="27"/>
      <c r="BL481" s="16"/>
      <c r="BM481" s="27"/>
      <c r="BN481" s="16"/>
      <c r="BO481" s="27"/>
      <c r="BP481" s="16"/>
      <c r="BQ481" s="27"/>
      <c r="BR481" s="24"/>
      <c r="BS481" s="24"/>
      <c r="BT481" s="32"/>
      <c r="BU481" s="27"/>
      <c r="BV481" s="24"/>
      <c r="BW481" s="24"/>
      <c r="BX481" s="16"/>
      <c r="BY481" s="27"/>
      <c r="BZ481" s="24"/>
      <c r="CA481" s="24"/>
      <c r="CB481" s="16"/>
      <c r="CC481" s="49">
        <f t="shared" si="211"/>
        <v>0</v>
      </c>
      <c r="CD481" s="24"/>
      <c r="CE481" s="49">
        <f t="shared" si="212"/>
        <v>59701089</v>
      </c>
      <c r="CF481" s="50"/>
      <c r="CG481" s="49">
        <f t="shared" ca="1" si="213"/>
        <v>59701089</v>
      </c>
      <c r="CH481" s="33">
        <f t="shared" ca="1" si="214"/>
        <v>1</v>
      </c>
      <c r="CI481" s="33">
        <f t="shared" ca="1" si="215"/>
        <v>1</v>
      </c>
      <c r="CJ481" s="36">
        <f t="shared" ca="1" si="216"/>
        <v>100</v>
      </c>
      <c r="CK481" s="34">
        <f t="shared" si="217"/>
        <v>0</v>
      </c>
      <c r="CL481" s="21"/>
      <c r="CM481" s="35" t="str">
        <f t="shared" ca="1" si="218"/>
        <v>TERMINADO</v>
      </c>
      <c r="CN481" s="82"/>
      <c r="CO481" s="145" t="s">
        <v>4003</v>
      </c>
      <c r="CP481" s="26" t="s">
        <v>123</v>
      </c>
    </row>
    <row r="482" spans="1:98" ht="24.75" customHeight="1">
      <c r="A482" s="48" t="s">
        <v>4004</v>
      </c>
      <c r="B482" s="77" t="s">
        <v>4005</v>
      </c>
      <c r="C482" s="17" t="s">
        <v>104</v>
      </c>
      <c r="D482" s="18" t="s">
        <v>4006</v>
      </c>
      <c r="E482" s="17" t="s">
        <v>106</v>
      </c>
      <c r="F482" s="17" t="s">
        <v>107</v>
      </c>
      <c r="G482" s="17" t="s">
        <v>108</v>
      </c>
      <c r="H482" s="78">
        <v>1020769842</v>
      </c>
      <c r="I482" s="74" t="s">
        <v>4007</v>
      </c>
      <c r="J482" s="16"/>
      <c r="K482" s="16"/>
      <c r="L482" s="20" t="s">
        <v>4008</v>
      </c>
      <c r="M482" s="16" t="s">
        <v>111</v>
      </c>
      <c r="N482" s="115">
        <v>45327</v>
      </c>
      <c r="O482" s="115">
        <v>45330</v>
      </c>
      <c r="P482" s="115">
        <v>45656</v>
      </c>
      <c r="Q482" s="23">
        <f t="shared" si="206"/>
        <v>326</v>
      </c>
      <c r="R482" s="17" t="s">
        <v>242</v>
      </c>
      <c r="S482" s="117" t="s">
        <v>4009</v>
      </c>
      <c r="T482" s="16" t="s">
        <v>1345</v>
      </c>
      <c r="U482" s="24">
        <v>60600201</v>
      </c>
      <c r="V482" s="16" t="s">
        <v>344</v>
      </c>
      <c r="W482" s="224">
        <v>60600201</v>
      </c>
      <c r="X482" s="24">
        <v>5394677</v>
      </c>
      <c r="Y482" s="24"/>
      <c r="Z482" s="24"/>
      <c r="AA482" s="17" t="s">
        <v>116</v>
      </c>
      <c r="AB482" s="23" t="str">
        <f>IFERROR(VLOOKUP(AA482,Listas!$A$1:$C$14,2,FALSE),"")</f>
        <v>FREDY CÉSPEDES VILLA</v>
      </c>
      <c r="AC482" s="23">
        <f>IFERROR(VLOOKUP(AA482,Listas!$A$1:$C$14,3,FALSE),"")</f>
        <v>93363483</v>
      </c>
      <c r="AD482" s="17" t="s">
        <v>345</v>
      </c>
      <c r="AE482" s="17" t="s">
        <v>632</v>
      </c>
      <c r="AF482" s="23" t="str">
        <f>IFERROR(VLOOKUP(AE482,Listas!$AD$1:$AF$65,2,FALSE),"")</f>
        <v>MANUEL ALBERTO LOZANO CARDONA</v>
      </c>
      <c r="AG482" s="23">
        <f>IFERROR(VLOOKUP(AE482,Listas!$AD$1:$AF$65,3,FALSE),"")</f>
        <v>79940034</v>
      </c>
      <c r="AH482" s="17" t="s">
        <v>118</v>
      </c>
      <c r="AI482" s="65" t="s">
        <v>4010</v>
      </c>
      <c r="AJ482" s="25" t="s">
        <v>119</v>
      </c>
      <c r="AK482" s="26" t="s">
        <v>120</v>
      </c>
      <c r="AL482" s="26" t="s">
        <v>120</v>
      </c>
      <c r="AM482" s="90" t="s">
        <v>119</v>
      </c>
      <c r="AN482" s="105">
        <v>33670</v>
      </c>
      <c r="AO482" s="91">
        <f t="shared" ca="1" si="207"/>
        <v>33</v>
      </c>
      <c r="AP482" s="26" t="s">
        <v>121</v>
      </c>
      <c r="AQ482" s="26" t="s">
        <v>347</v>
      </c>
      <c r="AR482" s="89"/>
      <c r="AS482" s="27"/>
      <c r="AT482" s="16"/>
      <c r="AU482" s="27"/>
      <c r="AV482" s="86"/>
      <c r="AW482" s="27"/>
      <c r="AX482" s="27"/>
      <c r="AY482" s="27"/>
      <c r="AZ482" s="27"/>
      <c r="BA482" s="27"/>
      <c r="BB482" s="27"/>
      <c r="BC482" s="97"/>
      <c r="BD482" s="27"/>
      <c r="BE482" s="16"/>
      <c r="BF482" s="28">
        <f t="shared" si="208"/>
        <v>0</v>
      </c>
      <c r="BG482" s="29"/>
      <c r="BH482" s="27"/>
      <c r="BI482" s="30">
        <f t="shared" si="209"/>
        <v>326</v>
      </c>
      <c r="BJ482" s="31">
        <f t="shared" si="210"/>
        <v>45656</v>
      </c>
      <c r="BK482" s="27"/>
      <c r="BL482" s="16"/>
      <c r="BM482" s="27"/>
      <c r="BN482" s="16"/>
      <c r="BO482" s="27"/>
      <c r="BP482" s="16"/>
      <c r="BQ482" s="27"/>
      <c r="BR482" s="24"/>
      <c r="BS482" s="24"/>
      <c r="BT482" s="32"/>
      <c r="BU482" s="27"/>
      <c r="BV482" s="24"/>
      <c r="BW482" s="24"/>
      <c r="BX482" s="16"/>
      <c r="BY482" s="27"/>
      <c r="BZ482" s="24"/>
      <c r="CA482" s="24"/>
      <c r="CB482" s="16"/>
      <c r="CC482" s="49">
        <f t="shared" si="211"/>
        <v>0</v>
      </c>
      <c r="CD482" s="24"/>
      <c r="CE482" s="49">
        <f t="shared" si="212"/>
        <v>60600201</v>
      </c>
      <c r="CF482" s="50"/>
      <c r="CG482" s="49">
        <f t="shared" ca="1" si="213"/>
        <v>60600201</v>
      </c>
      <c r="CH482" s="33">
        <f t="shared" ca="1" si="214"/>
        <v>1</v>
      </c>
      <c r="CI482" s="33">
        <f t="shared" ca="1" si="215"/>
        <v>1</v>
      </c>
      <c r="CJ482" s="36">
        <f t="shared" ca="1" si="216"/>
        <v>100</v>
      </c>
      <c r="CK482" s="34">
        <f t="shared" si="217"/>
        <v>0</v>
      </c>
      <c r="CL482" s="21"/>
      <c r="CM482" s="35" t="str">
        <f t="shared" ca="1" si="218"/>
        <v>TERMINADO</v>
      </c>
      <c r="CN482" s="82"/>
      <c r="CO482" s="145" t="s">
        <v>4011</v>
      </c>
      <c r="CP482" s="26" t="s">
        <v>142</v>
      </c>
    </row>
    <row r="483" spans="1:98" ht="24.75" customHeight="1">
      <c r="A483" s="48" t="s">
        <v>4012</v>
      </c>
      <c r="B483" s="77" t="s">
        <v>4013</v>
      </c>
      <c r="C483" s="17" t="s">
        <v>104</v>
      </c>
      <c r="D483" s="18" t="s">
        <v>4014</v>
      </c>
      <c r="E483" s="17" t="s">
        <v>106</v>
      </c>
      <c r="F483" s="17" t="s">
        <v>107</v>
      </c>
      <c r="G483" s="17" t="s">
        <v>108</v>
      </c>
      <c r="H483" s="78">
        <v>52430853</v>
      </c>
      <c r="I483" s="74" t="s">
        <v>4015</v>
      </c>
      <c r="J483" s="16"/>
      <c r="K483" s="16"/>
      <c r="L483" s="20" t="s">
        <v>2187</v>
      </c>
      <c r="M483" s="16" t="s">
        <v>111</v>
      </c>
      <c r="N483" s="115">
        <v>45327</v>
      </c>
      <c r="O483" s="115">
        <v>45330</v>
      </c>
      <c r="P483" s="115">
        <v>45657</v>
      </c>
      <c r="Q483" s="23">
        <f t="shared" si="206"/>
        <v>327</v>
      </c>
      <c r="R483" s="17" t="s">
        <v>242</v>
      </c>
      <c r="S483" s="117" t="s">
        <v>4016</v>
      </c>
      <c r="T483" s="16" t="s">
        <v>1145</v>
      </c>
      <c r="U483" s="24">
        <v>70307867</v>
      </c>
      <c r="V483" s="16" t="s">
        <v>2546</v>
      </c>
      <c r="W483" s="224">
        <v>70307867</v>
      </c>
      <c r="X483" s="24">
        <v>6131500</v>
      </c>
      <c r="Y483" s="24"/>
      <c r="Z483" s="24"/>
      <c r="AA483" s="17" t="s">
        <v>116</v>
      </c>
      <c r="AB483" s="23" t="str">
        <f>IFERROR(VLOOKUP(AA483,Listas!$A$1:$C$14,2,FALSE),"")</f>
        <v>FREDY CÉSPEDES VILLA</v>
      </c>
      <c r="AC483" s="23">
        <f>IFERROR(VLOOKUP(AA483,Listas!$A$1:$C$14,3,FALSE),"")</f>
        <v>93363483</v>
      </c>
      <c r="AD483" s="17" t="s">
        <v>427</v>
      </c>
      <c r="AE483" s="17" t="s">
        <v>2561</v>
      </c>
      <c r="AF483" s="23" t="str">
        <f>IFERROR(VLOOKUP(AE483,Listas!$AD$1:$AF$65,2,FALSE),"")</f>
        <v>MARÍA TERESA COMBARIZA MARTÍN</v>
      </c>
      <c r="AG483" s="23">
        <f>IFERROR(VLOOKUP(AE483,Listas!$AD$1:$AF$65,3,FALSE),"")</f>
        <v>51803256</v>
      </c>
      <c r="AH483" s="17" t="s">
        <v>118</v>
      </c>
      <c r="AI483" s="65" t="s">
        <v>4017</v>
      </c>
      <c r="AJ483" s="25" t="s">
        <v>119</v>
      </c>
      <c r="AK483" s="26" t="s">
        <v>120</v>
      </c>
      <c r="AL483" s="26" t="s">
        <v>120</v>
      </c>
      <c r="AM483" s="90" t="s">
        <v>119</v>
      </c>
      <c r="AN483" s="105">
        <v>28857</v>
      </c>
      <c r="AO483" s="91">
        <f t="shared" ca="1" si="207"/>
        <v>46</v>
      </c>
      <c r="AP483" s="26" t="s">
        <v>121</v>
      </c>
      <c r="AQ483" s="26" t="s">
        <v>1272</v>
      </c>
      <c r="AR483" s="89"/>
      <c r="AS483" s="27"/>
      <c r="AT483" s="16"/>
      <c r="AU483" s="27"/>
      <c r="AV483" s="86"/>
      <c r="AW483" s="27"/>
      <c r="AX483" s="27"/>
      <c r="AY483" s="27"/>
      <c r="AZ483" s="27"/>
      <c r="BA483" s="27"/>
      <c r="BB483" s="27"/>
      <c r="BC483" s="97"/>
      <c r="BD483" s="27"/>
      <c r="BE483" s="16"/>
      <c r="BF483" s="28">
        <f t="shared" si="208"/>
        <v>0</v>
      </c>
      <c r="BG483" s="29"/>
      <c r="BH483" s="27"/>
      <c r="BI483" s="30">
        <f t="shared" si="209"/>
        <v>327</v>
      </c>
      <c r="BJ483" s="31">
        <f t="shared" si="210"/>
        <v>45657</v>
      </c>
      <c r="BK483" s="27"/>
      <c r="BL483" s="16"/>
      <c r="BM483" s="27"/>
      <c r="BN483" s="16"/>
      <c r="BO483" s="27"/>
      <c r="BP483" s="16"/>
      <c r="BQ483" s="27"/>
      <c r="BR483" s="24"/>
      <c r="BS483" s="24"/>
      <c r="BT483" s="32"/>
      <c r="BU483" s="27"/>
      <c r="BV483" s="24"/>
      <c r="BW483" s="24"/>
      <c r="BX483" s="16"/>
      <c r="BY483" s="27"/>
      <c r="BZ483" s="24"/>
      <c r="CA483" s="24"/>
      <c r="CB483" s="16"/>
      <c r="CC483" s="49">
        <f t="shared" si="211"/>
        <v>0</v>
      </c>
      <c r="CD483" s="24"/>
      <c r="CE483" s="49">
        <f t="shared" si="212"/>
        <v>70307867</v>
      </c>
      <c r="CF483" s="50"/>
      <c r="CG483" s="49">
        <f t="shared" ca="1" si="213"/>
        <v>70307867</v>
      </c>
      <c r="CH483" s="33">
        <f t="shared" ca="1" si="214"/>
        <v>1</v>
      </c>
      <c r="CI483" s="33">
        <f t="shared" ca="1" si="215"/>
        <v>1</v>
      </c>
      <c r="CJ483" s="36">
        <f t="shared" ca="1" si="216"/>
        <v>100</v>
      </c>
      <c r="CK483" s="34">
        <f t="shared" si="217"/>
        <v>0</v>
      </c>
      <c r="CL483" s="21"/>
      <c r="CM483" s="35" t="str">
        <f t="shared" ca="1" si="218"/>
        <v>TERMINADO</v>
      </c>
      <c r="CN483" s="82"/>
      <c r="CO483" s="145" t="s">
        <v>4018</v>
      </c>
      <c r="CP483" s="26" t="s">
        <v>123</v>
      </c>
    </row>
    <row r="484" spans="1:98" ht="24.75" customHeight="1">
      <c r="A484" s="48" t="s">
        <v>4019</v>
      </c>
      <c r="B484" s="77" t="s">
        <v>4020</v>
      </c>
      <c r="C484" s="17" t="s">
        <v>104</v>
      </c>
      <c r="D484" s="18" t="s">
        <v>4021</v>
      </c>
      <c r="E484" s="17" t="s">
        <v>106</v>
      </c>
      <c r="F484" s="17" t="s">
        <v>107</v>
      </c>
      <c r="G484" s="17" t="s">
        <v>108</v>
      </c>
      <c r="H484" s="78">
        <v>53136073</v>
      </c>
      <c r="I484" s="74" t="s">
        <v>4022</v>
      </c>
      <c r="J484" s="16"/>
      <c r="K484" s="16"/>
      <c r="L484" s="20" t="s">
        <v>2187</v>
      </c>
      <c r="M484" s="16" t="s">
        <v>111</v>
      </c>
      <c r="N484" s="115">
        <v>45327</v>
      </c>
      <c r="O484" s="115">
        <v>45329</v>
      </c>
      <c r="P484" s="115">
        <v>45657</v>
      </c>
      <c r="Q484" s="23">
        <f t="shared" si="206"/>
        <v>328</v>
      </c>
      <c r="R484" s="17" t="s">
        <v>242</v>
      </c>
      <c r="S484" s="117" t="s">
        <v>4023</v>
      </c>
      <c r="T484" s="16" t="s">
        <v>1145</v>
      </c>
      <c r="U484" s="24">
        <v>70307867</v>
      </c>
      <c r="V484" s="16" t="s">
        <v>2546</v>
      </c>
      <c r="W484" s="224">
        <v>70103484</v>
      </c>
      <c r="X484" s="24">
        <v>6131500</v>
      </c>
      <c r="Y484" s="24"/>
      <c r="Z484" s="24"/>
      <c r="AA484" s="17" t="s">
        <v>116</v>
      </c>
      <c r="AB484" s="23" t="str">
        <f>IFERROR(VLOOKUP(AA484,Listas!$A$1:$C$14,2,FALSE),"")</f>
        <v>FREDY CÉSPEDES VILLA</v>
      </c>
      <c r="AC484" s="23">
        <f>IFERROR(VLOOKUP(AA484,Listas!$A$1:$C$14,3,FALSE),"")</f>
        <v>93363483</v>
      </c>
      <c r="AD484" s="17" t="s">
        <v>427</v>
      </c>
      <c r="AE484" s="17" t="s">
        <v>2198</v>
      </c>
      <c r="AF484" s="23" t="str">
        <f>IFERROR(VLOOKUP(AE484,Listas!$AD$1:$AF$65,2,FALSE),"")</f>
        <v>ELIANA ROCÍO OCHOA BLANCO</v>
      </c>
      <c r="AG484" s="23">
        <f>IFERROR(VLOOKUP(AE484,Listas!$AD$1:$AF$65,3,FALSE),"")</f>
        <v>1018418424</v>
      </c>
      <c r="AH484" s="17" t="s">
        <v>118</v>
      </c>
      <c r="AI484" s="65" t="s">
        <v>4017</v>
      </c>
      <c r="AJ484" s="25" t="s">
        <v>119</v>
      </c>
      <c r="AK484" s="26" t="s">
        <v>120</v>
      </c>
      <c r="AL484" s="26" t="s">
        <v>120</v>
      </c>
      <c r="AM484" s="90" t="s">
        <v>119</v>
      </c>
      <c r="AN484" s="105">
        <v>31421</v>
      </c>
      <c r="AO484" s="91">
        <f t="shared" ca="1" si="207"/>
        <v>39</v>
      </c>
      <c r="AP484" s="26" t="s">
        <v>121</v>
      </c>
      <c r="AQ484" s="26" t="s">
        <v>1272</v>
      </c>
      <c r="AR484" s="89">
        <v>45526</v>
      </c>
      <c r="AS484" s="27" t="s">
        <v>4024</v>
      </c>
      <c r="AT484" s="104">
        <v>1010205003</v>
      </c>
      <c r="AU484" s="27" t="s">
        <v>4025</v>
      </c>
      <c r="AV484" s="86">
        <v>26365451</v>
      </c>
      <c r="AW484" s="27"/>
      <c r="AX484" s="27"/>
      <c r="AY484" s="27"/>
      <c r="AZ484" s="27"/>
      <c r="BA484" s="27"/>
      <c r="BB484" s="27"/>
      <c r="BC484" s="97"/>
      <c r="BD484" s="27"/>
      <c r="BE484" s="16"/>
      <c r="BF484" s="28">
        <f t="shared" si="208"/>
        <v>0</v>
      </c>
      <c r="BG484" s="29"/>
      <c r="BH484" s="27"/>
      <c r="BI484" s="30">
        <f t="shared" si="209"/>
        <v>328</v>
      </c>
      <c r="BJ484" s="31">
        <f t="shared" si="210"/>
        <v>45657</v>
      </c>
      <c r="BK484" s="27"/>
      <c r="BL484" s="16"/>
      <c r="BM484" s="27"/>
      <c r="BN484" s="16"/>
      <c r="BO484" s="27"/>
      <c r="BP484" s="16"/>
      <c r="BQ484" s="27"/>
      <c r="BR484" s="24"/>
      <c r="BS484" s="24"/>
      <c r="BT484" s="32"/>
      <c r="BU484" s="27"/>
      <c r="BV484" s="24"/>
      <c r="BW484" s="24"/>
      <c r="BX484" s="16"/>
      <c r="BY484" s="27"/>
      <c r="BZ484" s="24"/>
      <c r="CA484" s="24"/>
      <c r="CB484" s="16"/>
      <c r="CC484" s="49">
        <f t="shared" si="211"/>
        <v>0</v>
      </c>
      <c r="CD484" s="24"/>
      <c r="CE484" s="49">
        <f t="shared" si="212"/>
        <v>70103484</v>
      </c>
      <c r="CF484" s="50"/>
      <c r="CG484" s="49">
        <f t="shared" ca="1" si="213"/>
        <v>70103484</v>
      </c>
      <c r="CH484" s="33">
        <f t="shared" ca="1" si="214"/>
        <v>1</v>
      </c>
      <c r="CI484" s="33">
        <f t="shared" ca="1" si="215"/>
        <v>1</v>
      </c>
      <c r="CJ484" s="36">
        <f t="shared" ca="1" si="216"/>
        <v>100</v>
      </c>
      <c r="CK484" s="34">
        <f t="shared" si="217"/>
        <v>0</v>
      </c>
      <c r="CL484" s="21"/>
      <c r="CM484" s="35" t="str">
        <f t="shared" ca="1" si="218"/>
        <v>TERMINADO</v>
      </c>
      <c r="CN484" s="82"/>
      <c r="CO484" s="145" t="s">
        <v>4026</v>
      </c>
      <c r="CP484" s="26" t="s">
        <v>123</v>
      </c>
    </row>
    <row r="485" spans="1:98" ht="24.75" customHeight="1">
      <c r="A485" s="48" t="s">
        <v>4027</v>
      </c>
      <c r="B485" s="77" t="s">
        <v>4028</v>
      </c>
      <c r="C485" s="17" t="s">
        <v>104</v>
      </c>
      <c r="D485" s="18" t="s">
        <v>4029</v>
      </c>
      <c r="E485" s="17" t="s">
        <v>106</v>
      </c>
      <c r="F485" s="17" t="s">
        <v>107</v>
      </c>
      <c r="G485" s="17" t="s">
        <v>108</v>
      </c>
      <c r="H485" s="78">
        <v>52535112</v>
      </c>
      <c r="I485" s="74" t="s">
        <v>4030</v>
      </c>
      <c r="J485" s="16"/>
      <c r="K485" s="16"/>
      <c r="L485" s="20" t="s">
        <v>1387</v>
      </c>
      <c r="M485" s="16" t="s">
        <v>111</v>
      </c>
      <c r="N485" s="115">
        <v>45328</v>
      </c>
      <c r="O485" s="22">
        <v>45331</v>
      </c>
      <c r="P485" s="115">
        <v>45657</v>
      </c>
      <c r="Q485" s="23">
        <f>P485-O528</f>
        <v>326</v>
      </c>
      <c r="R485" s="17" t="s">
        <v>242</v>
      </c>
      <c r="S485" s="117" t="s">
        <v>4031</v>
      </c>
      <c r="T485" s="16" t="s">
        <v>1145</v>
      </c>
      <c r="U485" s="24">
        <v>104048534</v>
      </c>
      <c r="V485" s="16" t="s">
        <v>2546</v>
      </c>
      <c r="W485" s="224">
        <v>101326333</v>
      </c>
      <c r="X485" s="24">
        <v>9074000</v>
      </c>
      <c r="Y485" s="24"/>
      <c r="Z485" s="24"/>
      <c r="AA485" s="17" t="s">
        <v>116</v>
      </c>
      <c r="AB485" s="23" t="str">
        <f>IFERROR(VLOOKUP(AA485,Listas!$A$1:$C$14,2,FALSE),"")</f>
        <v>FREDY CÉSPEDES VILLA</v>
      </c>
      <c r="AC485" s="23">
        <f>IFERROR(VLOOKUP(AA485,Listas!$A$1:$C$14,3,FALSE),"")</f>
        <v>93363483</v>
      </c>
      <c r="AD485" s="17" t="s">
        <v>427</v>
      </c>
      <c r="AE485" s="17" t="s">
        <v>1390</v>
      </c>
      <c r="AF485" s="23" t="str">
        <f>IFERROR(VLOOKUP(AE485,Listas!$AD$1:$AF$65,2,FALSE),"")</f>
        <v>BLANCA FLOR AMÉZQUITA RODRÍGUEZ</v>
      </c>
      <c r="AG485" s="23">
        <f>IFERROR(VLOOKUP(AE485,Listas!$AD$1:$AF$65,3,FALSE),"")</f>
        <v>51613966</v>
      </c>
      <c r="AH485" s="17" t="s">
        <v>118</v>
      </c>
      <c r="AI485" s="65" t="s">
        <v>4032</v>
      </c>
      <c r="AJ485" s="25" t="s">
        <v>119</v>
      </c>
      <c r="AK485" s="26" t="s">
        <v>120</v>
      </c>
      <c r="AL485" s="26" t="s">
        <v>120</v>
      </c>
      <c r="AM485" s="90" t="s">
        <v>119</v>
      </c>
      <c r="AN485" s="105">
        <v>29052</v>
      </c>
      <c r="AO485" s="91">
        <f t="shared" ca="1" si="207"/>
        <v>46</v>
      </c>
      <c r="AP485" s="26" t="s">
        <v>121</v>
      </c>
      <c r="AQ485" s="26" t="s">
        <v>1272</v>
      </c>
      <c r="AR485" s="89">
        <v>45485</v>
      </c>
      <c r="AS485" s="27" t="s">
        <v>4033</v>
      </c>
      <c r="AT485" s="180">
        <v>52818581</v>
      </c>
      <c r="AU485" s="27"/>
      <c r="AV485" s="86"/>
      <c r="AW485" s="27"/>
      <c r="AX485" s="27"/>
      <c r="AY485" s="27"/>
      <c r="AZ485" s="27"/>
      <c r="BA485" s="27"/>
      <c r="BB485" s="27"/>
      <c r="BC485" s="97"/>
      <c r="BD485" s="27"/>
      <c r="BE485" s="16"/>
      <c r="BF485" s="28">
        <f t="shared" si="208"/>
        <v>0</v>
      </c>
      <c r="BG485" s="29"/>
      <c r="BH485" s="27"/>
      <c r="BI485" s="30">
        <f t="shared" si="209"/>
        <v>326</v>
      </c>
      <c r="BJ485" s="31">
        <f t="shared" si="210"/>
        <v>45657</v>
      </c>
      <c r="BK485" s="27"/>
      <c r="BL485" s="16"/>
      <c r="BM485" s="27"/>
      <c r="BN485" s="16"/>
      <c r="BO485" s="27"/>
      <c r="BP485" s="16"/>
      <c r="BQ485" s="27"/>
      <c r="BR485" s="24"/>
      <c r="BS485" s="24"/>
      <c r="BT485" s="32"/>
      <c r="BU485" s="27"/>
      <c r="BV485" s="24"/>
      <c r="BW485" s="24"/>
      <c r="BX485" s="16"/>
      <c r="BY485" s="27"/>
      <c r="BZ485" s="24"/>
      <c r="CA485" s="24"/>
      <c r="CB485" s="16"/>
      <c r="CC485" s="49">
        <f t="shared" si="211"/>
        <v>0</v>
      </c>
      <c r="CD485" s="24"/>
      <c r="CE485" s="49">
        <f t="shared" si="212"/>
        <v>101326333</v>
      </c>
      <c r="CF485" s="50"/>
      <c r="CG485" s="49">
        <f t="shared" ca="1" si="213"/>
        <v>101326333</v>
      </c>
      <c r="CH485" s="33">
        <f ca="1">IF(TODAY()&gt;BJ485,1,+(DAYS360(O528,TODAY())/DAYS360(O528,BJ485)))</f>
        <v>1</v>
      </c>
      <c r="CI485" s="33">
        <f ca="1">+IF(CL485&gt;0,DAYS360(O528,CL485)/DAYS360(O528,BJ485),CH485)</f>
        <v>1</v>
      </c>
      <c r="CJ485" s="36">
        <f t="shared" ca="1" si="216"/>
        <v>100</v>
      </c>
      <c r="CK485" s="34">
        <f t="shared" si="217"/>
        <v>0</v>
      </c>
      <c r="CL485" s="21"/>
      <c r="CM485" s="35" t="str">
        <f t="shared" ca="1" si="218"/>
        <v>TERMINADO</v>
      </c>
      <c r="CN485" s="82"/>
      <c r="CO485" s="145" t="s">
        <v>4026</v>
      </c>
      <c r="CP485" s="26" t="s">
        <v>123</v>
      </c>
    </row>
    <row r="486" spans="1:98" ht="24.75" customHeight="1">
      <c r="A486" s="48" t="s">
        <v>4034</v>
      </c>
      <c r="B486" s="77" t="s">
        <v>4035</v>
      </c>
      <c r="C486" s="17" t="s">
        <v>104</v>
      </c>
      <c r="D486" s="18" t="s">
        <v>4036</v>
      </c>
      <c r="E486" s="17" t="s">
        <v>106</v>
      </c>
      <c r="F486" s="17" t="s">
        <v>107</v>
      </c>
      <c r="G486" s="17" t="s">
        <v>108</v>
      </c>
      <c r="H486" s="78">
        <v>1022379724</v>
      </c>
      <c r="I486" s="74" t="s">
        <v>4037</v>
      </c>
      <c r="J486" s="16"/>
      <c r="K486" s="16"/>
      <c r="L486" s="20" t="s">
        <v>4038</v>
      </c>
      <c r="M486" s="16" t="s">
        <v>111</v>
      </c>
      <c r="N486" s="115">
        <v>45328</v>
      </c>
      <c r="O486" s="22">
        <v>45331</v>
      </c>
      <c r="P486" s="115">
        <v>45656</v>
      </c>
      <c r="Q486" s="23">
        <f>P486-O486</f>
        <v>325</v>
      </c>
      <c r="R486" s="17" t="s">
        <v>242</v>
      </c>
      <c r="S486" s="117" t="s">
        <v>4039</v>
      </c>
      <c r="T486" s="16" t="s">
        <v>1249</v>
      </c>
      <c r="U486" s="24">
        <v>69162000</v>
      </c>
      <c r="V486" s="16" t="s">
        <v>3291</v>
      </c>
      <c r="W486" s="224">
        <v>59351600</v>
      </c>
      <c r="X486" s="24">
        <v>5395600</v>
      </c>
      <c r="Y486" s="24"/>
      <c r="Z486" s="24"/>
      <c r="AA486" s="17" t="s">
        <v>116</v>
      </c>
      <c r="AB486" s="23" t="str">
        <f>IFERROR(VLOOKUP(AA486,Listas!$A$1:$C$14,2,FALSE),"")</f>
        <v>FREDY CÉSPEDES VILLA</v>
      </c>
      <c r="AC486" s="23">
        <f>IFERROR(VLOOKUP(AA486,Listas!$A$1:$C$14,3,FALSE),"")</f>
        <v>93363483</v>
      </c>
      <c r="AD486" s="17" t="s">
        <v>577</v>
      </c>
      <c r="AE486" s="17" t="s">
        <v>1599</v>
      </c>
      <c r="AF486" s="23" t="str">
        <f>IFERROR(VLOOKUP(AE486,Listas!$AD$1:$AF$65,2,FALSE),"")</f>
        <v>BEATRIZ HELENA TORRES LIZARAZO</v>
      </c>
      <c r="AG486" s="23">
        <f>IFERROR(VLOOKUP(AE486,Listas!$AD$1:$AF$65,3,FALSE),"")</f>
        <v>63513648</v>
      </c>
      <c r="AH486" s="17" t="s">
        <v>118</v>
      </c>
      <c r="AI486" s="65" t="s">
        <v>4040</v>
      </c>
      <c r="AJ486" s="25" t="s">
        <v>119</v>
      </c>
      <c r="AK486" s="26" t="s">
        <v>120</v>
      </c>
      <c r="AL486" s="26" t="s">
        <v>120</v>
      </c>
      <c r="AM486" s="90" t="s">
        <v>119</v>
      </c>
      <c r="AN486" s="105">
        <v>33904</v>
      </c>
      <c r="AO486" s="91">
        <f t="shared" ca="1" si="207"/>
        <v>33</v>
      </c>
      <c r="AP486" s="26" t="s">
        <v>121</v>
      </c>
      <c r="AQ486" s="26" t="s">
        <v>886</v>
      </c>
      <c r="AR486" s="89"/>
      <c r="AS486" s="27"/>
      <c r="AT486" s="16"/>
      <c r="AU486" s="27"/>
      <c r="AV486" s="86"/>
      <c r="AW486" s="27"/>
      <c r="AX486" s="27"/>
      <c r="AY486" s="27"/>
      <c r="AZ486" s="27"/>
      <c r="BA486" s="27"/>
      <c r="BB486" s="27"/>
      <c r="BC486" s="97"/>
      <c r="BD486" s="27"/>
      <c r="BE486" s="16"/>
      <c r="BF486" s="28">
        <f t="shared" si="208"/>
        <v>0</v>
      </c>
      <c r="BG486" s="29"/>
      <c r="BH486" s="27"/>
      <c r="BI486" s="30">
        <f t="shared" si="209"/>
        <v>325</v>
      </c>
      <c r="BJ486" s="31">
        <f t="shared" si="210"/>
        <v>45656</v>
      </c>
      <c r="BK486" s="27"/>
      <c r="BL486" s="16"/>
      <c r="BM486" s="27"/>
      <c r="BN486" s="16"/>
      <c r="BO486" s="27"/>
      <c r="BP486" s="16"/>
      <c r="BQ486" s="27"/>
      <c r="BR486" s="24"/>
      <c r="BS486" s="24"/>
      <c r="BT486" s="32"/>
      <c r="BU486" s="27"/>
      <c r="BV486" s="24"/>
      <c r="BW486" s="24"/>
      <c r="BX486" s="16"/>
      <c r="BY486" s="27"/>
      <c r="BZ486" s="24"/>
      <c r="CA486" s="24"/>
      <c r="CB486" s="16"/>
      <c r="CC486" s="49">
        <f t="shared" si="211"/>
        <v>0</v>
      </c>
      <c r="CD486" s="24"/>
      <c r="CE486" s="49">
        <f t="shared" si="212"/>
        <v>59351600</v>
      </c>
      <c r="CF486" s="50"/>
      <c r="CG486" s="49">
        <f t="shared" ca="1" si="213"/>
        <v>59351600</v>
      </c>
      <c r="CH486" s="33">
        <f ca="1">IF(TODAY()&gt;BJ486,1,+(DAYS360(O486,TODAY())/DAYS360(O486,BJ486)))</f>
        <v>1</v>
      </c>
      <c r="CI486" s="33">
        <f ca="1">+IF(CL486&gt;0,DAYS360(O486,CL486)/DAYS360(O486,BJ486),CH486)</f>
        <v>1</v>
      </c>
      <c r="CJ486" s="36">
        <f t="shared" ca="1" si="216"/>
        <v>100</v>
      </c>
      <c r="CK486" s="34">
        <f t="shared" si="217"/>
        <v>0</v>
      </c>
      <c r="CL486" s="21"/>
      <c r="CM486" s="35" t="str">
        <f t="shared" ca="1" si="218"/>
        <v>TERMINADO</v>
      </c>
      <c r="CN486" s="82"/>
      <c r="CO486" s="145" t="s">
        <v>4041</v>
      </c>
      <c r="CP486" s="26" t="s">
        <v>142</v>
      </c>
    </row>
    <row r="487" spans="1:98" ht="24.75" customHeight="1">
      <c r="A487" s="48" t="s">
        <v>4042</v>
      </c>
      <c r="B487" s="77" t="s">
        <v>4043</v>
      </c>
      <c r="C487" s="17" t="s">
        <v>104</v>
      </c>
      <c r="D487" s="18" t="s">
        <v>4044</v>
      </c>
      <c r="E487" s="17" t="s">
        <v>106</v>
      </c>
      <c r="F487" s="17" t="s">
        <v>107</v>
      </c>
      <c r="G487" s="17" t="s">
        <v>108</v>
      </c>
      <c r="H487" s="78">
        <v>1143448237</v>
      </c>
      <c r="I487" s="74" t="s">
        <v>4045</v>
      </c>
      <c r="J487" s="16"/>
      <c r="K487" s="16"/>
      <c r="L487" s="20" t="s">
        <v>4046</v>
      </c>
      <c r="M487" s="16" t="s">
        <v>901</v>
      </c>
      <c r="N487" s="115">
        <v>45328</v>
      </c>
      <c r="O487" s="115">
        <v>45330</v>
      </c>
      <c r="P487" s="115">
        <v>45656</v>
      </c>
      <c r="Q487" s="23">
        <f>P487-O487</f>
        <v>326</v>
      </c>
      <c r="R487" s="17" t="s">
        <v>242</v>
      </c>
      <c r="S487" s="117" t="s">
        <v>4047</v>
      </c>
      <c r="T487" s="16" t="s">
        <v>4048</v>
      </c>
      <c r="U487" s="24">
        <v>52818784</v>
      </c>
      <c r="V487" s="16" t="s">
        <v>4049</v>
      </c>
      <c r="W487" s="224">
        <v>52818784</v>
      </c>
      <c r="X487" s="24">
        <v>4413826</v>
      </c>
      <c r="Y487" s="24"/>
      <c r="Z487" s="24"/>
      <c r="AA487" s="17" t="s">
        <v>116</v>
      </c>
      <c r="AB487" s="23" t="str">
        <f>IFERROR(VLOOKUP(AA487,Listas!$A$1:$C$14,2,FALSE),"")</f>
        <v>FREDY CÉSPEDES VILLA</v>
      </c>
      <c r="AC487" s="23">
        <f>IFERROR(VLOOKUP(AA487,Listas!$A$1:$C$14,3,FALSE),"")</f>
        <v>93363483</v>
      </c>
      <c r="AD487" s="17" t="s">
        <v>903</v>
      </c>
      <c r="AE487" s="17" t="s">
        <v>904</v>
      </c>
      <c r="AF487" s="23" t="str">
        <f>IFERROR(VLOOKUP(AE487,Listas!$AD$1:$AF$65,2,FALSE),"")</f>
        <v>VIVIANA MARGARITA ROMERO</v>
      </c>
      <c r="AG487" s="23">
        <f>IFERROR(VLOOKUP(AE487,Listas!$AD$1:$AF$65,3,FALSE),"")</f>
        <v>32794946</v>
      </c>
      <c r="AH487" s="17" t="s">
        <v>118</v>
      </c>
      <c r="AI487" s="65" t="s">
        <v>4050</v>
      </c>
      <c r="AJ487" s="25" t="s">
        <v>119</v>
      </c>
      <c r="AK487" s="26" t="s">
        <v>120</v>
      </c>
      <c r="AL487" s="26" t="s">
        <v>120</v>
      </c>
      <c r="AM487" s="90" t="s">
        <v>119</v>
      </c>
      <c r="AN487" s="105">
        <v>34581</v>
      </c>
      <c r="AO487" s="91">
        <f t="shared" ca="1" si="207"/>
        <v>31</v>
      </c>
      <c r="AP487" s="26" t="s">
        <v>121</v>
      </c>
      <c r="AQ487" s="26" t="s">
        <v>327</v>
      </c>
      <c r="AR487" s="89"/>
      <c r="AS487" s="27"/>
      <c r="AT487" s="16"/>
      <c r="AU487" s="27"/>
      <c r="AV487" s="86"/>
      <c r="AW487" s="27"/>
      <c r="AX487" s="27"/>
      <c r="AY487" s="27"/>
      <c r="AZ487" s="27"/>
      <c r="BA487" s="27"/>
      <c r="BB487" s="27"/>
      <c r="BC487" s="97"/>
      <c r="BD487" s="27"/>
      <c r="BE487" s="16"/>
      <c r="BF487" s="28">
        <f t="shared" si="208"/>
        <v>0</v>
      </c>
      <c r="BG487" s="29"/>
      <c r="BH487" s="27"/>
      <c r="BI487" s="30">
        <f t="shared" si="209"/>
        <v>326</v>
      </c>
      <c r="BJ487" s="31">
        <f t="shared" si="210"/>
        <v>45656</v>
      </c>
      <c r="BK487" s="27"/>
      <c r="BL487" s="16"/>
      <c r="BM487" s="27"/>
      <c r="BN487" s="16"/>
      <c r="BO487" s="27"/>
      <c r="BP487" s="16"/>
      <c r="BQ487" s="27"/>
      <c r="BR487" s="24"/>
      <c r="BS487" s="24"/>
      <c r="BT487" s="32"/>
      <c r="BU487" s="27"/>
      <c r="BV487" s="24"/>
      <c r="BW487" s="24"/>
      <c r="BX487" s="16"/>
      <c r="BY487" s="27"/>
      <c r="BZ487" s="24"/>
      <c r="CA487" s="24"/>
      <c r="CB487" s="16"/>
      <c r="CC487" s="49">
        <f t="shared" si="211"/>
        <v>0</v>
      </c>
      <c r="CD487" s="24"/>
      <c r="CE487" s="49">
        <f t="shared" si="212"/>
        <v>52818784</v>
      </c>
      <c r="CF487" s="50"/>
      <c r="CG487" s="49">
        <f t="shared" ca="1" si="213"/>
        <v>52818784</v>
      </c>
      <c r="CH487" s="33">
        <f ca="1">IF(TODAY()&gt;BJ487,1,+(DAYS360(O487,TODAY())/DAYS360(O487,BJ487)))</f>
        <v>1</v>
      </c>
      <c r="CI487" s="33">
        <f ca="1">+IF(CL487&gt;0,DAYS360(O487,CL487)/DAYS360(O487,BJ487),CH487)</f>
        <v>1</v>
      </c>
      <c r="CJ487" s="36">
        <f t="shared" ca="1" si="216"/>
        <v>100</v>
      </c>
      <c r="CK487" s="34">
        <f t="shared" si="217"/>
        <v>0</v>
      </c>
      <c r="CL487" s="21"/>
      <c r="CM487" s="35" t="str">
        <f t="shared" ca="1" si="218"/>
        <v>TERMINADO</v>
      </c>
      <c r="CN487" s="82"/>
      <c r="CO487" s="145" t="s">
        <v>4051</v>
      </c>
      <c r="CP487" s="26" t="s">
        <v>142</v>
      </c>
    </row>
    <row r="488" spans="1:98" ht="24.75" customHeight="1">
      <c r="A488" s="48"/>
      <c r="B488" s="345" t="s">
        <v>4052</v>
      </c>
      <c r="C488" s="345" t="s">
        <v>1583</v>
      </c>
      <c r="D488" s="18"/>
      <c r="E488" s="17"/>
      <c r="F488" s="17"/>
      <c r="G488" s="17"/>
      <c r="H488" s="78"/>
      <c r="I488" s="74"/>
      <c r="J488" s="16"/>
      <c r="K488" s="16"/>
      <c r="L488" s="96"/>
      <c r="M488" s="16"/>
      <c r="N488" s="22"/>
      <c r="O488" s="22">
        <v>45350</v>
      </c>
      <c r="P488" s="22"/>
      <c r="Q488" s="23"/>
      <c r="R488" s="17"/>
      <c r="S488" s="16"/>
      <c r="T488" s="16"/>
      <c r="U488" s="67"/>
      <c r="V488" s="16"/>
      <c r="W488" s="24"/>
      <c r="X488" s="24"/>
      <c r="Y488" s="24"/>
      <c r="Z488" s="24"/>
      <c r="AA488" s="17"/>
      <c r="AB488" s="23"/>
      <c r="AC488" s="23"/>
      <c r="AD488" s="17"/>
      <c r="AE488" s="17"/>
      <c r="AF488" s="23"/>
      <c r="AG488" s="23"/>
      <c r="AH488" s="17"/>
      <c r="AI488" s="65"/>
      <c r="AJ488" s="25"/>
      <c r="AK488" s="26"/>
      <c r="AL488" s="26"/>
      <c r="AM488" s="90"/>
      <c r="AN488" s="105"/>
      <c r="AO488" s="91"/>
      <c r="AP488" s="26"/>
      <c r="AQ488" s="26"/>
      <c r="AR488" s="89"/>
      <c r="AS488" s="27"/>
      <c r="AT488" s="16"/>
      <c r="AU488" s="27"/>
      <c r="AV488" s="86"/>
      <c r="AW488" s="27"/>
      <c r="AX488" s="27"/>
      <c r="AY488" s="27"/>
      <c r="AZ488" s="27"/>
      <c r="BA488" s="27"/>
      <c r="BB488" s="27"/>
      <c r="BC488" s="97"/>
      <c r="BD488" s="27"/>
      <c r="BE488" s="16"/>
      <c r="BF488" s="28">
        <f t="shared" si="208"/>
        <v>0</v>
      </c>
      <c r="BG488" s="29"/>
      <c r="BH488" s="27"/>
      <c r="BI488" s="30">
        <f t="shared" si="209"/>
        <v>0</v>
      </c>
      <c r="BJ488" s="31">
        <f t="shared" si="210"/>
        <v>0</v>
      </c>
      <c r="BK488" s="27"/>
      <c r="BL488" s="16"/>
      <c r="BM488" s="27"/>
      <c r="BN488" s="16"/>
      <c r="BO488" s="27"/>
      <c r="BP488" s="16"/>
      <c r="BQ488" s="27"/>
      <c r="BR488" s="24"/>
      <c r="BS488" s="24"/>
      <c r="BT488" s="32"/>
      <c r="BU488" s="27"/>
      <c r="BV488" s="24"/>
      <c r="BW488" s="24"/>
      <c r="BX488" s="16"/>
      <c r="BY488" s="27"/>
      <c r="BZ488" s="24"/>
      <c r="CA488" s="24"/>
      <c r="CB488" s="16"/>
      <c r="CC488" s="49">
        <f t="shared" si="211"/>
        <v>0</v>
      </c>
      <c r="CD488" s="24"/>
      <c r="CE488" s="49">
        <f t="shared" si="212"/>
        <v>0</v>
      </c>
      <c r="CF488" s="50"/>
      <c r="CG488" s="49" t="str">
        <f t="shared" ca="1" si="213"/>
        <v/>
      </c>
      <c r="CH488" s="33">
        <f ca="1">IF(TODAY()&gt;BJ488,1,+(DAYS360(O488,TODAY())/DAYS360(O488,BJ488)))</f>
        <v>1</v>
      </c>
      <c r="CI488" s="33">
        <f ca="1">+IF(CL488&gt;0,DAYS360(O488,CL488)/DAYS360(O488,BJ488),CH488)</f>
        <v>1</v>
      </c>
      <c r="CJ488" s="36" t="str">
        <f t="shared" ca="1" si="216"/>
        <v/>
      </c>
      <c r="CK488" s="34" t="str">
        <f t="shared" si="217"/>
        <v/>
      </c>
      <c r="CL488" s="21"/>
      <c r="CM488" s="35" t="str">
        <f t="shared" ca="1" si="218"/>
        <v/>
      </c>
      <c r="CN488" s="82"/>
      <c r="CO488" s="145" t="s">
        <v>4053</v>
      </c>
      <c r="CP488" s="26"/>
      <c r="CS488" s="48"/>
      <c r="CT488" s="345"/>
    </row>
    <row r="489" spans="1:98" ht="24.75" customHeight="1">
      <c r="A489" s="109" t="s">
        <v>4054</v>
      </c>
      <c r="B489" s="77" t="s">
        <v>4055</v>
      </c>
      <c r="C489" s="17" t="s">
        <v>104</v>
      </c>
      <c r="D489" s="18" t="s">
        <v>4056</v>
      </c>
      <c r="E489" s="17" t="s">
        <v>106</v>
      </c>
      <c r="F489" s="17" t="s">
        <v>1426</v>
      </c>
      <c r="G489" s="17" t="s">
        <v>1427</v>
      </c>
      <c r="H489" s="78" t="s">
        <v>4057</v>
      </c>
      <c r="I489" s="74" t="s">
        <v>4058</v>
      </c>
      <c r="J489" s="16"/>
      <c r="K489" s="16"/>
      <c r="L489" s="20" t="s">
        <v>4059</v>
      </c>
      <c r="M489" s="16" t="s">
        <v>111</v>
      </c>
      <c r="N489" s="115">
        <v>45328</v>
      </c>
      <c r="O489" s="115">
        <v>45329</v>
      </c>
      <c r="P489" s="115">
        <v>45656</v>
      </c>
      <c r="Q489" s="23">
        <f>P489-O489</f>
        <v>327</v>
      </c>
      <c r="R489" s="17" t="s">
        <v>242</v>
      </c>
      <c r="S489" s="117" t="s">
        <v>4060</v>
      </c>
      <c r="T489" s="16" t="s">
        <v>114</v>
      </c>
      <c r="U489" s="67">
        <v>300000000</v>
      </c>
      <c r="V489" s="16" t="s">
        <v>115</v>
      </c>
      <c r="W489" s="224">
        <v>297054000</v>
      </c>
      <c r="X489" s="24">
        <v>27505000</v>
      </c>
      <c r="Y489" s="24"/>
      <c r="Z489" s="24"/>
      <c r="AA489" s="17" t="s">
        <v>116</v>
      </c>
      <c r="AB489" s="23" t="str">
        <f>IFERROR(VLOOKUP(AA489,Listas!$A$1:$C$14,2,FALSE),"")</f>
        <v>FREDY CÉSPEDES VILLA</v>
      </c>
      <c r="AC489" s="23">
        <f>IFERROR(VLOOKUP(AA489,Listas!$A$1:$C$14,3,FALSE),"")</f>
        <v>93363483</v>
      </c>
      <c r="AD489" s="17" t="s">
        <v>116</v>
      </c>
      <c r="AE489" s="17" t="s">
        <v>117</v>
      </c>
      <c r="AF489" s="23" t="str">
        <f>IFERROR(VLOOKUP(AE489,Listas!$AD$1:$AF$65,2,FALSE),"")</f>
        <v>DIANA BARRERA MEDINA</v>
      </c>
      <c r="AG489" s="23">
        <f>IFERROR(VLOOKUP(AE489,Listas!$AD$1:$AF$65,3,FALSE),"")</f>
        <v>52964360</v>
      </c>
      <c r="AH489" s="17" t="s">
        <v>118</v>
      </c>
      <c r="AI489" s="65"/>
      <c r="AJ489" s="25" t="s">
        <v>1435</v>
      </c>
      <c r="AK489" s="26" t="s">
        <v>2071</v>
      </c>
      <c r="AL489" s="26" t="s">
        <v>2071</v>
      </c>
      <c r="AM489" s="90" t="s">
        <v>1435</v>
      </c>
      <c r="AN489" s="105" t="s">
        <v>1424</v>
      </c>
      <c r="AO489" s="91" t="e">
        <f ca="1">IF(YEAR(TODAY())-YEAR(AN489)&gt;100," ",YEAR(TODAY())-YEAR(AN489))</f>
        <v>#VALUE!</v>
      </c>
      <c r="AP489" s="26" t="s">
        <v>121</v>
      </c>
      <c r="AQ489" s="26" t="s">
        <v>122</v>
      </c>
      <c r="AR489" s="89"/>
      <c r="AS489" s="27"/>
      <c r="AT489" s="16"/>
      <c r="AU489" s="27"/>
      <c r="AV489" s="86"/>
      <c r="AW489" s="27"/>
      <c r="AX489" s="27"/>
      <c r="AY489" s="27"/>
      <c r="AZ489" s="27"/>
      <c r="BA489" s="27"/>
      <c r="BB489" s="27"/>
      <c r="BC489" s="97"/>
      <c r="BD489" s="27"/>
      <c r="BE489" s="16"/>
      <c r="BF489" s="28">
        <f t="shared" si="208"/>
        <v>0</v>
      </c>
      <c r="BG489" s="29"/>
      <c r="BH489" s="27"/>
      <c r="BI489" s="30">
        <f t="shared" si="209"/>
        <v>327</v>
      </c>
      <c r="BJ489" s="31">
        <f t="shared" si="210"/>
        <v>45656</v>
      </c>
      <c r="BK489" s="27"/>
      <c r="BL489" s="16"/>
      <c r="BM489" s="27"/>
      <c r="BN489" s="16"/>
      <c r="BO489" s="27"/>
      <c r="BP489" s="16"/>
      <c r="BQ489" s="27"/>
      <c r="BR489" s="24"/>
      <c r="BS489" s="24"/>
      <c r="BT489" s="32"/>
      <c r="BU489" s="27"/>
      <c r="BV489" s="24"/>
      <c r="BW489" s="24"/>
      <c r="BX489" s="16"/>
      <c r="BY489" s="27"/>
      <c r="BZ489" s="24"/>
      <c r="CA489" s="24"/>
      <c r="CB489" s="16"/>
      <c r="CC489" s="49">
        <f t="shared" si="211"/>
        <v>0</v>
      </c>
      <c r="CD489" s="24"/>
      <c r="CE489" s="49">
        <f t="shared" si="212"/>
        <v>297054000</v>
      </c>
      <c r="CF489" s="50"/>
      <c r="CG489" s="49">
        <f t="shared" ca="1" si="213"/>
        <v>297054000</v>
      </c>
      <c r="CH489" s="33">
        <f ca="1">IF(TODAY()&gt;BJ489,1,+(DAYS360(O489,TODAY())/DAYS360(O489,BJ489)))</f>
        <v>1</v>
      </c>
      <c r="CI489" s="33">
        <f ca="1">+IF(CL489&gt;0,DAYS360(O489,CL489)/DAYS360(O489,BJ489),CH489)</f>
        <v>1</v>
      </c>
      <c r="CJ489" s="36">
        <f t="shared" ca="1" si="216"/>
        <v>100</v>
      </c>
      <c r="CK489" s="34">
        <f t="shared" si="217"/>
        <v>0</v>
      </c>
      <c r="CL489" s="21"/>
      <c r="CM489" s="35" t="str">
        <f t="shared" ca="1" si="218"/>
        <v>TERMINADO</v>
      </c>
      <c r="CN489" s="82"/>
      <c r="CO489" s="145" t="s">
        <v>4061</v>
      </c>
      <c r="CP489" s="83" t="s">
        <v>1424</v>
      </c>
    </row>
    <row r="490" spans="1:98" ht="24.75" customHeight="1">
      <c r="A490" s="109" t="s">
        <v>4062</v>
      </c>
      <c r="B490" s="77" t="s">
        <v>4063</v>
      </c>
      <c r="C490" s="17" t="s">
        <v>104</v>
      </c>
      <c r="D490" s="18" t="s">
        <v>4064</v>
      </c>
      <c r="E490" s="17" t="s">
        <v>106</v>
      </c>
      <c r="F490" s="17" t="s">
        <v>107</v>
      </c>
      <c r="G490" s="17" t="s">
        <v>108</v>
      </c>
      <c r="H490" s="78">
        <v>1136889533</v>
      </c>
      <c r="I490" s="74" t="s">
        <v>4065</v>
      </c>
      <c r="J490" s="16"/>
      <c r="K490" s="16"/>
      <c r="L490" s="20" t="s">
        <v>4066</v>
      </c>
      <c r="M490" s="16" t="s">
        <v>111</v>
      </c>
      <c r="N490" s="115">
        <v>45328</v>
      </c>
      <c r="O490" s="115">
        <v>45330</v>
      </c>
      <c r="P490" s="115">
        <v>45656</v>
      </c>
      <c r="Q490" s="23">
        <f>P490-O490</f>
        <v>326</v>
      </c>
      <c r="R490" s="17" t="s">
        <v>242</v>
      </c>
      <c r="S490" s="117" t="s">
        <v>4067</v>
      </c>
      <c r="T490" s="16" t="s">
        <v>114</v>
      </c>
      <c r="U490" s="24">
        <v>79488000</v>
      </c>
      <c r="V490" s="16" t="s">
        <v>324</v>
      </c>
      <c r="W490" s="224">
        <v>51258900</v>
      </c>
      <c r="X490" s="24">
        <v>4659900</v>
      </c>
      <c r="Y490" s="24"/>
      <c r="Z490" s="24"/>
      <c r="AA490" s="17" t="s">
        <v>116</v>
      </c>
      <c r="AB490" s="23" t="str">
        <f>IFERROR(VLOOKUP(AA490,Listas!$A$1:$C$14,2,FALSE),"")</f>
        <v>FREDY CÉSPEDES VILLA</v>
      </c>
      <c r="AC490" s="23">
        <f>IFERROR(VLOOKUP(AA490,Listas!$A$1:$C$14,3,FALSE),"")</f>
        <v>93363483</v>
      </c>
      <c r="AD490" s="17" t="s">
        <v>116</v>
      </c>
      <c r="AE490" s="17" t="s">
        <v>743</v>
      </c>
      <c r="AF490" s="23" t="str">
        <f>IFERROR(VLOOKUP(AE490,Listas!$AD$1:$AF$65,2,FALSE),"")</f>
        <v>FREDY CÉSPEDES VILLA</v>
      </c>
      <c r="AG490" s="23">
        <f>IFERROR(VLOOKUP(AE490,Listas!$AD$1:$AF$65,3,FALSE),"")</f>
        <v>93363483</v>
      </c>
      <c r="AH490" s="17" t="s">
        <v>118</v>
      </c>
      <c r="AI490" s="65" t="s">
        <v>4068</v>
      </c>
      <c r="AJ490" s="25" t="s">
        <v>119</v>
      </c>
      <c r="AK490" s="26" t="s">
        <v>120</v>
      </c>
      <c r="AL490" s="26" t="s">
        <v>120</v>
      </c>
      <c r="AM490" s="90" t="s">
        <v>119</v>
      </c>
      <c r="AN490" s="105">
        <v>36225</v>
      </c>
      <c r="AO490" s="91">
        <f ca="1">IF(YEAR(TODAY())-YEAR(AN490)&gt;100," ",YEAR(TODAY())-YEAR(AN490))</f>
        <v>26</v>
      </c>
      <c r="AP490" s="26" t="s">
        <v>121</v>
      </c>
      <c r="AQ490" s="26" t="s">
        <v>122</v>
      </c>
      <c r="AR490" s="89"/>
      <c r="AS490" s="27"/>
      <c r="AT490" s="16"/>
      <c r="AU490" s="27"/>
      <c r="AV490" s="86"/>
      <c r="AW490" s="27"/>
      <c r="AX490" s="27"/>
      <c r="AY490" s="27"/>
      <c r="AZ490" s="27"/>
      <c r="BA490" s="27"/>
      <c r="BB490" s="27"/>
      <c r="BC490" s="97"/>
      <c r="BD490" s="27"/>
      <c r="BE490" s="16"/>
      <c r="BF490" s="28">
        <f t="shared" si="208"/>
        <v>0</v>
      </c>
      <c r="BG490" s="29"/>
      <c r="BH490" s="27"/>
      <c r="BI490" s="30">
        <f t="shared" si="209"/>
        <v>326</v>
      </c>
      <c r="BJ490" s="31">
        <f t="shared" si="210"/>
        <v>45656</v>
      </c>
      <c r="BK490" s="27"/>
      <c r="BL490" s="16"/>
      <c r="BM490" s="27"/>
      <c r="BN490" s="16"/>
      <c r="BO490" s="27"/>
      <c r="BP490" s="16"/>
      <c r="BQ490" s="27"/>
      <c r="BR490" s="24"/>
      <c r="BS490" s="24"/>
      <c r="BT490" s="32"/>
      <c r="BU490" s="27"/>
      <c r="BV490" s="24"/>
      <c r="BW490" s="24"/>
      <c r="BX490" s="16"/>
      <c r="BY490" s="27"/>
      <c r="BZ490" s="24"/>
      <c r="CA490" s="24"/>
      <c r="CB490" s="16"/>
      <c r="CC490" s="49">
        <f t="shared" si="211"/>
        <v>0</v>
      </c>
      <c r="CD490" s="24"/>
      <c r="CE490" s="49">
        <f>IF(Y490=0,(W490+CC490)-CD490,IF(Y490&gt;0,(Y490+CC490)-CD490))</f>
        <v>51258900</v>
      </c>
      <c r="CF490" s="50"/>
      <c r="CG490" s="49">
        <f t="shared" ca="1" si="213"/>
        <v>51258900</v>
      </c>
      <c r="CH490" s="33">
        <f ca="1">IF(TODAY()&gt;BJ490,1,+(DAYS360(O490,TODAY())/DAYS360(O490,BJ490)))</f>
        <v>1</v>
      </c>
      <c r="CI490" s="33">
        <f ca="1">+IF(CL490&gt;0,DAYS360(O490,CL490)/DAYS360(O490,BJ490),CH490)</f>
        <v>1</v>
      </c>
      <c r="CJ490" s="36">
        <f t="shared" ca="1" si="216"/>
        <v>100</v>
      </c>
      <c r="CK490" s="34">
        <f t="shared" si="217"/>
        <v>0</v>
      </c>
      <c r="CL490" s="21"/>
      <c r="CM490" s="35" t="str">
        <f t="shared" ca="1" si="218"/>
        <v>TERMINADO</v>
      </c>
      <c r="CN490" s="82"/>
      <c r="CO490" s="145" t="s">
        <v>4069</v>
      </c>
      <c r="CP490" s="26" t="s">
        <v>142</v>
      </c>
    </row>
    <row r="491" spans="1:98" ht="24.75" customHeight="1">
      <c r="A491" s="109" t="s">
        <v>4070</v>
      </c>
      <c r="B491" s="77" t="s">
        <v>4071</v>
      </c>
      <c r="C491" s="17" t="s">
        <v>104</v>
      </c>
      <c r="D491" s="18" t="s">
        <v>4072</v>
      </c>
      <c r="E491" s="17" t="s">
        <v>106</v>
      </c>
      <c r="F491" s="17" t="s">
        <v>107</v>
      </c>
      <c r="G491" s="17" t="s">
        <v>108</v>
      </c>
      <c r="H491" s="78">
        <v>79692765</v>
      </c>
      <c r="I491" s="74" t="s">
        <v>4073</v>
      </c>
      <c r="J491" s="16" t="s">
        <v>4074</v>
      </c>
      <c r="K491" s="16" t="s">
        <v>111</v>
      </c>
      <c r="L491" s="20" t="s">
        <v>4074</v>
      </c>
      <c r="M491" s="16" t="s">
        <v>111</v>
      </c>
      <c r="N491" s="115">
        <v>45334</v>
      </c>
      <c r="O491" s="115">
        <v>45350</v>
      </c>
      <c r="P491" s="115">
        <v>45657</v>
      </c>
      <c r="Q491" s="23">
        <f>P491-O491</f>
        <v>307</v>
      </c>
      <c r="R491" s="17" t="s">
        <v>242</v>
      </c>
      <c r="S491" s="117" t="s">
        <v>4075</v>
      </c>
      <c r="T491" s="16" t="s">
        <v>2034</v>
      </c>
      <c r="U491" s="24">
        <v>64057720</v>
      </c>
      <c r="V491" s="16" t="s">
        <v>4076</v>
      </c>
      <c r="W491" s="224">
        <v>61388553</v>
      </c>
      <c r="X491" s="24">
        <v>5338135</v>
      </c>
      <c r="Y491" s="24" t="s">
        <v>4077</v>
      </c>
      <c r="Z491" s="24" t="s">
        <v>4077</v>
      </c>
      <c r="AA491" s="17" t="s">
        <v>116</v>
      </c>
      <c r="AB491" s="23" t="s">
        <v>4078</v>
      </c>
      <c r="AC491" s="23">
        <v>93363483</v>
      </c>
      <c r="AD491" s="17" t="s">
        <v>217</v>
      </c>
      <c r="AE491" s="17" t="s">
        <v>381</v>
      </c>
      <c r="AF491" s="23" t="s">
        <v>4079</v>
      </c>
      <c r="AG491" s="23">
        <v>51842510</v>
      </c>
      <c r="AH491" s="17" t="s">
        <v>118</v>
      </c>
      <c r="AI491" s="65" t="s">
        <v>4080</v>
      </c>
      <c r="AJ491" s="25" t="s">
        <v>119</v>
      </c>
      <c r="AK491" s="26" t="s">
        <v>120</v>
      </c>
      <c r="AL491" s="26" t="s">
        <v>120</v>
      </c>
      <c r="AM491" s="90" t="s">
        <v>119</v>
      </c>
      <c r="AN491" s="105">
        <v>27543</v>
      </c>
      <c r="AO491" s="91">
        <v>49</v>
      </c>
      <c r="AP491" s="26" t="s">
        <v>121</v>
      </c>
      <c r="AQ491" s="26" t="s">
        <v>220</v>
      </c>
      <c r="AR491" s="89"/>
      <c r="AS491" s="27"/>
      <c r="AT491" s="16"/>
      <c r="AU491" s="27" t="s">
        <v>4077</v>
      </c>
      <c r="AV491" s="86"/>
      <c r="AW491" s="27"/>
      <c r="AX491" s="27"/>
      <c r="AY491" s="27"/>
      <c r="AZ491" s="27"/>
      <c r="BA491" s="27"/>
      <c r="BB491" s="27"/>
      <c r="BC491" s="97"/>
      <c r="BD491" s="27"/>
      <c r="BE491" s="16"/>
      <c r="BF491" s="28">
        <f t="shared" si="208"/>
        <v>0</v>
      </c>
      <c r="BG491" s="29"/>
      <c r="BH491" s="27"/>
      <c r="BI491" s="30">
        <f t="shared" si="209"/>
        <v>307</v>
      </c>
      <c r="BJ491" s="31">
        <f t="shared" si="210"/>
        <v>45657</v>
      </c>
      <c r="BK491" s="27"/>
      <c r="BL491" s="16"/>
      <c r="BM491" s="27"/>
      <c r="BN491" s="16"/>
      <c r="BO491" s="27"/>
      <c r="BP491" s="16"/>
      <c r="BQ491" s="27"/>
      <c r="BR491" s="24"/>
      <c r="BS491" s="24"/>
      <c r="BT491" s="32"/>
      <c r="BU491" s="27"/>
      <c r="BV491" s="24"/>
      <c r="BW491" s="24"/>
      <c r="BX491" s="16"/>
      <c r="BY491" s="27"/>
      <c r="BZ491" s="24"/>
      <c r="CA491" s="24"/>
      <c r="CB491" s="16"/>
      <c r="CC491" s="49">
        <f>BR491+BV491+BZ491</f>
        <v>0</v>
      </c>
      <c r="CD491" s="24"/>
      <c r="CE491" s="49">
        <v>61388553</v>
      </c>
      <c r="CF491" s="50"/>
      <c r="CG491" s="49">
        <f t="shared" ca="1" si="213"/>
        <v>61388553</v>
      </c>
      <c r="CH491" s="33">
        <f ca="1">IF(TODAY()&gt;BJ491,1,+(DAYS360(P491,TODAY())/DAYS360(P491,BJ491)))</f>
        <v>1</v>
      </c>
      <c r="CI491" s="33">
        <f ca="1">+IF(CL491&gt;0,DAYS360(P491,CL491)/DAYS360(P491,BJ491),CH491)</f>
        <v>1</v>
      </c>
      <c r="CJ491" s="36">
        <f t="shared" ca="1" si="216"/>
        <v>100</v>
      </c>
      <c r="CK491" s="34">
        <f t="shared" si="217"/>
        <v>0</v>
      </c>
      <c r="CL491" s="21"/>
      <c r="CM491" s="35" t="s">
        <v>4081</v>
      </c>
      <c r="CN491" s="82" t="s">
        <v>4082</v>
      </c>
      <c r="CO491" s="145" t="s">
        <v>142</v>
      </c>
      <c r="CP491" s="26" t="s">
        <v>142</v>
      </c>
    </row>
    <row r="492" spans="1:98" ht="24.75" customHeight="1">
      <c r="A492" s="109" t="s">
        <v>4083</v>
      </c>
      <c r="B492" s="77" t="s">
        <v>4084</v>
      </c>
      <c r="C492" s="17" t="s">
        <v>104</v>
      </c>
      <c r="D492" s="18" t="s">
        <v>4085</v>
      </c>
      <c r="E492" s="17" t="s">
        <v>106</v>
      </c>
      <c r="F492" s="17" t="s">
        <v>107</v>
      </c>
      <c r="G492" s="17" t="s">
        <v>108</v>
      </c>
      <c r="H492" s="78">
        <v>53069120</v>
      </c>
      <c r="I492" s="74" t="s">
        <v>4086</v>
      </c>
      <c r="J492" s="16"/>
      <c r="K492" s="16"/>
      <c r="L492" s="20" t="s">
        <v>4074</v>
      </c>
      <c r="M492" s="16" t="s">
        <v>111</v>
      </c>
      <c r="N492" s="115">
        <v>45328</v>
      </c>
      <c r="O492" s="115">
        <v>45330</v>
      </c>
      <c r="P492" s="22">
        <v>45657</v>
      </c>
      <c r="Q492" s="23">
        <f>P492-O492</f>
        <v>327</v>
      </c>
      <c r="R492" s="17" t="s">
        <v>242</v>
      </c>
      <c r="S492" s="117" t="s">
        <v>4087</v>
      </c>
      <c r="T492" s="16" t="s">
        <v>2034</v>
      </c>
      <c r="U492" s="24">
        <v>70621624</v>
      </c>
      <c r="V492" s="16" t="s">
        <v>4076</v>
      </c>
      <c r="W492" s="224">
        <v>67678673</v>
      </c>
      <c r="X492" s="24">
        <v>5885102</v>
      </c>
      <c r="Y492" s="24"/>
      <c r="Z492" s="24"/>
      <c r="AA492" s="17" t="s">
        <v>116</v>
      </c>
      <c r="AB492" s="23" t="str">
        <f>IFERROR(VLOOKUP(AA492,Listas!$A$1:$C$14,2,FALSE),"")</f>
        <v>FREDY CÉSPEDES VILLA</v>
      </c>
      <c r="AC492" s="23">
        <f>IFERROR(VLOOKUP(AA492,Listas!$A$1:$C$14,3,FALSE),"")</f>
        <v>93363483</v>
      </c>
      <c r="AD492" s="17" t="s">
        <v>217</v>
      </c>
      <c r="AE492" s="17" t="s">
        <v>381</v>
      </c>
      <c r="AF492" s="23" t="str">
        <f>IFERROR(VLOOKUP(AE492,Listas!$AD$1:$AF$65,2,FALSE),"")</f>
        <v>MARINA AZUCENA MEDINA SANDOVAL</v>
      </c>
      <c r="AG492" s="23">
        <f>IFERROR(VLOOKUP(AE492,Listas!$AD$1:$AF$65,3,FALSE),"")</f>
        <v>51842510</v>
      </c>
      <c r="AH492" s="17" t="s">
        <v>118</v>
      </c>
      <c r="AI492" s="65" t="s">
        <v>4088</v>
      </c>
      <c r="AJ492" s="25" t="s">
        <v>119</v>
      </c>
      <c r="AK492" s="26" t="s">
        <v>120</v>
      </c>
      <c r="AL492" s="26" t="s">
        <v>120</v>
      </c>
      <c r="AM492" s="90" t="s">
        <v>119</v>
      </c>
      <c r="AN492" s="105">
        <v>31227</v>
      </c>
      <c r="AO492" s="91">
        <f t="shared" ref="AO492:AO514" ca="1" si="219">IF(YEAR(TODAY())-YEAR(AN492)&gt;100," ",YEAR(TODAY())-YEAR(AN492))</f>
        <v>40</v>
      </c>
      <c r="AP492" s="26" t="s">
        <v>121</v>
      </c>
      <c r="AQ492" s="26" t="s">
        <v>220</v>
      </c>
      <c r="AR492" s="89"/>
      <c r="AS492" s="27"/>
      <c r="AT492" s="16"/>
      <c r="AU492" s="27"/>
      <c r="AV492" s="86"/>
      <c r="AW492" s="27"/>
      <c r="AX492" s="27"/>
      <c r="AY492" s="27"/>
      <c r="AZ492" s="27"/>
      <c r="BA492" s="27"/>
      <c r="BB492" s="27"/>
      <c r="BC492" s="97"/>
      <c r="BD492" s="27"/>
      <c r="BE492" s="16"/>
      <c r="BF492" s="28">
        <f t="shared" si="208"/>
        <v>0</v>
      </c>
      <c r="BG492" s="29"/>
      <c r="BH492" s="27"/>
      <c r="BI492" s="30">
        <f t="shared" ref="BI492:BI534" si="220">BF492+Q492</f>
        <v>327</v>
      </c>
      <c r="BJ492" s="31">
        <f t="shared" ref="BJ492:BJ534" si="221">IF(BH492="",P492+BF492,BH492)</f>
        <v>45657</v>
      </c>
      <c r="BK492" s="27"/>
      <c r="BL492" s="16"/>
      <c r="BM492" s="27"/>
      <c r="BN492" s="16"/>
      <c r="BO492" s="27"/>
      <c r="BP492" s="16"/>
      <c r="BQ492" s="27"/>
      <c r="BR492" s="24"/>
      <c r="BS492" s="24"/>
      <c r="BT492" s="32"/>
      <c r="BU492" s="27"/>
      <c r="BV492" s="24"/>
      <c r="BW492" s="24"/>
      <c r="BX492" s="16"/>
      <c r="BY492" s="27"/>
      <c r="BZ492" s="24"/>
      <c r="CA492" s="24"/>
      <c r="CB492" s="16"/>
      <c r="CC492" s="49">
        <f t="shared" si="211"/>
        <v>0</v>
      </c>
      <c r="CD492" s="24"/>
      <c r="CE492" s="49">
        <f t="shared" si="212"/>
        <v>67678673</v>
      </c>
      <c r="CF492" s="50"/>
      <c r="CG492" s="49">
        <f t="shared" ca="1" si="213"/>
        <v>67678673</v>
      </c>
      <c r="CH492" s="33">
        <f ca="1">IF(TODAY()&gt;BJ492,1,+(DAYS360(O492,TODAY())/DAYS360(O492,BJ492)))</f>
        <v>1</v>
      </c>
      <c r="CI492" s="33">
        <f ca="1">+IF(CL492&gt;0,DAYS360(O492,CL492)/DAYS360(O492,BJ492),CH492)</f>
        <v>1</v>
      </c>
      <c r="CJ492" s="36">
        <f t="shared" ca="1" si="216"/>
        <v>100</v>
      </c>
      <c r="CK492" s="34">
        <f t="shared" si="217"/>
        <v>0</v>
      </c>
      <c r="CL492" s="21"/>
      <c r="CM492" s="35" t="str">
        <f t="shared" ref="CM492:CM534" ca="1" si="222">IF(CL492&gt;1/1/6,"LIQUIDADO",IF(BJ492=$BE$20003,"",IF(BJ492&gt;=TODAY(),"VIGENTE",IF(BJ492&lt;TODAY(),"TERMINADO",))))</f>
        <v>TERMINADO</v>
      </c>
      <c r="CN492" s="82"/>
      <c r="CO492" s="145" t="s">
        <v>4089</v>
      </c>
      <c r="CP492" s="26" t="s">
        <v>123</v>
      </c>
    </row>
    <row r="493" spans="1:98" ht="24.75" customHeight="1">
      <c r="A493" s="109" t="s">
        <v>4090</v>
      </c>
      <c r="B493" s="77" t="s">
        <v>4091</v>
      </c>
      <c r="C493" s="17" t="s">
        <v>104</v>
      </c>
      <c r="D493" s="18" t="s">
        <v>4092</v>
      </c>
      <c r="E493" s="17" t="s">
        <v>106</v>
      </c>
      <c r="F493" s="17" t="s">
        <v>107</v>
      </c>
      <c r="G493" s="17" t="s">
        <v>108</v>
      </c>
      <c r="H493" s="78">
        <v>1075655079</v>
      </c>
      <c r="I493" s="74" t="s">
        <v>4093</v>
      </c>
      <c r="J493" s="16"/>
      <c r="K493" s="16"/>
      <c r="L493" s="20" t="s">
        <v>4094</v>
      </c>
      <c r="M493" s="16" t="s">
        <v>111</v>
      </c>
      <c r="N493" s="115">
        <v>45328</v>
      </c>
      <c r="O493" s="115">
        <v>45330</v>
      </c>
      <c r="P493" s="22">
        <v>45657</v>
      </c>
      <c r="Q493" s="23">
        <f>P493-O494</f>
        <v>328</v>
      </c>
      <c r="R493" s="17" t="s">
        <v>242</v>
      </c>
      <c r="S493" s="117" t="s">
        <v>4095</v>
      </c>
      <c r="T493" s="16" t="s">
        <v>2034</v>
      </c>
      <c r="U493" s="24">
        <v>113668800</v>
      </c>
      <c r="V493" s="16" t="s">
        <v>4076</v>
      </c>
      <c r="W493" s="224">
        <v>108932600</v>
      </c>
      <c r="X493" s="24">
        <v>9472400</v>
      </c>
      <c r="Y493" s="24"/>
      <c r="Z493" s="24"/>
      <c r="AA493" s="17" t="s">
        <v>116</v>
      </c>
      <c r="AB493" s="23" t="str">
        <f>IFERROR(VLOOKUP(AA493,Listas!$A$1:$C$14,2,FALSE),"")</f>
        <v>FREDY CÉSPEDES VILLA</v>
      </c>
      <c r="AC493" s="23">
        <f>IFERROR(VLOOKUP(AA493,Listas!$A$1:$C$14,3,FALSE),"")</f>
        <v>93363483</v>
      </c>
      <c r="AD493" s="17" t="s">
        <v>217</v>
      </c>
      <c r="AE493" s="17" t="s">
        <v>381</v>
      </c>
      <c r="AF493" s="23" t="str">
        <f>IFERROR(VLOOKUP(AE493,Listas!$AD$1:$AF$65,2,FALSE),"")</f>
        <v>MARINA AZUCENA MEDINA SANDOVAL</v>
      </c>
      <c r="AG493" s="23">
        <f>IFERROR(VLOOKUP(AE493,Listas!$AD$1:$AF$65,3,FALSE),"")</f>
        <v>51842510</v>
      </c>
      <c r="AH493" s="17" t="s">
        <v>118</v>
      </c>
      <c r="AI493" s="65" t="s">
        <v>4096</v>
      </c>
      <c r="AJ493" s="25" t="s">
        <v>119</v>
      </c>
      <c r="AK493" s="26" t="s">
        <v>120</v>
      </c>
      <c r="AL493" s="26" t="s">
        <v>120</v>
      </c>
      <c r="AM493" s="90" t="s">
        <v>119</v>
      </c>
      <c r="AN493" s="105">
        <v>32088</v>
      </c>
      <c r="AO493" s="91">
        <f t="shared" ca="1" si="219"/>
        <v>38</v>
      </c>
      <c r="AP493" s="26" t="s">
        <v>121</v>
      </c>
      <c r="AQ493" s="26" t="s">
        <v>220</v>
      </c>
      <c r="AR493" s="89"/>
      <c r="AS493" s="27"/>
      <c r="AT493" s="16"/>
      <c r="AU493" s="27"/>
      <c r="AV493" s="86"/>
      <c r="AW493" s="27"/>
      <c r="AX493" s="27"/>
      <c r="AY493" s="27"/>
      <c r="AZ493" s="27"/>
      <c r="BA493" s="27"/>
      <c r="BB493" s="27"/>
      <c r="BC493" s="97"/>
      <c r="BD493" s="27"/>
      <c r="BE493" s="16"/>
      <c r="BF493" s="28">
        <f t="shared" si="208"/>
        <v>0</v>
      </c>
      <c r="BG493" s="29"/>
      <c r="BH493" s="27"/>
      <c r="BI493" s="30">
        <f t="shared" si="220"/>
        <v>328</v>
      </c>
      <c r="BJ493" s="31">
        <f t="shared" si="221"/>
        <v>45657</v>
      </c>
      <c r="BK493" s="27"/>
      <c r="BL493" s="16"/>
      <c r="BM493" s="27"/>
      <c r="BN493" s="16"/>
      <c r="BO493" s="27"/>
      <c r="BP493" s="16"/>
      <c r="BQ493" s="27"/>
      <c r="BR493" s="24"/>
      <c r="BS493" s="24"/>
      <c r="BT493" s="32"/>
      <c r="BU493" s="27"/>
      <c r="BV493" s="24"/>
      <c r="BW493" s="24"/>
      <c r="BX493" s="16"/>
      <c r="BY493" s="27"/>
      <c r="BZ493" s="24"/>
      <c r="CA493" s="24"/>
      <c r="CB493" s="16"/>
      <c r="CC493" s="49">
        <f t="shared" si="211"/>
        <v>0</v>
      </c>
      <c r="CD493" s="24"/>
      <c r="CE493" s="49">
        <f t="shared" si="212"/>
        <v>108932600</v>
      </c>
      <c r="CF493" s="50"/>
      <c r="CG493" s="49">
        <f t="shared" ca="1" si="213"/>
        <v>108932600</v>
      </c>
      <c r="CH493" s="33">
        <f ca="1">IF(TODAY()&gt;BJ493,1,+(DAYS360(O494,TODAY())/DAYS360(O494,BJ493)))</f>
        <v>1</v>
      </c>
      <c r="CI493" s="33">
        <f ca="1">+IF(CL493&gt;0,DAYS360(O494,CL493)/DAYS360(O494,BJ493),CH493)</f>
        <v>1</v>
      </c>
      <c r="CJ493" s="36">
        <f t="shared" ca="1" si="216"/>
        <v>100</v>
      </c>
      <c r="CK493" s="34">
        <f t="shared" si="217"/>
        <v>0</v>
      </c>
      <c r="CL493" s="21"/>
      <c r="CM493" s="35" t="str">
        <f t="shared" ca="1" si="222"/>
        <v>TERMINADO</v>
      </c>
      <c r="CN493" s="82"/>
      <c r="CO493" s="145" t="s">
        <v>4097</v>
      </c>
      <c r="CP493" s="26" t="s">
        <v>123</v>
      </c>
    </row>
    <row r="494" spans="1:98" ht="24.75" customHeight="1">
      <c r="A494" s="109" t="s">
        <v>4098</v>
      </c>
      <c r="B494" s="77" t="s">
        <v>4099</v>
      </c>
      <c r="C494" s="17" t="s">
        <v>104</v>
      </c>
      <c r="D494" s="18" t="s">
        <v>4100</v>
      </c>
      <c r="E494" s="17" t="s">
        <v>106</v>
      </c>
      <c r="F494" s="17" t="s">
        <v>107</v>
      </c>
      <c r="G494" s="17" t="s">
        <v>108</v>
      </c>
      <c r="H494" s="78">
        <v>41948308</v>
      </c>
      <c r="I494" s="74" t="s">
        <v>4101</v>
      </c>
      <c r="J494" s="16"/>
      <c r="K494" s="16"/>
      <c r="L494" s="20" t="s">
        <v>4102</v>
      </c>
      <c r="M494" s="16" t="s">
        <v>111</v>
      </c>
      <c r="N494" s="115">
        <v>45328</v>
      </c>
      <c r="O494" s="115">
        <v>45329</v>
      </c>
      <c r="P494" s="115">
        <v>45656</v>
      </c>
      <c r="Q494" s="23">
        <f>P494-O495</f>
        <v>308</v>
      </c>
      <c r="R494" s="17" t="s">
        <v>242</v>
      </c>
      <c r="S494" s="117" t="s">
        <v>4103</v>
      </c>
      <c r="T494" s="16" t="s">
        <v>997</v>
      </c>
      <c r="U494" s="24">
        <v>89700000</v>
      </c>
      <c r="V494" s="16" t="s">
        <v>815</v>
      </c>
      <c r="W494" s="227">
        <v>89700000</v>
      </c>
      <c r="X494" s="24">
        <v>7800000</v>
      </c>
      <c r="Y494" s="24"/>
      <c r="Z494" s="24"/>
      <c r="AA494" s="17" t="s">
        <v>116</v>
      </c>
      <c r="AB494" s="23" t="str">
        <f>IFERROR(VLOOKUP(AA494,Listas!$A$1:$C$14,2,FALSE),"")</f>
        <v>FREDY CÉSPEDES VILLA</v>
      </c>
      <c r="AC494" s="23">
        <f>IFERROR(VLOOKUP(AA494,Listas!$A$1:$C$14,3,FALSE),"")</f>
        <v>93363483</v>
      </c>
      <c r="AD494" s="17" t="s">
        <v>816</v>
      </c>
      <c r="AE494" s="17" t="s">
        <v>3787</v>
      </c>
      <c r="AF494" s="23" t="str">
        <f>IFERROR(VLOOKUP(AE494,Listas!$AD$1:$AF$65,2,FALSE),"")</f>
        <v>FREDY GONZALO FONTECHA BERNAL</v>
      </c>
      <c r="AG494" s="23">
        <f>IFERROR(VLOOKUP(AE494,Listas!$AD$1:$AF$65,3,FALSE),"")</f>
        <v>80006563</v>
      </c>
      <c r="AH494" s="17" t="s">
        <v>118</v>
      </c>
      <c r="AI494" s="65" t="s">
        <v>4104</v>
      </c>
      <c r="AJ494" s="25" t="s">
        <v>119</v>
      </c>
      <c r="AK494" s="26" t="s">
        <v>120</v>
      </c>
      <c r="AL494" s="26" t="s">
        <v>120</v>
      </c>
      <c r="AM494" s="90" t="s">
        <v>119</v>
      </c>
      <c r="AN494" s="105">
        <v>29506</v>
      </c>
      <c r="AO494" s="91">
        <f t="shared" ca="1" si="219"/>
        <v>45</v>
      </c>
      <c r="AP494" s="26" t="s">
        <v>121</v>
      </c>
      <c r="AQ494" s="26" t="s">
        <v>1641</v>
      </c>
      <c r="AR494" s="89"/>
      <c r="AS494" s="27"/>
      <c r="AT494" s="16"/>
      <c r="AU494" s="27"/>
      <c r="AV494" s="86"/>
      <c r="AW494" s="27"/>
      <c r="AX494" s="27"/>
      <c r="AY494" s="27"/>
      <c r="AZ494" s="27"/>
      <c r="BA494" s="27"/>
      <c r="BB494" s="27"/>
      <c r="BC494" s="97"/>
      <c r="BD494" s="27"/>
      <c r="BE494" s="16"/>
      <c r="BF494" s="28">
        <f t="shared" si="208"/>
        <v>0</v>
      </c>
      <c r="BG494" s="29"/>
      <c r="BH494" s="27"/>
      <c r="BI494" s="30">
        <f t="shared" si="220"/>
        <v>308</v>
      </c>
      <c r="BJ494" s="31">
        <f t="shared" si="221"/>
        <v>45656</v>
      </c>
      <c r="BK494" s="27"/>
      <c r="BL494" s="16"/>
      <c r="BM494" s="27"/>
      <c r="BN494" s="16"/>
      <c r="BO494" s="27"/>
      <c r="BP494" s="16"/>
      <c r="BQ494" s="27"/>
      <c r="BR494" s="24"/>
      <c r="BS494" s="24"/>
      <c r="BT494" s="32"/>
      <c r="BU494" s="27"/>
      <c r="BV494" s="24"/>
      <c r="BW494" s="24"/>
      <c r="BX494" s="16"/>
      <c r="BY494" s="27"/>
      <c r="BZ494" s="24"/>
      <c r="CA494" s="24"/>
      <c r="CB494" s="16"/>
      <c r="CC494" s="49">
        <f t="shared" si="211"/>
        <v>0</v>
      </c>
      <c r="CD494" s="24"/>
      <c r="CE494" s="49">
        <f t="shared" si="212"/>
        <v>89700000</v>
      </c>
      <c r="CF494" s="50"/>
      <c r="CG494" s="49">
        <f t="shared" ca="1" si="213"/>
        <v>89700000</v>
      </c>
      <c r="CH494" s="33">
        <f ca="1">IF(TODAY()&gt;BJ494,1,+(DAYS360(#REF!,TODAY())/DAYS360(#REF!,BJ494)))</f>
        <v>1</v>
      </c>
      <c r="CI494" s="33">
        <f ca="1">+IF(CL494&gt;0,DAYS360(#REF!,CL494)/DAYS360(#REF!,BJ494),CH494)</f>
        <v>1</v>
      </c>
      <c r="CJ494" s="36">
        <f t="shared" ca="1" si="216"/>
        <v>100</v>
      </c>
      <c r="CK494" s="34">
        <f t="shared" si="217"/>
        <v>0</v>
      </c>
      <c r="CL494" s="21"/>
      <c r="CM494" s="35" t="str">
        <f t="shared" ca="1" si="222"/>
        <v>TERMINADO</v>
      </c>
      <c r="CN494" s="82"/>
      <c r="CO494" s="145" t="s">
        <v>4105</v>
      </c>
      <c r="CP494" s="26" t="s">
        <v>123</v>
      </c>
    </row>
    <row r="495" spans="1:98" ht="24.75" customHeight="1">
      <c r="A495" s="109" t="s">
        <v>4106</v>
      </c>
      <c r="B495" s="77" t="s">
        <v>4107</v>
      </c>
      <c r="C495" s="17" t="s">
        <v>104</v>
      </c>
      <c r="D495" s="18" t="s">
        <v>4108</v>
      </c>
      <c r="E495" s="17" t="s">
        <v>106</v>
      </c>
      <c r="F495" s="17" t="s">
        <v>107</v>
      </c>
      <c r="G495" s="17" t="s">
        <v>108</v>
      </c>
      <c r="H495" s="78">
        <v>18011509</v>
      </c>
      <c r="I495" s="74" t="s">
        <v>4109</v>
      </c>
      <c r="J495" s="16"/>
      <c r="K495" s="16"/>
      <c r="L495" s="20" t="s">
        <v>3902</v>
      </c>
      <c r="M495" s="16" t="s">
        <v>111</v>
      </c>
      <c r="N495" s="115">
        <v>45328</v>
      </c>
      <c r="O495" s="115">
        <v>45348</v>
      </c>
      <c r="P495" s="115">
        <v>45656</v>
      </c>
      <c r="Q495" s="23">
        <f t="shared" ref="Q495:Q514" si="223">P495-O495</f>
        <v>308</v>
      </c>
      <c r="R495" s="17" t="s">
        <v>242</v>
      </c>
      <c r="S495" s="117" t="s">
        <v>4110</v>
      </c>
      <c r="T495" s="16" t="s">
        <v>997</v>
      </c>
      <c r="U495" s="24">
        <v>101493333</v>
      </c>
      <c r="V495" s="16" t="s">
        <v>815</v>
      </c>
      <c r="W495" s="227">
        <v>95333333</v>
      </c>
      <c r="X495" s="24">
        <v>8800000</v>
      </c>
      <c r="Y495" s="24"/>
      <c r="Z495" s="24"/>
      <c r="AA495" s="17" t="s">
        <v>116</v>
      </c>
      <c r="AB495" s="23" t="str">
        <f>IFERROR(VLOOKUP(AA495,Listas!$A$1:$C$14,2,FALSE),"")</f>
        <v>FREDY CÉSPEDES VILLA</v>
      </c>
      <c r="AC495" s="23">
        <f>IFERROR(VLOOKUP(AA495,Listas!$A$1:$C$14,3,FALSE),"")</f>
        <v>93363483</v>
      </c>
      <c r="AD495" s="17" t="s">
        <v>816</v>
      </c>
      <c r="AE495" s="17" t="s">
        <v>3578</v>
      </c>
      <c r="AF495" s="23" t="str">
        <f>IFERROR(VLOOKUP(AE495,Listas!$AD$1:$AF$65,2,FALSE),"")</f>
        <v>MARTHA RUTH ROBAYO LÓPEZ</v>
      </c>
      <c r="AG495" s="23">
        <f>IFERROR(VLOOKUP(AE495,Listas!$AD$1:$AF$65,3,FALSE),"")</f>
        <v>52193887</v>
      </c>
      <c r="AH495" s="17" t="s">
        <v>118</v>
      </c>
      <c r="AI495" s="65" t="s">
        <v>4111</v>
      </c>
      <c r="AJ495" s="25" t="s">
        <v>119</v>
      </c>
      <c r="AK495" s="26" t="s">
        <v>120</v>
      </c>
      <c r="AL495" s="26" t="s">
        <v>120</v>
      </c>
      <c r="AM495" s="90" t="s">
        <v>119</v>
      </c>
      <c r="AN495" s="105">
        <v>30918</v>
      </c>
      <c r="AO495" s="91">
        <f t="shared" ca="1" si="219"/>
        <v>41</v>
      </c>
      <c r="AP495" s="26" t="s">
        <v>121</v>
      </c>
      <c r="AQ495" s="26" t="s">
        <v>1641</v>
      </c>
      <c r="AR495" s="89"/>
      <c r="AS495" s="27"/>
      <c r="AT495" s="16"/>
      <c r="AU495" s="27"/>
      <c r="AV495" s="86"/>
      <c r="AW495" s="27"/>
      <c r="AX495" s="27"/>
      <c r="AY495" s="27"/>
      <c r="AZ495" s="27"/>
      <c r="BA495" s="27"/>
      <c r="BB495" s="27"/>
      <c r="BC495" s="97"/>
      <c r="BD495" s="27"/>
      <c r="BE495" s="16"/>
      <c r="BF495" s="28">
        <f t="shared" si="208"/>
        <v>0</v>
      </c>
      <c r="BG495" s="29"/>
      <c r="BH495" s="27"/>
      <c r="BI495" s="30">
        <f t="shared" si="220"/>
        <v>308</v>
      </c>
      <c r="BJ495" s="31">
        <f t="shared" si="221"/>
        <v>45656</v>
      </c>
      <c r="BK495" s="27"/>
      <c r="BL495" s="16"/>
      <c r="BM495" s="27"/>
      <c r="BN495" s="16"/>
      <c r="BO495" s="27"/>
      <c r="BP495" s="16"/>
      <c r="BQ495" s="27"/>
      <c r="BR495" s="24"/>
      <c r="BS495" s="24"/>
      <c r="BT495" s="32"/>
      <c r="BU495" s="27"/>
      <c r="BV495" s="24"/>
      <c r="BW495" s="24"/>
      <c r="BX495" s="16"/>
      <c r="BY495" s="27"/>
      <c r="BZ495" s="24"/>
      <c r="CA495" s="24"/>
      <c r="CB495" s="16"/>
      <c r="CC495" s="49">
        <f t="shared" si="211"/>
        <v>0</v>
      </c>
      <c r="CD495" s="24"/>
      <c r="CE495" s="49">
        <f t="shared" si="212"/>
        <v>95333333</v>
      </c>
      <c r="CF495" s="50"/>
      <c r="CG495" s="49">
        <f t="shared" ca="1" si="213"/>
        <v>95333333</v>
      </c>
      <c r="CH495" s="33">
        <f t="shared" ref="CH495:CH527" ca="1" si="224">IF(TODAY()&gt;BJ495,1,+(DAYS360(O495,TODAY())/DAYS360(O495,BJ495)))</f>
        <v>1</v>
      </c>
      <c r="CI495" s="33">
        <f t="shared" ref="CI495:CI527" ca="1" si="225">+IF(CL495&gt;0,DAYS360(O495,CL495)/DAYS360(O495,BJ495),CH495)</f>
        <v>1</v>
      </c>
      <c r="CJ495" s="36">
        <f t="shared" ca="1" si="216"/>
        <v>100</v>
      </c>
      <c r="CK495" s="34">
        <f t="shared" si="217"/>
        <v>0</v>
      </c>
      <c r="CL495" s="21"/>
      <c r="CM495" s="35" t="str">
        <f t="shared" ca="1" si="222"/>
        <v>TERMINADO</v>
      </c>
      <c r="CN495" s="82"/>
      <c r="CO495" s="145" t="s">
        <v>4112</v>
      </c>
      <c r="CP495" s="26" t="s">
        <v>142</v>
      </c>
    </row>
    <row r="496" spans="1:98" ht="24.75" customHeight="1">
      <c r="A496" s="109" t="s">
        <v>4113</v>
      </c>
      <c r="B496" s="77" t="s">
        <v>4114</v>
      </c>
      <c r="C496" s="17" t="s">
        <v>104</v>
      </c>
      <c r="D496" s="18" t="s">
        <v>4115</v>
      </c>
      <c r="E496" s="17" t="s">
        <v>106</v>
      </c>
      <c r="F496" s="17" t="s">
        <v>107</v>
      </c>
      <c r="G496" s="17" t="s">
        <v>108</v>
      </c>
      <c r="H496" s="78">
        <v>1014179141</v>
      </c>
      <c r="I496" s="74" t="s">
        <v>4116</v>
      </c>
      <c r="J496" s="16"/>
      <c r="K496" s="16"/>
      <c r="L496" s="20" t="s">
        <v>4117</v>
      </c>
      <c r="M496" s="16" t="s">
        <v>111</v>
      </c>
      <c r="N496" s="115">
        <v>45329</v>
      </c>
      <c r="O496" s="115">
        <v>45330</v>
      </c>
      <c r="P496" s="115">
        <v>45656</v>
      </c>
      <c r="Q496" s="23">
        <f t="shared" si="223"/>
        <v>326</v>
      </c>
      <c r="R496" s="17" t="s">
        <v>242</v>
      </c>
      <c r="S496" s="117" t="s">
        <v>4118</v>
      </c>
      <c r="T496" s="16" t="s">
        <v>1345</v>
      </c>
      <c r="U496" s="24">
        <v>66460787</v>
      </c>
      <c r="V496" s="16" t="s">
        <v>344</v>
      </c>
      <c r="W496" s="227">
        <v>66460787</v>
      </c>
      <c r="X496" s="24">
        <v>5762496</v>
      </c>
      <c r="Y496" s="24"/>
      <c r="Z496" s="24"/>
      <c r="AA496" s="17" t="s">
        <v>116</v>
      </c>
      <c r="AB496" s="23" t="str">
        <f>IFERROR(VLOOKUP(AA496,Listas!$A$1:$C$14,2,FALSE),"")</f>
        <v>FREDY CÉSPEDES VILLA</v>
      </c>
      <c r="AC496" s="23">
        <f>IFERROR(VLOOKUP(AA496,Listas!$A$1:$C$14,3,FALSE),"")</f>
        <v>93363483</v>
      </c>
      <c r="AD496" s="17" t="s">
        <v>345</v>
      </c>
      <c r="AE496" s="17" t="s">
        <v>346</v>
      </c>
      <c r="AF496" s="23" t="str">
        <f>IFERROR(VLOOKUP(AE496,Listas!$AD$1:$AF$65,2,FALSE),"")</f>
        <v>RODOLFO GIOVANNI CANCHILA SUÁREZ</v>
      </c>
      <c r="AG496" s="23">
        <f>IFERROR(VLOOKUP(AE496,Listas!$AD$1:$AF$65,3,FALSE),"")</f>
        <v>79672493</v>
      </c>
      <c r="AH496" s="17" t="s">
        <v>118</v>
      </c>
      <c r="AI496" s="65" t="s">
        <v>4119</v>
      </c>
      <c r="AJ496" s="25" t="s">
        <v>119</v>
      </c>
      <c r="AK496" s="26" t="s">
        <v>120</v>
      </c>
      <c r="AL496" s="26" t="s">
        <v>120</v>
      </c>
      <c r="AM496" s="90" t="s">
        <v>119</v>
      </c>
      <c r="AN496" s="105">
        <v>31594</v>
      </c>
      <c r="AO496" s="91">
        <f t="shared" ca="1" si="219"/>
        <v>39</v>
      </c>
      <c r="AP496" s="26" t="s">
        <v>121</v>
      </c>
      <c r="AQ496" s="26" t="s">
        <v>347</v>
      </c>
      <c r="AR496" s="89"/>
      <c r="AS496" s="27"/>
      <c r="AT496" s="16"/>
      <c r="AU496" s="27"/>
      <c r="AV496" s="86"/>
      <c r="AW496" s="27"/>
      <c r="AX496" s="27"/>
      <c r="AY496" s="27"/>
      <c r="AZ496" s="27"/>
      <c r="BA496" s="27"/>
      <c r="BB496" s="27"/>
      <c r="BC496" s="97"/>
      <c r="BD496" s="27"/>
      <c r="BE496" s="16"/>
      <c r="BF496" s="28">
        <f t="shared" si="208"/>
        <v>0</v>
      </c>
      <c r="BG496" s="29"/>
      <c r="BH496" s="27">
        <v>45412</v>
      </c>
      <c r="BI496" s="30">
        <f t="shared" si="220"/>
        <v>326</v>
      </c>
      <c r="BJ496" s="31">
        <f t="shared" si="221"/>
        <v>45412</v>
      </c>
      <c r="BK496" s="27"/>
      <c r="BL496" s="16"/>
      <c r="BM496" s="27"/>
      <c r="BN496" s="16"/>
      <c r="BO496" s="27"/>
      <c r="BP496" s="16"/>
      <c r="BQ496" s="27"/>
      <c r="BR496" s="24"/>
      <c r="BS496" s="24"/>
      <c r="BT496" s="32"/>
      <c r="BU496" s="27"/>
      <c r="BV496" s="24"/>
      <c r="BW496" s="24"/>
      <c r="BX496" s="16"/>
      <c r="BY496" s="27"/>
      <c r="BZ496" s="24"/>
      <c r="CA496" s="24"/>
      <c r="CB496" s="16"/>
      <c r="CC496" s="49">
        <f t="shared" si="211"/>
        <v>0</v>
      </c>
      <c r="CD496" s="24"/>
      <c r="CE496" s="49">
        <f t="shared" si="212"/>
        <v>66460787</v>
      </c>
      <c r="CF496" s="50"/>
      <c r="CG496" s="49">
        <f t="shared" ca="1" si="213"/>
        <v>66460787</v>
      </c>
      <c r="CH496" s="33">
        <f t="shared" ca="1" si="224"/>
        <v>1</v>
      </c>
      <c r="CI496" s="33">
        <f t="shared" ca="1" si="225"/>
        <v>1</v>
      </c>
      <c r="CJ496" s="36">
        <f t="shared" ca="1" si="216"/>
        <v>100</v>
      </c>
      <c r="CK496" s="34">
        <f t="shared" si="217"/>
        <v>0</v>
      </c>
      <c r="CL496" s="21"/>
      <c r="CM496" s="35" t="str">
        <f t="shared" ca="1" si="222"/>
        <v>TERMINADO</v>
      </c>
      <c r="CN496" s="82"/>
      <c r="CO496" s="145" t="s">
        <v>4120</v>
      </c>
      <c r="CP496" s="26" t="s">
        <v>142</v>
      </c>
    </row>
    <row r="497" spans="1:94" ht="24.75" customHeight="1">
      <c r="A497" s="109" t="s">
        <v>4121</v>
      </c>
      <c r="B497" s="77" t="s">
        <v>4122</v>
      </c>
      <c r="C497" s="17" t="s">
        <v>104</v>
      </c>
      <c r="D497" s="18" t="s">
        <v>4123</v>
      </c>
      <c r="E497" s="17" t="s">
        <v>106</v>
      </c>
      <c r="F497" s="17" t="s">
        <v>107</v>
      </c>
      <c r="G497" s="17" t="s">
        <v>108</v>
      </c>
      <c r="H497" s="78">
        <v>80134450</v>
      </c>
      <c r="I497" s="74" t="s">
        <v>4124</v>
      </c>
      <c r="J497" s="16"/>
      <c r="K497" s="16"/>
      <c r="L497" s="20" t="s">
        <v>4125</v>
      </c>
      <c r="M497" s="16" t="s">
        <v>111</v>
      </c>
      <c r="N497" s="115">
        <v>45329</v>
      </c>
      <c r="O497" s="115">
        <v>45330</v>
      </c>
      <c r="P497" s="115">
        <v>45656</v>
      </c>
      <c r="Q497" s="23">
        <f t="shared" si="223"/>
        <v>326</v>
      </c>
      <c r="R497" s="17" t="s">
        <v>242</v>
      </c>
      <c r="S497" s="117" t="s">
        <v>4126</v>
      </c>
      <c r="T497" s="16" t="s">
        <v>1345</v>
      </c>
      <c r="U497" s="24">
        <v>66076621</v>
      </c>
      <c r="V497" s="16" t="s">
        <v>344</v>
      </c>
      <c r="W497" s="227">
        <v>66076621</v>
      </c>
      <c r="X497" s="24">
        <v>5762496</v>
      </c>
      <c r="Y497" s="24"/>
      <c r="Z497" s="24"/>
      <c r="AA497" s="17" t="s">
        <v>116</v>
      </c>
      <c r="AB497" s="23" t="str">
        <f>IFERROR(VLOOKUP(AA497,Listas!$A$1:$C$14,2,FALSE),"")</f>
        <v>FREDY CÉSPEDES VILLA</v>
      </c>
      <c r="AC497" s="23">
        <f>IFERROR(VLOOKUP(AA497,Listas!$A$1:$C$14,3,FALSE),"")</f>
        <v>93363483</v>
      </c>
      <c r="AD497" s="17" t="s">
        <v>345</v>
      </c>
      <c r="AE497" s="17" t="s">
        <v>632</v>
      </c>
      <c r="AF497" s="23" t="str">
        <f>IFERROR(VLOOKUP(AE497,Listas!$AD$1:$AF$65,2,FALSE),"")</f>
        <v>MANUEL ALBERTO LOZANO CARDONA</v>
      </c>
      <c r="AG497" s="23">
        <f>IFERROR(VLOOKUP(AE497,Listas!$AD$1:$AF$65,3,FALSE),"")</f>
        <v>79940034</v>
      </c>
      <c r="AH497" s="17" t="s">
        <v>118</v>
      </c>
      <c r="AI497" s="65" t="s">
        <v>438</v>
      </c>
      <c r="AJ497" s="25" t="s">
        <v>119</v>
      </c>
      <c r="AK497" s="26" t="s">
        <v>120</v>
      </c>
      <c r="AL497" s="26" t="s">
        <v>120</v>
      </c>
      <c r="AM497" s="90" t="s">
        <v>119</v>
      </c>
      <c r="AN497" s="105">
        <v>30177</v>
      </c>
      <c r="AO497" s="91">
        <f t="shared" ca="1" si="219"/>
        <v>43</v>
      </c>
      <c r="AP497" s="26" t="s">
        <v>121</v>
      </c>
      <c r="AQ497" s="26" t="s">
        <v>347</v>
      </c>
      <c r="AR497" s="89"/>
      <c r="AS497" s="27"/>
      <c r="AT497" s="16"/>
      <c r="AU497" s="27"/>
      <c r="AV497" s="86"/>
      <c r="AW497" s="27"/>
      <c r="AX497" s="27"/>
      <c r="AY497" s="27"/>
      <c r="AZ497" s="27"/>
      <c r="BA497" s="27"/>
      <c r="BB497" s="27"/>
      <c r="BC497" s="97"/>
      <c r="BD497" s="27"/>
      <c r="BE497" s="16"/>
      <c r="BF497" s="28">
        <f t="shared" si="208"/>
        <v>0</v>
      </c>
      <c r="BG497" s="29"/>
      <c r="BH497" s="27">
        <v>45412</v>
      </c>
      <c r="BI497" s="30">
        <f t="shared" si="220"/>
        <v>326</v>
      </c>
      <c r="BJ497" s="31">
        <f t="shared" si="221"/>
        <v>45412</v>
      </c>
      <c r="BK497" s="27"/>
      <c r="BL497" s="16"/>
      <c r="BM497" s="27"/>
      <c r="BN497" s="16"/>
      <c r="BO497" s="27"/>
      <c r="BP497" s="16"/>
      <c r="BQ497" s="27"/>
      <c r="BR497" s="24"/>
      <c r="BS497" s="24"/>
      <c r="BT497" s="32"/>
      <c r="BU497" s="27"/>
      <c r="BV497" s="24"/>
      <c r="BW497" s="24"/>
      <c r="BX497" s="16"/>
      <c r="BY497" s="27"/>
      <c r="BZ497" s="24"/>
      <c r="CA497" s="24"/>
      <c r="CB497" s="16"/>
      <c r="CC497" s="49">
        <f t="shared" si="211"/>
        <v>0</v>
      </c>
      <c r="CD497" s="24"/>
      <c r="CE497" s="49">
        <f t="shared" si="212"/>
        <v>66076621</v>
      </c>
      <c r="CF497" s="50"/>
      <c r="CG497" s="49">
        <f t="shared" ca="1" si="213"/>
        <v>66076621</v>
      </c>
      <c r="CH497" s="33">
        <f t="shared" ca="1" si="224"/>
        <v>1</v>
      </c>
      <c r="CI497" s="33">
        <f t="shared" ca="1" si="225"/>
        <v>1</v>
      </c>
      <c r="CJ497" s="36">
        <f t="shared" ca="1" si="216"/>
        <v>100</v>
      </c>
      <c r="CK497" s="34">
        <f t="shared" si="217"/>
        <v>0</v>
      </c>
      <c r="CL497" s="21"/>
      <c r="CM497" s="35" t="str">
        <f t="shared" ca="1" si="222"/>
        <v>TERMINADO</v>
      </c>
      <c r="CN497" s="82"/>
      <c r="CO497" s="145" t="s">
        <v>4127</v>
      </c>
      <c r="CP497" s="26" t="s">
        <v>142</v>
      </c>
    </row>
    <row r="498" spans="1:94" ht="24.75" customHeight="1">
      <c r="A498" s="109" t="s">
        <v>4128</v>
      </c>
      <c r="B498" s="77" t="s">
        <v>4129</v>
      </c>
      <c r="C498" s="17" t="s">
        <v>104</v>
      </c>
      <c r="D498" s="18" t="s">
        <v>4130</v>
      </c>
      <c r="E498" s="17" t="s">
        <v>106</v>
      </c>
      <c r="F498" s="17" t="s">
        <v>107</v>
      </c>
      <c r="G498" s="17" t="s">
        <v>108</v>
      </c>
      <c r="H498" s="78">
        <v>52490247</v>
      </c>
      <c r="I498" s="74" t="s">
        <v>4131</v>
      </c>
      <c r="J498" s="16"/>
      <c r="K498" s="16"/>
      <c r="L498" s="20" t="s">
        <v>4132</v>
      </c>
      <c r="M498" s="16" t="s">
        <v>111</v>
      </c>
      <c r="N498" s="115">
        <v>45329</v>
      </c>
      <c r="O498" s="115">
        <v>45329</v>
      </c>
      <c r="P498" s="115">
        <v>45656</v>
      </c>
      <c r="Q498" s="23">
        <f t="shared" si="223"/>
        <v>327</v>
      </c>
      <c r="R498" s="17" t="s">
        <v>242</v>
      </c>
      <c r="S498" s="117" t="s">
        <v>4133</v>
      </c>
      <c r="T498" s="16" t="s">
        <v>997</v>
      </c>
      <c r="U498" s="24">
        <v>88550000</v>
      </c>
      <c r="V498" s="16" t="s">
        <v>815</v>
      </c>
      <c r="W498" s="227">
        <v>88550000</v>
      </c>
      <c r="X498" s="24">
        <v>7700000</v>
      </c>
      <c r="Y498" s="24"/>
      <c r="Z498" s="24"/>
      <c r="AA498" s="17" t="s">
        <v>116</v>
      </c>
      <c r="AB498" s="23" t="str">
        <f>IFERROR(VLOOKUP(AA498,Listas!$A$1:$C$14,2,FALSE),"")</f>
        <v>FREDY CÉSPEDES VILLA</v>
      </c>
      <c r="AC498" s="23">
        <f>IFERROR(VLOOKUP(AA498,Listas!$A$1:$C$14,3,FALSE),"")</f>
        <v>93363483</v>
      </c>
      <c r="AD498" s="17" t="s">
        <v>816</v>
      </c>
      <c r="AE498" s="17" t="s">
        <v>2835</v>
      </c>
      <c r="AF498" s="23" t="str">
        <f>IFERROR(VLOOKUP(AE498,Listas!$AD$1:$AF$65,2,FALSE),"")</f>
        <v>GUILLERMO ANDRES CARDONA HERRERA</v>
      </c>
      <c r="AG498" s="23">
        <f>IFERROR(VLOOKUP(AE498,Listas!$AD$1:$AF$65,3,FALSE),"")</f>
        <v>80018909</v>
      </c>
      <c r="AH498" s="17" t="s">
        <v>118</v>
      </c>
      <c r="AI498" s="65" t="s">
        <v>4134</v>
      </c>
      <c r="AJ498" s="25" t="s">
        <v>119</v>
      </c>
      <c r="AK498" s="26" t="s">
        <v>120</v>
      </c>
      <c r="AL498" s="26" t="s">
        <v>120</v>
      </c>
      <c r="AM498" s="90" t="s">
        <v>119</v>
      </c>
      <c r="AN498" s="105">
        <v>28444</v>
      </c>
      <c r="AO498" s="91">
        <f t="shared" ca="1" si="219"/>
        <v>48</v>
      </c>
      <c r="AP498" s="26" t="s">
        <v>121</v>
      </c>
      <c r="AQ498" s="26" t="s">
        <v>1641</v>
      </c>
      <c r="AR498" s="89"/>
      <c r="AS498" s="27"/>
      <c r="AT498" s="16"/>
      <c r="AU498" s="27"/>
      <c r="AV498" s="86"/>
      <c r="AW498" s="27"/>
      <c r="AX498" s="27"/>
      <c r="AY498" s="27"/>
      <c r="AZ498" s="27"/>
      <c r="BA498" s="27"/>
      <c r="BB498" s="27"/>
      <c r="BC498" s="97"/>
      <c r="BD498" s="27"/>
      <c r="BE498" s="16"/>
      <c r="BF498" s="28">
        <f t="shared" si="208"/>
        <v>0</v>
      </c>
      <c r="BG498" s="29"/>
      <c r="BH498" s="27"/>
      <c r="BI498" s="30">
        <f t="shared" si="220"/>
        <v>327</v>
      </c>
      <c r="BJ498" s="31">
        <f t="shared" si="221"/>
        <v>45656</v>
      </c>
      <c r="BK498" s="27"/>
      <c r="BL498" s="16"/>
      <c r="BM498" s="27"/>
      <c r="BN498" s="16"/>
      <c r="BO498" s="27"/>
      <c r="BP498" s="16"/>
      <c r="BQ498" s="27"/>
      <c r="BR498" s="24"/>
      <c r="BS498" s="24"/>
      <c r="BT498" s="32"/>
      <c r="BU498" s="27"/>
      <c r="BV498" s="24"/>
      <c r="BW498" s="24"/>
      <c r="BX498" s="16"/>
      <c r="BY498" s="27"/>
      <c r="BZ498" s="24"/>
      <c r="CA498" s="24"/>
      <c r="CB498" s="16"/>
      <c r="CC498" s="49">
        <f t="shared" si="211"/>
        <v>0</v>
      </c>
      <c r="CD498" s="24"/>
      <c r="CE498" s="49">
        <f t="shared" si="212"/>
        <v>88550000</v>
      </c>
      <c r="CF498" s="50"/>
      <c r="CG498" s="49">
        <f t="shared" ca="1" si="213"/>
        <v>88550000</v>
      </c>
      <c r="CH498" s="33">
        <f t="shared" ca="1" si="224"/>
        <v>1</v>
      </c>
      <c r="CI498" s="33">
        <f t="shared" ca="1" si="225"/>
        <v>1</v>
      </c>
      <c r="CJ498" s="36">
        <f t="shared" ca="1" si="216"/>
        <v>100</v>
      </c>
      <c r="CK498" s="34">
        <f t="shared" si="217"/>
        <v>0</v>
      </c>
      <c r="CL498" s="21"/>
      <c r="CM498" s="35" t="str">
        <f t="shared" ca="1" si="222"/>
        <v>TERMINADO</v>
      </c>
      <c r="CN498" s="82"/>
      <c r="CO498" s="145" t="s">
        <v>4135</v>
      </c>
      <c r="CP498" s="26" t="s">
        <v>123</v>
      </c>
    </row>
    <row r="499" spans="1:94" ht="24.75" customHeight="1">
      <c r="A499" s="109" t="s">
        <v>4136</v>
      </c>
      <c r="B499" s="77" t="s">
        <v>4137</v>
      </c>
      <c r="C499" s="17" t="s">
        <v>104</v>
      </c>
      <c r="D499" s="18" t="s">
        <v>4138</v>
      </c>
      <c r="E499" s="17" t="s">
        <v>106</v>
      </c>
      <c r="F499" s="17" t="s">
        <v>107</v>
      </c>
      <c r="G499" s="17" t="s">
        <v>108</v>
      </c>
      <c r="H499" s="78">
        <v>80022877</v>
      </c>
      <c r="I499" s="74" t="s">
        <v>4139</v>
      </c>
      <c r="J499" s="16"/>
      <c r="K499" s="16"/>
      <c r="L499" s="20" t="s">
        <v>4140</v>
      </c>
      <c r="M499" s="16" t="s">
        <v>111</v>
      </c>
      <c r="N499" s="115">
        <v>45329</v>
      </c>
      <c r="O499" s="115">
        <v>45330</v>
      </c>
      <c r="P499" s="115">
        <v>45656</v>
      </c>
      <c r="Q499" s="23">
        <f t="shared" si="223"/>
        <v>326</v>
      </c>
      <c r="R499" s="17" t="s">
        <v>242</v>
      </c>
      <c r="S499" s="117" t="s">
        <v>4141</v>
      </c>
      <c r="T499" s="16" t="s">
        <v>997</v>
      </c>
      <c r="U499" s="24">
        <v>97753333</v>
      </c>
      <c r="V499" s="16" t="s">
        <v>815</v>
      </c>
      <c r="W499" s="227">
        <v>93753333</v>
      </c>
      <c r="X499" s="24">
        <v>8200000</v>
      </c>
      <c r="Y499" s="24"/>
      <c r="Z499" s="24"/>
      <c r="AA499" s="17" t="s">
        <v>116</v>
      </c>
      <c r="AB499" s="23" t="str">
        <f>IFERROR(VLOOKUP(AA499,Listas!$A$1:$C$14,2,FALSE),"")</f>
        <v>FREDY CÉSPEDES VILLA</v>
      </c>
      <c r="AC499" s="23">
        <f>IFERROR(VLOOKUP(AA499,Listas!$A$1:$C$14,3,FALSE),"")</f>
        <v>93363483</v>
      </c>
      <c r="AD499" s="17" t="s">
        <v>816</v>
      </c>
      <c r="AE499" s="17" t="s">
        <v>2835</v>
      </c>
      <c r="AF499" s="23" t="str">
        <f>IFERROR(VLOOKUP(AE499,Listas!$AD$1:$AF$65,2,FALSE),"")</f>
        <v>GUILLERMO ANDRES CARDONA HERRERA</v>
      </c>
      <c r="AG499" s="23">
        <f>IFERROR(VLOOKUP(AE499,Listas!$AD$1:$AF$65,3,FALSE),"")</f>
        <v>80018909</v>
      </c>
      <c r="AH499" s="17" t="s">
        <v>118</v>
      </c>
      <c r="AI499" s="65" t="s">
        <v>4142</v>
      </c>
      <c r="AJ499" s="25" t="s">
        <v>119</v>
      </c>
      <c r="AK499" s="26" t="s">
        <v>120</v>
      </c>
      <c r="AL499" s="26" t="s">
        <v>120</v>
      </c>
      <c r="AM499" s="90" t="s">
        <v>119</v>
      </c>
      <c r="AN499" s="105">
        <v>28999</v>
      </c>
      <c r="AO499" s="91">
        <f t="shared" ca="1" si="219"/>
        <v>46</v>
      </c>
      <c r="AP499" s="26" t="s">
        <v>121</v>
      </c>
      <c r="AQ499" s="26" t="s">
        <v>1641</v>
      </c>
      <c r="AR499" s="89"/>
      <c r="AS499" s="27"/>
      <c r="AT499" s="16"/>
      <c r="AU499" s="27"/>
      <c r="AV499" s="86"/>
      <c r="AW499" s="27"/>
      <c r="AX499" s="27"/>
      <c r="AY499" s="27"/>
      <c r="AZ499" s="27"/>
      <c r="BA499" s="27"/>
      <c r="BB499" s="27"/>
      <c r="BC499" s="97"/>
      <c r="BD499" s="27"/>
      <c r="BE499" s="16"/>
      <c r="BF499" s="28">
        <f t="shared" si="208"/>
        <v>0</v>
      </c>
      <c r="BG499" s="29"/>
      <c r="BH499" s="27"/>
      <c r="BI499" s="30">
        <f t="shared" si="220"/>
        <v>326</v>
      </c>
      <c r="BJ499" s="31">
        <f t="shared" si="221"/>
        <v>45656</v>
      </c>
      <c r="BK499" s="27"/>
      <c r="BL499" s="16"/>
      <c r="BM499" s="27"/>
      <c r="BN499" s="16"/>
      <c r="BO499" s="27"/>
      <c r="BP499" s="16"/>
      <c r="BQ499" s="27"/>
      <c r="BR499" s="24"/>
      <c r="BS499" s="24"/>
      <c r="BT499" s="32"/>
      <c r="BU499" s="27"/>
      <c r="BV499" s="24"/>
      <c r="BW499" s="24"/>
      <c r="BX499" s="16"/>
      <c r="BY499" s="27"/>
      <c r="BZ499" s="24"/>
      <c r="CA499" s="24"/>
      <c r="CB499" s="16"/>
      <c r="CC499" s="49">
        <f t="shared" si="211"/>
        <v>0</v>
      </c>
      <c r="CD499" s="24"/>
      <c r="CE499" s="49">
        <f t="shared" si="212"/>
        <v>93753333</v>
      </c>
      <c r="CF499" s="50"/>
      <c r="CG499" s="49">
        <f t="shared" ca="1" si="213"/>
        <v>93753333</v>
      </c>
      <c r="CH499" s="33">
        <f t="shared" ca="1" si="224"/>
        <v>1</v>
      </c>
      <c r="CI499" s="33">
        <f t="shared" ca="1" si="225"/>
        <v>1</v>
      </c>
      <c r="CJ499" s="36">
        <f t="shared" ca="1" si="216"/>
        <v>100</v>
      </c>
      <c r="CK499" s="34">
        <f t="shared" si="217"/>
        <v>0</v>
      </c>
      <c r="CL499" s="21"/>
      <c r="CM499" s="35" t="str">
        <f t="shared" ca="1" si="222"/>
        <v>TERMINADO</v>
      </c>
      <c r="CN499" s="82"/>
      <c r="CO499" s="145" t="s">
        <v>4143</v>
      </c>
      <c r="CP499" s="26" t="s">
        <v>142</v>
      </c>
    </row>
    <row r="500" spans="1:94" ht="24.75" customHeight="1">
      <c r="A500" s="109" t="s">
        <v>4144</v>
      </c>
      <c r="B500" s="77" t="s">
        <v>4145</v>
      </c>
      <c r="C500" s="17" t="s">
        <v>104</v>
      </c>
      <c r="D500" s="18" t="s">
        <v>4146</v>
      </c>
      <c r="E500" s="17" t="s">
        <v>106</v>
      </c>
      <c r="F500" s="17" t="s">
        <v>107</v>
      </c>
      <c r="G500" s="17" t="s">
        <v>108</v>
      </c>
      <c r="H500" s="78">
        <v>81740327</v>
      </c>
      <c r="I500" s="74" t="s">
        <v>4147</v>
      </c>
      <c r="J500" s="16"/>
      <c r="K500" s="16"/>
      <c r="L500" s="20" t="s">
        <v>4148</v>
      </c>
      <c r="M500" s="16" t="s">
        <v>111</v>
      </c>
      <c r="N500" s="115">
        <v>45329</v>
      </c>
      <c r="O500" s="115">
        <v>45331</v>
      </c>
      <c r="P500" s="115">
        <v>45656</v>
      </c>
      <c r="Q500" s="23">
        <f t="shared" si="223"/>
        <v>325</v>
      </c>
      <c r="R500" s="17" t="s">
        <v>242</v>
      </c>
      <c r="S500" s="117" t="s">
        <v>4149</v>
      </c>
      <c r="T500" s="16" t="s">
        <v>997</v>
      </c>
      <c r="U500" s="24">
        <v>104650000</v>
      </c>
      <c r="V500" s="16" t="s">
        <v>815</v>
      </c>
      <c r="W500" s="227">
        <v>104650000</v>
      </c>
      <c r="X500" s="24">
        <v>9100000</v>
      </c>
      <c r="Y500" s="24"/>
      <c r="Z500" s="24"/>
      <c r="AA500" s="17" t="s">
        <v>116</v>
      </c>
      <c r="AB500" s="23" t="str">
        <f>IFERROR(VLOOKUP(AA500,Listas!$A$1:$C$14,2,FALSE),"")</f>
        <v>FREDY CÉSPEDES VILLA</v>
      </c>
      <c r="AC500" s="23">
        <f>IFERROR(VLOOKUP(AA500,Listas!$A$1:$C$14,3,FALSE),"")</f>
        <v>93363483</v>
      </c>
      <c r="AD500" s="17" t="s">
        <v>816</v>
      </c>
      <c r="AE500" s="17" t="s">
        <v>3578</v>
      </c>
      <c r="AF500" s="23" t="str">
        <f>IFERROR(VLOOKUP(AE500,Listas!$AD$1:$AF$65,2,FALSE),"")</f>
        <v>MARTHA RUTH ROBAYO LÓPEZ</v>
      </c>
      <c r="AG500" s="23">
        <f>IFERROR(VLOOKUP(AE500,Listas!$AD$1:$AF$65,3,FALSE),"")</f>
        <v>52193887</v>
      </c>
      <c r="AH500" s="17" t="s">
        <v>118</v>
      </c>
      <c r="AI500" s="65" t="s">
        <v>4150</v>
      </c>
      <c r="AJ500" s="25" t="s">
        <v>119</v>
      </c>
      <c r="AK500" s="26" t="s">
        <v>120</v>
      </c>
      <c r="AL500" s="26" t="s">
        <v>120</v>
      </c>
      <c r="AM500" s="90" t="s">
        <v>119</v>
      </c>
      <c r="AN500" s="105">
        <v>30945</v>
      </c>
      <c r="AO500" s="91">
        <f t="shared" ca="1" si="219"/>
        <v>41</v>
      </c>
      <c r="AP500" s="26" t="s">
        <v>121</v>
      </c>
      <c r="AQ500" s="26" t="s">
        <v>1641</v>
      </c>
      <c r="AR500" s="89"/>
      <c r="AS500" s="27"/>
      <c r="AT500" s="16"/>
      <c r="AU500" s="27"/>
      <c r="AV500" s="86"/>
      <c r="AW500" s="27"/>
      <c r="AX500" s="27"/>
      <c r="AY500" s="27"/>
      <c r="AZ500" s="27"/>
      <c r="BA500" s="27"/>
      <c r="BB500" s="27"/>
      <c r="BC500" s="97"/>
      <c r="BD500" s="27"/>
      <c r="BE500" s="16"/>
      <c r="BF500" s="28">
        <f t="shared" si="208"/>
        <v>0</v>
      </c>
      <c r="BG500" s="29"/>
      <c r="BH500" s="27"/>
      <c r="BI500" s="30">
        <f t="shared" si="220"/>
        <v>325</v>
      </c>
      <c r="BJ500" s="31">
        <f t="shared" si="221"/>
        <v>45656</v>
      </c>
      <c r="BK500" s="27"/>
      <c r="BL500" s="16"/>
      <c r="BM500" s="27"/>
      <c r="BN500" s="16"/>
      <c r="BO500" s="27"/>
      <c r="BP500" s="16"/>
      <c r="BQ500" s="27"/>
      <c r="BR500" s="24"/>
      <c r="BS500" s="24"/>
      <c r="BT500" s="32"/>
      <c r="BU500" s="27"/>
      <c r="BV500" s="24"/>
      <c r="BW500" s="24"/>
      <c r="BX500" s="16"/>
      <c r="BY500" s="27"/>
      <c r="BZ500" s="24"/>
      <c r="CA500" s="24"/>
      <c r="CB500" s="16"/>
      <c r="CC500" s="49">
        <f t="shared" si="211"/>
        <v>0</v>
      </c>
      <c r="CD500" s="24"/>
      <c r="CE500" s="49">
        <f t="shared" si="212"/>
        <v>104650000</v>
      </c>
      <c r="CF500" s="50"/>
      <c r="CG500" s="49">
        <f t="shared" ca="1" si="213"/>
        <v>104650000</v>
      </c>
      <c r="CH500" s="33">
        <f t="shared" ca="1" si="224"/>
        <v>1</v>
      </c>
      <c r="CI500" s="33">
        <f t="shared" ca="1" si="225"/>
        <v>1</v>
      </c>
      <c r="CJ500" s="36">
        <f t="shared" ca="1" si="216"/>
        <v>100</v>
      </c>
      <c r="CK500" s="34">
        <f t="shared" si="217"/>
        <v>0</v>
      </c>
      <c r="CL500" s="21"/>
      <c r="CM500" s="35" t="str">
        <f t="shared" ca="1" si="222"/>
        <v>TERMINADO</v>
      </c>
      <c r="CN500" s="82"/>
      <c r="CO500" s="145" t="s">
        <v>4151</v>
      </c>
      <c r="CP500" s="26" t="s">
        <v>142</v>
      </c>
    </row>
    <row r="501" spans="1:94" ht="24.75" customHeight="1">
      <c r="A501" s="109" t="s">
        <v>4152</v>
      </c>
      <c r="B501" s="77" t="s">
        <v>4153</v>
      </c>
      <c r="C501" s="17" t="s">
        <v>104</v>
      </c>
      <c r="D501" s="18" t="s">
        <v>4154</v>
      </c>
      <c r="E501" s="17" t="s">
        <v>106</v>
      </c>
      <c r="F501" s="17" t="s">
        <v>107</v>
      </c>
      <c r="G501" s="17" t="s">
        <v>108</v>
      </c>
      <c r="H501" s="78">
        <v>79946409</v>
      </c>
      <c r="I501" s="74" t="s">
        <v>4155</v>
      </c>
      <c r="J501" s="16"/>
      <c r="K501" s="16"/>
      <c r="L501" s="20" t="s">
        <v>4156</v>
      </c>
      <c r="M501" s="16" t="s">
        <v>111</v>
      </c>
      <c r="N501" s="115">
        <v>45329</v>
      </c>
      <c r="O501" s="115">
        <v>45331</v>
      </c>
      <c r="P501" s="115">
        <v>45656</v>
      </c>
      <c r="Q501" s="23">
        <f t="shared" si="223"/>
        <v>325</v>
      </c>
      <c r="R501" s="17" t="s">
        <v>242</v>
      </c>
      <c r="S501" s="117" t="s">
        <v>4157</v>
      </c>
      <c r="T501" s="16" t="s">
        <v>1460</v>
      </c>
      <c r="U501" s="24">
        <v>55285384</v>
      </c>
      <c r="V501" s="16" t="s">
        <v>606</v>
      </c>
      <c r="W501" s="227">
        <v>55285384</v>
      </c>
      <c r="X501" s="24">
        <v>5025944</v>
      </c>
      <c r="Y501" s="24"/>
      <c r="Z501" s="24"/>
      <c r="AA501" s="17" t="s">
        <v>116</v>
      </c>
      <c r="AB501" s="23" t="str">
        <f>IFERROR(VLOOKUP(AA501,Listas!$A$1:$C$14,2,FALSE),"")</f>
        <v>FREDY CÉSPEDES VILLA</v>
      </c>
      <c r="AC501" s="23">
        <f>IFERROR(VLOOKUP(AA501,Listas!$A$1:$C$14,3,FALSE),"")</f>
        <v>93363483</v>
      </c>
      <c r="AD501" s="17" t="s">
        <v>607</v>
      </c>
      <c r="AE501" s="17" t="s">
        <v>1155</v>
      </c>
      <c r="AF501" s="23" t="str">
        <f>IFERROR(VLOOKUP(AE501,Listas!$AD$1:$AF$65,2,FALSE),"")</f>
        <v>MARÍA FRANCISCA CEPEDA QUINTERO</v>
      </c>
      <c r="AG501" s="23">
        <f>IFERROR(VLOOKUP(AE501,Listas!$AD$1:$AF$65,3,FALSE),"")</f>
        <v>53062608</v>
      </c>
      <c r="AH501" s="17" t="s">
        <v>118</v>
      </c>
      <c r="AI501" s="65" t="s">
        <v>4158</v>
      </c>
      <c r="AJ501" s="25" t="s">
        <v>119</v>
      </c>
      <c r="AK501" s="26" t="s">
        <v>120</v>
      </c>
      <c r="AL501" s="26" t="s">
        <v>120</v>
      </c>
      <c r="AM501" s="90" t="s">
        <v>119</v>
      </c>
      <c r="AN501" s="105">
        <v>28521</v>
      </c>
      <c r="AO501" s="91">
        <f t="shared" ca="1" si="219"/>
        <v>47</v>
      </c>
      <c r="AP501" s="26" t="s">
        <v>121</v>
      </c>
      <c r="AQ501" s="26" t="s">
        <v>486</v>
      </c>
      <c r="AR501" s="89"/>
      <c r="AS501" s="27"/>
      <c r="AT501" s="16"/>
      <c r="AU501" s="27"/>
      <c r="AV501" s="86"/>
      <c r="AW501" s="27"/>
      <c r="AX501" s="27"/>
      <c r="AY501" s="27"/>
      <c r="AZ501" s="27"/>
      <c r="BA501" s="27"/>
      <c r="BB501" s="27"/>
      <c r="BC501" s="97"/>
      <c r="BD501" s="27"/>
      <c r="BE501" s="16"/>
      <c r="BF501" s="28">
        <f t="shared" si="208"/>
        <v>0</v>
      </c>
      <c r="BG501" s="29"/>
      <c r="BH501" s="27"/>
      <c r="BI501" s="30">
        <f t="shared" si="220"/>
        <v>325</v>
      </c>
      <c r="BJ501" s="31">
        <f t="shared" si="221"/>
        <v>45656</v>
      </c>
      <c r="BK501" s="27"/>
      <c r="BL501" s="16"/>
      <c r="BM501" s="27"/>
      <c r="BN501" s="16"/>
      <c r="BO501" s="27"/>
      <c r="BP501" s="16"/>
      <c r="BQ501" s="27"/>
      <c r="BR501" s="24"/>
      <c r="BS501" s="24"/>
      <c r="BT501" s="32"/>
      <c r="BU501" s="27"/>
      <c r="BV501" s="24"/>
      <c r="BW501" s="24"/>
      <c r="BX501" s="16"/>
      <c r="BY501" s="27"/>
      <c r="BZ501" s="24"/>
      <c r="CA501" s="24"/>
      <c r="CB501" s="16"/>
      <c r="CC501" s="49">
        <f t="shared" si="211"/>
        <v>0</v>
      </c>
      <c r="CD501" s="24"/>
      <c r="CE501" s="49">
        <f t="shared" si="212"/>
        <v>55285384</v>
      </c>
      <c r="CF501" s="50"/>
      <c r="CG501" s="49">
        <f t="shared" ca="1" si="213"/>
        <v>55285384</v>
      </c>
      <c r="CH501" s="33">
        <f t="shared" ca="1" si="224"/>
        <v>1</v>
      </c>
      <c r="CI501" s="33">
        <f t="shared" ca="1" si="225"/>
        <v>1</v>
      </c>
      <c r="CJ501" s="36">
        <f t="shared" ca="1" si="216"/>
        <v>100</v>
      </c>
      <c r="CK501" s="34">
        <f t="shared" si="217"/>
        <v>0</v>
      </c>
      <c r="CL501" s="21"/>
      <c r="CM501" s="35" t="str">
        <f t="shared" ca="1" si="222"/>
        <v>TERMINADO</v>
      </c>
      <c r="CN501" s="82"/>
      <c r="CO501" s="145" t="s">
        <v>4159</v>
      </c>
      <c r="CP501" s="26" t="s">
        <v>142</v>
      </c>
    </row>
    <row r="502" spans="1:94" ht="24.75" customHeight="1">
      <c r="A502" s="109" t="s">
        <v>1424</v>
      </c>
      <c r="B502" s="77" t="s">
        <v>4160</v>
      </c>
      <c r="C502" s="17" t="s">
        <v>2927</v>
      </c>
      <c r="D502" s="18" t="s">
        <v>4161</v>
      </c>
      <c r="E502" s="17" t="s">
        <v>4162</v>
      </c>
      <c r="F502" s="17" t="s">
        <v>1426</v>
      </c>
      <c r="G502" s="17" t="s">
        <v>1427</v>
      </c>
      <c r="H502" s="78">
        <v>775665599</v>
      </c>
      <c r="I502" s="74" t="s">
        <v>4163</v>
      </c>
      <c r="J502" s="16" t="s">
        <v>4164</v>
      </c>
      <c r="K502" s="147" t="s">
        <v>4165</v>
      </c>
      <c r="L502" s="20" t="s">
        <v>4166</v>
      </c>
      <c r="M502" s="16"/>
      <c r="N502" s="115">
        <v>45329</v>
      </c>
      <c r="O502" s="115">
        <v>45329</v>
      </c>
      <c r="P502" s="115">
        <v>46060</v>
      </c>
      <c r="Q502" s="23">
        <f t="shared" si="223"/>
        <v>731</v>
      </c>
      <c r="R502" s="17" t="s">
        <v>2934</v>
      </c>
      <c r="S502" s="117" t="s">
        <v>1424</v>
      </c>
      <c r="T502" s="16" t="s">
        <v>1424</v>
      </c>
      <c r="U502" s="24" t="s">
        <v>1424</v>
      </c>
      <c r="V502" s="16" t="s">
        <v>1424</v>
      </c>
      <c r="W502" s="227">
        <v>0</v>
      </c>
      <c r="X502" s="24"/>
      <c r="Y502" s="24">
        <v>0</v>
      </c>
      <c r="Z502" s="24"/>
      <c r="AA502" s="17" t="s">
        <v>217</v>
      </c>
      <c r="AB502" s="23" t="str">
        <f>IFERROR(VLOOKUP(AA502,Listas!$A$1:$C$14,2,FALSE),"")</f>
        <v>EDGAR ANTONIO GÓMEZ ÁLVAREZ</v>
      </c>
      <c r="AC502" s="23">
        <f>IFERROR(VLOOKUP(AA502,Listas!$A$1:$C$14,3,FALSE),"")</f>
        <v>2231755</v>
      </c>
      <c r="AD502" s="17" t="s">
        <v>217</v>
      </c>
      <c r="AE502" s="17" t="s">
        <v>265</v>
      </c>
      <c r="AF502" s="23" t="str">
        <f>IFERROR(VLOOKUP(AE502,Listas!$AD$1:$AF$65,2,FALSE),"")</f>
        <v>EDGAR ANTONIO GÓMEZ ÁLVAREZ</v>
      </c>
      <c r="AG502" s="23">
        <f>IFERROR(VLOOKUP(AE502,Listas!$AD$1:$AF$65,3,FALSE),"")</f>
        <v>2231755</v>
      </c>
      <c r="AH502" s="17" t="s">
        <v>2936</v>
      </c>
      <c r="AI502" s="65"/>
      <c r="AJ502" s="25" t="s">
        <v>1435</v>
      </c>
      <c r="AK502" s="26" t="s">
        <v>2071</v>
      </c>
      <c r="AL502" s="26" t="s">
        <v>2071</v>
      </c>
      <c r="AM502" s="90" t="s">
        <v>1435</v>
      </c>
      <c r="AN502" s="105"/>
      <c r="AO502" s="91" t="str">
        <f t="shared" ca="1" si="219"/>
        <v xml:space="preserve"> </v>
      </c>
      <c r="AP502" s="26" t="s">
        <v>2937</v>
      </c>
      <c r="AQ502" s="26" t="s">
        <v>3067</v>
      </c>
      <c r="AR502" s="89"/>
      <c r="AS502" s="27"/>
      <c r="AT502" s="16"/>
      <c r="AU502" s="27"/>
      <c r="AV502" s="86"/>
      <c r="AW502" s="27"/>
      <c r="AX502" s="27"/>
      <c r="AY502" s="27"/>
      <c r="AZ502" s="27"/>
      <c r="BA502" s="27"/>
      <c r="BB502" s="27"/>
      <c r="BC502" s="97"/>
      <c r="BD502" s="27"/>
      <c r="BE502" s="16"/>
      <c r="BF502" s="28">
        <f t="shared" si="208"/>
        <v>0</v>
      </c>
      <c r="BG502" s="29"/>
      <c r="BH502" s="27"/>
      <c r="BI502" s="30">
        <f t="shared" si="220"/>
        <v>731</v>
      </c>
      <c r="BJ502" s="31">
        <f t="shared" si="221"/>
        <v>46060</v>
      </c>
      <c r="BK502" s="27"/>
      <c r="BL502" s="16"/>
      <c r="BM502" s="27"/>
      <c r="BN502" s="16"/>
      <c r="BO502" s="27"/>
      <c r="BP502" s="16"/>
      <c r="BQ502" s="27"/>
      <c r="BR502" s="24"/>
      <c r="BS502" s="24"/>
      <c r="BT502" s="32"/>
      <c r="BU502" s="27"/>
      <c r="BV502" s="24"/>
      <c r="BW502" s="24"/>
      <c r="BX502" s="16"/>
      <c r="BY502" s="27"/>
      <c r="BZ502" s="24"/>
      <c r="CA502" s="24"/>
      <c r="CB502" s="16"/>
      <c r="CC502" s="49">
        <f t="shared" si="211"/>
        <v>0</v>
      </c>
      <c r="CD502" s="24"/>
      <c r="CE502" s="49">
        <f t="shared" ref="CE502:CE515" si="226">IF(Y502=0,(W502+CC502)-CD502,IF(Y502&gt;0,(Y502+CC502)-CD502))</f>
        <v>0</v>
      </c>
      <c r="CF502" s="50">
        <v>0</v>
      </c>
      <c r="CG502" s="49">
        <f t="shared" ca="1" si="213"/>
        <v>0</v>
      </c>
      <c r="CH502" s="33">
        <f t="shared" ca="1" si="224"/>
        <v>0.85138888888888886</v>
      </c>
      <c r="CI502" s="33">
        <f t="shared" ca="1" si="225"/>
        <v>0.85138888888888886</v>
      </c>
      <c r="CJ502" s="36" t="str">
        <f t="shared" ca="1" si="216"/>
        <v/>
      </c>
      <c r="CK502" s="34" t="str">
        <f t="shared" si="217"/>
        <v/>
      </c>
      <c r="CL502" s="21"/>
      <c r="CM502" s="35" t="str">
        <f t="shared" ca="1" si="222"/>
        <v>VIGENTE</v>
      </c>
      <c r="CN502" s="82" t="s">
        <v>4167</v>
      </c>
      <c r="CP502" s="83" t="s">
        <v>1424</v>
      </c>
    </row>
    <row r="503" spans="1:94" ht="24.75" customHeight="1">
      <c r="A503" s="109" t="s">
        <v>4168</v>
      </c>
      <c r="B503" s="77" t="s">
        <v>4169</v>
      </c>
      <c r="C503" s="17" t="s">
        <v>104</v>
      </c>
      <c r="D503" s="18" t="s">
        <v>4170</v>
      </c>
      <c r="E503" s="17" t="s">
        <v>106</v>
      </c>
      <c r="F503" s="17" t="s">
        <v>107</v>
      </c>
      <c r="G503" s="17" t="s">
        <v>108</v>
      </c>
      <c r="H503" s="78">
        <v>1085035607</v>
      </c>
      <c r="I503" s="74" t="s">
        <v>4171</v>
      </c>
      <c r="J503" s="16"/>
      <c r="K503" s="16"/>
      <c r="L503" s="20" t="s">
        <v>2851</v>
      </c>
      <c r="M503" s="16" t="s">
        <v>111</v>
      </c>
      <c r="N503" s="115">
        <v>45329</v>
      </c>
      <c r="O503" s="115">
        <v>45331</v>
      </c>
      <c r="P503" s="115">
        <v>45656</v>
      </c>
      <c r="Q503" s="23">
        <f t="shared" si="223"/>
        <v>325</v>
      </c>
      <c r="R503" s="17" t="s">
        <v>242</v>
      </c>
      <c r="S503" s="117" t="s">
        <v>4172</v>
      </c>
      <c r="T503" s="16" t="s">
        <v>997</v>
      </c>
      <c r="U503" s="24">
        <v>69333333</v>
      </c>
      <c r="V503" s="16" t="s">
        <v>815</v>
      </c>
      <c r="W503" s="227">
        <v>69333333</v>
      </c>
      <c r="X503" s="24">
        <v>6400000</v>
      </c>
      <c r="Y503" s="24"/>
      <c r="Z503" s="24"/>
      <c r="AA503" s="17" t="s">
        <v>116</v>
      </c>
      <c r="AB503" s="23" t="str">
        <f>IFERROR(VLOOKUP(AA503,Listas!$A$1:$C$14,2,FALSE),"")</f>
        <v>FREDY CÉSPEDES VILLA</v>
      </c>
      <c r="AC503" s="23">
        <f>IFERROR(VLOOKUP(AA503,Listas!$A$1:$C$14,3,FALSE),"")</f>
        <v>93363483</v>
      </c>
      <c r="AD503" s="17" t="s">
        <v>816</v>
      </c>
      <c r="AE503" s="17" t="s">
        <v>817</v>
      </c>
      <c r="AF503" s="23" t="str">
        <f>IFERROR(VLOOKUP(AE503,Listas!$AD$1:$AF$65,2,FALSE),"")</f>
        <v>JOSÉ EDUARDO PARADA JIMÉNEZ</v>
      </c>
      <c r="AG503" s="23">
        <f>IFERROR(VLOOKUP(AE503,Listas!$AD$1:$AF$65,3,FALSE),"")</f>
        <v>79434805</v>
      </c>
      <c r="AH503" s="17" t="s">
        <v>118</v>
      </c>
      <c r="AI503" s="65" t="s">
        <v>4173</v>
      </c>
      <c r="AJ503" s="25" t="s">
        <v>119</v>
      </c>
      <c r="AK503" s="26" t="s">
        <v>120</v>
      </c>
      <c r="AL503" s="26" t="s">
        <v>120</v>
      </c>
      <c r="AM503" s="90" t="s">
        <v>119</v>
      </c>
      <c r="AN503" s="105">
        <v>31525</v>
      </c>
      <c r="AO503" s="91">
        <f t="shared" ca="1" si="219"/>
        <v>39</v>
      </c>
      <c r="AP503" s="26" t="s">
        <v>121</v>
      </c>
      <c r="AQ503" s="26" t="s">
        <v>819</v>
      </c>
      <c r="AR503" s="89"/>
      <c r="AS503" s="27"/>
      <c r="AT503" s="16"/>
      <c r="AU503" s="27"/>
      <c r="AV503" s="86"/>
      <c r="AW503" s="27"/>
      <c r="AX503" s="27"/>
      <c r="AY503" s="27"/>
      <c r="AZ503" s="27"/>
      <c r="BA503" s="27"/>
      <c r="BB503" s="27"/>
      <c r="BC503" s="97"/>
      <c r="BD503" s="27"/>
      <c r="BE503" s="16"/>
      <c r="BF503" s="28">
        <f t="shared" si="208"/>
        <v>0</v>
      </c>
      <c r="BG503" s="29"/>
      <c r="BH503" s="27"/>
      <c r="BI503" s="30">
        <f t="shared" si="220"/>
        <v>325</v>
      </c>
      <c r="BJ503" s="31">
        <f t="shared" si="221"/>
        <v>45656</v>
      </c>
      <c r="BK503" s="27"/>
      <c r="BL503" s="16"/>
      <c r="BM503" s="27"/>
      <c r="BN503" s="16"/>
      <c r="BO503" s="27"/>
      <c r="BP503" s="16"/>
      <c r="BQ503" s="27"/>
      <c r="BR503" s="24"/>
      <c r="BS503" s="24"/>
      <c r="BT503" s="32"/>
      <c r="BU503" s="27"/>
      <c r="BV503" s="24"/>
      <c r="BW503" s="24"/>
      <c r="BX503" s="16"/>
      <c r="BY503" s="27"/>
      <c r="BZ503" s="24"/>
      <c r="CA503" s="24"/>
      <c r="CB503" s="16"/>
      <c r="CC503" s="49">
        <f t="shared" si="211"/>
        <v>0</v>
      </c>
      <c r="CD503" s="24"/>
      <c r="CE503" s="49">
        <f t="shared" si="212"/>
        <v>69333333</v>
      </c>
      <c r="CF503" s="50"/>
      <c r="CG503" s="49">
        <f t="shared" ca="1" si="213"/>
        <v>69333333</v>
      </c>
      <c r="CH503" s="33">
        <f t="shared" ca="1" si="224"/>
        <v>1</v>
      </c>
      <c r="CI503" s="33">
        <f t="shared" ca="1" si="225"/>
        <v>1</v>
      </c>
      <c r="CJ503" s="36">
        <f t="shared" ca="1" si="216"/>
        <v>100</v>
      </c>
      <c r="CK503" s="34">
        <f t="shared" si="217"/>
        <v>0</v>
      </c>
      <c r="CL503" s="21"/>
      <c r="CM503" s="35" t="str">
        <f t="shared" ca="1" si="222"/>
        <v>TERMINADO</v>
      </c>
      <c r="CN503" s="82"/>
      <c r="CO503" s="145" t="s">
        <v>4174</v>
      </c>
      <c r="CP503" s="26" t="s">
        <v>142</v>
      </c>
    </row>
    <row r="504" spans="1:94" ht="24.75" customHeight="1">
      <c r="A504" s="109" t="s">
        <v>4175</v>
      </c>
      <c r="B504" s="77" t="s">
        <v>4176</v>
      </c>
      <c r="C504" s="17" t="s">
        <v>104</v>
      </c>
      <c r="D504" s="18" t="s">
        <v>4177</v>
      </c>
      <c r="E504" s="17" t="s">
        <v>106</v>
      </c>
      <c r="F504" s="17" t="s">
        <v>107</v>
      </c>
      <c r="G504" s="17" t="s">
        <v>108</v>
      </c>
      <c r="H504" s="78">
        <v>52834139</v>
      </c>
      <c r="I504" s="74" t="s">
        <v>4178</v>
      </c>
      <c r="J504" s="16"/>
      <c r="K504" s="16"/>
      <c r="L504" s="20" t="s">
        <v>874</v>
      </c>
      <c r="M504" s="16" t="s">
        <v>111</v>
      </c>
      <c r="N504" s="115">
        <v>45329</v>
      </c>
      <c r="O504" s="115">
        <v>45331</v>
      </c>
      <c r="P504" s="115">
        <v>45656</v>
      </c>
      <c r="Q504" s="23">
        <f t="shared" si="223"/>
        <v>325</v>
      </c>
      <c r="R504" s="17" t="s">
        <v>242</v>
      </c>
      <c r="S504" s="117" t="s">
        <v>4179</v>
      </c>
      <c r="T504" s="16" t="s">
        <v>997</v>
      </c>
      <c r="U504" s="24">
        <v>69333333</v>
      </c>
      <c r="V504" s="16" t="s">
        <v>815</v>
      </c>
      <c r="W504" s="227">
        <v>69333333</v>
      </c>
      <c r="X504" s="24">
        <v>6400000</v>
      </c>
      <c r="Y504" s="24"/>
      <c r="Z504" s="24"/>
      <c r="AA504" s="17" t="s">
        <v>116</v>
      </c>
      <c r="AB504" s="23" t="str">
        <f>IFERROR(VLOOKUP(AA504,Listas!$A$1:$C$14,2,FALSE),"")</f>
        <v>FREDY CÉSPEDES VILLA</v>
      </c>
      <c r="AC504" s="23">
        <f>IFERROR(VLOOKUP(AA504,Listas!$A$1:$C$14,3,FALSE),"")</f>
        <v>93363483</v>
      </c>
      <c r="AD504" s="17" t="s">
        <v>816</v>
      </c>
      <c r="AE504" s="17" t="s">
        <v>817</v>
      </c>
      <c r="AF504" s="23" t="str">
        <f>IFERROR(VLOOKUP(AE504,Listas!$AD$1:$AF$65,2,FALSE),"")</f>
        <v>JOSÉ EDUARDO PARADA JIMÉNEZ</v>
      </c>
      <c r="AG504" s="23">
        <f>IFERROR(VLOOKUP(AE504,Listas!$AD$1:$AF$65,3,FALSE),"")</f>
        <v>79434805</v>
      </c>
      <c r="AH504" s="17" t="s">
        <v>118</v>
      </c>
      <c r="AI504" s="65" t="s">
        <v>3147</v>
      </c>
      <c r="AJ504" s="25" t="s">
        <v>119</v>
      </c>
      <c r="AK504" s="26" t="s">
        <v>120</v>
      </c>
      <c r="AL504" s="26" t="s">
        <v>120</v>
      </c>
      <c r="AM504" s="90" t="s">
        <v>119</v>
      </c>
      <c r="AN504" s="105">
        <v>29484</v>
      </c>
      <c r="AO504" s="91">
        <f t="shared" ca="1" si="219"/>
        <v>45</v>
      </c>
      <c r="AP504" s="26" t="s">
        <v>121</v>
      </c>
      <c r="AQ504" s="26" t="s">
        <v>819</v>
      </c>
      <c r="AR504" s="89"/>
      <c r="AS504" s="27"/>
      <c r="AT504" s="16"/>
      <c r="AU504" s="27"/>
      <c r="AV504" s="86"/>
      <c r="AW504" s="27"/>
      <c r="AX504" s="27"/>
      <c r="AY504" s="27"/>
      <c r="AZ504" s="27"/>
      <c r="BA504" s="27"/>
      <c r="BB504" s="27"/>
      <c r="BC504" s="97"/>
      <c r="BD504" s="27"/>
      <c r="BE504" s="16"/>
      <c r="BF504" s="28">
        <f t="shared" si="208"/>
        <v>0</v>
      </c>
      <c r="BG504" s="29"/>
      <c r="BH504" s="27"/>
      <c r="BI504" s="30">
        <f t="shared" si="220"/>
        <v>325</v>
      </c>
      <c r="BJ504" s="31">
        <f t="shared" si="221"/>
        <v>45656</v>
      </c>
      <c r="BK504" s="27"/>
      <c r="BL504" s="16"/>
      <c r="BM504" s="27"/>
      <c r="BN504" s="16"/>
      <c r="BO504" s="27"/>
      <c r="BP504" s="16"/>
      <c r="BQ504" s="27"/>
      <c r="BR504" s="24"/>
      <c r="BS504" s="24"/>
      <c r="BT504" s="32"/>
      <c r="BU504" s="27"/>
      <c r="BV504" s="24"/>
      <c r="BW504" s="24"/>
      <c r="BX504" s="16"/>
      <c r="BY504" s="27"/>
      <c r="BZ504" s="24"/>
      <c r="CA504" s="24"/>
      <c r="CB504" s="16"/>
      <c r="CC504" s="49">
        <f t="shared" si="211"/>
        <v>0</v>
      </c>
      <c r="CD504" s="24"/>
      <c r="CE504" s="49">
        <f t="shared" si="212"/>
        <v>69333333</v>
      </c>
      <c r="CF504" s="50"/>
      <c r="CG504" s="49">
        <f t="shared" ca="1" si="213"/>
        <v>69333333</v>
      </c>
      <c r="CH504" s="33">
        <f t="shared" ca="1" si="224"/>
        <v>1</v>
      </c>
      <c r="CI504" s="33">
        <f t="shared" ca="1" si="225"/>
        <v>1</v>
      </c>
      <c r="CJ504" s="36">
        <f t="shared" ca="1" si="216"/>
        <v>100</v>
      </c>
      <c r="CK504" s="34">
        <f t="shared" si="217"/>
        <v>0</v>
      </c>
      <c r="CL504" s="21"/>
      <c r="CM504" s="35" t="str">
        <f t="shared" ca="1" si="222"/>
        <v>TERMINADO</v>
      </c>
      <c r="CN504" s="82"/>
      <c r="CO504" s="145" t="s">
        <v>4180</v>
      </c>
      <c r="CP504" s="26" t="s">
        <v>123</v>
      </c>
    </row>
    <row r="505" spans="1:94" ht="24.75" customHeight="1">
      <c r="A505" s="109" t="s">
        <v>4181</v>
      </c>
      <c r="B505" s="77" t="s">
        <v>4182</v>
      </c>
      <c r="C505" s="17" t="s">
        <v>104</v>
      </c>
      <c r="D505" s="18" t="s">
        <v>4183</v>
      </c>
      <c r="E505" s="17" t="s">
        <v>106</v>
      </c>
      <c r="F505" s="17" t="s">
        <v>107</v>
      </c>
      <c r="G505" s="17" t="s">
        <v>108</v>
      </c>
      <c r="H505" s="78">
        <v>1090441905</v>
      </c>
      <c r="I505" s="74" t="s">
        <v>4184</v>
      </c>
      <c r="J505" s="16"/>
      <c r="K505" s="16"/>
      <c r="L505" s="20" t="s">
        <v>874</v>
      </c>
      <c r="M505" s="16" t="s">
        <v>111</v>
      </c>
      <c r="N505" s="115">
        <v>45329</v>
      </c>
      <c r="O505" s="115">
        <v>45331</v>
      </c>
      <c r="P505" s="115">
        <v>45656</v>
      </c>
      <c r="Q505" s="23">
        <f t="shared" si="223"/>
        <v>325</v>
      </c>
      <c r="R505" s="17" t="s">
        <v>242</v>
      </c>
      <c r="S505" s="117" t="s">
        <v>4185</v>
      </c>
      <c r="T505" s="16" t="s">
        <v>997</v>
      </c>
      <c r="U505" s="24">
        <v>69333333</v>
      </c>
      <c r="V505" s="16" t="s">
        <v>815</v>
      </c>
      <c r="W505" s="227">
        <v>69333333</v>
      </c>
      <c r="X505" s="24">
        <v>6400000</v>
      </c>
      <c r="Y505" s="24"/>
      <c r="Z505" s="24"/>
      <c r="AA505" s="17" t="s">
        <v>116</v>
      </c>
      <c r="AB505" s="23" t="str">
        <f>IFERROR(VLOOKUP(AA505,Listas!$A$1:$C$14,2,FALSE),"")</f>
        <v>FREDY CÉSPEDES VILLA</v>
      </c>
      <c r="AC505" s="23">
        <f>IFERROR(VLOOKUP(AA505,Listas!$A$1:$C$14,3,FALSE),"")</f>
        <v>93363483</v>
      </c>
      <c r="AD505" s="17" t="s">
        <v>816</v>
      </c>
      <c r="AE505" s="17" t="s">
        <v>817</v>
      </c>
      <c r="AF505" s="23" t="str">
        <f>IFERROR(VLOOKUP(AE505,Listas!$AD$1:$AF$65,2,FALSE),"")</f>
        <v>JOSÉ EDUARDO PARADA JIMÉNEZ</v>
      </c>
      <c r="AG505" s="23">
        <f>IFERROR(VLOOKUP(AE505,Listas!$AD$1:$AF$65,3,FALSE),"")</f>
        <v>79434805</v>
      </c>
      <c r="AH505" s="17" t="s">
        <v>118</v>
      </c>
      <c r="AI505" s="65" t="s">
        <v>3147</v>
      </c>
      <c r="AJ505" s="25" t="s">
        <v>119</v>
      </c>
      <c r="AK505" s="26" t="s">
        <v>120</v>
      </c>
      <c r="AL505" s="26" t="s">
        <v>120</v>
      </c>
      <c r="AM505" s="90" t="s">
        <v>119</v>
      </c>
      <c r="AN505" s="105">
        <v>33490</v>
      </c>
      <c r="AO505" s="91">
        <f t="shared" ca="1" si="219"/>
        <v>34</v>
      </c>
      <c r="AP505" s="26" t="s">
        <v>121</v>
      </c>
      <c r="AQ505" s="26" t="s">
        <v>819</v>
      </c>
      <c r="AR505" s="89"/>
      <c r="AS505" s="27"/>
      <c r="AT505" s="16"/>
      <c r="AU505" s="27"/>
      <c r="AV505" s="86"/>
      <c r="AW505" s="27"/>
      <c r="AX505" s="27"/>
      <c r="AY505" s="27"/>
      <c r="AZ505" s="27"/>
      <c r="BA505" s="27"/>
      <c r="BB505" s="27"/>
      <c r="BC505" s="97"/>
      <c r="BD505" s="27"/>
      <c r="BE505" s="16"/>
      <c r="BF505" s="28">
        <f t="shared" si="208"/>
        <v>0</v>
      </c>
      <c r="BG505" s="29"/>
      <c r="BH505" s="27"/>
      <c r="BI505" s="30">
        <f t="shared" si="220"/>
        <v>325</v>
      </c>
      <c r="BJ505" s="31">
        <f t="shared" si="221"/>
        <v>45656</v>
      </c>
      <c r="BK505" s="27"/>
      <c r="BL505" s="16"/>
      <c r="BM505" s="27"/>
      <c r="BN505" s="16"/>
      <c r="BO505" s="27"/>
      <c r="BP505" s="16"/>
      <c r="BQ505" s="27"/>
      <c r="BR505" s="24"/>
      <c r="BS505" s="24"/>
      <c r="BT505" s="32"/>
      <c r="BU505" s="27"/>
      <c r="BV505" s="24"/>
      <c r="BW505" s="24"/>
      <c r="BX505" s="16"/>
      <c r="BY505" s="27"/>
      <c r="BZ505" s="24"/>
      <c r="CA505" s="24"/>
      <c r="CB505" s="16"/>
      <c r="CC505" s="49">
        <f t="shared" si="211"/>
        <v>0</v>
      </c>
      <c r="CD505" s="24"/>
      <c r="CE505" s="49">
        <f t="shared" si="212"/>
        <v>69333333</v>
      </c>
      <c r="CF505" s="50"/>
      <c r="CG505" s="49">
        <f t="shared" ca="1" si="213"/>
        <v>69333333</v>
      </c>
      <c r="CH505" s="33">
        <f t="shared" ca="1" si="224"/>
        <v>1</v>
      </c>
      <c r="CI505" s="33">
        <f t="shared" ca="1" si="225"/>
        <v>1</v>
      </c>
      <c r="CJ505" s="36">
        <f t="shared" ca="1" si="216"/>
        <v>100</v>
      </c>
      <c r="CK505" s="34">
        <f t="shared" si="217"/>
        <v>0</v>
      </c>
      <c r="CL505" s="21"/>
      <c r="CM505" s="35" t="str">
        <f t="shared" ca="1" si="222"/>
        <v>TERMINADO</v>
      </c>
      <c r="CN505" s="82"/>
      <c r="CO505" s="145" t="s">
        <v>4186</v>
      </c>
      <c r="CP505" s="26" t="s">
        <v>123</v>
      </c>
    </row>
    <row r="506" spans="1:94" ht="24.75" customHeight="1">
      <c r="A506" s="109" t="s">
        <v>4187</v>
      </c>
      <c r="B506" s="77" t="s">
        <v>4188</v>
      </c>
      <c r="C506" s="17" t="s">
        <v>104</v>
      </c>
      <c r="D506" s="18" t="s">
        <v>4189</v>
      </c>
      <c r="E506" s="17" t="s">
        <v>106</v>
      </c>
      <c r="F506" s="17" t="s">
        <v>107</v>
      </c>
      <c r="G506" s="17" t="s">
        <v>108</v>
      </c>
      <c r="H506" s="78">
        <v>1022349526</v>
      </c>
      <c r="I506" s="74" t="s">
        <v>4190</v>
      </c>
      <c r="J506" s="16"/>
      <c r="K506" s="16"/>
      <c r="L506" s="20" t="s">
        <v>4191</v>
      </c>
      <c r="M506" s="16" t="s">
        <v>111</v>
      </c>
      <c r="N506" s="115">
        <v>45329</v>
      </c>
      <c r="O506" s="115">
        <v>45335</v>
      </c>
      <c r="P506" s="115">
        <v>45656</v>
      </c>
      <c r="Q506" s="23">
        <f t="shared" si="223"/>
        <v>321</v>
      </c>
      <c r="R506" s="17" t="s">
        <v>242</v>
      </c>
      <c r="S506" s="117" t="s">
        <v>4192</v>
      </c>
      <c r="T506" s="16" t="s">
        <v>997</v>
      </c>
      <c r="U506" s="24">
        <v>55166667</v>
      </c>
      <c r="V506" s="16" t="s">
        <v>815</v>
      </c>
      <c r="W506" s="227">
        <v>55166667</v>
      </c>
      <c r="X506" s="24">
        <v>5000000</v>
      </c>
      <c r="Y506" s="24"/>
      <c r="Z506" s="24"/>
      <c r="AA506" s="17" t="s">
        <v>116</v>
      </c>
      <c r="AB506" s="23" t="str">
        <f>IFERROR(VLOOKUP(AA506,Listas!$A$1:$C$14,2,FALSE),"")</f>
        <v>FREDY CÉSPEDES VILLA</v>
      </c>
      <c r="AC506" s="23">
        <f>IFERROR(VLOOKUP(AA506,Listas!$A$1:$C$14,3,FALSE),"")</f>
        <v>93363483</v>
      </c>
      <c r="AD506" s="17" t="s">
        <v>816</v>
      </c>
      <c r="AE506" s="17" t="s">
        <v>817</v>
      </c>
      <c r="AF506" s="23" t="str">
        <f>IFERROR(VLOOKUP(AE506,Listas!$AD$1:$AF$65,2,FALSE),"")</f>
        <v>JOSÉ EDUARDO PARADA JIMÉNEZ</v>
      </c>
      <c r="AG506" s="23">
        <f>IFERROR(VLOOKUP(AE506,Listas!$AD$1:$AF$65,3,FALSE),"")</f>
        <v>79434805</v>
      </c>
      <c r="AH506" s="17" t="s">
        <v>118</v>
      </c>
      <c r="AI506" s="65" t="s">
        <v>4193</v>
      </c>
      <c r="AJ506" s="25" t="s">
        <v>119</v>
      </c>
      <c r="AK506" s="26" t="s">
        <v>120</v>
      </c>
      <c r="AL506" s="26" t="s">
        <v>120</v>
      </c>
      <c r="AM506" s="90" t="s">
        <v>119</v>
      </c>
      <c r="AN506" s="105">
        <v>32291</v>
      </c>
      <c r="AO506" s="91">
        <f t="shared" ca="1" si="219"/>
        <v>37</v>
      </c>
      <c r="AP506" s="26" t="s">
        <v>121</v>
      </c>
      <c r="AQ506" s="26" t="s">
        <v>819</v>
      </c>
      <c r="AR506" s="89"/>
      <c r="AS506" s="27"/>
      <c r="AT506" s="16"/>
      <c r="AU506" s="27"/>
      <c r="AV506" s="86"/>
      <c r="AW506" s="27"/>
      <c r="AX506" s="27"/>
      <c r="AY506" s="27"/>
      <c r="AZ506" s="27"/>
      <c r="BA506" s="27"/>
      <c r="BB506" s="27"/>
      <c r="BC506" s="97"/>
      <c r="BD506" s="27"/>
      <c r="BE506" s="16"/>
      <c r="BF506" s="28">
        <f t="shared" ref="BF506:BF534" si="227">BC506+BE506</f>
        <v>0</v>
      </c>
      <c r="BG506" s="29"/>
      <c r="BH506" s="27"/>
      <c r="BI506" s="30">
        <f t="shared" si="220"/>
        <v>321</v>
      </c>
      <c r="BJ506" s="31">
        <f t="shared" si="221"/>
        <v>45656</v>
      </c>
      <c r="BK506" s="27"/>
      <c r="BL506" s="16"/>
      <c r="BM506" s="27"/>
      <c r="BN506" s="16"/>
      <c r="BO506" s="27"/>
      <c r="BP506" s="16"/>
      <c r="BQ506" s="27"/>
      <c r="BR506" s="24"/>
      <c r="BS506" s="24"/>
      <c r="BT506" s="32"/>
      <c r="BU506" s="27"/>
      <c r="BV506" s="24"/>
      <c r="BW506" s="24"/>
      <c r="BX506" s="16"/>
      <c r="BY506" s="27"/>
      <c r="BZ506" s="24"/>
      <c r="CA506" s="24"/>
      <c r="CB506" s="16"/>
      <c r="CC506" s="49">
        <f t="shared" ref="CC506:CC534" si="228">BR506+BV506+BZ506</f>
        <v>0</v>
      </c>
      <c r="CD506" s="24"/>
      <c r="CE506" s="49">
        <f t="shared" si="212"/>
        <v>55166667</v>
      </c>
      <c r="CF506" s="50"/>
      <c r="CG506" s="49">
        <f t="shared" ref="CG506:CG534" ca="1" si="229">IFERROR(IF(((CE506/BI506)*(TODAY()-N506))&gt;CE506,CE506,((CE506/BI506)*(TODAY()-N506))),"")</f>
        <v>55166667</v>
      </c>
      <c r="CH506" s="33">
        <f t="shared" ca="1" si="224"/>
        <v>1</v>
      </c>
      <c r="CI506" s="33">
        <f t="shared" ca="1" si="225"/>
        <v>1</v>
      </c>
      <c r="CJ506" s="36">
        <f t="shared" ref="CJ506:CJ534" ca="1" si="230">IFERROR(IF(((CG506/CE506)*100)&gt;100,100,((CG506/CE506)*100)),"")</f>
        <v>100</v>
      </c>
      <c r="CK506" s="34">
        <f t="shared" ref="CK506:CK534" si="231">IFERROR((CF506/CE506)*100,"")</f>
        <v>0</v>
      </c>
      <c r="CL506" s="21"/>
      <c r="CM506" s="35" t="str">
        <f t="shared" ca="1" si="222"/>
        <v>TERMINADO</v>
      </c>
      <c r="CN506" s="82"/>
      <c r="CO506" s="145" t="s">
        <v>4194</v>
      </c>
      <c r="CP506" s="26" t="s">
        <v>142</v>
      </c>
    </row>
    <row r="507" spans="1:94" ht="24.75" customHeight="1">
      <c r="A507" s="109" t="s">
        <v>4195</v>
      </c>
      <c r="B507" s="77" t="s">
        <v>4196</v>
      </c>
      <c r="C507" s="17" t="s">
        <v>104</v>
      </c>
      <c r="D507" s="18" t="s">
        <v>4197</v>
      </c>
      <c r="E507" s="17" t="s">
        <v>106</v>
      </c>
      <c r="F507" s="17" t="s">
        <v>107</v>
      </c>
      <c r="G507" s="17" t="s">
        <v>108</v>
      </c>
      <c r="H507" s="78">
        <v>1022392102</v>
      </c>
      <c r="I507" s="74" t="s">
        <v>4198</v>
      </c>
      <c r="J507" s="16"/>
      <c r="K507" s="16"/>
      <c r="L507" s="20" t="s">
        <v>4199</v>
      </c>
      <c r="M507" s="16" t="s">
        <v>111</v>
      </c>
      <c r="N507" s="115">
        <v>45329</v>
      </c>
      <c r="O507" s="115">
        <v>45331</v>
      </c>
      <c r="P507" s="115">
        <v>45656</v>
      </c>
      <c r="Q507" s="23">
        <f t="shared" si="223"/>
        <v>325</v>
      </c>
      <c r="R507" s="17" t="s">
        <v>242</v>
      </c>
      <c r="S507" s="117" t="s">
        <v>4200</v>
      </c>
      <c r="T507" s="16" t="s">
        <v>997</v>
      </c>
      <c r="U507" s="24">
        <v>50753333</v>
      </c>
      <c r="V507" s="16" t="s">
        <v>815</v>
      </c>
      <c r="W507" s="227">
        <v>50753333</v>
      </c>
      <c r="X507" s="24">
        <v>4600000</v>
      </c>
      <c r="Y507" s="24"/>
      <c r="Z507" s="24"/>
      <c r="AA507" s="17" t="s">
        <v>116</v>
      </c>
      <c r="AB507" s="23" t="str">
        <f>IFERROR(VLOOKUP(AA507,Listas!$A$1:$C$14,2,FALSE),"")</f>
        <v>FREDY CÉSPEDES VILLA</v>
      </c>
      <c r="AC507" s="23">
        <f>IFERROR(VLOOKUP(AA507,Listas!$A$1:$C$14,3,FALSE),"")</f>
        <v>93363483</v>
      </c>
      <c r="AD507" s="17" t="s">
        <v>816</v>
      </c>
      <c r="AE507" s="17" t="s">
        <v>817</v>
      </c>
      <c r="AF507" s="23" t="str">
        <f>IFERROR(VLOOKUP(AE507,Listas!$AD$1:$AF$65,2,FALSE),"")</f>
        <v>JOSÉ EDUARDO PARADA JIMÉNEZ</v>
      </c>
      <c r="AG507" s="23">
        <f>IFERROR(VLOOKUP(AE507,Listas!$AD$1:$AF$65,3,FALSE),"")</f>
        <v>79434805</v>
      </c>
      <c r="AH507" s="17" t="s">
        <v>118</v>
      </c>
      <c r="AI507" s="65" t="s">
        <v>4201</v>
      </c>
      <c r="AJ507" s="25" t="s">
        <v>119</v>
      </c>
      <c r="AK507" s="26" t="s">
        <v>120</v>
      </c>
      <c r="AL507" s="26" t="s">
        <v>120</v>
      </c>
      <c r="AM507" s="90" t="s">
        <v>119</v>
      </c>
      <c r="AN507" s="105">
        <v>34440</v>
      </c>
      <c r="AO507" s="91">
        <f t="shared" ca="1" si="219"/>
        <v>31</v>
      </c>
      <c r="AP507" s="26" t="s">
        <v>121</v>
      </c>
      <c r="AQ507" s="26" t="s">
        <v>819</v>
      </c>
      <c r="AR507" s="89"/>
      <c r="AS507" s="27"/>
      <c r="AT507" s="16"/>
      <c r="AU507" s="27"/>
      <c r="AV507" s="86"/>
      <c r="AW507" s="27"/>
      <c r="AX507" s="27"/>
      <c r="AY507" s="27"/>
      <c r="AZ507" s="27"/>
      <c r="BA507" s="27"/>
      <c r="BB507" s="27"/>
      <c r="BC507" s="97"/>
      <c r="BD507" s="27"/>
      <c r="BE507" s="16"/>
      <c r="BF507" s="28">
        <f t="shared" si="227"/>
        <v>0</v>
      </c>
      <c r="BG507" s="29"/>
      <c r="BH507" s="27"/>
      <c r="BI507" s="30">
        <f t="shared" si="220"/>
        <v>325</v>
      </c>
      <c r="BJ507" s="31">
        <f t="shared" si="221"/>
        <v>45656</v>
      </c>
      <c r="BK507" s="27"/>
      <c r="BL507" s="16"/>
      <c r="BM507" s="27"/>
      <c r="BN507" s="16"/>
      <c r="BO507" s="27"/>
      <c r="BP507" s="16"/>
      <c r="BQ507" s="27"/>
      <c r="BR507" s="24"/>
      <c r="BS507" s="24"/>
      <c r="BT507" s="32"/>
      <c r="BU507" s="27"/>
      <c r="BV507" s="24"/>
      <c r="BW507" s="24"/>
      <c r="BX507" s="16"/>
      <c r="BY507" s="27"/>
      <c r="BZ507" s="24"/>
      <c r="CA507" s="24"/>
      <c r="CB507" s="16"/>
      <c r="CC507" s="49">
        <f t="shared" si="228"/>
        <v>0</v>
      </c>
      <c r="CD507" s="24"/>
      <c r="CE507" s="49">
        <f t="shared" si="212"/>
        <v>50753333</v>
      </c>
      <c r="CF507" s="50"/>
      <c r="CG507" s="49">
        <f t="shared" ca="1" si="229"/>
        <v>50753333</v>
      </c>
      <c r="CH507" s="33">
        <f t="shared" ca="1" si="224"/>
        <v>1</v>
      </c>
      <c r="CI507" s="33">
        <f t="shared" ca="1" si="225"/>
        <v>1</v>
      </c>
      <c r="CJ507" s="36">
        <f t="shared" ca="1" si="230"/>
        <v>100</v>
      </c>
      <c r="CK507" s="34">
        <f t="shared" si="231"/>
        <v>0</v>
      </c>
      <c r="CL507" s="21"/>
      <c r="CM507" s="35" t="str">
        <f t="shared" ca="1" si="222"/>
        <v>TERMINADO</v>
      </c>
      <c r="CN507" s="82"/>
      <c r="CO507" s="145" t="s">
        <v>4202</v>
      </c>
      <c r="CP507" s="26" t="s">
        <v>142</v>
      </c>
    </row>
    <row r="508" spans="1:94" ht="24.75" customHeight="1">
      <c r="A508" s="109" t="s">
        <v>4203</v>
      </c>
      <c r="B508" s="77" t="s">
        <v>4204</v>
      </c>
      <c r="C508" s="17" t="s">
        <v>104</v>
      </c>
      <c r="D508" s="18" t="s">
        <v>4205</v>
      </c>
      <c r="E508" s="17" t="s">
        <v>106</v>
      </c>
      <c r="F508" s="17" t="s">
        <v>107</v>
      </c>
      <c r="G508" s="17" t="s">
        <v>108</v>
      </c>
      <c r="H508" s="78">
        <v>1105670898</v>
      </c>
      <c r="I508" s="74" t="s">
        <v>4206</v>
      </c>
      <c r="J508" s="16"/>
      <c r="K508" s="16"/>
      <c r="L508" s="20" t="s">
        <v>4125</v>
      </c>
      <c r="M508" s="16" t="s">
        <v>111</v>
      </c>
      <c r="N508" s="115">
        <v>45329</v>
      </c>
      <c r="O508" s="115">
        <v>45331</v>
      </c>
      <c r="P508" s="115">
        <v>45656</v>
      </c>
      <c r="Q508" s="23">
        <f t="shared" si="223"/>
        <v>325</v>
      </c>
      <c r="R508" s="17" t="s">
        <v>242</v>
      </c>
      <c r="S508" s="117" t="s">
        <v>4207</v>
      </c>
      <c r="T508" s="16" t="s">
        <v>1345</v>
      </c>
      <c r="U508" s="24">
        <v>74453333</v>
      </c>
      <c r="V508" s="16" t="s">
        <v>344</v>
      </c>
      <c r="W508" s="227">
        <v>74453333</v>
      </c>
      <c r="X508" s="24">
        <v>5762496</v>
      </c>
      <c r="Y508" s="24"/>
      <c r="Z508" s="24"/>
      <c r="AA508" s="17" t="s">
        <v>116</v>
      </c>
      <c r="AB508" s="23" t="str">
        <f>IFERROR(VLOOKUP(AA508,Listas!$A$1:$C$14,2,FALSE),"")</f>
        <v>FREDY CÉSPEDES VILLA</v>
      </c>
      <c r="AC508" s="23">
        <f>IFERROR(VLOOKUP(AA508,Listas!$A$1:$C$14,3,FALSE),"")</f>
        <v>93363483</v>
      </c>
      <c r="AD508" s="17" t="s">
        <v>345</v>
      </c>
      <c r="AE508" s="17" t="s">
        <v>632</v>
      </c>
      <c r="AF508" s="23" t="str">
        <f>IFERROR(VLOOKUP(AE508,Listas!$AD$1:$AF$65,2,FALSE),"")</f>
        <v>MANUEL ALBERTO LOZANO CARDONA</v>
      </c>
      <c r="AG508" s="23">
        <f>IFERROR(VLOOKUP(AE508,Listas!$AD$1:$AF$65,3,FALSE),"")</f>
        <v>79940034</v>
      </c>
      <c r="AH508" s="17" t="s">
        <v>118</v>
      </c>
      <c r="AI508" s="65" t="s">
        <v>4208</v>
      </c>
      <c r="AJ508" s="25" t="s">
        <v>119</v>
      </c>
      <c r="AK508" s="26" t="s">
        <v>120</v>
      </c>
      <c r="AL508" s="26" t="s">
        <v>120</v>
      </c>
      <c r="AM508" s="90" t="s">
        <v>119</v>
      </c>
      <c r="AN508" s="105">
        <v>31543</v>
      </c>
      <c r="AO508" s="91">
        <f t="shared" ca="1" si="219"/>
        <v>39</v>
      </c>
      <c r="AP508" s="26" t="s">
        <v>121</v>
      </c>
      <c r="AQ508" s="26" t="s">
        <v>347</v>
      </c>
      <c r="AR508" s="89"/>
      <c r="AS508" s="27"/>
      <c r="AT508" s="16"/>
      <c r="AU508" s="27"/>
      <c r="AV508" s="86"/>
      <c r="AW508" s="27"/>
      <c r="AX508" s="27"/>
      <c r="AY508" s="27"/>
      <c r="AZ508" s="27"/>
      <c r="BA508" s="27"/>
      <c r="BB508" s="27"/>
      <c r="BC508" s="97"/>
      <c r="BD508" s="27"/>
      <c r="BE508" s="16"/>
      <c r="BF508" s="28">
        <f t="shared" si="227"/>
        <v>0</v>
      </c>
      <c r="BG508" s="29"/>
      <c r="BH508" s="27">
        <v>45412</v>
      </c>
      <c r="BI508" s="30">
        <f t="shared" si="220"/>
        <v>325</v>
      </c>
      <c r="BJ508" s="31">
        <f t="shared" si="221"/>
        <v>45412</v>
      </c>
      <c r="BK508" s="27"/>
      <c r="BL508" s="16"/>
      <c r="BM508" s="27"/>
      <c r="BN508" s="16"/>
      <c r="BO508" s="27"/>
      <c r="BP508" s="16"/>
      <c r="BQ508" s="27"/>
      <c r="BR508" s="24"/>
      <c r="BS508" s="24"/>
      <c r="BT508" s="32"/>
      <c r="BU508" s="27"/>
      <c r="BV508" s="24"/>
      <c r="BW508" s="24"/>
      <c r="BX508" s="16"/>
      <c r="BY508" s="27"/>
      <c r="BZ508" s="24"/>
      <c r="CA508" s="24"/>
      <c r="CB508" s="16"/>
      <c r="CC508" s="49">
        <f t="shared" si="228"/>
        <v>0</v>
      </c>
      <c r="CD508" s="24"/>
      <c r="CE508" s="49">
        <f t="shared" si="212"/>
        <v>74453333</v>
      </c>
      <c r="CF508" s="50"/>
      <c r="CG508" s="49">
        <f t="shared" ca="1" si="229"/>
        <v>74453333</v>
      </c>
      <c r="CH508" s="33">
        <f t="shared" ca="1" si="224"/>
        <v>1</v>
      </c>
      <c r="CI508" s="33">
        <f t="shared" ca="1" si="225"/>
        <v>1</v>
      </c>
      <c r="CJ508" s="36">
        <f t="shared" ca="1" si="230"/>
        <v>100</v>
      </c>
      <c r="CK508" s="34">
        <f t="shared" si="231"/>
        <v>0</v>
      </c>
      <c r="CL508" s="21"/>
      <c r="CM508" s="35" t="str">
        <f t="shared" ca="1" si="222"/>
        <v>TERMINADO</v>
      </c>
      <c r="CN508" s="82"/>
      <c r="CO508" s="145" t="s">
        <v>4209</v>
      </c>
      <c r="CP508" s="26" t="s">
        <v>142</v>
      </c>
    </row>
    <row r="509" spans="1:94" ht="24.75" customHeight="1">
      <c r="A509" s="109" t="s">
        <v>4210</v>
      </c>
      <c r="B509" s="77" t="s">
        <v>4211</v>
      </c>
      <c r="C509" s="17" t="s">
        <v>104</v>
      </c>
      <c r="D509" s="18" t="s">
        <v>4212</v>
      </c>
      <c r="E509" s="17" t="s">
        <v>106</v>
      </c>
      <c r="F509" s="17" t="s">
        <v>107</v>
      </c>
      <c r="G509" s="17" t="s">
        <v>108</v>
      </c>
      <c r="H509" s="78">
        <v>1016065966</v>
      </c>
      <c r="I509" s="74" t="s">
        <v>4213</v>
      </c>
      <c r="J509" s="16"/>
      <c r="K509" s="16"/>
      <c r="L509" s="20" t="s">
        <v>4125</v>
      </c>
      <c r="M509" s="16" t="s">
        <v>111</v>
      </c>
      <c r="N509" s="115">
        <v>45329</v>
      </c>
      <c r="O509" s="115">
        <v>45330</v>
      </c>
      <c r="P509" s="115">
        <v>45656</v>
      </c>
      <c r="Q509" s="23">
        <f t="shared" si="223"/>
        <v>326</v>
      </c>
      <c r="R509" s="17" t="s">
        <v>242</v>
      </c>
      <c r="S509" s="117" t="s">
        <v>4214</v>
      </c>
      <c r="T509" s="16" t="s">
        <v>1345</v>
      </c>
      <c r="U509" s="24">
        <v>65884538</v>
      </c>
      <c r="V509" s="16" t="s">
        <v>344</v>
      </c>
      <c r="W509" s="227">
        <v>65884538</v>
      </c>
      <c r="X509" s="24">
        <v>5762496</v>
      </c>
      <c r="Y509" s="24"/>
      <c r="Z509" s="24"/>
      <c r="AA509" s="17" t="s">
        <v>116</v>
      </c>
      <c r="AB509" s="23" t="str">
        <f>IFERROR(VLOOKUP(AA509,Listas!$A$1:$C$14,2,FALSE),"")</f>
        <v>FREDY CÉSPEDES VILLA</v>
      </c>
      <c r="AC509" s="23">
        <f>IFERROR(VLOOKUP(AA509,Listas!$A$1:$C$14,3,FALSE),"")</f>
        <v>93363483</v>
      </c>
      <c r="AD509" s="17" t="s">
        <v>345</v>
      </c>
      <c r="AE509" s="17" t="s">
        <v>632</v>
      </c>
      <c r="AF509" s="23" t="str">
        <f>IFERROR(VLOOKUP(AE509,Listas!$AD$1:$AF$65,2,FALSE),"")</f>
        <v>MANUEL ALBERTO LOZANO CARDONA</v>
      </c>
      <c r="AG509" s="23">
        <f>IFERROR(VLOOKUP(AE509,Listas!$AD$1:$AF$65,3,FALSE),"")</f>
        <v>79940034</v>
      </c>
      <c r="AH509" s="17" t="s">
        <v>118</v>
      </c>
      <c r="AI509" s="65" t="s">
        <v>4215</v>
      </c>
      <c r="AJ509" s="25" t="s">
        <v>119</v>
      </c>
      <c r="AK509" s="26" t="s">
        <v>120</v>
      </c>
      <c r="AL509" s="26" t="s">
        <v>120</v>
      </c>
      <c r="AM509" s="90" t="s">
        <v>119</v>
      </c>
      <c r="AN509" s="105">
        <v>34399</v>
      </c>
      <c r="AO509" s="91">
        <f t="shared" ca="1" si="219"/>
        <v>31</v>
      </c>
      <c r="AP509" s="26" t="s">
        <v>121</v>
      </c>
      <c r="AQ509" s="26" t="s">
        <v>347</v>
      </c>
      <c r="AR509" s="89"/>
      <c r="AS509" s="27"/>
      <c r="AT509" s="16"/>
      <c r="AU509" s="27"/>
      <c r="AV509" s="86"/>
      <c r="AW509" s="27"/>
      <c r="AX509" s="27"/>
      <c r="AY509" s="27"/>
      <c r="AZ509" s="27"/>
      <c r="BA509" s="27"/>
      <c r="BB509" s="27"/>
      <c r="BC509" s="97"/>
      <c r="BD509" s="27"/>
      <c r="BE509" s="16"/>
      <c r="BF509" s="28">
        <f t="shared" si="227"/>
        <v>0</v>
      </c>
      <c r="BG509" s="29"/>
      <c r="BH509" s="27">
        <v>45412</v>
      </c>
      <c r="BI509" s="30">
        <f t="shared" si="220"/>
        <v>326</v>
      </c>
      <c r="BJ509" s="31">
        <f t="shared" si="221"/>
        <v>45412</v>
      </c>
      <c r="BK509" s="27"/>
      <c r="BL509" s="16"/>
      <c r="BM509" s="27"/>
      <c r="BN509" s="16"/>
      <c r="BO509" s="27"/>
      <c r="BP509" s="16"/>
      <c r="BQ509" s="27"/>
      <c r="BR509" s="24"/>
      <c r="BS509" s="24"/>
      <c r="BT509" s="32"/>
      <c r="BU509" s="27"/>
      <c r="BV509" s="24"/>
      <c r="BW509" s="24"/>
      <c r="BX509" s="16"/>
      <c r="BY509" s="27"/>
      <c r="BZ509" s="24"/>
      <c r="CA509" s="24"/>
      <c r="CB509" s="16"/>
      <c r="CC509" s="49">
        <f t="shared" si="228"/>
        <v>0</v>
      </c>
      <c r="CD509" s="24"/>
      <c r="CE509" s="49">
        <f t="shared" si="212"/>
        <v>65884538</v>
      </c>
      <c r="CF509" s="50"/>
      <c r="CG509" s="49">
        <f t="shared" ca="1" si="229"/>
        <v>65884538</v>
      </c>
      <c r="CH509" s="33">
        <f t="shared" ca="1" si="224"/>
        <v>1</v>
      </c>
      <c r="CI509" s="33">
        <f t="shared" ca="1" si="225"/>
        <v>1</v>
      </c>
      <c r="CJ509" s="36">
        <f t="shared" ca="1" si="230"/>
        <v>100</v>
      </c>
      <c r="CK509" s="34">
        <f t="shared" si="231"/>
        <v>0</v>
      </c>
      <c r="CL509" s="21"/>
      <c r="CM509" s="35" t="str">
        <f t="shared" ca="1" si="222"/>
        <v>TERMINADO</v>
      </c>
      <c r="CN509" s="82"/>
      <c r="CO509" s="145" t="s">
        <v>4216</v>
      </c>
      <c r="CP509" s="26" t="s">
        <v>142</v>
      </c>
    </row>
    <row r="510" spans="1:94" ht="24.75" customHeight="1">
      <c r="A510" s="109" t="s">
        <v>4217</v>
      </c>
      <c r="B510" s="77" t="s">
        <v>4218</v>
      </c>
      <c r="C510" s="17" t="s">
        <v>104</v>
      </c>
      <c r="D510" s="18" t="s">
        <v>4219</v>
      </c>
      <c r="E510" s="17" t="s">
        <v>106</v>
      </c>
      <c r="F510" s="17" t="s">
        <v>107</v>
      </c>
      <c r="G510" s="17" t="s">
        <v>108</v>
      </c>
      <c r="H510" s="78">
        <v>1007658125</v>
      </c>
      <c r="I510" s="74" t="s">
        <v>4220</v>
      </c>
      <c r="J510" s="16"/>
      <c r="K510" s="16"/>
      <c r="L510" s="20" t="s">
        <v>4221</v>
      </c>
      <c r="M510" s="16" t="s">
        <v>111</v>
      </c>
      <c r="N510" s="115">
        <v>45329</v>
      </c>
      <c r="O510" s="115">
        <v>45334</v>
      </c>
      <c r="P510" s="115">
        <v>45656</v>
      </c>
      <c r="Q510" s="23">
        <f t="shared" si="223"/>
        <v>322</v>
      </c>
      <c r="R510" s="17" t="s">
        <v>242</v>
      </c>
      <c r="S510" s="117" t="s">
        <v>4222</v>
      </c>
      <c r="T510" s="16" t="s">
        <v>1460</v>
      </c>
      <c r="U510" s="24">
        <v>66864000</v>
      </c>
      <c r="V510" s="16" t="s">
        <v>606</v>
      </c>
      <c r="W510" s="227">
        <v>61292000</v>
      </c>
      <c r="X510" s="24">
        <v>5572000</v>
      </c>
      <c r="Y510" s="24"/>
      <c r="Z510" s="24"/>
      <c r="AA510" s="17" t="s">
        <v>116</v>
      </c>
      <c r="AB510" s="23" t="str">
        <f>IFERROR(VLOOKUP(AA510,Listas!$A$1:$C$14,2,FALSE),"")</f>
        <v>FREDY CÉSPEDES VILLA</v>
      </c>
      <c r="AC510" s="23">
        <f>IFERROR(VLOOKUP(AA510,Listas!$A$1:$C$14,3,FALSE),"")</f>
        <v>93363483</v>
      </c>
      <c r="AD510" s="17" t="s">
        <v>607</v>
      </c>
      <c r="AE510" s="17" t="s">
        <v>1155</v>
      </c>
      <c r="AF510" s="23" t="str">
        <f>IFERROR(VLOOKUP(AE510,Listas!$AD$1:$AF$65,2,FALSE),"")</f>
        <v>MARÍA FRANCISCA CEPEDA QUINTERO</v>
      </c>
      <c r="AG510" s="23">
        <f>IFERROR(VLOOKUP(AE510,Listas!$AD$1:$AF$65,3,FALSE),"")</f>
        <v>53062608</v>
      </c>
      <c r="AH510" s="17" t="s">
        <v>118</v>
      </c>
      <c r="AI510" s="65" t="s">
        <v>4223</v>
      </c>
      <c r="AJ510" s="25" t="s">
        <v>119</v>
      </c>
      <c r="AK510" s="26" t="s">
        <v>120</v>
      </c>
      <c r="AL510" s="26" t="s">
        <v>120</v>
      </c>
      <c r="AM510" s="90" t="s">
        <v>119</v>
      </c>
      <c r="AN510" s="105">
        <v>36691</v>
      </c>
      <c r="AO510" s="91">
        <f t="shared" ca="1" si="219"/>
        <v>25</v>
      </c>
      <c r="AP510" s="26" t="s">
        <v>121</v>
      </c>
      <c r="AQ510" s="26" t="s">
        <v>486</v>
      </c>
      <c r="AR510" s="89"/>
      <c r="AS510" s="27"/>
      <c r="AT510" s="16"/>
      <c r="AU510" s="27"/>
      <c r="AV510" s="86"/>
      <c r="AW510" s="27"/>
      <c r="AX510" s="27"/>
      <c r="AY510" s="27"/>
      <c r="AZ510" s="27"/>
      <c r="BA510" s="27"/>
      <c r="BB510" s="27"/>
      <c r="BC510" s="97"/>
      <c r="BD510" s="27"/>
      <c r="BE510" s="16"/>
      <c r="BF510" s="28">
        <f t="shared" si="227"/>
        <v>0</v>
      </c>
      <c r="BG510" s="29"/>
      <c r="BH510" s="27"/>
      <c r="BI510" s="30">
        <f t="shared" si="220"/>
        <v>322</v>
      </c>
      <c r="BJ510" s="31">
        <f t="shared" si="221"/>
        <v>45656</v>
      </c>
      <c r="BK510" s="27"/>
      <c r="BL510" s="16"/>
      <c r="BM510" s="27"/>
      <c r="BN510" s="16"/>
      <c r="BO510" s="27"/>
      <c r="BP510" s="16"/>
      <c r="BQ510" s="27"/>
      <c r="BR510" s="24"/>
      <c r="BS510" s="24"/>
      <c r="BT510" s="32"/>
      <c r="BU510" s="27"/>
      <c r="BV510" s="24"/>
      <c r="BW510" s="24"/>
      <c r="BX510" s="16"/>
      <c r="BY510" s="27"/>
      <c r="BZ510" s="24"/>
      <c r="CA510" s="24"/>
      <c r="CB510" s="16"/>
      <c r="CC510" s="49">
        <f t="shared" si="228"/>
        <v>0</v>
      </c>
      <c r="CD510" s="24"/>
      <c r="CE510" s="49">
        <f t="shared" si="212"/>
        <v>61292000</v>
      </c>
      <c r="CF510" s="50"/>
      <c r="CG510" s="49">
        <f t="shared" ca="1" si="229"/>
        <v>61292000</v>
      </c>
      <c r="CH510" s="33">
        <f t="shared" ca="1" si="224"/>
        <v>1</v>
      </c>
      <c r="CI510" s="33">
        <f t="shared" ca="1" si="225"/>
        <v>1</v>
      </c>
      <c r="CJ510" s="36">
        <f t="shared" ca="1" si="230"/>
        <v>100</v>
      </c>
      <c r="CK510" s="34">
        <f t="shared" si="231"/>
        <v>0</v>
      </c>
      <c r="CL510" s="21"/>
      <c r="CM510" s="35" t="str">
        <f t="shared" ca="1" si="222"/>
        <v>TERMINADO</v>
      </c>
      <c r="CN510" s="82"/>
      <c r="CO510" s="145" t="s">
        <v>4224</v>
      </c>
      <c r="CP510" s="26" t="s">
        <v>123</v>
      </c>
    </row>
    <row r="511" spans="1:94" ht="24.75" customHeight="1">
      <c r="A511" s="109" t="s">
        <v>4225</v>
      </c>
      <c r="B511" s="77" t="s">
        <v>4226</v>
      </c>
      <c r="C511" s="17" t="s">
        <v>104</v>
      </c>
      <c r="D511" s="18" t="s">
        <v>4227</v>
      </c>
      <c r="E511" s="17" t="s">
        <v>106</v>
      </c>
      <c r="F511" s="17" t="s">
        <v>107</v>
      </c>
      <c r="G511" s="17" t="s">
        <v>108</v>
      </c>
      <c r="H511" s="78">
        <v>4192655</v>
      </c>
      <c r="I511" s="74" t="s">
        <v>4228</v>
      </c>
      <c r="J511" s="16"/>
      <c r="K511" s="16"/>
      <c r="L511" s="20" t="s">
        <v>4229</v>
      </c>
      <c r="M511" s="16" t="s">
        <v>111</v>
      </c>
      <c r="N511" s="115">
        <v>45329</v>
      </c>
      <c r="O511" s="115">
        <v>45335</v>
      </c>
      <c r="P511" s="115">
        <v>45656</v>
      </c>
      <c r="Q511" s="23">
        <f t="shared" si="223"/>
        <v>321</v>
      </c>
      <c r="R511" s="17" t="s">
        <v>242</v>
      </c>
      <c r="S511" s="117" t="s">
        <v>4230</v>
      </c>
      <c r="T511" s="16" t="s">
        <v>997</v>
      </c>
      <c r="U511" s="24">
        <v>91466667</v>
      </c>
      <c r="V511" s="16" t="s">
        <v>815</v>
      </c>
      <c r="W511" s="227">
        <v>91466667</v>
      </c>
      <c r="X511" s="24">
        <v>6100000</v>
      </c>
      <c r="Y511" s="24"/>
      <c r="Z511" s="24"/>
      <c r="AA511" s="17" t="s">
        <v>116</v>
      </c>
      <c r="AB511" s="23" t="str">
        <f>IFERROR(VLOOKUP(AA511,Listas!$A$1:$C$14,2,FALSE),"")</f>
        <v>FREDY CÉSPEDES VILLA</v>
      </c>
      <c r="AC511" s="23">
        <f>IFERROR(VLOOKUP(AA511,Listas!$A$1:$C$14,3,FALSE),"")</f>
        <v>93363483</v>
      </c>
      <c r="AD511" s="17" t="s">
        <v>816</v>
      </c>
      <c r="AE511" s="17" t="s">
        <v>2835</v>
      </c>
      <c r="AF511" s="23" t="str">
        <f>IFERROR(VLOOKUP(AE511,Listas!$AD$1:$AF$65,2,FALSE),"")</f>
        <v>GUILLERMO ANDRES CARDONA HERRERA</v>
      </c>
      <c r="AG511" s="23">
        <f>IFERROR(VLOOKUP(AE511,Listas!$AD$1:$AF$65,3,FALSE),"")</f>
        <v>80018909</v>
      </c>
      <c r="AH511" s="17" t="s">
        <v>118</v>
      </c>
      <c r="AI511" s="65" t="s">
        <v>3845</v>
      </c>
      <c r="AJ511" s="25" t="s">
        <v>119</v>
      </c>
      <c r="AK511" s="26" t="s">
        <v>120</v>
      </c>
      <c r="AL511" s="26" t="s">
        <v>120</v>
      </c>
      <c r="AM511" s="90" t="s">
        <v>119</v>
      </c>
      <c r="AN511" s="105">
        <v>31110</v>
      </c>
      <c r="AO511" s="91">
        <f t="shared" ca="1" si="219"/>
        <v>40</v>
      </c>
      <c r="AP511" s="26" t="s">
        <v>121</v>
      </c>
      <c r="AQ511" s="26" t="s">
        <v>1641</v>
      </c>
      <c r="AR511" s="89"/>
      <c r="AS511" s="27"/>
      <c r="AT511" s="16"/>
      <c r="AU511" s="27"/>
      <c r="AV511" s="86"/>
      <c r="AW511" s="27"/>
      <c r="AX511" s="27"/>
      <c r="AY511" s="27"/>
      <c r="AZ511" s="27"/>
      <c r="BA511" s="27"/>
      <c r="BB511" s="27"/>
      <c r="BC511" s="97"/>
      <c r="BD511" s="27"/>
      <c r="BE511" s="16"/>
      <c r="BF511" s="28">
        <f t="shared" si="227"/>
        <v>0</v>
      </c>
      <c r="BG511" s="29"/>
      <c r="BH511" s="27"/>
      <c r="BI511" s="30">
        <f t="shared" si="220"/>
        <v>321</v>
      </c>
      <c r="BJ511" s="31">
        <f t="shared" si="221"/>
        <v>45656</v>
      </c>
      <c r="BK511" s="27"/>
      <c r="BL511" s="16"/>
      <c r="BM511" s="27"/>
      <c r="BN511" s="16"/>
      <c r="BO511" s="27"/>
      <c r="BP511" s="16"/>
      <c r="BQ511" s="27"/>
      <c r="BR511" s="24"/>
      <c r="BS511" s="24"/>
      <c r="BT511" s="32"/>
      <c r="BU511" s="27"/>
      <c r="BV511" s="24"/>
      <c r="BW511" s="24"/>
      <c r="BX511" s="16"/>
      <c r="BY511" s="27"/>
      <c r="BZ511" s="24"/>
      <c r="CA511" s="24"/>
      <c r="CB511" s="16"/>
      <c r="CC511" s="49">
        <f t="shared" si="228"/>
        <v>0</v>
      </c>
      <c r="CD511" s="24"/>
      <c r="CE511" s="49">
        <f t="shared" si="212"/>
        <v>91466667</v>
      </c>
      <c r="CF511" s="50"/>
      <c r="CG511" s="49">
        <f t="shared" ca="1" si="229"/>
        <v>91466667</v>
      </c>
      <c r="CH511" s="33">
        <f t="shared" ca="1" si="224"/>
        <v>1</v>
      </c>
      <c r="CI511" s="33">
        <f t="shared" ca="1" si="225"/>
        <v>1</v>
      </c>
      <c r="CJ511" s="36">
        <f t="shared" ca="1" si="230"/>
        <v>100</v>
      </c>
      <c r="CK511" s="34">
        <f t="shared" si="231"/>
        <v>0</v>
      </c>
      <c r="CL511" s="21"/>
      <c r="CM511" s="35" t="str">
        <f t="shared" ca="1" si="222"/>
        <v>TERMINADO</v>
      </c>
      <c r="CN511" s="82"/>
      <c r="CO511" s="145" t="s">
        <v>4231</v>
      </c>
      <c r="CP511" s="26" t="s">
        <v>142</v>
      </c>
    </row>
    <row r="512" spans="1:94" ht="24.75" customHeight="1">
      <c r="A512" s="109" t="s">
        <v>4232</v>
      </c>
      <c r="B512" s="77" t="s">
        <v>4233</v>
      </c>
      <c r="C512" s="17" t="s">
        <v>104</v>
      </c>
      <c r="D512" s="18" t="s">
        <v>4234</v>
      </c>
      <c r="E512" s="17" t="s">
        <v>106</v>
      </c>
      <c r="F512" s="17" t="s">
        <v>107</v>
      </c>
      <c r="G512" s="17" t="s">
        <v>108</v>
      </c>
      <c r="H512" s="78">
        <v>1023866479</v>
      </c>
      <c r="I512" s="74" t="s">
        <v>4235</v>
      </c>
      <c r="J512" s="16"/>
      <c r="K512" s="16"/>
      <c r="L512" s="20" t="s">
        <v>4236</v>
      </c>
      <c r="M512" s="16" t="s">
        <v>111</v>
      </c>
      <c r="N512" s="115">
        <v>45329</v>
      </c>
      <c r="O512" s="115">
        <v>45331</v>
      </c>
      <c r="P512" s="115">
        <v>45656</v>
      </c>
      <c r="Q512" s="23">
        <f t="shared" si="223"/>
        <v>325</v>
      </c>
      <c r="R512" s="17" t="s">
        <v>242</v>
      </c>
      <c r="S512" s="117" t="s">
        <v>4237</v>
      </c>
      <c r="T512" s="16" t="s">
        <v>949</v>
      </c>
      <c r="U512" s="24">
        <v>73563768</v>
      </c>
      <c r="V512" s="16" t="s">
        <v>1071</v>
      </c>
      <c r="W512" s="227">
        <v>73563768</v>
      </c>
      <c r="X512" s="24">
        <v>6130314</v>
      </c>
      <c r="Y512" s="24"/>
      <c r="Z512" s="24"/>
      <c r="AA512" s="17" t="s">
        <v>116</v>
      </c>
      <c r="AB512" s="23" t="str">
        <f>IFERROR(VLOOKUP(AA512,Listas!$A$1:$C$14,2,FALSE),"")</f>
        <v>FREDY CÉSPEDES VILLA</v>
      </c>
      <c r="AC512" s="23">
        <f>IFERROR(VLOOKUP(AA512,Listas!$A$1:$C$14,3,FALSE),"")</f>
        <v>93363483</v>
      </c>
      <c r="AD512" s="17" t="s">
        <v>951</v>
      </c>
      <c r="AE512" s="17" t="s">
        <v>952</v>
      </c>
      <c r="AF512" s="23" t="str">
        <f>IFERROR(VLOOKUP(AE512,Listas!$AD$1:$AF$65,2,FALSE),"")</f>
        <v>ANDRES MAURICIO LUQUE AYALA</v>
      </c>
      <c r="AG512" s="23">
        <f>IFERROR(VLOOKUP(AE512,Listas!$AD$1:$AF$65,3,FALSE),"")</f>
        <v>11443937</v>
      </c>
      <c r="AH512" s="17" t="s">
        <v>118</v>
      </c>
      <c r="AI512" s="65" t="s">
        <v>4238</v>
      </c>
      <c r="AJ512" s="25" t="s">
        <v>119</v>
      </c>
      <c r="AK512" s="26" t="s">
        <v>120</v>
      </c>
      <c r="AL512" s="26" t="s">
        <v>120</v>
      </c>
      <c r="AM512" s="90" t="s">
        <v>119</v>
      </c>
      <c r="AN512" s="105">
        <v>31710</v>
      </c>
      <c r="AO512" s="91">
        <f t="shared" ca="1" si="219"/>
        <v>39</v>
      </c>
      <c r="AP512" s="26" t="s">
        <v>121</v>
      </c>
      <c r="AQ512" s="26" t="s">
        <v>886</v>
      </c>
      <c r="AR512" s="89"/>
      <c r="AS512" s="27"/>
      <c r="AT512" s="16"/>
      <c r="AU512" s="27"/>
      <c r="AV512" s="86"/>
      <c r="AW512" s="27"/>
      <c r="AX512" s="27"/>
      <c r="AY512" s="27"/>
      <c r="AZ512" s="27"/>
      <c r="BA512" s="27"/>
      <c r="BB512" s="27"/>
      <c r="BC512" s="97"/>
      <c r="BD512" s="27"/>
      <c r="BE512" s="16"/>
      <c r="BF512" s="28">
        <f t="shared" si="227"/>
        <v>0</v>
      </c>
      <c r="BG512" s="29"/>
      <c r="BH512" s="27"/>
      <c r="BI512" s="30">
        <f t="shared" si="220"/>
        <v>325</v>
      </c>
      <c r="BJ512" s="31">
        <f t="shared" si="221"/>
        <v>45656</v>
      </c>
      <c r="BK512" s="27"/>
      <c r="BL512" s="16"/>
      <c r="BM512" s="27"/>
      <c r="BN512" s="16"/>
      <c r="BO512" s="27"/>
      <c r="BP512" s="16"/>
      <c r="BQ512" s="27"/>
      <c r="BR512" s="24"/>
      <c r="BS512" s="24"/>
      <c r="BT512" s="32"/>
      <c r="BU512" s="27"/>
      <c r="BV512" s="24"/>
      <c r="BW512" s="24"/>
      <c r="BX512" s="16"/>
      <c r="BY512" s="27"/>
      <c r="BZ512" s="24"/>
      <c r="CA512" s="24"/>
      <c r="CB512" s="16"/>
      <c r="CC512" s="49">
        <f t="shared" si="228"/>
        <v>0</v>
      </c>
      <c r="CD512" s="24"/>
      <c r="CE512" s="49">
        <f t="shared" si="212"/>
        <v>73563768</v>
      </c>
      <c r="CF512" s="50"/>
      <c r="CG512" s="49">
        <f t="shared" ca="1" si="229"/>
        <v>73563768</v>
      </c>
      <c r="CH512" s="33">
        <f t="shared" ca="1" si="224"/>
        <v>1</v>
      </c>
      <c r="CI512" s="33">
        <f t="shared" ca="1" si="225"/>
        <v>1</v>
      </c>
      <c r="CJ512" s="36">
        <f t="shared" ca="1" si="230"/>
        <v>100</v>
      </c>
      <c r="CK512" s="34">
        <f t="shared" si="231"/>
        <v>0</v>
      </c>
      <c r="CL512" s="21"/>
      <c r="CM512" s="35" t="str">
        <f t="shared" ca="1" si="222"/>
        <v>TERMINADO</v>
      </c>
      <c r="CN512" s="82"/>
      <c r="CO512" s="145" t="s">
        <v>4239</v>
      </c>
      <c r="CP512" s="26" t="s">
        <v>142</v>
      </c>
    </row>
    <row r="513" spans="1:98" ht="24.75" customHeight="1">
      <c r="A513" s="109" t="s">
        <v>4240</v>
      </c>
      <c r="B513" s="77" t="s">
        <v>4241</v>
      </c>
      <c r="C513" s="17" t="s">
        <v>104</v>
      </c>
      <c r="D513" s="18" t="s">
        <v>4242</v>
      </c>
      <c r="E513" s="17" t="s">
        <v>106</v>
      </c>
      <c r="F513" s="17" t="s">
        <v>107</v>
      </c>
      <c r="G513" s="17" t="s">
        <v>108</v>
      </c>
      <c r="H513" s="78">
        <v>1110578361</v>
      </c>
      <c r="I513" s="74" t="s">
        <v>4243</v>
      </c>
      <c r="J513" s="16"/>
      <c r="K513" s="16"/>
      <c r="L513" s="20" t="s">
        <v>4244</v>
      </c>
      <c r="M513" s="16" t="s">
        <v>111</v>
      </c>
      <c r="N513" s="115">
        <v>45329</v>
      </c>
      <c r="O513" s="115">
        <v>45331</v>
      </c>
      <c r="P513" s="115">
        <v>45656</v>
      </c>
      <c r="Q513" s="23">
        <f t="shared" si="223"/>
        <v>325</v>
      </c>
      <c r="R513" s="17" t="s">
        <v>112</v>
      </c>
      <c r="S513" s="117" t="s">
        <v>4245</v>
      </c>
      <c r="T513" s="16" t="s">
        <v>114</v>
      </c>
      <c r="U513" s="24">
        <v>79488000</v>
      </c>
      <c r="V513" s="16" t="s">
        <v>324</v>
      </c>
      <c r="W513" s="227">
        <v>59351600</v>
      </c>
      <c r="X513" s="24">
        <v>5395600</v>
      </c>
      <c r="Y513" s="24"/>
      <c r="Z513" s="24"/>
      <c r="AA513" s="17" t="s">
        <v>116</v>
      </c>
      <c r="AB513" s="23" t="str">
        <f>IFERROR(VLOOKUP(AA513,Listas!$A$1:$C$14,2,FALSE),"")</f>
        <v>FREDY CÉSPEDES VILLA</v>
      </c>
      <c r="AC513" s="23">
        <f>IFERROR(VLOOKUP(AA513,Listas!$A$1:$C$14,3,FALSE),"")</f>
        <v>93363483</v>
      </c>
      <c r="AD513" s="17" t="s">
        <v>116</v>
      </c>
      <c r="AE513" s="17" t="s">
        <v>743</v>
      </c>
      <c r="AF513" s="23" t="str">
        <f>IFERROR(VLOOKUP(AE513,Listas!$AD$1:$AF$65,2,FALSE),"")</f>
        <v>FREDY CÉSPEDES VILLA</v>
      </c>
      <c r="AG513" s="23">
        <f>IFERROR(VLOOKUP(AE513,Listas!$AD$1:$AF$65,3,FALSE),"")</f>
        <v>93363483</v>
      </c>
      <c r="AH513" s="17" t="s">
        <v>118</v>
      </c>
      <c r="AI513" s="65" t="s">
        <v>4246</v>
      </c>
      <c r="AJ513" s="25" t="s">
        <v>119</v>
      </c>
      <c r="AK513" s="26" t="s">
        <v>120</v>
      </c>
      <c r="AL513" s="26" t="s">
        <v>120</v>
      </c>
      <c r="AM513" s="90" t="s">
        <v>119</v>
      </c>
      <c r="AN513" s="105">
        <v>35429</v>
      </c>
      <c r="AO513" s="91">
        <f t="shared" ca="1" si="219"/>
        <v>29</v>
      </c>
      <c r="AP513" s="26" t="s">
        <v>121</v>
      </c>
      <c r="AQ513" s="26" t="s">
        <v>285</v>
      </c>
      <c r="AR513" s="89"/>
      <c r="AS513" s="27"/>
      <c r="AT513" s="16"/>
      <c r="AU513" s="27"/>
      <c r="AV513" s="86"/>
      <c r="AW513" s="27"/>
      <c r="AX513" s="27"/>
      <c r="AY513" s="27"/>
      <c r="AZ513" s="27"/>
      <c r="BA513" s="27"/>
      <c r="BB513" s="27"/>
      <c r="BC513" s="97"/>
      <c r="BD513" s="27"/>
      <c r="BE513" s="16"/>
      <c r="BF513" s="28">
        <f t="shared" si="227"/>
        <v>0</v>
      </c>
      <c r="BG513" s="29"/>
      <c r="BH513" s="27"/>
      <c r="BI513" s="30">
        <f t="shared" si="220"/>
        <v>325</v>
      </c>
      <c r="BJ513" s="31">
        <f t="shared" si="221"/>
        <v>45656</v>
      </c>
      <c r="BK513" s="27"/>
      <c r="BL513" s="16"/>
      <c r="BM513" s="27"/>
      <c r="BN513" s="16"/>
      <c r="BO513" s="27"/>
      <c r="BP513" s="16"/>
      <c r="BQ513" s="27"/>
      <c r="BR513" s="24"/>
      <c r="BS513" s="24"/>
      <c r="BT513" s="32"/>
      <c r="BU513" s="27"/>
      <c r="BV513" s="24"/>
      <c r="BW513" s="24"/>
      <c r="BX513" s="16"/>
      <c r="BY513" s="27"/>
      <c r="BZ513" s="24"/>
      <c r="CA513" s="24"/>
      <c r="CB513" s="16"/>
      <c r="CC513" s="49">
        <f t="shared" si="228"/>
        <v>0</v>
      </c>
      <c r="CD513" s="24"/>
      <c r="CE513" s="49">
        <f t="shared" si="212"/>
        <v>59351600</v>
      </c>
      <c r="CF513" s="50"/>
      <c r="CG513" s="49">
        <f t="shared" ca="1" si="229"/>
        <v>59351600</v>
      </c>
      <c r="CH513" s="33">
        <f t="shared" ca="1" si="224"/>
        <v>1</v>
      </c>
      <c r="CI513" s="33">
        <f t="shared" ca="1" si="225"/>
        <v>1</v>
      </c>
      <c r="CJ513" s="36">
        <f t="shared" ca="1" si="230"/>
        <v>100</v>
      </c>
      <c r="CK513" s="34">
        <f t="shared" si="231"/>
        <v>0</v>
      </c>
      <c r="CL513" s="21"/>
      <c r="CM513" s="35" t="str">
        <f t="shared" ca="1" si="222"/>
        <v>TERMINADO</v>
      </c>
      <c r="CN513" s="82"/>
      <c r="CO513" s="145" t="s">
        <v>4247</v>
      </c>
      <c r="CP513" s="26" t="s">
        <v>123</v>
      </c>
    </row>
    <row r="514" spans="1:98" ht="24.75" customHeight="1">
      <c r="A514" s="109" t="s">
        <v>4248</v>
      </c>
      <c r="B514" s="77" t="s">
        <v>4249</v>
      </c>
      <c r="C514" s="17" t="s">
        <v>104</v>
      </c>
      <c r="D514" s="18" t="s">
        <v>4250</v>
      </c>
      <c r="E514" s="17" t="s">
        <v>106</v>
      </c>
      <c r="F514" s="17" t="s">
        <v>107</v>
      </c>
      <c r="G514" s="17" t="s">
        <v>108</v>
      </c>
      <c r="H514" s="78">
        <v>1018466604</v>
      </c>
      <c r="I514" s="74" t="s">
        <v>4251</v>
      </c>
      <c r="J514" s="16"/>
      <c r="K514" s="16"/>
      <c r="L514" s="20" t="s">
        <v>4252</v>
      </c>
      <c r="M514" s="16" t="s">
        <v>111</v>
      </c>
      <c r="N514" s="115">
        <v>45330</v>
      </c>
      <c r="O514" s="115">
        <v>45330</v>
      </c>
      <c r="P514" s="22">
        <v>45657</v>
      </c>
      <c r="Q514" s="23">
        <f t="shared" si="223"/>
        <v>327</v>
      </c>
      <c r="R514" s="17" t="s">
        <v>242</v>
      </c>
      <c r="S514" s="117" t="s">
        <v>4253</v>
      </c>
      <c r="T514" s="16" t="s">
        <v>1164</v>
      </c>
      <c r="U514" s="24">
        <v>78100000</v>
      </c>
      <c r="V514" s="16" t="s">
        <v>1165</v>
      </c>
      <c r="W514" s="227">
        <v>78100000</v>
      </c>
      <c r="X514" s="24">
        <v>7100000</v>
      </c>
      <c r="Y514" s="24"/>
      <c r="Z514" s="24"/>
      <c r="AA514" s="17" t="s">
        <v>116</v>
      </c>
      <c r="AB514" s="23" t="str">
        <f>IFERROR(VLOOKUP(AA514,Listas!$A$1:$C$14,2,FALSE),"")</f>
        <v>FREDY CÉSPEDES VILLA</v>
      </c>
      <c r="AC514" s="23">
        <f>IFERROR(VLOOKUP(AA514,Listas!$A$1:$C$14,3,FALSE),"")</f>
        <v>93363483</v>
      </c>
      <c r="AD514" s="17" t="s">
        <v>1166</v>
      </c>
      <c r="AE514" s="17" t="s">
        <v>1167</v>
      </c>
      <c r="AF514" s="23">
        <f>IFERROR(VLOOKUP(AE514,Listas!$AD$1:$AF$65,2,FALSE),"")</f>
        <v>0</v>
      </c>
      <c r="AG514" s="23">
        <f>IFERROR(VLOOKUP(AE514,Listas!$AD$1:$AF$65,3,FALSE),"")</f>
        <v>0</v>
      </c>
      <c r="AH514" s="17" t="s">
        <v>118</v>
      </c>
      <c r="AI514" s="65" t="s">
        <v>4254</v>
      </c>
      <c r="AJ514" s="25" t="s">
        <v>119</v>
      </c>
      <c r="AK514" s="26" t="s">
        <v>120</v>
      </c>
      <c r="AL514" s="26" t="s">
        <v>120</v>
      </c>
      <c r="AM514" s="90" t="s">
        <v>119</v>
      </c>
      <c r="AN514" s="105">
        <v>34462</v>
      </c>
      <c r="AO514" s="91">
        <f t="shared" ca="1" si="219"/>
        <v>31</v>
      </c>
      <c r="AP514" s="26" t="s">
        <v>121</v>
      </c>
      <c r="AQ514" s="26" t="s">
        <v>220</v>
      </c>
      <c r="AR514" s="89"/>
      <c r="AS514" s="27"/>
      <c r="AT514" s="16"/>
      <c r="AU514" s="27"/>
      <c r="AV514" s="86"/>
      <c r="AW514" s="27"/>
      <c r="AX514" s="27"/>
      <c r="AY514" s="27"/>
      <c r="AZ514" s="27"/>
      <c r="BA514" s="27"/>
      <c r="BB514" s="27"/>
      <c r="BC514" s="97"/>
      <c r="BD514" s="27"/>
      <c r="BE514" s="16"/>
      <c r="BF514" s="28">
        <f t="shared" si="227"/>
        <v>0</v>
      </c>
      <c r="BG514" s="29"/>
      <c r="BH514" s="27"/>
      <c r="BI514" s="30">
        <f t="shared" si="220"/>
        <v>327</v>
      </c>
      <c r="BJ514" s="31">
        <f t="shared" si="221"/>
        <v>45657</v>
      </c>
      <c r="BK514" s="27"/>
      <c r="BL514" s="16"/>
      <c r="BM514" s="27"/>
      <c r="BN514" s="16"/>
      <c r="BO514" s="27"/>
      <c r="BP514" s="16"/>
      <c r="BQ514" s="27"/>
      <c r="BR514" s="24"/>
      <c r="BS514" s="24"/>
      <c r="BT514" s="32"/>
      <c r="BU514" s="27"/>
      <c r="BV514" s="24"/>
      <c r="BW514" s="24"/>
      <c r="BX514" s="16"/>
      <c r="BY514" s="27"/>
      <c r="BZ514" s="24"/>
      <c r="CA514" s="24"/>
      <c r="CB514" s="16"/>
      <c r="CC514" s="49">
        <f t="shared" si="228"/>
        <v>0</v>
      </c>
      <c r="CD514" s="24"/>
      <c r="CE514" s="49">
        <f t="shared" si="212"/>
        <v>78100000</v>
      </c>
      <c r="CF514" s="50"/>
      <c r="CG514" s="49">
        <f t="shared" ca="1" si="229"/>
        <v>78100000</v>
      </c>
      <c r="CH514" s="33">
        <f t="shared" ca="1" si="224"/>
        <v>1</v>
      </c>
      <c r="CI514" s="33">
        <f t="shared" ca="1" si="225"/>
        <v>1</v>
      </c>
      <c r="CJ514" s="36">
        <f t="shared" ca="1" si="230"/>
        <v>100</v>
      </c>
      <c r="CK514" s="34">
        <f t="shared" si="231"/>
        <v>0</v>
      </c>
      <c r="CL514" s="21"/>
      <c r="CM514" s="35" t="str">
        <f t="shared" ca="1" si="222"/>
        <v>TERMINADO</v>
      </c>
      <c r="CN514" s="82"/>
      <c r="CO514" s="145" t="s">
        <v>4255</v>
      </c>
      <c r="CP514" s="26" t="s">
        <v>142</v>
      </c>
    </row>
    <row r="515" spans="1:98" s="153" customFormat="1" ht="24.75" customHeight="1">
      <c r="A515" s="48"/>
      <c r="B515" s="345" t="s">
        <v>4256</v>
      </c>
      <c r="C515" s="345" t="s">
        <v>1583</v>
      </c>
      <c r="D515" s="18"/>
      <c r="E515" s="17"/>
      <c r="F515" s="17"/>
      <c r="G515" s="17"/>
      <c r="H515" s="78"/>
      <c r="I515" s="74"/>
      <c r="J515" s="16"/>
      <c r="K515" s="16"/>
      <c r="L515" s="96"/>
      <c r="M515" s="16"/>
      <c r="N515" s="22"/>
      <c r="O515" s="22"/>
      <c r="P515" s="22"/>
      <c r="Q515" s="23"/>
      <c r="R515" s="17"/>
      <c r="S515" s="16"/>
      <c r="T515" s="16"/>
      <c r="U515" s="67"/>
      <c r="V515" s="16"/>
      <c r="W515" s="24"/>
      <c r="X515" s="24"/>
      <c r="Y515" s="24"/>
      <c r="Z515" s="24"/>
      <c r="AA515" s="17"/>
      <c r="AB515" s="23"/>
      <c r="AC515" s="23"/>
      <c r="AD515" s="17"/>
      <c r="AE515" s="17"/>
      <c r="AF515" s="23"/>
      <c r="AG515" s="23"/>
      <c r="AH515" s="17"/>
      <c r="AI515" s="65"/>
      <c r="AJ515" s="25"/>
      <c r="AK515" s="26"/>
      <c r="AL515" s="26"/>
      <c r="AM515" s="90"/>
      <c r="AN515" s="105"/>
      <c r="AO515" s="91"/>
      <c r="AP515" s="26"/>
      <c r="AQ515" s="26"/>
      <c r="AR515" s="89"/>
      <c r="AS515" s="27"/>
      <c r="AT515" s="16"/>
      <c r="AU515" s="27"/>
      <c r="AV515" s="86"/>
      <c r="AW515" s="27"/>
      <c r="AX515" s="27"/>
      <c r="AY515" s="27"/>
      <c r="AZ515" s="27"/>
      <c r="BA515" s="27"/>
      <c r="BB515" s="27"/>
      <c r="BC515" s="97"/>
      <c r="BD515" s="27"/>
      <c r="BE515" s="16"/>
      <c r="BF515" s="28">
        <f t="shared" si="227"/>
        <v>0</v>
      </c>
      <c r="BG515" s="29"/>
      <c r="BH515" s="27"/>
      <c r="BI515" s="30">
        <f t="shared" si="220"/>
        <v>0</v>
      </c>
      <c r="BJ515" s="31">
        <f t="shared" si="221"/>
        <v>0</v>
      </c>
      <c r="BK515" s="27"/>
      <c r="BL515" s="16"/>
      <c r="BM515" s="27"/>
      <c r="BN515" s="16"/>
      <c r="BO515" s="27"/>
      <c r="BP515" s="16"/>
      <c r="BQ515" s="27"/>
      <c r="BR515" s="24"/>
      <c r="BS515" s="24"/>
      <c r="BT515" s="32"/>
      <c r="BU515" s="27"/>
      <c r="BV515" s="24"/>
      <c r="BW515" s="24"/>
      <c r="BX515" s="16"/>
      <c r="BY515" s="27"/>
      <c r="BZ515" s="24"/>
      <c r="CA515" s="24"/>
      <c r="CB515" s="16"/>
      <c r="CC515" s="49">
        <f t="shared" si="228"/>
        <v>0</v>
      </c>
      <c r="CD515" s="24"/>
      <c r="CE515" s="49">
        <f t="shared" si="226"/>
        <v>0</v>
      </c>
      <c r="CF515" s="50"/>
      <c r="CG515" s="49" t="str">
        <f t="shared" ca="1" si="229"/>
        <v/>
      </c>
      <c r="CH515" s="33">
        <f t="shared" ca="1" si="224"/>
        <v>1</v>
      </c>
      <c r="CI515" s="33">
        <f t="shared" ca="1" si="225"/>
        <v>1</v>
      </c>
      <c r="CJ515" s="36" t="str">
        <f t="shared" ca="1" si="230"/>
        <v/>
      </c>
      <c r="CK515" s="34" t="str">
        <f t="shared" si="231"/>
        <v/>
      </c>
      <c r="CL515" s="21"/>
      <c r="CM515" s="35" t="str">
        <f t="shared" ca="1" si="222"/>
        <v/>
      </c>
      <c r="CN515" s="82"/>
      <c r="CO515" s="145" t="s">
        <v>4257</v>
      </c>
      <c r="CP515" s="26"/>
      <c r="CQ515" s="83"/>
      <c r="CR515" s="83"/>
      <c r="CS515" s="48"/>
      <c r="CT515" s="345"/>
    </row>
    <row r="516" spans="1:98" ht="24.75" customHeight="1">
      <c r="A516" s="109" t="s">
        <v>4258</v>
      </c>
      <c r="B516" s="77" t="s">
        <v>4259</v>
      </c>
      <c r="C516" s="17" t="s">
        <v>104</v>
      </c>
      <c r="D516" s="18" t="s">
        <v>4260</v>
      </c>
      <c r="E516" s="17" t="s">
        <v>106</v>
      </c>
      <c r="F516" s="17" t="s">
        <v>107</v>
      </c>
      <c r="G516" s="17" t="s">
        <v>108</v>
      </c>
      <c r="H516" s="78">
        <v>52759614</v>
      </c>
      <c r="I516" s="74" t="s">
        <v>4261</v>
      </c>
      <c r="J516" s="16"/>
      <c r="K516" s="16"/>
      <c r="L516" s="20" t="s">
        <v>4262</v>
      </c>
      <c r="M516" s="16" t="s">
        <v>111</v>
      </c>
      <c r="N516" s="115">
        <v>45330</v>
      </c>
      <c r="O516" s="115">
        <v>45336</v>
      </c>
      <c r="P516" s="115">
        <v>45657</v>
      </c>
      <c r="Q516" s="23">
        <f t="shared" ref="Q516:Q534" si="232">P516-O516</f>
        <v>321</v>
      </c>
      <c r="R516" s="17" t="s">
        <v>242</v>
      </c>
      <c r="S516" s="117" t="s">
        <v>4263</v>
      </c>
      <c r="T516" s="16" t="s">
        <v>938</v>
      </c>
      <c r="U516" s="24">
        <v>64736120</v>
      </c>
      <c r="V516" s="16" t="s">
        <v>4264</v>
      </c>
      <c r="W516" s="227">
        <v>51258900</v>
      </c>
      <c r="X516" s="24">
        <v>4659900</v>
      </c>
      <c r="Y516" s="24"/>
      <c r="Z516" s="24"/>
      <c r="AA516" s="17" t="s">
        <v>116</v>
      </c>
      <c r="AB516" s="23" t="str">
        <f>IFERROR(VLOOKUP(AA516,Listas!$A$1:$C$14,2,FALSE),"")</f>
        <v>FREDY CÉSPEDES VILLA</v>
      </c>
      <c r="AC516" s="23">
        <f>IFERROR(VLOOKUP(AA516,Listas!$A$1:$C$14,3,FALSE),"")</f>
        <v>93363483</v>
      </c>
      <c r="AD516" s="17" t="s">
        <v>116</v>
      </c>
      <c r="AE516" s="17" t="s">
        <v>940</v>
      </c>
      <c r="AF516" s="23" t="str">
        <f>IFERROR(VLOOKUP(AE516,Listas!$AD$1:$AF$65,2,FALSE),"")</f>
        <v>GERARDO ALONSO RODRÍGUEZ PINEDA</v>
      </c>
      <c r="AG516" s="23">
        <f>IFERROR(VLOOKUP(AE516,Listas!$AD$1:$AF$65,3,FALSE),"")</f>
        <v>79466595</v>
      </c>
      <c r="AH516" s="17" t="s">
        <v>118</v>
      </c>
      <c r="AI516" s="65" t="s">
        <v>4265</v>
      </c>
      <c r="AJ516" s="25" t="s">
        <v>119</v>
      </c>
      <c r="AK516" s="26" t="s">
        <v>120</v>
      </c>
      <c r="AL516" s="26" t="s">
        <v>120</v>
      </c>
      <c r="AM516" s="90" t="s">
        <v>119</v>
      </c>
      <c r="AN516" s="105">
        <v>30567</v>
      </c>
      <c r="AO516" s="91">
        <f t="shared" ref="AO516:AO534" ca="1" si="233">IF(YEAR(TODAY())-YEAR(AN516)&gt;100," ",YEAR(TODAY())-YEAR(AN516))</f>
        <v>42</v>
      </c>
      <c r="AP516" s="26" t="s">
        <v>121</v>
      </c>
      <c r="AQ516" s="26" t="s">
        <v>285</v>
      </c>
      <c r="AR516" s="89"/>
      <c r="AS516" s="27"/>
      <c r="AT516" s="16"/>
      <c r="AU516" s="27"/>
      <c r="AV516" s="86"/>
      <c r="AW516" s="27"/>
      <c r="AX516" s="27"/>
      <c r="AY516" s="27"/>
      <c r="AZ516" s="27"/>
      <c r="BA516" s="27"/>
      <c r="BB516" s="27"/>
      <c r="BC516" s="97"/>
      <c r="BD516" s="27"/>
      <c r="BE516" s="16"/>
      <c r="BF516" s="28">
        <f t="shared" si="227"/>
        <v>0</v>
      </c>
      <c r="BG516" s="29"/>
      <c r="BH516" s="27"/>
      <c r="BI516" s="30">
        <f t="shared" si="220"/>
        <v>321</v>
      </c>
      <c r="BJ516" s="31">
        <f t="shared" si="221"/>
        <v>45657</v>
      </c>
      <c r="BK516" s="27"/>
      <c r="BL516" s="16"/>
      <c r="BM516" s="27"/>
      <c r="BN516" s="16"/>
      <c r="BO516" s="27"/>
      <c r="BP516" s="16"/>
      <c r="BQ516" s="27"/>
      <c r="BR516" s="24"/>
      <c r="BS516" s="24"/>
      <c r="BT516" s="32"/>
      <c r="BU516" s="27"/>
      <c r="BV516" s="24"/>
      <c r="BW516" s="24"/>
      <c r="BX516" s="16"/>
      <c r="BY516" s="27"/>
      <c r="BZ516" s="24"/>
      <c r="CA516" s="24"/>
      <c r="CB516" s="16"/>
      <c r="CC516" s="49">
        <f t="shared" si="228"/>
        <v>0</v>
      </c>
      <c r="CD516" s="24"/>
      <c r="CE516" s="49">
        <f t="shared" si="212"/>
        <v>51258900</v>
      </c>
      <c r="CF516" s="50"/>
      <c r="CG516" s="49">
        <f t="shared" ca="1" si="229"/>
        <v>51258900</v>
      </c>
      <c r="CH516" s="33">
        <f t="shared" ca="1" si="224"/>
        <v>1</v>
      </c>
      <c r="CI516" s="33">
        <f t="shared" ca="1" si="225"/>
        <v>1</v>
      </c>
      <c r="CJ516" s="36">
        <f t="shared" ca="1" si="230"/>
        <v>100</v>
      </c>
      <c r="CK516" s="34">
        <f t="shared" si="231"/>
        <v>0</v>
      </c>
      <c r="CL516" s="21"/>
      <c r="CM516" s="35" t="str">
        <f t="shared" ca="1" si="222"/>
        <v>TERMINADO</v>
      </c>
      <c r="CN516" s="82"/>
      <c r="CO516" s="145" t="s">
        <v>4266</v>
      </c>
      <c r="CP516" s="26" t="s">
        <v>123</v>
      </c>
    </row>
    <row r="517" spans="1:98" ht="24.75" customHeight="1">
      <c r="A517" s="109" t="s">
        <v>1424</v>
      </c>
      <c r="B517" s="77" t="s">
        <v>4267</v>
      </c>
      <c r="C517" s="17" t="s">
        <v>2927</v>
      </c>
      <c r="D517" s="18" t="s">
        <v>4268</v>
      </c>
      <c r="E517" s="17" t="s">
        <v>2929</v>
      </c>
      <c r="F517" s="17" t="s">
        <v>1426</v>
      </c>
      <c r="G517" s="17" t="s">
        <v>1427</v>
      </c>
      <c r="H517" s="78" t="s">
        <v>4269</v>
      </c>
      <c r="I517" s="74" t="s">
        <v>4270</v>
      </c>
      <c r="J517" s="16" t="s">
        <v>4271</v>
      </c>
      <c r="K517" s="16">
        <v>1094911320</v>
      </c>
      <c r="L517" s="20" t="s">
        <v>2933</v>
      </c>
      <c r="M517" s="16"/>
      <c r="N517" s="115">
        <v>45330</v>
      </c>
      <c r="O517" s="115">
        <v>45330</v>
      </c>
      <c r="P517" s="115">
        <v>45696</v>
      </c>
      <c r="Q517" s="23">
        <f t="shared" si="232"/>
        <v>366</v>
      </c>
      <c r="R517" s="17" t="s">
        <v>2934</v>
      </c>
      <c r="S517" s="117" t="s">
        <v>1424</v>
      </c>
      <c r="T517" s="16" t="s">
        <v>1424</v>
      </c>
      <c r="U517" s="24" t="s">
        <v>1424</v>
      </c>
      <c r="V517" s="16" t="s">
        <v>1424</v>
      </c>
      <c r="W517" s="227">
        <v>0</v>
      </c>
      <c r="X517" s="24"/>
      <c r="Y517" s="24" t="s">
        <v>2935</v>
      </c>
      <c r="Z517" s="24"/>
      <c r="AA517" s="17" t="s">
        <v>406</v>
      </c>
      <c r="AB517" s="23" t="str">
        <f>IFERROR(VLOOKUP(AA517,Listas!$A$1:$C$14,2,FALSE),"")</f>
        <v>EDUARDO ELÍAS BARCHA BOLÍVAR</v>
      </c>
      <c r="AC517" s="23">
        <f>IFERROR(VLOOKUP(AA517,Listas!$A$1:$C$14,3,FALSE),"")</f>
        <v>72133921</v>
      </c>
      <c r="AD517" s="17" t="s">
        <v>472</v>
      </c>
      <c r="AE517" s="17" t="s">
        <v>473</v>
      </c>
      <c r="AF517" s="23" t="str">
        <f>IFERROR(VLOOKUP(AE517,Listas!$AD$1:$AF$65,2,FALSE),"")</f>
        <v>DANIEL ALBERTO CASTAÑO LOPEZ</v>
      </c>
      <c r="AG517" s="23">
        <f>IFERROR(VLOOKUP(AE517,Listas!$AD$1:$AF$65,3,FALSE),"")</f>
        <v>7544385</v>
      </c>
      <c r="AH517" s="17" t="s">
        <v>2936</v>
      </c>
      <c r="AI517" s="65"/>
      <c r="AJ517" s="25" t="s">
        <v>1435</v>
      </c>
      <c r="AK517" s="26" t="s">
        <v>2071</v>
      </c>
      <c r="AL517" s="26" t="s">
        <v>2071</v>
      </c>
      <c r="AM517" s="90" t="s">
        <v>1435</v>
      </c>
      <c r="AN517" s="105"/>
      <c r="AO517" s="91" t="str">
        <f t="shared" ca="1" si="233"/>
        <v xml:space="preserve"> </v>
      </c>
      <c r="AP517" s="26" t="s">
        <v>2937</v>
      </c>
      <c r="AQ517" s="26" t="s">
        <v>3453</v>
      </c>
      <c r="AR517" s="89"/>
      <c r="AS517" s="27"/>
      <c r="AT517" s="16"/>
      <c r="AU517" s="27"/>
      <c r="AV517" s="86"/>
      <c r="AW517" s="27"/>
      <c r="AX517" s="27"/>
      <c r="AY517" s="27"/>
      <c r="AZ517" s="27"/>
      <c r="BA517" s="27"/>
      <c r="BB517" s="27">
        <v>45695</v>
      </c>
      <c r="BC517" s="97">
        <v>326</v>
      </c>
      <c r="BD517" s="27"/>
      <c r="BE517" s="16"/>
      <c r="BF517" s="28">
        <f t="shared" si="227"/>
        <v>326</v>
      </c>
      <c r="BG517" s="29"/>
      <c r="BH517" s="27"/>
      <c r="BI517" s="30">
        <f t="shared" si="220"/>
        <v>692</v>
      </c>
      <c r="BJ517" s="31">
        <f t="shared" si="221"/>
        <v>46022</v>
      </c>
      <c r="BK517" s="27">
        <v>45695</v>
      </c>
      <c r="BL517" s="16" t="s">
        <v>4272</v>
      </c>
      <c r="BM517" s="27"/>
      <c r="BN517" s="16"/>
      <c r="BO517" s="27"/>
      <c r="BP517" s="16"/>
      <c r="BQ517" s="27"/>
      <c r="BR517" s="24"/>
      <c r="BS517" s="24"/>
      <c r="BT517" s="32"/>
      <c r="BU517" s="27"/>
      <c r="BV517" s="24"/>
      <c r="BW517" s="24"/>
      <c r="BX517" s="16"/>
      <c r="BY517" s="27"/>
      <c r="BZ517" s="24"/>
      <c r="CA517" s="24"/>
      <c r="CB517" s="16"/>
      <c r="CC517" s="49">
        <f t="shared" si="228"/>
        <v>0</v>
      </c>
      <c r="CD517" s="24"/>
      <c r="CE517" s="49" t="str">
        <f>IFERROR(IF(Y517=0,(W517+CC517)-CD517,IF(Y517&gt;0,(Y517+CC517)-CD517)),"")</f>
        <v/>
      </c>
      <c r="CF517" s="50">
        <v>81236392</v>
      </c>
      <c r="CG517" s="49" t="str">
        <f t="shared" ca="1" si="229"/>
        <v/>
      </c>
      <c r="CH517" s="33">
        <f t="shared" ca="1" si="224"/>
        <v>0.89604685212298685</v>
      </c>
      <c r="CI517" s="33">
        <f t="shared" ca="1" si="225"/>
        <v>0.89604685212298685</v>
      </c>
      <c r="CJ517" s="36" t="str">
        <f t="shared" ca="1" si="230"/>
        <v/>
      </c>
      <c r="CK517" s="34" t="str">
        <f t="shared" si="231"/>
        <v/>
      </c>
      <c r="CL517" s="21"/>
      <c r="CM517" s="35" t="str">
        <f t="shared" ca="1" si="222"/>
        <v>VIGENTE</v>
      </c>
      <c r="CN517" s="82"/>
      <c r="CP517" s="83" t="s">
        <v>1424</v>
      </c>
    </row>
    <row r="518" spans="1:98" ht="24.75" customHeight="1">
      <c r="A518" s="109" t="s">
        <v>1424</v>
      </c>
      <c r="B518" s="77" t="s">
        <v>4273</v>
      </c>
      <c r="C518" s="17" t="s">
        <v>2927</v>
      </c>
      <c r="D518" s="18" t="s">
        <v>4274</v>
      </c>
      <c r="E518" s="17" t="s">
        <v>2929</v>
      </c>
      <c r="F518" s="17" t="s">
        <v>1426</v>
      </c>
      <c r="G518" s="17" t="s">
        <v>1427</v>
      </c>
      <c r="H518" s="78" t="s">
        <v>4275</v>
      </c>
      <c r="I518" s="74" t="s">
        <v>4276</v>
      </c>
      <c r="J518" s="16" t="s">
        <v>4277</v>
      </c>
      <c r="K518" s="16">
        <v>52192697</v>
      </c>
      <c r="L518" s="20" t="s">
        <v>2933</v>
      </c>
      <c r="M518" s="16"/>
      <c r="N518" s="115">
        <v>45330</v>
      </c>
      <c r="O518" s="115">
        <v>45330</v>
      </c>
      <c r="P518" s="115">
        <v>45696</v>
      </c>
      <c r="Q518" s="23">
        <f t="shared" si="232"/>
        <v>366</v>
      </c>
      <c r="R518" s="17" t="s">
        <v>2934</v>
      </c>
      <c r="S518" s="117" t="s">
        <v>1424</v>
      </c>
      <c r="T518" s="16" t="s">
        <v>1424</v>
      </c>
      <c r="U518" s="24" t="s">
        <v>1424</v>
      </c>
      <c r="V518" s="16" t="s">
        <v>1424</v>
      </c>
      <c r="W518" s="227">
        <v>0</v>
      </c>
      <c r="X518" s="24"/>
      <c r="Y518" s="24" t="s">
        <v>2935</v>
      </c>
      <c r="Z518" s="24"/>
      <c r="AA518" s="17" t="s">
        <v>406</v>
      </c>
      <c r="AB518" s="23" t="str">
        <f>IFERROR(VLOOKUP(AA518,Listas!$A$1:$C$14,2,FALSE),"")</f>
        <v>EDUARDO ELÍAS BARCHA BOLÍVAR</v>
      </c>
      <c r="AC518" s="23">
        <f>IFERROR(VLOOKUP(AA518,Listas!$A$1:$C$14,3,FALSE),"")</f>
        <v>72133921</v>
      </c>
      <c r="AD518" s="17" t="s">
        <v>1533</v>
      </c>
      <c r="AE518" s="17" t="s">
        <v>1534</v>
      </c>
      <c r="AF518" s="23" t="str">
        <f>IFERROR(VLOOKUP(AE518,Listas!$AD$1:$AF$65,2,FALSE),"")</f>
        <v>ESTEBAN GUERRERO ALVAREZ</v>
      </c>
      <c r="AG518" s="23">
        <f>IFERROR(VLOOKUP(AE518,Listas!$AD$1:$AF$65,3,FALSE),"")</f>
        <v>1032460552</v>
      </c>
      <c r="AH518" s="17" t="s">
        <v>2936</v>
      </c>
      <c r="AI518" s="65"/>
      <c r="AJ518" s="25" t="s">
        <v>1435</v>
      </c>
      <c r="AK518" s="26" t="s">
        <v>2071</v>
      </c>
      <c r="AL518" s="26" t="s">
        <v>2071</v>
      </c>
      <c r="AM518" s="90" t="s">
        <v>1435</v>
      </c>
      <c r="AN518" s="105"/>
      <c r="AO518" s="91" t="str">
        <f t="shared" ca="1" si="233"/>
        <v xml:space="preserve"> </v>
      </c>
      <c r="AP518" s="26" t="s">
        <v>2937</v>
      </c>
      <c r="AQ518" s="26" t="s">
        <v>3133</v>
      </c>
      <c r="AR518" s="89"/>
      <c r="AS518" s="27"/>
      <c r="AT518" s="16"/>
      <c r="AU518" s="27"/>
      <c r="AV518" s="86"/>
      <c r="AW518" s="27"/>
      <c r="AX518" s="27"/>
      <c r="AY518" s="27"/>
      <c r="AZ518" s="27"/>
      <c r="BA518" s="27"/>
      <c r="BB518" s="27">
        <v>45653</v>
      </c>
      <c r="BC518" s="97">
        <v>326</v>
      </c>
      <c r="BD518" s="27"/>
      <c r="BE518" s="16"/>
      <c r="BF518" s="28">
        <f t="shared" si="227"/>
        <v>326</v>
      </c>
      <c r="BG518" s="29"/>
      <c r="BH518" s="27"/>
      <c r="BI518" s="30">
        <f t="shared" si="220"/>
        <v>692</v>
      </c>
      <c r="BJ518" s="31">
        <f t="shared" si="221"/>
        <v>46022</v>
      </c>
      <c r="BK518" s="27">
        <v>45653</v>
      </c>
      <c r="BL518" s="16" t="s">
        <v>4278</v>
      </c>
      <c r="BM518" s="27"/>
      <c r="BN518" s="16"/>
      <c r="BO518" s="27"/>
      <c r="BP518" s="16"/>
      <c r="BQ518" s="27"/>
      <c r="BR518" s="24"/>
      <c r="BS518" s="24"/>
      <c r="BT518" s="32"/>
      <c r="BU518" s="27"/>
      <c r="BV518" s="24"/>
      <c r="BW518" s="24"/>
      <c r="BX518" s="16"/>
      <c r="BY518" s="27"/>
      <c r="BZ518" s="24"/>
      <c r="CA518" s="24"/>
      <c r="CB518" s="16"/>
      <c r="CC518" s="49">
        <f t="shared" si="228"/>
        <v>0</v>
      </c>
      <c r="CD518" s="24"/>
      <c r="CE518" s="49" t="str">
        <f>IFERROR(IF(Y518=0,(W518+CC518)-CD518,IF(Y518&gt;0,(Y518+CC518)-CD518)),"")</f>
        <v/>
      </c>
      <c r="CF518" s="50">
        <v>222069590.75</v>
      </c>
      <c r="CG518" s="49" t="str">
        <f t="shared" ca="1" si="229"/>
        <v/>
      </c>
      <c r="CH518" s="33">
        <f t="shared" ca="1" si="224"/>
        <v>0.89604685212298685</v>
      </c>
      <c r="CI518" s="33">
        <f t="shared" ca="1" si="225"/>
        <v>0.89604685212298685</v>
      </c>
      <c r="CJ518" s="36" t="str">
        <f t="shared" ca="1" si="230"/>
        <v/>
      </c>
      <c r="CK518" s="34" t="str">
        <f t="shared" si="231"/>
        <v/>
      </c>
      <c r="CL518" s="21"/>
      <c r="CM518" s="35" t="str">
        <f t="shared" ca="1" si="222"/>
        <v>VIGENTE</v>
      </c>
      <c r="CN518" s="82"/>
      <c r="CP518" s="83" t="s">
        <v>1424</v>
      </c>
    </row>
    <row r="519" spans="1:98" ht="24.75" customHeight="1">
      <c r="A519" s="109" t="s">
        <v>1424</v>
      </c>
      <c r="B519" s="77" t="s">
        <v>4279</v>
      </c>
      <c r="C519" s="17" t="s">
        <v>2927</v>
      </c>
      <c r="D519" s="18" t="s">
        <v>4280</v>
      </c>
      <c r="E519" s="17" t="s">
        <v>2929</v>
      </c>
      <c r="F519" s="17" t="s">
        <v>1426</v>
      </c>
      <c r="G519" s="17" t="s">
        <v>1427</v>
      </c>
      <c r="H519" s="78" t="s">
        <v>4281</v>
      </c>
      <c r="I519" s="74" t="s">
        <v>4282</v>
      </c>
      <c r="J519" s="16" t="s">
        <v>4283</v>
      </c>
      <c r="K519" s="16">
        <v>52621767</v>
      </c>
      <c r="L519" s="20" t="s">
        <v>2933</v>
      </c>
      <c r="M519" s="16"/>
      <c r="N519" s="115">
        <v>45330</v>
      </c>
      <c r="O519" s="115">
        <v>45330</v>
      </c>
      <c r="P519" s="115">
        <v>45696</v>
      </c>
      <c r="Q519" s="23">
        <f t="shared" si="232"/>
        <v>366</v>
      </c>
      <c r="R519" s="17" t="s">
        <v>2934</v>
      </c>
      <c r="S519" s="117" t="s">
        <v>1424</v>
      </c>
      <c r="T519" s="16" t="s">
        <v>1424</v>
      </c>
      <c r="U519" s="24" t="s">
        <v>1424</v>
      </c>
      <c r="V519" s="16" t="s">
        <v>1424</v>
      </c>
      <c r="W519" s="227">
        <v>0</v>
      </c>
      <c r="X519" s="24"/>
      <c r="Y519" s="24" t="s">
        <v>2935</v>
      </c>
      <c r="Z519" s="24"/>
      <c r="AA519" s="17" t="s">
        <v>406</v>
      </c>
      <c r="AB519" s="23" t="str">
        <f>IFERROR(VLOOKUP(AA519,Listas!$A$1:$C$14,2,FALSE),"")</f>
        <v>EDUARDO ELÍAS BARCHA BOLÍVAR</v>
      </c>
      <c r="AC519" s="23">
        <f>IFERROR(VLOOKUP(AA519,Listas!$A$1:$C$14,3,FALSE),"")</f>
        <v>72133921</v>
      </c>
      <c r="AD519" s="17" t="s">
        <v>1533</v>
      </c>
      <c r="AE519" s="17" t="s">
        <v>1534</v>
      </c>
      <c r="AF519" s="23" t="str">
        <f>IFERROR(VLOOKUP(AE519,Listas!$AD$1:$AF$65,2,FALSE),"")</f>
        <v>ESTEBAN GUERRERO ALVAREZ</v>
      </c>
      <c r="AG519" s="23">
        <f>IFERROR(VLOOKUP(AE519,Listas!$AD$1:$AF$65,3,FALSE),"")</f>
        <v>1032460552</v>
      </c>
      <c r="AH519" s="17" t="s">
        <v>2936</v>
      </c>
      <c r="AI519" s="65"/>
      <c r="AJ519" s="25" t="s">
        <v>1435</v>
      </c>
      <c r="AK519" s="26" t="s">
        <v>2071</v>
      </c>
      <c r="AL519" s="26" t="s">
        <v>2071</v>
      </c>
      <c r="AM519" s="90" t="s">
        <v>1435</v>
      </c>
      <c r="AN519" s="105"/>
      <c r="AO519" s="91" t="str">
        <f t="shared" ca="1" si="233"/>
        <v xml:space="preserve"> </v>
      </c>
      <c r="AP519" s="26" t="s">
        <v>2937</v>
      </c>
      <c r="AQ519" s="26" t="s">
        <v>3437</v>
      </c>
      <c r="AR519" s="89"/>
      <c r="AS519" s="27"/>
      <c r="AT519" s="16"/>
      <c r="AU519" s="27"/>
      <c r="AV519" s="86"/>
      <c r="AW519" s="27"/>
      <c r="AX519" s="27"/>
      <c r="AY519" s="27"/>
      <c r="AZ519" s="27"/>
      <c r="BA519" s="27"/>
      <c r="BB519" s="27">
        <v>45667</v>
      </c>
      <c r="BC519" s="97">
        <v>326</v>
      </c>
      <c r="BD519" s="27"/>
      <c r="BE519" s="16"/>
      <c r="BF519" s="28">
        <f t="shared" si="227"/>
        <v>326</v>
      </c>
      <c r="BG519" s="29"/>
      <c r="BH519" s="27"/>
      <c r="BI519" s="30">
        <f t="shared" si="220"/>
        <v>692</v>
      </c>
      <c r="BJ519" s="31">
        <f t="shared" si="221"/>
        <v>46022</v>
      </c>
      <c r="BK519" s="27">
        <v>45667</v>
      </c>
      <c r="BL519" s="16" t="s">
        <v>4284</v>
      </c>
      <c r="BM519" s="27"/>
      <c r="BN519" s="16"/>
      <c r="BO519" s="27"/>
      <c r="BP519" s="16"/>
      <c r="BQ519" s="27"/>
      <c r="BR519" s="24"/>
      <c r="BS519" s="24"/>
      <c r="BT519" s="32"/>
      <c r="BU519" s="27"/>
      <c r="BV519" s="24"/>
      <c r="BW519" s="24"/>
      <c r="BX519" s="16"/>
      <c r="BY519" s="27"/>
      <c r="BZ519" s="24"/>
      <c r="CA519" s="24"/>
      <c r="CB519" s="16"/>
      <c r="CC519" s="49">
        <f t="shared" si="228"/>
        <v>0</v>
      </c>
      <c r="CD519" s="24"/>
      <c r="CE519" s="49" t="str">
        <f>IFERROR(IF(Y519=0,(W519+CC519)-CD519,IF(Y519&gt;0,(Y519+CC519)-CD519)),"")</f>
        <v/>
      </c>
      <c r="CF519" s="50">
        <v>4406505036.81001</v>
      </c>
      <c r="CG519" s="49" t="str">
        <f t="shared" ca="1" si="229"/>
        <v/>
      </c>
      <c r="CH519" s="33">
        <f t="shared" ca="1" si="224"/>
        <v>0.89604685212298685</v>
      </c>
      <c r="CI519" s="33">
        <f t="shared" ca="1" si="225"/>
        <v>0.89604685212298685</v>
      </c>
      <c r="CJ519" s="36" t="str">
        <f t="shared" ca="1" si="230"/>
        <v/>
      </c>
      <c r="CK519" s="34" t="str">
        <f t="shared" si="231"/>
        <v/>
      </c>
      <c r="CL519" s="21"/>
      <c r="CM519" s="35" t="str">
        <f t="shared" ca="1" si="222"/>
        <v>VIGENTE</v>
      </c>
      <c r="CN519" s="82"/>
      <c r="CP519" s="26"/>
    </row>
    <row r="520" spans="1:98" ht="24.75" customHeight="1">
      <c r="A520" s="109" t="s">
        <v>4285</v>
      </c>
      <c r="B520" s="77" t="s">
        <v>4286</v>
      </c>
      <c r="C520" s="17" t="s">
        <v>104</v>
      </c>
      <c r="D520" s="18" t="s">
        <v>4287</v>
      </c>
      <c r="E520" s="17" t="s">
        <v>106</v>
      </c>
      <c r="F520" s="17" t="s">
        <v>107</v>
      </c>
      <c r="G520" s="17" t="s">
        <v>108</v>
      </c>
      <c r="H520" s="78">
        <v>52793277</v>
      </c>
      <c r="I520" s="74" t="s">
        <v>4288</v>
      </c>
      <c r="J520" s="16"/>
      <c r="K520" s="16"/>
      <c r="L520" s="20" t="s">
        <v>4289</v>
      </c>
      <c r="M520" s="16" t="s">
        <v>111</v>
      </c>
      <c r="N520" s="115">
        <v>45330</v>
      </c>
      <c r="O520" s="115">
        <v>45331</v>
      </c>
      <c r="P520" s="115">
        <v>45656</v>
      </c>
      <c r="Q520" s="23">
        <f t="shared" si="232"/>
        <v>325</v>
      </c>
      <c r="R520" s="17" t="s">
        <v>242</v>
      </c>
      <c r="S520" s="117" t="s">
        <v>4290</v>
      </c>
      <c r="T520" s="16" t="s">
        <v>997</v>
      </c>
      <c r="U520" s="24">
        <v>127266267</v>
      </c>
      <c r="V520" s="16" t="s">
        <v>815</v>
      </c>
      <c r="W520" s="227">
        <v>126500000</v>
      </c>
      <c r="X520" s="24">
        <v>11500000</v>
      </c>
      <c r="Y520" s="24"/>
      <c r="Z520" s="24"/>
      <c r="AA520" s="17" t="s">
        <v>116</v>
      </c>
      <c r="AB520" s="23" t="str">
        <f>IFERROR(VLOOKUP(AA520,Listas!$A$1:$C$14,2,FALSE),"")</f>
        <v>FREDY CÉSPEDES VILLA</v>
      </c>
      <c r="AC520" s="23">
        <f>IFERROR(VLOOKUP(AA520,Listas!$A$1:$C$14,3,FALSE),"")</f>
        <v>93363483</v>
      </c>
      <c r="AD520" s="17" t="s">
        <v>816</v>
      </c>
      <c r="AE520" s="17" t="s">
        <v>1450</v>
      </c>
      <c r="AF520" s="23" t="str">
        <f>IFERROR(VLOOKUP(AE520,Listas!$AD$1:$AF$65,2,FALSE),"")</f>
        <v>LINA MARIA CRUZ SILVA</v>
      </c>
      <c r="AG520" s="23">
        <f>IFERROR(VLOOKUP(AE520,Listas!$AD$1:$AF$65,3,FALSE),"")</f>
        <v>52423537</v>
      </c>
      <c r="AH520" s="17" t="s">
        <v>118</v>
      </c>
      <c r="AI520" s="65" t="s">
        <v>4291</v>
      </c>
      <c r="AJ520" s="25" t="s">
        <v>119</v>
      </c>
      <c r="AK520" s="26" t="s">
        <v>120</v>
      </c>
      <c r="AL520" s="26" t="s">
        <v>120</v>
      </c>
      <c r="AM520" s="90" t="s">
        <v>119</v>
      </c>
      <c r="AN520" s="105">
        <v>29739</v>
      </c>
      <c r="AO520" s="91">
        <f t="shared" ca="1" si="233"/>
        <v>44</v>
      </c>
      <c r="AP520" s="26" t="s">
        <v>121</v>
      </c>
      <c r="AQ520" s="26" t="s">
        <v>515</v>
      </c>
      <c r="AR520" s="89"/>
      <c r="AS520" s="27"/>
      <c r="AT520" s="16"/>
      <c r="AU520" s="27"/>
      <c r="AV520" s="86"/>
      <c r="AW520" s="27"/>
      <c r="AX520" s="27"/>
      <c r="AY520" s="27"/>
      <c r="AZ520" s="27"/>
      <c r="BA520" s="27"/>
      <c r="BB520" s="27"/>
      <c r="BC520" s="97"/>
      <c r="BD520" s="27"/>
      <c r="BE520" s="16"/>
      <c r="BF520" s="28">
        <f t="shared" si="227"/>
        <v>0</v>
      </c>
      <c r="BG520" s="29"/>
      <c r="BH520" s="27"/>
      <c r="BI520" s="30">
        <f t="shared" si="220"/>
        <v>325</v>
      </c>
      <c r="BJ520" s="31">
        <f t="shared" si="221"/>
        <v>45656</v>
      </c>
      <c r="BK520" s="27"/>
      <c r="BL520" s="16"/>
      <c r="BM520" s="27"/>
      <c r="BN520" s="16"/>
      <c r="BO520" s="27"/>
      <c r="BP520" s="16"/>
      <c r="BQ520" s="27"/>
      <c r="BR520" s="24"/>
      <c r="BS520" s="24"/>
      <c r="BT520" s="32"/>
      <c r="BU520" s="27"/>
      <c r="BV520" s="24"/>
      <c r="BW520" s="24"/>
      <c r="BX520" s="16"/>
      <c r="BY520" s="27"/>
      <c r="BZ520" s="24"/>
      <c r="CA520" s="24"/>
      <c r="CB520" s="16"/>
      <c r="CC520" s="49">
        <f t="shared" si="228"/>
        <v>0</v>
      </c>
      <c r="CD520" s="24"/>
      <c r="CE520" s="49">
        <f t="shared" ref="CE520:CE534" si="234">IF(Y520=0,(W520+CC520)-CD520,IF(Y520&gt;0,(Y520+CC520)-CD520))</f>
        <v>126500000</v>
      </c>
      <c r="CF520" s="50"/>
      <c r="CG520" s="49">
        <f t="shared" ca="1" si="229"/>
        <v>126500000</v>
      </c>
      <c r="CH520" s="33">
        <f t="shared" ca="1" si="224"/>
        <v>1</v>
      </c>
      <c r="CI520" s="33">
        <f t="shared" ca="1" si="225"/>
        <v>1</v>
      </c>
      <c r="CJ520" s="36">
        <f t="shared" ca="1" si="230"/>
        <v>100</v>
      </c>
      <c r="CK520" s="34">
        <f t="shared" si="231"/>
        <v>0</v>
      </c>
      <c r="CL520" s="21"/>
      <c r="CM520" s="35" t="str">
        <f t="shared" ca="1" si="222"/>
        <v>TERMINADO</v>
      </c>
      <c r="CN520" s="82"/>
      <c r="CO520" s="145" t="s">
        <v>4292</v>
      </c>
      <c r="CP520" s="26" t="s">
        <v>123</v>
      </c>
    </row>
    <row r="521" spans="1:98" ht="24.75" customHeight="1">
      <c r="A521" s="109" t="s">
        <v>4293</v>
      </c>
      <c r="B521" s="77" t="s">
        <v>4294</v>
      </c>
      <c r="C521" s="17" t="s">
        <v>104</v>
      </c>
      <c r="D521" s="18" t="s">
        <v>4295</v>
      </c>
      <c r="E521" s="17" t="s">
        <v>106</v>
      </c>
      <c r="F521" s="17" t="s">
        <v>107</v>
      </c>
      <c r="G521" s="17" t="s">
        <v>108</v>
      </c>
      <c r="H521" s="78">
        <v>52317167</v>
      </c>
      <c r="I521" s="74" t="s">
        <v>4296</v>
      </c>
      <c r="J521" s="16"/>
      <c r="K521" s="16"/>
      <c r="L521" s="20" t="s">
        <v>4297</v>
      </c>
      <c r="M521" s="16" t="s">
        <v>111</v>
      </c>
      <c r="N521" s="115">
        <v>45330</v>
      </c>
      <c r="O521" s="115">
        <v>45336</v>
      </c>
      <c r="P521" s="115">
        <v>45459</v>
      </c>
      <c r="Q521" s="23">
        <f t="shared" si="232"/>
        <v>123</v>
      </c>
      <c r="R521" s="17" t="s">
        <v>112</v>
      </c>
      <c r="S521" s="117" t="s">
        <v>4298</v>
      </c>
      <c r="T521" s="16" t="s">
        <v>2025</v>
      </c>
      <c r="U521" s="24">
        <v>38400000</v>
      </c>
      <c r="V521" s="16" t="s">
        <v>1418</v>
      </c>
      <c r="W521" s="227">
        <v>38400000</v>
      </c>
      <c r="X521" s="24">
        <v>6400000</v>
      </c>
      <c r="Y521" s="24"/>
      <c r="Z521" s="24"/>
      <c r="AA521" s="17" t="s">
        <v>116</v>
      </c>
      <c r="AB521" s="23" t="str">
        <f>IFERROR(VLOOKUP(AA521,Listas!$A$1:$C$14,2,FALSE),"")</f>
        <v>FREDY CÉSPEDES VILLA</v>
      </c>
      <c r="AC521" s="23">
        <f>IFERROR(VLOOKUP(AA521,Listas!$A$1:$C$14,3,FALSE),"")</f>
        <v>93363483</v>
      </c>
      <c r="AD521" s="17" t="s">
        <v>116</v>
      </c>
      <c r="AE521" s="17" t="s">
        <v>484</v>
      </c>
      <c r="AF521" s="23" t="str">
        <f>IFERROR(VLOOKUP(AE521,Listas!$AD$1:$AF$65,2,FALSE),"")</f>
        <v>JAIME ANDRES GIL ACOSTA</v>
      </c>
      <c r="AG521" s="23">
        <f>IFERROR(VLOOKUP(AE521,Listas!$AD$1:$AF$65,3,FALSE),"")</f>
        <v>98622827</v>
      </c>
      <c r="AH521" s="17" t="s">
        <v>118</v>
      </c>
      <c r="AI521" s="65" t="s">
        <v>4299</v>
      </c>
      <c r="AJ521" s="25" t="s">
        <v>119</v>
      </c>
      <c r="AK521" s="26" t="s">
        <v>120</v>
      </c>
      <c r="AL521" s="26" t="s">
        <v>120</v>
      </c>
      <c r="AM521" s="90" t="s">
        <v>119</v>
      </c>
      <c r="AN521" s="105">
        <v>28153</v>
      </c>
      <c r="AO521" s="91">
        <f t="shared" ca="1" si="233"/>
        <v>48</v>
      </c>
      <c r="AP521" s="26" t="s">
        <v>121</v>
      </c>
      <c r="AQ521" s="26" t="s">
        <v>122</v>
      </c>
      <c r="AR521" s="89"/>
      <c r="AS521" s="27"/>
      <c r="AT521" s="16"/>
      <c r="AU521" s="27"/>
      <c r="AV521" s="86"/>
      <c r="AW521" s="27"/>
      <c r="AX521" s="27"/>
      <c r="AY521" s="27"/>
      <c r="AZ521" s="27"/>
      <c r="BA521" s="27"/>
      <c r="BB521" s="27"/>
      <c r="BC521" s="97"/>
      <c r="BD521" s="27"/>
      <c r="BE521" s="16"/>
      <c r="BF521" s="28">
        <f t="shared" si="227"/>
        <v>0</v>
      </c>
      <c r="BG521" s="29"/>
      <c r="BH521" s="27"/>
      <c r="BI521" s="30">
        <f t="shared" si="220"/>
        <v>123</v>
      </c>
      <c r="BJ521" s="31">
        <f t="shared" si="221"/>
        <v>45459</v>
      </c>
      <c r="BK521" s="27"/>
      <c r="BL521" s="16"/>
      <c r="BM521" s="27"/>
      <c r="BN521" s="16"/>
      <c r="BO521" s="27"/>
      <c r="BP521" s="16"/>
      <c r="BQ521" s="27"/>
      <c r="BR521" s="24"/>
      <c r="BS521" s="24"/>
      <c r="BT521" s="32"/>
      <c r="BU521" s="27"/>
      <c r="BV521" s="24"/>
      <c r="BW521" s="24"/>
      <c r="BX521" s="16"/>
      <c r="BY521" s="27"/>
      <c r="BZ521" s="24"/>
      <c r="CA521" s="24"/>
      <c r="CB521" s="16"/>
      <c r="CC521" s="49">
        <f t="shared" si="228"/>
        <v>0</v>
      </c>
      <c r="CD521" s="24"/>
      <c r="CE521" s="49">
        <f t="shared" si="234"/>
        <v>38400000</v>
      </c>
      <c r="CF521" s="50"/>
      <c r="CG521" s="49">
        <f t="shared" ca="1" si="229"/>
        <v>38400000</v>
      </c>
      <c r="CH521" s="33">
        <f t="shared" ca="1" si="224"/>
        <v>1</v>
      </c>
      <c r="CI521" s="33">
        <f t="shared" ca="1" si="225"/>
        <v>1</v>
      </c>
      <c r="CJ521" s="36">
        <f t="shared" ca="1" si="230"/>
        <v>100</v>
      </c>
      <c r="CK521" s="34">
        <f t="shared" si="231"/>
        <v>0</v>
      </c>
      <c r="CL521" s="21"/>
      <c r="CM521" s="35" t="str">
        <f t="shared" ca="1" si="222"/>
        <v>TERMINADO</v>
      </c>
      <c r="CN521" s="82"/>
      <c r="CO521" s="145" t="s">
        <v>4300</v>
      </c>
      <c r="CP521" s="26" t="s">
        <v>123</v>
      </c>
    </row>
    <row r="522" spans="1:98" ht="24.75" customHeight="1">
      <c r="A522" s="109" t="s">
        <v>4301</v>
      </c>
      <c r="B522" s="77" t="s">
        <v>4302</v>
      </c>
      <c r="C522" s="17" t="s">
        <v>104</v>
      </c>
      <c r="D522" s="18" t="s">
        <v>4303</v>
      </c>
      <c r="E522" s="17" t="s">
        <v>106</v>
      </c>
      <c r="F522" s="17" t="s">
        <v>107</v>
      </c>
      <c r="G522" s="17" t="s">
        <v>108</v>
      </c>
      <c r="H522" s="78">
        <v>32785555</v>
      </c>
      <c r="I522" s="74" t="s">
        <v>4304</v>
      </c>
      <c r="J522" s="16"/>
      <c r="K522" s="16"/>
      <c r="L522" s="20" t="s">
        <v>3274</v>
      </c>
      <c r="M522" s="16" t="s">
        <v>111</v>
      </c>
      <c r="N522" s="115">
        <v>45330</v>
      </c>
      <c r="O522" s="115">
        <v>45335</v>
      </c>
      <c r="P522" s="115">
        <v>45656</v>
      </c>
      <c r="Q522" s="23">
        <f t="shared" si="232"/>
        <v>321</v>
      </c>
      <c r="R522" s="17" t="s">
        <v>242</v>
      </c>
      <c r="S522" s="117" t="s">
        <v>4305</v>
      </c>
      <c r="T522" s="16" t="s">
        <v>2614</v>
      </c>
      <c r="U522" s="24">
        <v>52965916</v>
      </c>
      <c r="V522" s="16" t="s">
        <v>2615</v>
      </c>
      <c r="W522" s="227">
        <v>52965916</v>
      </c>
      <c r="X522" s="24">
        <v>4413826</v>
      </c>
      <c r="Y522" s="24"/>
      <c r="Z522" s="24"/>
      <c r="AA522" s="17" t="s">
        <v>116</v>
      </c>
      <c r="AB522" s="23" t="str">
        <f>IFERROR(VLOOKUP(AA522,Listas!$A$1:$C$14,2,FALSE),"")</f>
        <v>FREDY CÉSPEDES VILLA</v>
      </c>
      <c r="AC522" s="23">
        <f>IFERROR(VLOOKUP(AA522,Listas!$A$1:$C$14,3,FALSE),"")</f>
        <v>93363483</v>
      </c>
      <c r="AD522" s="17" t="s">
        <v>406</v>
      </c>
      <c r="AE522" s="17" t="s">
        <v>504</v>
      </c>
      <c r="AF522" s="23" t="str">
        <f>IFERROR(VLOOKUP(AE522,Listas!$AD$1:$AF$65,2,FALSE),"")</f>
        <v>EDUARDO ELÍAS BARCHA BOLÍVAR</v>
      </c>
      <c r="AG522" s="23">
        <f>IFERROR(VLOOKUP(AE522,Listas!$AD$1:$AF$65,3,FALSE),"")</f>
        <v>72133921</v>
      </c>
      <c r="AH522" s="17" t="s">
        <v>118</v>
      </c>
      <c r="AI522" s="65" t="s">
        <v>4306</v>
      </c>
      <c r="AJ522" s="25" t="s">
        <v>119</v>
      </c>
      <c r="AK522" s="26" t="s">
        <v>120</v>
      </c>
      <c r="AL522" s="26" t="s">
        <v>120</v>
      </c>
      <c r="AM522" s="90" t="s">
        <v>119</v>
      </c>
      <c r="AN522" s="105">
        <v>27748</v>
      </c>
      <c r="AO522" s="91">
        <f t="shared" ca="1" si="233"/>
        <v>50</v>
      </c>
      <c r="AP522" s="26" t="s">
        <v>121</v>
      </c>
      <c r="AQ522" s="26" t="s">
        <v>409</v>
      </c>
      <c r="AR522" s="89"/>
      <c r="AS522" s="27"/>
      <c r="AT522" s="16"/>
      <c r="AU522" s="27"/>
      <c r="AV522" s="86"/>
      <c r="AW522" s="27"/>
      <c r="AX522" s="27"/>
      <c r="AY522" s="27"/>
      <c r="AZ522" s="27"/>
      <c r="BA522" s="27"/>
      <c r="BB522" s="27"/>
      <c r="BC522" s="97"/>
      <c r="BD522" s="27"/>
      <c r="BE522" s="16"/>
      <c r="BF522" s="28">
        <f t="shared" si="227"/>
        <v>0</v>
      </c>
      <c r="BG522" s="29"/>
      <c r="BH522" s="27"/>
      <c r="BI522" s="30">
        <f t="shared" si="220"/>
        <v>321</v>
      </c>
      <c r="BJ522" s="31">
        <f t="shared" si="221"/>
        <v>45656</v>
      </c>
      <c r="BK522" s="27"/>
      <c r="BL522" s="16"/>
      <c r="BM522" s="27"/>
      <c r="BN522" s="16"/>
      <c r="BO522" s="27"/>
      <c r="BP522" s="16"/>
      <c r="BQ522" s="27"/>
      <c r="BR522" s="24"/>
      <c r="BS522" s="24"/>
      <c r="BT522" s="32"/>
      <c r="BU522" s="27"/>
      <c r="BV522" s="24"/>
      <c r="BW522" s="24"/>
      <c r="BX522" s="16"/>
      <c r="BY522" s="27"/>
      <c r="BZ522" s="24"/>
      <c r="CA522" s="24"/>
      <c r="CB522" s="16"/>
      <c r="CC522" s="49">
        <f t="shared" si="228"/>
        <v>0</v>
      </c>
      <c r="CD522" s="24"/>
      <c r="CE522" s="49">
        <f t="shared" si="234"/>
        <v>52965916</v>
      </c>
      <c r="CF522" s="50"/>
      <c r="CG522" s="49">
        <f t="shared" ca="1" si="229"/>
        <v>52965916</v>
      </c>
      <c r="CH522" s="33">
        <f t="shared" ca="1" si="224"/>
        <v>1</v>
      </c>
      <c r="CI522" s="33">
        <f t="shared" ca="1" si="225"/>
        <v>1</v>
      </c>
      <c r="CJ522" s="36">
        <f t="shared" ca="1" si="230"/>
        <v>100</v>
      </c>
      <c r="CK522" s="34">
        <f t="shared" si="231"/>
        <v>0</v>
      </c>
      <c r="CL522" s="21"/>
      <c r="CM522" s="35" t="str">
        <f t="shared" ca="1" si="222"/>
        <v>TERMINADO</v>
      </c>
      <c r="CN522" s="82"/>
      <c r="CO522" s="145" t="s">
        <v>4307</v>
      </c>
      <c r="CP522" s="26" t="s">
        <v>123</v>
      </c>
    </row>
    <row r="523" spans="1:98" ht="24.75" customHeight="1">
      <c r="A523" s="109" t="s">
        <v>4308</v>
      </c>
      <c r="B523" s="77" t="s">
        <v>4309</v>
      </c>
      <c r="C523" s="17" t="s">
        <v>104</v>
      </c>
      <c r="D523" s="18" t="s">
        <v>4310</v>
      </c>
      <c r="E523" s="17" t="s">
        <v>106</v>
      </c>
      <c r="F523" s="17" t="s">
        <v>107</v>
      </c>
      <c r="G523" s="17" t="s">
        <v>108</v>
      </c>
      <c r="H523" s="78">
        <v>80387716</v>
      </c>
      <c r="I523" s="74" t="s">
        <v>4311</v>
      </c>
      <c r="J523" s="16"/>
      <c r="K523" s="16"/>
      <c r="L523" s="20" t="s">
        <v>4312</v>
      </c>
      <c r="M523" s="16" t="s">
        <v>111</v>
      </c>
      <c r="N523" s="115">
        <v>45330</v>
      </c>
      <c r="O523" s="115">
        <v>45330</v>
      </c>
      <c r="P523" s="115">
        <v>45656</v>
      </c>
      <c r="Q523" s="23">
        <f t="shared" si="232"/>
        <v>326</v>
      </c>
      <c r="R523" s="17" t="s">
        <v>242</v>
      </c>
      <c r="S523" s="117" t="s">
        <v>4313</v>
      </c>
      <c r="T523" s="16" t="s">
        <v>4314</v>
      </c>
      <c r="U523" s="24">
        <v>48257835</v>
      </c>
      <c r="V523" s="16" t="s">
        <v>471</v>
      </c>
      <c r="W523" s="227">
        <v>48257835</v>
      </c>
      <c r="X523" s="24">
        <v>4413826</v>
      </c>
      <c r="Y523" s="24"/>
      <c r="Z523" s="24"/>
      <c r="AA523" s="17" t="s">
        <v>116</v>
      </c>
      <c r="AB523" s="23" t="str">
        <f>IFERROR(VLOOKUP(AA523,Listas!$A$1:$C$14,2,FALSE),"")</f>
        <v>FREDY CÉSPEDES VILLA</v>
      </c>
      <c r="AC523" s="23">
        <f>IFERROR(VLOOKUP(AA523,Listas!$A$1:$C$14,3,FALSE),"")</f>
        <v>93363483</v>
      </c>
      <c r="AD523" s="17" t="s">
        <v>345</v>
      </c>
      <c r="AE523" s="17" t="s">
        <v>346</v>
      </c>
      <c r="AF523" s="23" t="str">
        <f>IFERROR(VLOOKUP(AE523,Listas!$AD$1:$AF$65,2,FALSE),"")</f>
        <v>RODOLFO GIOVANNI CANCHILA SUÁREZ</v>
      </c>
      <c r="AG523" s="23">
        <f>IFERROR(VLOOKUP(AE523,Listas!$AD$1:$AF$65,3,FALSE),"")</f>
        <v>79672493</v>
      </c>
      <c r="AH523" s="17" t="s">
        <v>118</v>
      </c>
      <c r="AI523" s="65" t="s">
        <v>4315</v>
      </c>
      <c r="AJ523" s="25" t="s">
        <v>119</v>
      </c>
      <c r="AK523" s="26" t="s">
        <v>120</v>
      </c>
      <c r="AL523" s="26" t="s">
        <v>120</v>
      </c>
      <c r="AM523" s="90" t="s">
        <v>119</v>
      </c>
      <c r="AN523" s="105">
        <v>29840</v>
      </c>
      <c r="AO523" s="91">
        <f t="shared" ca="1" si="233"/>
        <v>44</v>
      </c>
      <c r="AP523" s="26" t="s">
        <v>121</v>
      </c>
      <c r="AQ523" s="26" t="s">
        <v>367</v>
      </c>
      <c r="AR523" s="89"/>
      <c r="AS523" s="27"/>
      <c r="AT523" s="16"/>
      <c r="AU523" s="27"/>
      <c r="AV523" s="86"/>
      <c r="AW523" s="27"/>
      <c r="AX523" s="27"/>
      <c r="AY523" s="27"/>
      <c r="AZ523" s="27"/>
      <c r="BA523" s="27"/>
      <c r="BB523" s="27"/>
      <c r="BC523" s="97"/>
      <c r="BD523" s="27"/>
      <c r="BE523" s="16"/>
      <c r="BF523" s="28">
        <f t="shared" si="227"/>
        <v>0</v>
      </c>
      <c r="BG523" s="29"/>
      <c r="BH523" s="27"/>
      <c r="BI523" s="30">
        <f t="shared" si="220"/>
        <v>326</v>
      </c>
      <c r="BJ523" s="31">
        <f t="shared" si="221"/>
        <v>45656</v>
      </c>
      <c r="BK523" s="27"/>
      <c r="BL523" s="16"/>
      <c r="BM523" s="27"/>
      <c r="BN523" s="16"/>
      <c r="BO523" s="27"/>
      <c r="BP523" s="16"/>
      <c r="BQ523" s="27"/>
      <c r="BR523" s="24"/>
      <c r="BS523" s="24"/>
      <c r="BT523" s="32"/>
      <c r="BU523" s="27"/>
      <c r="BV523" s="24"/>
      <c r="BW523" s="24"/>
      <c r="BX523" s="16"/>
      <c r="BY523" s="27"/>
      <c r="BZ523" s="24"/>
      <c r="CA523" s="24"/>
      <c r="CB523" s="16"/>
      <c r="CC523" s="49">
        <f t="shared" si="228"/>
        <v>0</v>
      </c>
      <c r="CD523" s="24"/>
      <c r="CE523" s="49">
        <f t="shared" si="234"/>
        <v>48257835</v>
      </c>
      <c r="CF523" s="50"/>
      <c r="CG523" s="49">
        <f t="shared" ca="1" si="229"/>
        <v>48257835</v>
      </c>
      <c r="CH523" s="33">
        <f t="shared" ca="1" si="224"/>
        <v>1</v>
      </c>
      <c r="CI523" s="33">
        <f t="shared" ca="1" si="225"/>
        <v>1</v>
      </c>
      <c r="CJ523" s="36">
        <f t="shared" ca="1" si="230"/>
        <v>100</v>
      </c>
      <c r="CK523" s="34">
        <f t="shared" si="231"/>
        <v>0</v>
      </c>
      <c r="CL523" s="21"/>
      <c r="CM523" s="35" t="str">
        <f t="shared" ca="1" si="222"/>
        <v>TERMINADO</v>
      </c>
      <c r="CN523" s="82"/>
      <c r="CO523" s="145" t="s">
        <v>4316</v>
      </c>
      <c r="CP523" s="26" t="s">
        <v>142</v>
      </c>
    </row>
    <row r="524" spans="1:98" ht="24.75" customHeight="1">
      <c r="A524" s="109" t="s">
        <v>4317</v>
      </c>
      <c r="B524" s="77" t="s">
        <v>4318</v>
      </c>
      <c r="C524" s="17" t="s">
        <v>104</v>
      </c>
      <c r="D524" s="18" t="s">
        <v>4319</v>
      </c>
      <c r="E524" s="17" t="s">
        <v>106</v>
      </c>
      <c r="F524" s="17" t="s">
        <v>107</v>
      </c>
      <c r="G524" s="17" t="s">
        <v>108</v>
      </c>
      <c r="H524" s="78">
        <v>1010223782</v>
      </c>
      <c r="I524" s="74" t="s">
        <v>4320</v>
      </c>
      <c r="J524" s="16"/>
      <c r="K524" s="16"/>
      <c r="L524" s="20" t="s">
        <v>4321</v>
      </c>
      <c r="M524" s="16" t="s">
        <v>111</v>
      </c>
      <c r="N524" s="115">
        <v>45330</v>
      </c>
      <c r="O524" s="115">
        <v>45330</v>
      </c>
      <c r="P524" s="115">
        <v>45656</v>
      </c>
      <c r="Q524" s="23">
        <f t="shared" si="232"/>
        <v>326</v>
      </c>
      <c r="R524" s="17" t="s">
        <v>242</v>
      </c>
      <c r="S524" s="117" t="s">
        <v>4322</v>
      </c>
      <c r="T524" s="16" t="s">
        <v>1345</v>
      </c>
      <c r="U524" s="24">
        <v>63579539</v>
      </c>
      <c r="V524" s="16" t="s">
        <v>344</v>
      </c>
      <c r="W524" s="227">
        <v>55305800</v>
      </c>
      <c r="X524" s="24">
        <v>5027800</v>
      </c>
      <c r="Y524" s="24"/>
      <c r="Z524" s="24"/>
      <c r="AA524" s="17" t="s">
        <v>116</v>
      </c>
      <c r="AB524" s="23" t="str">
        <f>IFERROR(VLOOKUP(AA524,Listas!$A$1:$C$14,2,FALSE),"")</f>
        <v>FREDY CÉSPEDES VILLA</v>
      </c>
      <c r="AC524" s="23">
        <f>IFERROR(VLOOKUP(AA524,Listas!$A$1:$C$14,3,FALSE),"")</f>
        <v>93363483</v>
      </c>
      <c r="AD524" s="17" t="s">
        <v>345</v>
      </c>
      <c r="AE524" s="17" t="s">
        <v>346</v>
      </c>
      <c r="AF524" s="23" t="str">
        <f>IFERROR(VLOOKUP(AE524,Listas!$AD$1:$AF$65,2,FALSE),"")</f>
        <v>RODOLFO GIOVANNI CANCHILA SUÁREZ</v>
      </c>
      <c r="AG524" s="23">
        <f>IFERROR(VLOOKUP(AE524,Listas!$AD$1:$AF$65,3,FALSE),"")</f>
        <v>79672493</v>
      </c>
      <c r="AH524" s="17" t="s">
        <v>118</v>
      </c>
      <c r="AI524" s="65" t="s">
        <v>4323</v>
      </c>
      <c r="AJ524" s="25" t="s">
        <v>119</v>
      </c>
      <c r="AK524" s="26" t="s">
        <v>120</v>
      </c>
      <c r="AL524" s="26" t="s">
        <v>120</v>
      </c>
      <c r="AM524" s="90" t="s">
        <v>119</v>
      </c>
      <c r="AN524" s="105">
        <v>34924</v>
      </c>
      <c r="AO524" s="91">
        <f t="shared" ca="1" si="233"/>
        <v>30</v>
      </c>
      <c r="AP524" s="26" t="s">
        <v>121</v>
      </c>
      <c r="AQ524" s="26" t="s">
        <v>367</v>
      </c>
      <c r="AR524" s="89"/>
      <c r="AS524" s="27"/>
      <c r="AT524" s="16"/>
      <c r="AU524" s="27"/>
      <c r="AV524" s="86"/>
      <c r="AW524" s="27"/>
      <c r="AX524" s="27"/>
      <c r="AY524" s="27"/>
      <c r="AZ524" s="27"/>
      <c r="BA524" s="27"/>
      <c r="BB524" s="27"/>
      <c r="BC524" s="97"/>
      <c r="BD524" s="27"/>
      <c r="BE524" s="16"/>
      <c r="BF524" s="28">
        <f t="shared" si="227"/>
        <v>0</v>
      </c>
      <c r="BG524" s="29"/>
      <c r="BH524" s="27"/>
      <c r="BI524" s="30">
        <f t="shared" si="220"/>
        <v>326</v>
      </c>
      <c r="BJ524" s="31">
        <f t="shared" si="221"/>
        <v>45656</v>
      </c>
      <c r="BK524" s="27"/>
      <c r="BL524" s="16"/>
      <c r="BM524" s="27"/>
      <c r="BN524" s="16"/>
      <c r="BO524" s="27"/>
      <c r="BP524" s="16"/>
      <c r="BQ524" s="27"/>
      <c r="BR524" s="24"/>
      <c r="BS524" s="24"/>
      <c r="BT524" s="32"/>
      <c r="BU524" s="27"/>
      <c r="BV524" s="24"/>
      <c r="BW524" s="24"/>
      <c r="BX524" s="16"/>
      <c r="BY524" s="27"/>
      <c r="BZ524" s="24"/>
      <c r="CA524" s="24"/>
      <c r="CB524" s="16"/>
      <c r="CC524" s="49">
        <f t="shared" si="228"/>
        <v>0</v>
      </c>
      <c r="CD524" s="24"/>
      <c r="CE524" s="49">
        <f t="shared" si="234"/>
        <v>55305800</v>
      </c>
      <c r="CF524" s="50"/>
      <c r="CG524" s="49">
        <f t="shared" ca="1" si="229"/>
        <v>55305800</v>
      </c>
      <c r="CH524" s="33">
        <f t="shared" ca="1" si="224"/>
        <v>1</v>
      </c>
      <c r="CI524" s="33">
        <f t="shared" ca="1" si="225"/>
        <v>1</v>
      </c>
      <c r="CJ524" s="36">
        <f t="shared" ca="1" si="230"/>
        <v>100</v>
      </c>
      <c r="CK524" s="34">
        <f t="shared" si="231"/>
        <v>0</v>
      </c>
      <c r="CL524" s="21"/>
      <c r="CM524" s="35" t="str">
        <f t="shared" ca="1" si="222"/>
        <v>TERMINADO</v>
      </c>
      <c r="CN524" s="82"/>
      <c r="CO524" s="145" t="s">
        <v>4324</v>
      </c>
      <c r="CP524" s="26" t="s">
        <v>123</v>
      </c>
    </row>
    <row r="525" spans="1:98" ht="24.75" customHeight="1">
      <c r="A525" s="48" t="s">
        <v>4325</v>
      </c>
      <c r="B525" s="77" t="s">
        <v>4326</v>
      </c>
      <c r="C525" s="17" t="s">
        <v>104</v>
      </c>
      <c r="D525" s="18" t="s">
        <v>4327</v>
      </c>
      <c r="E525" s="17" t="s">
        <v>106</v>
      </c>
      <c r="F525" s="17" t="s">
        <v>107</v>
      </c>
      <c r="G525" s="17" t="s">
        <v>108</v>
      </c>
      <c r="H525" s="78">
        <v>1032479916</v>
      </c>
      <c r="I525" s="74" t="s">
        <v>4328</v>
      </c>
      <c r="J525" s="16"/>
      <c r="K525" s="16"/>
      <c r="L525" s="20" t="s">
        <v>4329</v>
      </c>
      <c r="M525" s="16" t="s">
        <v>111</v>
      </c>
      <c r="N525" s="115">
        <v>45330</v>
      </c>
      <c r="O525" s="115">
        <v>45334</v>
      </c>
      <c r="P525" s="115">
        <v>45656</v>
      </c>
      <c r="Q525" s="23">
        <f t="shared" si="232"/>
        <v>322</v>
      </c>
      <c r="R525" s="17" t="s">
        <v>242</v>
      </c>
      <c r="S525" s="117" t="s">
        <v>4330</v>
      </c>
      <c r="T525" s="16" t="s">
        <v>4314</v>
      </c>
      <c r="U525" s="24">
        <v>46529092</v>
      </c>
      <c r="V525" s="16" t="s">
        <v>471</v>
      </c>
      <c r="W525" s="227">
        <v>46529092</v>
      </c>
      <c r="X525" s="24">
        <v>4046048</v>
      </c>
      <c r="Y525" s="24"/>
      <c r="Z525" s="24"/>
      <c r="AA525" s="17" t="s">
        <v>116</v>
      </c>
      <c r="AB525" s="23" t="str">
        <f>IFERROR(VLOOKUP(AA525,Listas!$A$1:$C$14,2,FALSE),"")</f>
        <v>FREDY CÉSPEDES VILLA</v>
      </c>
      <c r="AC525" s="23">
        <f>IFERROR(VLOOKUP(AA525,Listas!$A$1:$C$14,3,FALSE),"")</f>
        <v>93363483</v>
      </c>
      <c r="AD525" s="17" t="s">
        <v>1533</v>
      </c>
      <c r="AE525" s="17" t="s">
        <v>1534</v>
      </c>
      <c r="AF525" s="23" t="str">
        <f>IFERROR(VLOOKUP(AE525,Listas!$AD$1:$AF$65,2,FALSE),"")</f>
        <v>ESTEBAN GUERRERO ALVAREZ</v>
      </c>
      <c r="AG525" s="23">
        <f>IFERROR(VLOOKUP(AE525,Listas!$AD$1:$AF$65,3,FALSE),"")</f>
        <v>1032460552</v>
      </c>
      <c r="AH525" s="17" t="s">
        <v>118</v>
      </c>
      <c r="AI525" s="65" t="s">
        <v>4331</v>
      </c>
      <c r="AJ525" s="25" t="s">
        <v>119</v>
      </c>
      <c r="AK525" s="26" t="s">
        <v>120</v>
      </c>
      <c r="AL525" s="26" t="s">
        <v>120</v>
      </c>
      <c r="AM525" s="90" t="s">
        <v>119</v>
      </c>
      <c r="AN525" s="105">
        <v>35148</v>
      </c>
      <c r="AO525" s="91">
        <f t="shared" ca="1" si="233"/>
        <v>29</v>
      </c>
      <c r="AP525" s="26" t="s">
        <v>121</v>
      </c>
      <c r="AQ525" s="26" t="s">
        <v>327</v>
      </c>
      <c r="AR525" s="89"/>
      <c r="AS525" s="27"/>
      <c r="AT525" s="16"/>
      <c r="AU525" s="27"/>
      <c r="AV525" s="86"/>
      <c r="AW525" s="27"/>
      <c r="AX525" s="27"/>
      <c r="AY525" s="27"/>
      <c r="AZ525" s="27"/>
      <c r="BA525" s="27"/>
      <c r="BB525" s="27"/>
      <c r="BC525" s="97"/>
      <c r="BD525" s="27"/>
      <c r="BE525" s="16"/>
      <c r="BF525" s="28">
        <f t="shared" si="227"/>
        <v>0</v>
      </c>
      <c r="BG525" s="29"/>
      <c r="BH525" s="27"/>
      <c r="BI525" s="30">
        <f t="shared" si="220"/>
        <v>322</v>
      </c>
      <c r="BJ525" s="31">
        <f t="shared" si="221"/>
        <v>45656</v>
      </c>
      <c r="BK525" s="27"/>
      <c r="BL525" s="16"/>
      <c r="BM525" s="27"/>
      <c r="BN525" s="16"/>
      <c r="BO525" s="27"/>
      <c r="BP525" s="16"/>
      <c r="BQ525" s="27"/>
      <c r="BR525" s="24"/>
      <c r="BS525" s="24"/>
      <c r="BT525" s="32"/>
      <c r="BU525" s="27"/>
      <c r="BV525" s="24"/>
      <c r="BW525" s="24"/>
      <c r="BX525" s="16"/>
      <c r="BY525" s="27"/>
      <c r="BZ525" s="24"/>
      <c r="CA525" s="24"/>
      <c r="CB525" s="16"/>
      <c r="CC525" s="49">
        <f t="shared" si="228"/>
        <v>0</v>
      </c>
      <c r="CD525" s="24"/>
      <c r="CE525" s="49">
        <f t="shared" si="234"/>
        <v>46529092</v>
      </c>
      <c r="CF525" s="50"/>
      <c r="CG525" s="49">
        <f t="shared" ca="1" si="229"/>
        <v>46529092</v>
      </c>
      <c r="CH525" s="33">
        <f t="shared" ca="1" si="224"/>
        <v>1</v>
      </c>
      <c r="CI525" s="33">
        <f t="shared" ca="1" si="225"/>
        <v>1</v>
      </c>
      <c r="CJ525" s="36">
        <f t="shared" ca="1" si="230"/>
        <v>100</v>
      </c>
      <c r="CK525" s="34">
        <f t="shared" si="231"/>
        <v>0</v>
      </c>
      <c r="CL525" s="21"/>
      <c r="CM525" s="35" t="str">
        <f t="shared" ca="1" si="222"/>
        <v>TERMINADO</v>
      </c>
      <c r="CN525" s="82"/>
      <c r="CO525" s="145" t="s">
        <v>4332</v>
      </c>
      <c r="CP525" s="26" t="s">
        <v>142</v>
      </c>
    </row>
    <row r="526" spans="1:98" ht="24.75" customHeight="1">
      <c r="A526" s="109" t="s">
        <v>4333</v>
      </c>
      <c r="B526" s="77" t="s">
        <v>4334</v>
      </c>
      <c r="C526" s="17" t="s">
        <v>104</v>
      </c>
      <c r="D526" s="18" t="s">
        <v>4335</v>
      </c>
      <c r="E526" s="17" t="s">
        <v>106</v>
      </c>
      <c r="F526" s="17" t="s">
        <v>107</v>
      </c>
      <c r="G526" s="17" t="s">
        <v>108</v>
      </c>
      <c r="H526" s="78">
        <v>39629500</v>
      </c>
      <c r="I526" s="74" t="s">
        <v>4336</v>
      </c>
      <c r="J526" s="16"/>
      <c r="K526" s="16"/>
      <c r="L526" s="20" t="s">
        <v>4337</v>
      </c>
      <c r="M526" s="16" t="s">
        <v>111</v>
      </c>
      <c r="N526" s="115">
        <v>45330</v>
      </c>
      <c r="O526" s="115">
        <v>45348</v>
      </c>
      <c r="P526" s="115">
        <v>45656</v>
      </c>
      <c r="Q526" s="23">
        <f t="shared" si="232"/>
        <v>308</v>
      </c>
      <c r="R526" s="17" t="s">
        <v>242</v>
      </c>
      <c r="S526" s="117" t="s">
        <v>4338</v>
      </c>
      <c r="T526" s="16" t="s">
        <v>2708</v>
      </c>
      <c r="U526" s="24">
        <v>55908468</v>
      </c>
      <c r="V526" s="16" t="s">
        <v>4339</v>
      </c>
      <c r="W526" s="227">
        <v>51249429</v>
      </c>
      <c r="X526" s="24">
        <v>4659039</v>
      </c>
      <c r="Y526" s="24"/>
      <c r="Z526" s="24"/>
      <c r="AA526" s="17" t="s">
        <v>116</v>
      </c>
      <c r="AB526" s="23" t="str">
        <f>IFERROR(VLOOKUP(AA526,Listas!$A$1:$C$14,2,FALSE),"")</f>
        <v>FREDY CÉSPEDES VILLA</v>
      </c>
      <c r="AC526" s="23">
        <f>IFERROR(VLOOKUP(AA526,Listas!$A$1:$C$14,3,FALSE),"")</f>
        <v>93363483</v>
      </c>
      <c r="AD526" s="17" t="s">
        <v>116</v>
      </c>
      <c r="AE526" s="17" t="s">
        <v>2309</v>
      </c>
      <c r="AF526" s="23" t="str">
        <f>IFERROR(VLOOKUP(AE526,Listas!$AD$1:$AF$65,2,FALSE),"")</f>
        <v>YURY NAYIBE LADINO</v>
      </c>
      <c r="AG526" s="23">
        <f>IFERROR(VLOOKUP(AE526,Listas!$AD$1:$AF$65,3,FALSE),"")</f>
        <v>1013587191</v>
      </c>
      <c r="AH526" s="17" t="s">
        <v>118</v>
      </c>
      <c r="AI526" s="65" t="s">
        <v>4340</v>
      </c>
      <c r="AJ526" s="25" t="s">
        <v>119</v>
      </c>
      <c r="AK526" s="26" t="s">
        <v>120</v>
      </c>
      <c r="AL526" s="26" t="s">
        <v>120</v>
      </c>
      <c r="AM526" s="90" t="s">
        <v>119</v>
      </c>
      <c r="AN526" s="105">
        <v>29042</v>
      </c>
      <c r="AO526" s="91">
        <f t="shared" ca="1" si="233"/>
        <v>46</v>
      </c>
      <c r="AP526" s="26" t="s">
        <v>121</v>
      </c>
      <c r="AQ526" s="26" t="s">
        <v>285</v>
      </c>
      <c r="AR526" s="89"/>
      <c r="AS526" s="27"/>
      <c r="AT526" s="16"/>
      <c r="AU526" s="27"/>
      <c r="AV526" s="86"/>
      <c r="AW526" s="27"/>
      <c r="AX526" s="27"/>
      <c r="AY526" s="27"/>
      <c r="AZ526" s="27"/>
      <c r="BA526" s="27"/>
      <c r="BB526" s="27"/>
      <c r="BC526" s="97"/>
      <c r="BD526" s="27"/>
      <c r="BE526" s="16"/>
      <c r="BF526" s="28">
        <f t="shared" si="227"/>
        <v>0</v>
      </c>
      <c r="BG526" s="29"/>
      <c r="BH526" s="27"/>
      <c r="BI526" s="30">
        <f t="shared" si="220"/>
        <v>308</v>
      </c>
      <c r="BJ526" s="31">
        <f t="shared" si="221"/>
        <v>45656</v>
      </c>
      <c r="BK526" s="27"/>
      <c r="BL526" s="16"/>
      <c r="BM526" s="27"/>
      <c r="BN526" s="16"/>
      <c r="BO526" s="27"/>
      <c r="BP526" s="16"/>
      <c r="BQ526" s="27"/>
      <c r="BR526" s="24"/>
      <c r="BS526" s="24"/>
      <c r="BT526" s="32"/>
      <c r="BU526" s="27"/>
      <c r="BV526" s="24"/>
      <c r="BW526" s="24"/>
      <c r="BX526" s="16"/>
      <c r="BY526" s="27"/>
      <c r="BZ526" s="24"/>
      <c r="CA526" s="24"/>
      <c r="CB526" s="16"/>
      <c r="CC526" s="49">
        <f t="shared" si="228"/>
        <v>0</v>
      </c>
      <c r="CD526" s="24"/>
      <c r="CE526" s="49">
        <f t="shared" si="234"/>
        <v>51249429</v>
      </c>
      <c r="CF526" s="50"/>
      <c r="CG526" s="49">
        <f t="shared" ca="1" si="229"/>
        <v>51249429</v>
      </c>
      <c r="CH526" s="33">
        <f t="shared" ca="1" si="224"/>
        <v>1</v>
      </c>
      <c r="CI526" s="33">
        <f t="shared" ca="1" si="225"/>
        <v>1</v>
      </c>
      <c r="CJ526" s="36">
        <f t="shared" ca="1" si="230"/>
        <v>100</v>
      </c>
      <c r="CK526" s="34">
        <f t="shared" si="231"/>
        <v>0</v>
      </c>
      <c r="CL526" s="21"/>
      <c r="CM526" s="35" t="str">
        <f t="shared" ca="1" si="222"/>
        <v>TERMINADO</v>
      </c>
      <c r="CN526" s="82"/>
      <c r="CO526" s="145" t="s">
        <v>4341</v>
      </c>
      <c r="CP526" s="26" t="s">
        <v>123</v>
      </c>
    </row>
    <row r="527" spans="1:98" ht="24.75" customHeight="1">
      <c r="A527" s="48" t="s">
        <v>4342</v>
      </c>
      <c r="B527" s="77" t="s">
        <v>4343</v>
      </c>
      <c r="C527" s="17" t="s">
        <v>104</v>
      </c>
      <c r="D527" s="18" t="s">
        <v>4344</v>
      </c>
      <c r="E527" s="17" t="s">
        <v>106</v>
      </c>
      <c r="F527" s="17" t="s">
        <v>107</v>
      </c>
      <c r="G527" s="17" t="s">
        <v>108</v>
      </c>
      <c r="H527" s="78">
        <v>1033758891</v>
      </c>
      <c r="I527" s="74" t="s">
        <v>4345</v>
      </c>
      <c r="J527" s="16"/>
      <c r="K527" s="16"/>
      <c r="L527" s="20" t="s">
        <v>4346</v>
      </c>
      <c r="M527" s="16" t="s">
        <v>111</v>
      </c>
      <c r="N527" s="115">
        <v>45331</v>
      </c>
      <c r="O527" s="115">
        <v>45334</v>
      </c>
      <c r="P527" s="115">
        <v>45657</v>
      </c>
      <c r="Q527" s="23">
        <f t="shared" si="232"/>
        <v>323</v>
      </c>
      <c r="R527" s="17" t="s">
        <v>242</v>
      </c>
      <c r="S527" s="117" t="s">
        <v>4347</v>
      </c>
      <c r="T527" s="16" t="s">
        <v>1145</v>
      </c>
      <c r="U527" s="24">
        <v>93096500</v>
      </c>
      <c r="V527" s="16" t="s">
        <v>2546</v>
      </c>
      <c r="W527" s="227">
        <v>92260200</v>
      </c>
      <c r="X527" s="24">
        <v>8093000</v>
      </c>
      <c r="Y527" s="24"/>
      <c r="Z527" s="24"/>
      <c r="AA527" s="17" t="s">
        <v>116</v>
      </c>
      <c r="AB527" s="23" t="str">
        <f>IFERROR(VLOOKUP(AA527,Listas!$A$1:$C$14,2,FALSE),"")</f>
        <v>FREDY CÉSPEDES VILLA</v>
      </c>
      <c r="AC527" s="23">
        <f>IFERROR(VLOOKUP(AA527,Listas!$A$1:$C$14,3,FALSE),"")</f>
        <v>93363483</v>
      </c>
      <c r="AD527" s="17" t="s">
        <v>427</v>
      </c>
      <c r="AE527" s="17" t="s">
        <v>428</v>
      </c>
      <c r="AF527" s="23" t="str">
        <f>IFERROR(VLOOKUP(AE527,Listas!$AD$1:$AF$65,2,FALSE),"")</f>
        <v>DINORAH PATRICIA ABADIA MURILLO</v>
      </c>
      <c r="AG527" s="23">
        <f>IFERROR(VLOOKUP(AE527,Listas!$AD$1:$AF$65,3,FALSE),"")</f>
        <v>52220857</v>
      </c>
      <c r="AH527" s="17" t="s">
        <v>118</v>
      </c>
      <c r="AI527" s="65" t="s">
        <v>4348</v>
      </c>
      <c r="AJ527" s="25" t="s">
        <v>119</v>
      </c>
      <c r="AK527" s="26" t="s">
        <v>120</v>
      </c>
      <c r="AL527" s="26" t="s">
        <v>120</v>
      </c>
      <c r="AM527" s="90" t="s">
        <v>119</v>
      </c>
      <c r="AN527" s="105">
        <v>34269</v>
      </c>
      <c r="AO527" s="91">
        <f t="shared" ca="1" si="233"/>
        <v>32</v>
      </c>
      <c r="AP527" s="26" t="s">
        <v>121</v>
      </c>
      <c r="AQ527" s="26" t="s">
        <v>1272</v>
      </c>
      <c r="AR527" s="89"/>
      <c r="AS527" s="27"/>
      <c r="AT527" s="16"/>
      <c r="AU527" s="27"/>
      <c r="AV527" s="86"/>
      <c r="AW527" s="27"/>
      <c r="AX527" s="27"/>
      <c r="AY527" s="27"/>
      <c r="AZ527" s="27"/>
      <c r="BA527" s="27"/>
      <c r="BB527" s="27"/>
      <c r="BC527" s="97"/>
      <c r="BD527" s="27"/>
      <c r="BE527" s="16"/>
      <c r="BF527" s="28">
        <f t="shared" si="227"/>
        <v>0</v>
      </c>
      <c r="BG527" s="29"/>
      <c r="BH527" s="27"/>
      <c r="BI527" s="30">
        <f t="shared" si="220"/>
        <v>323</v>
      </c>
      <c r="BJ527" s="31">
        <f t="shared" si="221"/>
        <v>45657</v>
      </c>
      <c r="BK527" s="27"/>
      <c r="BL527" s="16"/>
      <c r="BM527" s="27"/>
      <c r="BN527" s="16"/>
      <c r="BO527" s="27"/>
      <c r="BP527" s="16"/>
      <c r="BQ527" s="27"/>
      <c r="BR527" s="24"/>
      <c r="BS527" s="24"/>
      <c r="BT527" s="32"/>
      <c r="BU527" s="27"/>
      <c r="BV527" s="24"/>
      <c r="BW527" s="24"/>
      <c r="BX527" s="16"/>
      <c r="BY527" s="27"/>
      <c r="BZ527" s="24"/>
      <c r="CA527" s="24"/>
      <c r="CB527" s="16"/>
      <c r="CC527" s="49">
        <f t="shared" si="228"/>
        <v>0</v>
      </c>
      <c r="CD527" s="24"/>
      <c r="CE527" s="49">
        <f t="shared" si="234"/>
        <v>92260200</v>
      </c>
      <c r="CF527" s="50"/>
      <c r="CG527" s="49">
        <f t="shared" ca="1" si="229"/>
        <v>92260200</v>
      </c>
      <c r="CH527" s="33">
        <f t="shared" ca="1" si="224"/>
        <v>1</v>
      </c>
      <c r="CI527" s="33">
        <f t="shared" ca="1" si="225"/>
        <v>1</v>
      </c>
      <c r="CJ527" s="36">
        <f t="shared" ca="1" si="230"/>
        <v>100</v>
      </c>
      <c r="CK527" s="34">
        <f t="shared" si="231"/>
        <v>0</v>
      </c>
      <c r="CL527" s="21"/>
      <c r="CM527" s="35" t="str">
        <f t="shared" ca="1" si="222"/>
        <v>TERMINADO</v>
      </c>
      <c r="CN527" s="82"/>
      <c r="CP527" s="26" t="s">
        <v>123</v>
      </c>
    </row>
    <row r="528" spans="1:98" ht="24.75" customHeight="1">
      <c r="A528" s="48" t="s">
        <v>4349</v>
      </c>
      <c r="B528" s="77" t="s">
        <v>4350</v>
      </c>
      <c r="C528" s="17" t="s">
        <v>104</v>
      </c>
      <c r="D528" s="18" t="s">
        <v>4351</v>
      </c>
      <c r="E528" s="17" t="s">
        <v>106</v>
      </c>
      <c r="F528" s="17" t="s">
        <v>107</v>
      </c>
      <c r="G528" s="17" t="s">
        <v>108</v>
      </c>
      <c r="H528" s="78">
        <v>6333488</v>
      </c>
      <c r="I528" s="74" t="s">
        <v>4352</v>
      </c>
      <c r="J528" s="16"/>
      <c r="K528" s="16"/>
      <c r="L528" s="20" t="s">
        <v>1866</v>
      </c>
      <c r="M528" s="16" t="s">
        <v>111</v>
      </c>
      <c r="N528" s="115">
        <v>45330</v>
      </c>
      <c r="O528" s="115">
        <v>45331</v>
      </c>
      <c r="P528" s="115">
        <v>45657</v>
      </c>
      <c r="Q528" s="23">
        <f t="shared" si="232"/>
        <v>326</v>
      </c>
      <c r="R528" s="17" t="s">
        <v>242</v>
      </c>
      <c r="S528" s="117" t="s">
        <v>4353</v>
      </c>
      <c r="T528" s="16" t="s">
        <v>1145</v>
      </c>
      <c r="U528" s="24">
        <v>69899100</v>
      </c>
      <c r="V528" s="16" t="s">
        <v>2546</v>
      </c>
      <c r="W528" s="227">
        <v>92260200</v>
      </c>
      <c r="X528" s="24">
        <v>6131500</v>
      </c>
      <c r="Y528" s="24"/>
      <c r="Z528" s="24"/>
      <c r="AA528" s="17" t="s">
        <v>116</v>
      </c>
      <c r="AB528" s="23" t="str">
        <f>IFERROR(VLOOKUP(AA528,Listas!$A$1:$C$14,2,FALSE),"")</f>
        <v>FREDY CÉSPEDES VILLA</v>
      </c>
      <c r="AC528" s="23">
        <f>IFERROR(VLOOKUP(AA528,Listas!$A$1:$C$14,3,FALSE),"")</f>
        <v>93363483</v>
      </c>
      <c r="AD528" s="17" t="s">
        <v>427</v>
      </c>
      <c r="AE528" s="17" t="s">
        <v>1802</v>
      </c>
      <c r="AF528" s="23" t="str">
        <f>IFERROR(VLOOKUP(AE528,Listas!$AD$1:$AF$65,2,FALSE),"")</f>
        <v>YULI ANDREA RIVEROS PINEDA</v>
      </c>
      <c r="AG528" s="23">
        <f>IFERROR(VLOOKUP(AE528,Listas!$AD$1:$AF$65,3,FALSE),"")</f>
        <v>53036984</v>
      </c>
      <c r="AH528" s="17" t="s">
        <v>118</v>
      </c>
      <c r="AI528" s="65" t="s">
        <v>4017</v>
      </c>
      <c r="AJ528" s="25" t="s">
        <v>119</v>
      </c>
      <c r="AK528" s="26" t="s">
        <v>120</v>
      </c>
      <c r="AL528" s="26" t="s">
        <v>120</v>
      </c>
      <c r="AM528" s="90" t="s">
        <v>119</v>
      </c>
      <c r="AN528" s="105">
        <v>31182</v>
      </c>
      <c r="AO528" s="91">
        <f t="shared" ca="1" si="233"/>
        <v>40</v>
      </c>
      <c r="AP528" s="26" t="s">
        <v>121</v>
      </c>
      <c r="AQ528" s="26" t="s">
        <v>1272</v>
      </c>
      <c r="AR528" s="89">
        <v>45390</v>
      </c>
      <c r="AS528" s="27" t="s">
        <v>4354</v>
      </c>
      <c r="AT528" s="16">
        <v>79367812</v>
      </c>
      <c r="AU528" s="27" t="s">
        <v>4355</v>
      </c>
      <c r="AV528" s="86">
        <v>60110418</v>
      </c>
      <c r="AW528" s="27"/>
      <c r="AX528" s="27"/>
      <c r="AY528" s="27"/>
      <c r="AZ528" s="27"/>
      <c r="BA528" s="27"/>
      <c r="BB528" s="27"/>
      <c r="BC528" s="97"/>
      <c r="BD528" s="27"/>
      <c r="BE528" s="16"/>
      <c r="BF528" s="28">
        <f t="shared" si="227"/>
        <v>0</v>
      </c>
      <c r="BG528" s="29"/>
      <c r="BH528" s="27"/>
      <c r="BI528" s="30">
        <f t="shared" si="220"/>
        <v>326</v>
      </c>
      <c r="BJ528" s="31">
        <f t="shared" si="221"/>
        <v>45657</v>
      </c>
      <c r="BK528" s="27"/>
      <c r="BL528" s="16"/>
      <c r="BM528" s="27"/>
      <c r="BN528" s="16"/>
      <c r="BO528" s="27"/>
      <c r="BP528" s="16"/>
      <c r="BQ528" s="27"/>
      <c r="BR528" s="24"/>
      <c r="BS528" s="24"/>
      <c r="BT528" s="32"/>
      <c r="BU528" s="27"/>
      <c r="BV528" s="24"/>
      <c r="BW528" s="24"/>
      <c r="BX528" s="16"/>
      <c r="BY528" s="27"/>
      <c r="BZ528" s="24"/>
      <c r="CA528" s="24"/>
      <c r="CB528" s="16"/>
      <c r="CC528" s="49">
        <f t="shared" si="228"/>
        <v>0</v>
      </c>
      <c r="CD528" s="24"/>
      <c r="CE528" s="49">
        <f t="shared" si="234"/>
        <v>92260200</v>
      </c>
      <c r="CF528" s="50"/>
      <c r="CG528" s="49">
        <f t="shared" ca="1" si="229"/>
        <v>92260200</v>
      </c>
      <c r="CH528" s="33">
        <f ca="1">IF(TODAY()&gt;BJ528,1,+(DAYS360(#REF!,TODAY())/DAYS360(#REF!,BJ528)))</f>
        <v>1</v>
      </c>
      <c r="CI528" s="33">
        <f ca="1">+IF(CL528&gt;0,DAYS360(#REF!,CL528)/DAYS360(#REF!,BJ528),CH528)</f>
        <v>1</v>
      </c>
      <c r="CJ528" s="36">
        <f t="shared" ca="1" si="230"/>
        <v>100</v>
      </c>
      <c r="CK528" s="34">
        <f t="shared" si="231"/>
        <v>0</v>
      </c>
      <c r="CL528" s="21"/>
      <c r="CM528" s="35" t="str">
        <f t="shared" ca="1" si="222"/>
        <v>TERMINADO</v>
      </c>
      <c r="CN528" s="82"/>
      <c r="CO528" s="145" t="s">
        <v>4356</v>
      </c>
      <c r="CP528" s="26" t="s">
        <v>142</v>
      </c>
    </row>
    <row r="529" spans="1:98" ht="24.75" customHeight="1">
      <c r="A529" s="48" t="s">
        <v>4357</v>
      </c>
      <c r="B529" s="77" t="s">
        <v>4358</v>
      </c>
      <c r="C529" s="17" t="s">
        <v>104</v>
      </c>
      <c r="D529" s="18" t="s">
        <v>4359</v>
      </c>
      <c r="E529" s="17" t="s">
        <v>106</v>
      </c>
      <c r="F529" s="17" t="s">
        <v>107</v>
      </c>
      <c r="G529" s="17" t="s">
        <v>108</v>
      </c>
      <c r="H529" s="78">
        <v>1030647729</v>
      </c>
      <c r="I529" s="74" t="s">
        <v>4360</v>
      </c>
      <c r="J529" s="16"/>
      <c r="K529" s="16"/>
      <c r="L529" s="20" t="s">
        <v>4361</v>
      </c>
      <c r="M529" s="16" t="s">
        <v>111</v>
      </c>
      <c r="N529" s="115">
        <v>45330</v>
      </c>
      <c r="O529" s="115">
        <v>45336</v>
      </c>
      <c r="P529" s="115">
        <v>45657</v>
      </c>
      <c r="Q529" s="23">
        <f t="shared" si="232"/>
        <v>321</v>
      </c>
      <c r="R529" s="17" t="s">
        <v>242</v>
      </c>
      <c r="S529" s="117" t="s">
        <v>4362</v>
      </c>
      <c r="T529" s="16" t="s">
        <v>1145</v>
      </c>
      <c r="U529" s="24">
        <v>94688100</v>
      </c>
      <c r="V529" s="16" t="s">
        <v>2546</v>
      </c>
      <c r="W529" s="227">
        <v>90911367</v>
      </c>
      <c r="X529" s="24">
        <v>8093000</v>
      </c>
      <c r="Y529" s="24"/>
      <c r="Z529" s="24"/>
      <c r="AA529" s="17" t="s">
        <v>116</v>
      </c>
      <c r="AB529" s="23" t="str">
        <f>IFERROR(VLOOKUP(AA529,Listas!$A$1:$C$14,2,FALSE),"")</f>
        <v>FREDY CÉSPEDES VILLA</v>
      </c>
      <c r="AC529" s="23">
        <f>IFERROR(VLOOKUP(AA529,Listas!$A$1:$C$14,3,FALSE),"")</f>
        <v>93363483</v>
      </c>
      <c r="AD529" s="17" t="s">
        <v>427</v>
      </c>
      <c r="AE529" s="17" t="s">
        <v>1802</v>
      </c>
      <c r="AF529" s="23" t="str">
        <f>IFERROR(VLOOKUP(AE529,Listas!$AD$1:$AF$65,2,FALSE),"")</f>
        <v>YULI ANDREA RIVEROS PINEDA</v>
      </c>
      <c r="AG529" s="23">
        <f>IFERROR(VLOOKUP(AE529,Listas!$AD$1:$AF$65,3,FALSE),"")</f>
        <v>53036984</v>
      </c>
      <c r="AH529" s="17" t="s">
        <v>118</v>
      </c>
      <c r="AI529" s="65" t="s">
        <v>4032</v>
      </c>
      <c r="AJ529" s="25" t="s">
        <v>119</v>
      </c>
      <c r="AK529" s="26" t="s">
        <v>120</v>
      </c>
      <c r="AL529" s="26" t="s">
        <v>120</v>
      </c>
      <c r="AM529" s="90" t="s">
        <v>119</v>
      </c>
      <c r="AN529" s="105">
        <v>34557</v>
      </c>
      <c r="AO529" s="91">
        <f t="shared" ca="1" si="233"/>
        <v>31</v>
      </c>
      <c r="AP529" s="26" t="s">
        <v>121</v>
      </c>
      <c r="AQ529" s="26" t="s">
        <v>1272</v>
      </c>
      <c r="AR529" s="89"/>
      <c r="AS529" s="27"/>
      <c r="AT529" s="16"/>
      <c r="AU529" s="27"/>
      <c r="AV529" s="86"/>
      <c r="AW529" s="27"/>
      <c r="AX529" s="27"/>
      <c r="AY529" s="27"/>
      <c r="AZ529" s="27"/>
      <c r="BA529" s="27"/>
      <c r="BB529" s="27"/>
      <c r="BC529" s="97"/>
      <c r="BD529" s="27"/>
      <c r="BE529" s="16"/>
      <c r="BF529" s="28">
        <f t="shared" si="227"/>
        <v>0</v>
      </c>
      <c r="BG529" s="29"/>
      <c r="BH529" s="27"/>
      <c r="BI529" s="30">
        <f t="shared" si="220"/>
        <v>321</v>
      </c>
      <c r="BJ529" s="31">
        <f t="shared" si="221"/>
        <v>45657</v>
      </c>
      <c r="BK529" s="27"/>
      <c r="BL529" s="16"/>
      <c r="BM529" s="27"/>
      <c r="BN529" s="16"/>
      <c r="BO529" s="27"/>
      <c r="BP529" s="16"/>
      <c r="BQ529" s="27"/>
      <c r="BR529" s="24"/>
      <c r="BS529" s="24"/>
      <c r="BT529" s="32"/>
      <c r="BU529" s="27"/>
      <c r="BV529" s="24"/>
      <c r="BW529" s="24"/>
      <c r="BX529" s="16"/>
      <c r="BY529" s="27"/>
      <c r="BZ529" s="24"/>
      <c r="CA529" s="24"/>
      <c r="CB529" s="16"/>
      <c r="CC529" s="49">
        <f t="shared" si="228"/>
        <v>0</v>
      </c>
      <c r="CD529" s="24"/>
      <c r="CE529" s="49">
        <f t="shared" si="234"/>
        <v>90911367</v>
      </c>
      <c r="CF529" s="50"/>
      <c r="CG529" s="49">
        <f t="shared" ca="1" si="229"/>
        <v>90911367</v>
      </c>
      <c r="CH529" s="33">
        <f t="shared" ref="CH529:CH534" ca="1" si="235">IF(TODAY()&gt;BJ529,1,+(DAYS360(O529,TODAY())/DAYS360(O529,BJ529)))</f>
        <v>1</v>
      </c>
      <c r="CI529" s="33">
        <f t="shared" ref="CI529:CI534" ca="1" si="236">+IF(CL529&gt;0,DAYS360(O529,CL529)/DAYS360(O529,BJ529),CH529)</f>
        <v>1</v>
      </c>
      <c r="CJ529" s="36">
        <f t="shared" ca="1" si="230"/>
        <v>100</v>
      </c>
      <c r="CK529" s="34">
        <f t="shared" si="231"/>
        <v>0</v>
      </c>
      <c r="CL529" s="21"/>
      <c r="CM529" s="35" t="str">
        <f t="shared" ca="1" si="222"/>
        <v>TERMINADO</v>
      </c>
      <c r="CN529" s="82"/>
      <c r="CO529" s="145" t="s">
        <v>4363</v>
      </c>
      <c r="CP529" s="26" t="s">
        <v>123</v>
      </c>
    </row>
    <row r="530" spans="1:98" ht="24.75" customHeight="1">
      <c r="A530" s="48" t="s">
        <v>4364</v>
      </c>
      <c r="B530" s="77" t="s">
        <v>4365</v>
      </c>
      <c r="C530" s="17" t="s">
        <v>104</v>
      </c>
      <c r="D530" s="18" t="s">
        <v>4366</v>
      </c>
      <c r="E530" s="17" t="s">
        <v>106</v>
      </c>
      <c r="F530" s="17" t="s">
        <v>107</v>
      </c>
      <c r="G530" s="17" t="s">
        <v>108</v>
      </c>
      <c r="H530" s="78">
        <v>1081514318</v>
      </c>
      <c r="I530" s="74" t="s">
        <v>4367</v>
      </c>
      <c r="J530" s="16"/>
      <c r="K530" s="16"/>
      <c r="L530" s="20" t="s">
        <v>2187</v>
      </c>
      <c r="M530" s="16" t="s">
        <v>4368</v>
      </c>
      <c r="N530" s="115">
        <v>45330</v>
      </c>
      <c r="O530" s="115">
        <v>45335</v>
      </c>
      <c r="P530" s="115">
        <v>45657</v>
      </c>
      <c r="Q530" s="23">
        <f t="shared" si="232"/>
        <v>322</v>
      </c>
      <c r="R530" s="17" t="s">
        <v>242</v>
      </c>
      <c r="S530" s="117" t="s">
        <v>4369</v>
      </c>
      <c r="T530" s="16" t="s">
        <v>1145</v>
      </c>
      <c r="U530" s="24">
        <v>70307867</v>
      </c>
      <c r="V530" s="16" t="s">
        <v>2546</v>
      </c>
      <c r="W530" s="227">
        <v>68877184</v>
      </c>
      <c r="X530" s="24">
        <v>6131500</v>
      </c>
      <c r="Y530" s="24"/>
      <c r="Z530" s="24"/>
      <c r="AA530" s="17" t="s">
        <v>116</v>
      </c>
      <c r="AB530" s="23" t="str">
        <f>IFERROR(VLOOKUP(AA530,Listas!$A$1:$C$14,2,FALSE),"")</f>
        <v>FREDY CÉSPEDES VILLA</v>
      </c>
      <c r="AC530" s="23">
        <f>IFERROR(VLOOKUP(AA530,Listas!$A$1:$C$14,3,FALSE),"")</f>
        <v>93363483</v>
      </c>
      <c r="AD530" s="17" t="s">
        <v>427</v>
      </c>
      <c r="AE530" s="17" t="s">
        <v>2198</v>
      </c>
      <c r="AF530" s="23" t="str">
        <f>IFERROR(VLOOKUP(AE530,Listas!$AD$1:$AF$65,2,FALSE),"")</f>
        <v>ELIANA ROCÍO OCHOA BLANCO</v>
      </c>
      <c r="AG530" s="23">
        <f>IFERROR(VLOOKUP(AE530,Listas!$AD$1:$AF$65,3,FALSE),"")</f>
        <v>1018418424</v>
      </c>
      <c r="AH530" s="17" t="s">
        <v>118</v>
      </c>
      <c r="AI530" s="65" t="s">
        <v>4017</v>
      </c>
      <c r="AJ530" s="25" t="s">
        <v>4370</v>
      </c>
      <c r="AK530" s="26" t="s">
        <v>120</v>
      </c>
      <c r="AL530" s="26" t="s">
        <v>120</v>
      </c>
      <c r="AM530" s="90" t="s">
        <v>119</v>
      </c>
      <c r="AN530" s="105">
        <v>32768</v>
      </c>
      <c r="AO530" s="91">
        <f t="shared" ca="1" si="233"/>
        <v>36</v>
      </c>
      <c r="AP530" s="26" t="s">
        <v>121</v>
      </c>
      <c r="AQ530" s="26" t="s">
        <v>1272</v>
      </c>
      <c r="AR530" s="89"/>
      <c r="AS530" s="27"/>
      <c r="AT530" s="16"/>
      <c r="AU530" s="27"/>
      <c r="AV530" s="86"/>
      <c r="AW530" s="27"/>
      <c r="AX530" s="27"/>
      <c r="AY530" s="27"/>
      <c r="AZ530" s="27"/>
      <c r="BA530" s="27"/>
      <c r="BB530" s="27"/>
      <c r="BC530" s="97"/>
      <c r="BD530" s="27"/>
      <c r="BE530" s="16"/>
      <c r="BF530" s="28">
        <f t="shared" si="227"/>
        <v>0</v>
      </c>
      <c r="BG530" s="29"/>
      <c r="BH530" s="27"/>
      <c r="BI530" s="30">
        <f t="shared" si="220"/>
        <v>322</v>
      </c>
      <c r="BJ530" s="31">
        <f t="shared" si="221"/>
        <v>45657</v>
      </c>
      <c r="BK530" s="27"/>
      <c r="BL530" s="16"/>
      <c r="BM530" s="27"/>
      <c r="BN530" s="16"/>
      <c r="BO530" s="27"/>
      <c r="BP530" s="16"/>
      <c r="BQ530" s="27"/>
      <c r="BR530" s="24"/>
      <c r="BS530" s="24"/>
      <c r="BT530" s="32"/>
      <c r="BU530" s="27"/>
      <c r="BV530" s="24"/>
      <c r="BW530" s="24"/>
      <c r="BX530" s="16"/>
      <c r="BY530" s="27"/>
      <c r="BZ530" s="24"/>
      <c r="CA530" s="24"/>
      <c r="CB530" s="16"/>
      <c r="CC530" s="49">
        <f t="shared" si="228"/>
        <v>0</v>
      </c>
      <c r="CD530" s="24"/>
      <c r="CE530" s="49">
        <f t="shared" si="234"/>
        <v>68877184</v>
      </c>
      <c r="CF530" s="50"/>
      <c r="CG530" s="49">
        <f t="shared" ca="1" si="229"/>
        <v>68877184</v>
      </c>
      <c r="CH530" s="33">
        <f t="shared" ca="1" si="235"/>
        <v>1</v>
      </c>
      <c r="CI530" s="33">
        <f t="shared" ca="1" si="236"/>
        <v>1</v>
      </c>
      <c r="CJ530" s="36">
        <f t="shared" ca="1" si="230"/>
        <v>100</v>
      </c>
      <c r="CK530" s="34">
        <f t="shared" si="231"/>
        <v>0</v>
      </c>
      <c r="CL530" s="21"/>
      <c r="CM530" s="35" t="str">
        <f t="shared" ca="1" si="222"/>
        <v>TERMINADO</v>
      </c>
      <c r="CN530" s="82"/>
      <c r="CO530" s="145" t="s">
        <v>4371</v>
      </c>
      <c r="CP530" s="26" t="s">
        <v>142</v>
      </c>
    </row>
    <row r="531" spans="1:98" ht="24.75" customHeight="1">
      <c r="A531" s="109" t="s">
        <v>4372</v>
      </c>
      <c r="B531" s="77" t="s">
        <v>4373</v>
      </c>
      <c r="C531" s="17" t="s">
        <v>104</v>
      </c>
      <c r="D531" s="18" t="s">
        <v>4374</v>
      </c>
      <c r="E531" s="17" t="s">
        <v>106</v>
      </c>
      <c r="F531" s="17" t="s">
        <v>107</v>
      </c>
      <c r="G531" s="17" t="s">
        <v>108</v>
      </c>
      <c r="H531" s="78">
        <v>1018408855</v>
      </c>
      <c r="I531" s="74" t="s">
        <v>4375</v>
      </c>
      <c r="J531" s="16"/>
      <c r="K531" s="16"/>
      <c r="L531" s="20" t="s">
        <v>4376</v>
      </c>
      <c r="M531" s="16" t="s">
        <v>111</v>
      </c>
      <c r="N531" s="115">
        <v>45330</v>
      </c>
      <c r="O531" s="115">
        <v>45331</v>
      </c>
      <c r="P531" s="115">
        <v>45656</v>
      </c>
      <c r="Q531" s="23">
        <f t="shared" si="232"/>
        <v>325</v>
      </c>
      <c r="R531" s="17" t="s">
        <v>112</v>
      </c>
      <c r="S531" s="117" t="s">
        <v>4377</v>
      </c>
      <c r="T531" s="16" t="s">
        <v>4378</v>
      </c>
      <c r="U531" s="24">
        <v>99300000</v>
      </c>
      <c r="V531" s="16" t="s">
        <v>4379</v>
      </c>
      <c r="W531" s="227">
        <v>99300000</v>
      </c>
      <c r="X531" s="24">
        <v>9000000</v>
      </c>
      <c r="Y531" s="24"/>
      <c r="Z531" s="24"/>
      <c r="AA531" s="17" t="s">
        <v>116</v>
      </c>
      <c r="AB531" s="23" t="str">
        <f>IFERROR(VLOOKUP(AA531,Listas!$A$1:$C$14,2,FALSE),"")</f>
        <v>FREDY CÉSPEDES VILLA</v>
      </c>
      <c r="AC531" s="23">
        <f>IFERROR(VLOOKUP(AA531,Listas!$A$1:$C$14,3,FALSE),"")</f>
        <v>93363483</v>
      </c>
      <c r="AD531" s="17" t="s">
        <v>816</v>
      </c>
      <c r="AE531" s="17" t="s">
        <v>1450</v>
      </c>
      <c r="AF531" s="23" t="str">
        <f>IFERROR(VLOOKUP(AE531,Listas!$AD$1:$AF$65,2,FALSE),"")</f>
        <v>LINA MARIA CRUZ SILVA</v>
      </c>
      <c r="AG531" s="23">
        <f>IFERROR(VLOOKUP(AE531,Listas!$AD$1:$AF$65,3,FALSE),"")</f>
        <v>52423537</v>
      </c>
      <c r="AH531" s="17" t="s">
        <v>118</v>
      </c>
      <c r="AI531" s="65" t="s">
        <v>4380</v>
      </c>
      <c r="AJ531" s="25" t="s">
        <v>119</v>
      </c>
      <c r="AK531" s="26" t="s">
        <v>120</v>
      </c>
      <c r="AL531" s="26" t="s">
        <v>120</v>
      </c>
      <c r="AM531" s="90" t="s">
        <v>119</v>
      </c>
      <c r="AN531" s="105">
        <v>31796</v>
      </c>
      <c r="AO531" s="91">
        <f t="shared" ca="1" si="233"/>
        <v>38</v>
      </c>
      <c r="AP531" s="26" t="s">
        <v>121</v>
      </c>
      <c r="AQ531" s="26" t="s">
        <v>515</v>
      </c>
      <c r="AR531" s="89"/>
      <c r="AS531" s="27"/>
      <c r="AT531" s="16"/>
      <c r="AU531" s="27"/>
      <c r="AV531" s="86"/>
      <c r="AW531" s="27"/>
      <c r="AX531" s="27"/>
      <c r="AY531" s="27"/>
      <c r="AZ531" s="27"/>
      <c r="BA531" s="27"/>
      <c r="BB531" s="27"/>
      <c r="BC531" s="97"/>
      <c r="BD531" s="27"/>
      <c r="BE531" s="16"/>
      <c r="BF531" s="28">
        <f t="shared" si="227"/>
        <v>0</v>
      </c>
      <c r="BG531" s="29"/>
      <c r="BH531" s="27"/>
      <c r="BI531" s="30">
        <f t="shared" si="220"/>
        <v>325</v>
      </c>
      <c r="BJ531" s="31">
        <f t="shared" si="221"/>
        <v>45656</v>
      </c>
      <c r="BK531" s="27"/>
      <c r="BL531" s="16"/>
      <c r="BM531" s="27"/>
      <c r="BN531" s="16"/>
      <c r="BO531" s="27"/>
      <c r="BP531" s="16"/>
      <c r="BQ531" s="27"/>
      <c r="BR531" s="24"/>
      <c r="BS531" s="24"/>
      <c r="BT531" s="32"/>
      <c r="BU531" s="27"/>
      <c r="BV531" s="24"/>
      <c r="BW531" s="24"/>
      <c r="BX531" s="16"/>
      <c r="BY531" s="27"/>
      <c r="BZ531" s="24"/>
      <c r="CA531" s="24"/>
      <c r="CB531" s="16"/>
      <c r="CC531" s="49">
        <f t="shared" si="228"/>
        <v>0</v>
      </c>
      <c r="CD531" s="24"/>
      <c r="CE531" s="49">
        <f t="shared" si="234"/>
        <v>99300000</v>
      </c>
      <c r="CF531" s="50"/>
      <c r="CG531" s="49">
        <f t="shared" ca="1" si="229"/>
        <v>99300000</v>
      </c>
      <c r="CH531" s="33">
        <f t="shared" ca="1" si="235"/>
        <v>1</v>
      </c>
      <c r="CI531" s="33">
        <f t="shared" ca="1" si="236"/>
        <v>1</v>
      </c>
      <c r="CJ531" s="36">
        <f t="shared" ca="1" si="230"/>
        <v>100</v>
      </c>
      <c r="CK531" s="34">
        <f t="shared" si="231"/>
        <v>0</v>
      </c>
      <c r="CL531" s="21"/>
      <c r="CM531" s="35" t="str">
        <f t="shared" ca="1" si="222"/>
        <v>TERMINADO</v>
      </c>
      <c r="CN531" s="82"/>
      <c r="CO531" s="145" t="s">
        <v>4381</v>
      </c>
      <c r="CP531" s="26" t="s">
        <v>123</v>
      </c>
    </row>
    <row r="532" spans="1:98" ht="24.75" customHeight="1">
      <c r="A532" s="109" t="s">
        <v>4382</v>
      </c>
      <c r="B532" s="77" t="s">
        <v>4383</v>
      </c>
      <c r="C532" s="17" t="s">
        <v>104</v>
      </c>
      <c r="D532" s="18" t="s">
        <v>4384</v>
      </c>
      <c r="E532" s="17" t="s">
        <v>106</v>
      </c>
      <c r="F532" s="17" t="s">
        <v>107</v>
      </c>
      <c r="G532" s="17" t="s">
        <v>108</v>
      </c>
      <c r="H532" s="78" t="s">
        <v>4385</v>
      </c>
      <c r="I532" s="74" t="s">
        <v>4386</v>
      </c>
      <c r="J532" s="16"/>
      <c r="K532" s="16"/>
      <c r="L532" s="20" t="s">
        <v>4125</v>
      </c>
      <c r="M532" s="16" t="s">
        <v>111</v>
      </c>
      <c r="N532" s="115">
        <v>45330</v>
      </c>
      <c r="O532" s="115">
        <v>45331</v>
      </c>
      <c r="P532" s="115">
        <v>45656</v>
      </c>
      <c r="Q532" s="23">
        <f t="shared" si="232"/>
        <v>325</v>
      </c>
      <c r="R532" s="17" t="s">
        <v>242</v>
      </c>
      <c r="S532" s="117" t="s">
        <v>4387</v>
      </c>
      <c r="T532" s="16" t="s">
        <v>1345</v>
      </c>
      <c r="U532" s="24">
        <v>64924122</v>
      </c>
      <c r="V532" s="16" t="s">
        <v>344</v>
      </c>
      <c r="W532" s="227">
        <v>64924122</v>
      </c>
      <c r="X532" s="24">
        <v>5762496</v>
      </c>
      <c r="Y532" s="24"/>
      <c r="Z532" s="24"/>
      <c r="AA532" s="17" t="s">
        <v>116</v>
      </c>
      <c r="AB532" s="23" t="str">
        <f>IFERROR(VLOOKUP(AA532,Listas!$A$1:$C$14,2,FALSE),"")</f>
        <v>FREDY CÉSPEDES VILLA</v>
      </c>
      <c r="AC532" s="23">
        <f>IFERROR(VLOOKUP(AA532,Listas!$A$1:$C$14,3,FALSE),"")</f>
        <v>93363483</v>
      </c>
      <c r="AD532" s="17" t="s">
        <v>345</v>
      </c>
      <c r="AE532" s="17" t="s">
        <v>346</v>
      </c>
      <c r="AF532" s="23" t="str">
        <f>IFERROR(VLOOKUP(AE532,Listas!$AD$1:$AF$65,2,FALSE),"")</f>
        <v>RODOLFO GIOVANNI CANCHILA SUÁREZ</v>
      </c>
      <c r="AG532" s="23">
        <f>IFERROR(VLOOKUP(AE532,Listas!$AD$1:$AF$65,3,FALSE),"")</f>
        <v>79672493</v>
      </c>
      <c r="AH532" s="17" t="s">
        <v>118</v>
      </c>
      <c r="AI532" s="65" t="s">
        <v>4388</v>
      </c>
      <c r="AJ532" s="25" t="s">
        <v>119</v>
      </c>
      <c r="AK532" s="26" t="s">
        <v>120</v>
      </c>
      <c r="AL532" s="26" t="s">
        <v>120</v>
      </c>
      <c r="AM532" s="90" t="s">
        <v>119</v>
      </c>
      <c r="AN532" s="105">
        <v>32458</v>
      </c>
      <c r="AO532" s="91">
        <f t="shared" ca="1" si="233"/>
        <v>37</v>
      </c>
      <c r="AP532" s="26" t="s">
        <v>121</v>
      </c>
      <c r="AQ532" s="26" t="s">
        <v>347</v>
      </c>
      <c r="AR532" s="89"/>
      <c r="AS532" s="27"/>
      <c r="AT532" s="16"/>
      <c r="AU532" s="27"/>
      <c r="AV532" s="86"/>
      <c r="AW532" s="27"/>
      <c r="AX532" s="27"/>
      <c r="AY532" s="27"/>
      <c r="AZ532" s="27"/>
      <c r="BA532" s="27"/>
      <c r="BB532" s="27"/>
      <c r="BC532" s="97"/>
      <c r="BD532" s="27"/>
      <c r="BE532" s="16"/>
      <c r="BF532" s="28">
        <f t="shared" si="227"/>
        <v>0</v>
      </c>
      <c r="BG532" s="29"/>
      <c r="BH532" s="27">
        <v>45412</v>
      </c>
      <c r="BI532" s="30">
        <f t="shared" si="220"/>
        <v>325</v>
      </c>
      <c r="BJ532" s="31">
        <f t="shared" si="221"/>
        <v>45412</v>
      </c>
      <c r="BK532" s="27"/>
      <c r="BL532" s="16"/>
      <c r="BM532" s="27"/>
      <c r="BN532" s="16"/>
      <c r="BO532" s="27"/>
      <c r="BP532" s="16"/>
      <c r="BQ532" s="27"/>
      <c r="BR532" s="24"/>
      <c r="BS532" s="24"/>
      <c r="BT532" s="32"/>
      <c r="BU532" s="27"/>
      <c r="BV532" s="24"/>
      <c r="BW532" s="24"/>
      <c r="BX532" s="16"/>
      <c r="BY532" s="27"/>
      <c r="BZ532" s="24"/>
      <c r="CA532" s="24"/>
      <c r="CB532" s="16"/>
      <c r="CC532" s="49">
        <f t="shared" si="228"/>
        <v>0</v>
      </c>
      <c r="CD532" s="24"/>
      <c r="CE532" s="49">
        <f t="shared" si="234"/>
        <v>64924122</v>
      </c>
      <c r="CF532" s="50"/>
      <c r="CG532" s="49">
        <f t="shared" ca="1" si="229"/>
        <v>64924122</v>
      </c>
      <c r="CH532" s="33">
        <f t="shared" ca="1" si="235"/>
        <v>1</v>
      </c>
      <c r="CI532" s="33">
        <f t="shared" ca="1" si="236"/>
        <v>1</v>
      </c>
      <c r="CJ532" s="36">
        <f t="shared" ca="1" si="230"/>
        <v>100</v>
      </c>
      <c r="CK532" s="34">
        <f t="shared" si="231"/>
        <v>0</v>
      </c>
      <c r="CL532" s="21"/>
      <c r="CM532" s="35" t="str">
        <f t="shared" ca="1" si="222"/>
        <v>TERMINADO</v>
      </c>
      <c r="CN532" s="82"/>
      <c r="CO532" s="145" t="s">
        <v>4389</v>
      </c>
      <c r="CP532" s="26" t="s">
        <v>123</v>
      </c>
    </row>
    <row r="533" spans="1:98" ht="24.75" customHeight="1">
      <c r="A533" s="109" t="s">
        <v>4390</v>
      </c>
      <c r="B533" s="77" t="s">
        <v>4391</v>
      </c>
      <c r="C533" s="17" t="s">
        <v>104</v>
      </c>
      <c r="D533" s="18" t="s">
        <v>4392</v>
      </c>
      <c r="E533" s="17" t="s">
        <v>106</v>
      </c>
      <c r="F533" s="17" t="s">
        <v>107</v>
      </c>
      <c r="G533" s="17" t="s">
        <v>108</v>
      </c>
      <c r="H533" s="78">
        <v>32834686</v>
      </c>
      <c r="I533" s="74" t="s">
        <v>4393</v>
      </c>
      <c r="J533" s="16"/>
      <c r="K533" s="16"/>
      <c r="L533" s="20" t="s">
        <v>4394</v>
      </c>
      <c r="M533" s="16" t="s">
        <v>111</v>
      </c>
      <c r="N533" s="115">
        <v>45330</v>
      </c>
      <c r="O533" s="115">
        <v>45331</v>
      </c>
      <c r="P533" s="115">
        <v>45656</v>
      </c>
      <c r="Q533" s="23">
        <f t="shared" si="232"/>
        <v>325</v>
      </c>
      <c r="R533" s="17" t="s">
        <v>242</v>
      </c>
      <c r="S533" s="117" t="s">
        <v>4395</v>
      </c>
      <c r="T533" s="16" t="s">
        <v>1345</v>
      </c>
      <c r="U533" s="24">
        <v>62792004</v>
      </c>
      <c r="V533" s="16" t="s">
        <v>344</v>
      </c>
      <c r="W533" s="227">
        <v>62792004</v>
      </c>
      <c r="X533" s="24">
        <v>5762496</v>
      </c>
      <c r="Y533" s="24"/>
      <c r="Z533" s="24"/>
      <c r="AA533" s="17" t="s">
        <v>116</v>
      </c>
      <c r="AB533" s="23" t="str">
        <f>IFERROR(VLOOKUP(AA533,Listas!$A$1:$C$14,2,FALSE),"")</f>
        <v>FREDY CÉSPEDES VILLA</v>
      </c>
      <c r="AC533" s="23">
        <f>IFERROR(VLOOKUP(AA533,Listas!$A$1:$C$14,3,FALSE),"")</f>
        <v>93363483</v>
      </c>
      <c r="AD533" s="17" t="s">
        <v>345</v>
      </c>
      <c r="AE533" s="17" t="s">
        <v>632</v>
      </c>
      <c r="AF533" s="23" t="str">
        <f>IFERROR(VLOOKUP(AE533,Listas!$AD$1:$AF$65,2,FALSE),"")</f>
        <v>MANUEL ALBERTO LOZANO CARDONA</v>
      </c>
      <c r="AG533" s="23">
        <f>IFERROR(VLOOKUP(AE533,Listas!$AD$1:$AF$65,3,FALSE),"")</f>
        <v>79940034</v>
      </c>
      <c r="AH533" s="17" t="s">
        <v>118</v>
      </c>
      <c r="AI533" s="65" t="s">
        <v>4396</v>
      </c>
      <c r="AJ533" s="25" t="s">
        <v>119</v>
      </c>
      <c r="AK533" s="26" t="s">
        <v>120</v>
      </c>
      <c r="AL533" s="26" t="s">
        <v>120</v>
      </c>
      <c r="AM533" s="90" t="s">
        <v>119</v>
      </c>
      <c r="AN533" s="105">
        <v>29141</v>
      </c>
      <c r="AO533" s="91">
        <f t="shared" ca="1" si="233"/>
        <v>46</v>
      </c>
      <c r="AP533" s="26" t="s">
        <v>121</v>
      </c>
      <c r="AQ533" s="26" t="s">
        <v>347</v>
      </c>
      <c r="AR533" s="89"/>
      <c r="AS533" s="27"/>
      <c r="AT533" s="16"/>
      <c r="AU533" s="27"/>
      <c r="AV533" s="86"/>
      <c r="AW533" s="27"/>
      <c r="AX533" s="27"/>
      <c r="AY533" s="27"/>
      <c r="AZ533" s="27"/>
      <c r="BA533" s="27"/>
      <c r="BB533" s="27"/>
      <c r="BC533" s="97"/>
      <c r="BD533" s="27"/>
      <c r="BE533" s="16"/>
      <c r="BF533" s="28">
        <f t="shared" si="227"/>
        <v>0</v>
      </c>
      <c r="BG533" s="29"/>
      <c r="BH533" s="27"/>
      <c r="BI533" s="30">
        <f t="shared" si="220"/>
        <v>325</v>
      </c>
      <c r="BJ533" s="31">
        <f t="shared" si="221"/>
        <v>45656</v>
      </c>
      <c r="BK533" s="27"/>
      <c r="BL533" s="16"/>
      <c r="BM533" s="27"/>
      <c r="BN533" s="16"/>
      <c r="BO533" s="27"/>
      <c r="BP533" s="16"/>
      <c r="BQ533" s="27"/>
      <c r="BR533" s="24"/>
      <c r="BS533" s="24"/>
      <c r="BT533" s="32"/>
      <c r="BU533" s="27"/>
      <c r="BV533" s="24"/>
      <c r="BW533" s="24"/>
      <c r="BX533" s="16"/>
      <c r="BY533" s="27"/>
      <c r="BZ533" s="24"/>
      <c r="CA533" s="24"/>
      <c r="CB533" s="16"/>
      <c r="CC533" s="49">
        <f t="shared" si="228"/>
        <v>0</v>
      </c>
      <c r="CD533" s="24"/>
      <c r="CE533" s="49">
        <f t="shared" si="234"/>
        <v>62792004</v>
      </c>
      <c r="CF533" s="50"/>
      <c r="CG533" s="49">
        <f t="shared" ca="1" si="229"/>
        <v>62792004</v>
      </c>
      <c r="CH533" s="33">
        <f t="shared" ca="1" si="235"/>
        <v>1</v>
      </c>
      <c r="CI533" s="33">
        <f t="shared" ca="1" si="236"/>
        <v>1</v>
      </c>
      <c r="CJ533" s="36">
        <f t="shared" ca="1" si="230"/>
        <v>100</v>
      </c>
      <c r="CK533" s="34">
        <f t="shared" si="231"/>
        <v>0</v>
      </c>
      <c r="CL533" s="21"/>
      <c r="CM533" s="35" t="str">
        <f t="shared" ca="1" si="222"/>
        <v>TERMINADO</v>
      </c>
      <c r="CN533" s="82"/>
      <c r="CO533" s="145" t="s">
        <v>4397</v>
      </c>
      <c r="CP533" s="26" t="s">
        <v>123</v>
      </c>
    </row>
    <row r="534" spans="1:98" ht="24.75" customHeight="1">
      <c r="A534" s="109" t="s">
        <v>4398</v>
      </c>
      <c r="B534" s="77" t="s">
        <v>4399</v>
      </c>
      <c r="C534" s="17" t="s">
        <v>104</v>
      </c>
      <c r="D534" s="18" t="s">
        <v>4400</v>
      </c>
      <c r="E534" s="17" t="s">
        <v>106</v>
      </c>
      <c r="F534" s="17" t="s">
        <v>107</v>
      </c>
      <c r="G534" s="17" t="s">
        <v>108</v>
      </c>
      <c r="H534" s="78">
        <v>53051977</v>
      </c>
      <c r="I534" s="74" t="s">
        <v>4401</v>
      </c>
      <c r="J534" s="16"/>
      <c r="K534" s="16"/>
      <c r="L534" s="20" t="s">
        <v>4402</v>
      </c>
      <c r="M534" s="16" t="s">
        <v>111</v>
      </c>
      <c r="N534" s="115">
        <v>45330</v>
      </c>
      <c r="O534" s="115">
        <v>45334</v>
      </c>
      <c r="P534" s="115">
        <v>45656</v>
      </c>
      <c r="Q534" s="23">
        <f t="shared" si="232"/>
        <v>322</v>
      </c>
      <c r="R534" s="17" t="s">
        <v>242</v>
      </c>
      <c r="S534" s="117" t="s">
        <v>4403</v>
      </c>
      <c r="T534" s="16" t="s">
        <v>1345</v>
      </c>
      <c r="U534" s="24">
        <v>59701089</v>
      </c>
      <c r="V534" s="16" t="s">
        <v>344</v>
      </c>
      <c r="W534" s="227">
        <v>59701089</v>
      </c>
      <c r="X534" s="24">
        <v>5394677</v>
      </c>
      <c r="Y534" s="24"/>
      <c r="Z534" s="24"/>
      <c r="AA534" s="17" t="s">
        <v>116</v>
      </c>
      <c r="AB534" s="23" t="str">
        <f>IFERROR(VLOOKUP(AA534,Listas!$A$1:$C$14,2,FALSE),"")</f>
        <v>FREDY CÉSPEDES VILLA</v>
      </c>
      <c r="AC534" s="23">
        <f>IFERROR(VLOOKUP(AA534,Listas!$A$1:$C$14,3,FALSE),"")</f>
        <v>93363483</v>
      </c>
      <c r="AD534" s="17" t="s">
        <v>345</v>
      </c>
      <c r="AE534" s="17" t="s">
        <v>632</v>
      </c>
      <c r="AF534" s="23" t="str">
        <f>IFERROR(VLOOKUP(AE534,Listas!$AD$1:$AF$65,2,FALSE),"")</f>
        <v>MANUEL ALBERTO LOZANO CARDONA</v>
      </c>
      <c r="AG534" s="23">
        <f>IFERROR(VLOOKUP(AE534,Listas!$AD$1:$AF$65,3,FALSE),"")</f>
        <v>79940034</v>
      </c>
      <c r="AH534" s="17" t="s">
        <v>118</v>
      </c>
      <c r="AI534" s="65" t="s">
        <v>4404</v>
      </c>
      <c r="AJ534" s="25" t="s">
        <v>119</v>
      </c>
      <c r="AK534" s="26" t="s">
        <v>120</v>
      </c>
      <c r="AL534" s="26" t="s">
        <v>120</v>
      </c>
      <c r="AM534" s="90" t="s">
        <v>119</v>
      </c>
      <c r="AN534" s="105">
        <v>30704</v>
      </c>
      <c r="AO534" s="91">
        <f t="shared" ca="1" si="233"/>
        <v>41</v>
      </c>
      <c r="AP534" s="26" t="s">
        <v>121</v>
      </c>
      <c r="AQ534" s="26" t="s">
        <v>347</v>
      </c>
      <c r="AR534" s="89"/>
      <c r="AS534" s="27"/>
      <c r="AT534" s="16"/>
      <c r="AU534" s="27"/>
      <c r="AV534" s="86"/>
      <c r="AW534" s="27"/>
      <c r="AX534" s="27"/>
      <c r="AY534" s="27"/>
      <c r="AZ534" s="27"/>
      <c r="BA534" s="27"/>
      <c r="BB534" s="27"/>
      <c r="BC534" s="97"/>
      <c r="BD534" s="27"/>
      <c r="BE534" s="16"/>
      <c r="BF534" s="28">
        <f t="shared" si="227"/>
        <v>0</v>
      </c>
      <c r="BG534" s="29"/>
      <c r="BH534" s="27"/>
      <c r="BI534" s="30">
        <f t="shared" si="220"/>
        <v>322</v>
      </c>
      <c r="BJ534" s="31">
        <f t="shared" si="221"/>
        <v>45656</v>
      </c>
      <c r="BK534" s="27"/>
      <c r="BL534" s="16"/>
      <c r="BM534" s="27"/>
      <c r="BN534" s="16"/>
      <c r="BO534" s="27"/>
      <c r="BP534" s="16"/>
      <c r="BQ534" s="27"/>
      <c r="BR534" s="24"/>
      <c r="BS534" s="24"/>
      <c r="BT534" s="32"/>
      <c r="BU534" s="27"/>
      <c r="BV534" s="24"/>
      <c r="BW534" s="24"/>
      <c r="BX534" s="16"/>
      <c r="BY534" s="27"/>
      <c r="BZ534" s="24"/>
      <c r="CA534" s="24"/>
      <c r="CB534" s="16"/>
      <c r="CC534" s="49">
        <f t="shared" si="228"/>
        <v>0</v>
      </c>
      <c r="CD534" s="24"/>
      <c r="CE534" s="49">
        <f t="shared" si="234"/>
        <v>59701089</v>
      </c>
      <c r="CF534" s="50"/>
      <c r="CG534" s="49">
        <f t="shared" ca="1" si="229"/>
        <v>59701089</v>
      </c>
      <c r="CH534" s="33">
        <f t="shared" ca="1" si="235"/>
        <v>1</v>
      </c>
      <c r="CI534" s="33">
        <f t="shared" ca="1" si="236"/>
        <v>1</v>
      </c>
      <c r="CJ534" s="36">
        <f t="shared" ca="1" si="230"/>
        <v>100</v>
      </c>
      <c r="CK534" s="34">
        <f t="shared" si="231"/>
        <v>0</v>
      </c>
      <c r="CL534" s="21"/>
      <c r="CM534" s="35" t="str">
        <f t="shared" ca="1" si="222"/>
        <v>TERMINADO</v>
      </c>
      <c r="CN534" s="82"/>
      <c r="CO534" s="145" t="s">
        <v>4405</v>
      </c>
      <c r="CP534" s="26" t="s">
        <v>123</v>
      </c>
    </row>
    <row r="535" spans="1:98" s="153" customFormat="1" ht="24.75" customHeight="1">
      <c r="A535" s="48"/>
      <c r="B535" s="345" t="s">
        <v>4406</v>
      </c>
      <c r="C535" s="345" t="s">
        <v>1583</v>
      </c>
      <c r="D535" s="18"/>
      <c r="E535" s="17"/>
      <c r="F535" s="17"/>
      <c r="G535" s="17"/>
      <c r="H535" s="78"/>
      <c r="I535" s="74"/>
      <c r="J535" s="16"/>
      <c r="K535" s="16"/>
      <c r="L535" s="96"/>
      <c r="M535" s="16"/>
      <c r="N535" s="22"/>
      <c r="O535" s="22"/>
      <c r="P535" s="22"/>
      <c r="Q535" s="23"/>
      <c r="R535" s="17"/>
      <c r="S535" s="16"/>
      <c r="T535" s="16"/>
      <c r="U535" s="67"/>
      <c r="V535" s="16"/>
      <c r="W535" s="24"/>
      <c r="X535" s="24"/>
      <c r="Y535" s="24"/>
      <c r="Z535" s="24"/>
      <c r="AA535" s="17"/>
      <c r="AB535" s="23"/>
      <c r="AC535" s="23"/>
      <c r="AD535" s="17"/>
      <c r="AE535" s="17"/>
      <c r="AF535" s="23"/>
      <c r="AG535" s="23"/>
      <c r="AH535" s="17"/>
      <c r="AI535" s="65"/>
      <c r="AJ535" s="25"/>
      <c r="AK535" s="26"/>
      <c r="AL535" s="26"/>
      <c r="AM535" s="90"/>
      <c r="AN535" s="105"/>
      <c r="AO535" s="91"/>
      <c r="AP535" s="26"/>
      <c r="AQ535" s="26"/>
      <c r="AR535" s="89"/>
      <c r="AS535" s="27"/>
      <c r="AT535" s="16"/>
      <c r="AU535" s="27"/>
      <c r="AV535" s="86"/>
      <c r="AW535" s="27"/>
      <c r="AX535" s="27"/>
      <c r="AY535" s="27"/>
      <c r="AZ535" s="27"/>
      <c r="BA535" s="27"/>
      <c r="BB535" s="27"/>
      <c r="BC535" s="97"/>
      <c r="BD535" s="27"/>
      <c r="BE535" s="16"/>
      <c r="BF535" s="28"/>
      <c r="BG535" s="29"/>
      <c r="BH535" s="27"/>
      <c r="BI535" s="30"/>
      <c r="BJ535" s="31"/>
      <c r="BK535" s="27"/>
      <c r="BL535" s="16"/>
      <c r="BM535" s="27"/>
      <c r="BN535" s="16"/>
      <c r="BO535" s="27"/>
      <c r="BP535" s="16"/>
      <c r="BQ535" s="27"/>
      <c r="BR535" s="24"/>
      <c r="BS535" s="24"/>
      <c r="BT535" s="32"/>
      <c r="BU535" s="27"/>
      <c r="BV535" s="24"/>
      <c r="BW535" s="24"/>
      <c r="BX535" s="16"/>
      <c r="BY535" s="27"/>
      <c r="BZ535" s="24"/>
      <c r="CA535" s="24"/>
      <c r="CB535" s="16"/>
      <c r="CC535" s="49"/>
      <c r="CD535" s="24"/>
      <c r="CE535" s="49"/>
      <c r="CF535" s="50"/>
      <c r="CG535" s="49"/>
      <c r="CH535" s="33"/>
      <c r="CI535" s="33"/>
      <c r="CJ535" s="36"/>
      <c r="CK535" s="34"/>
      <c r="CL535" s="21"/>
      <c r="CM535" s="35"/>
      <c r="CN535" s="82"/>
      <c r="CO535" s="145"/>
      <c r="CP535" s="26"/>
      <c r="CQ535" s="83"/>
      <c r="CR535" s="83"/>
      <c r="CS535" s="48"/>
      <c r="CT535" s="345"/>
    </row>
    <row r="536" spans="1:98" ht="24.75" customHeight="1">
      <c r="A536" s="109" t="s">
        <v>4407</v>
      </c>
      <c r="B536" s="77" t="s">
        <v>4408</v>
      </c>
      <c r="C536" s="17" t="s">
        <v>104</v>
      </c>
      <c r="D536" s="18" t="s">
        <v>4409</v>
      </c>
      <c r="E536" s="17" t="s">
        <v>106</v>
      </c>
      <c r="F536" s="17" t="s">
        <v>107</v>
      </c>
      <c r="G536" s="17" t="s">
        <v>108</v>
      </c>
      <c r="H536" s="78">
        <v>80010347</v>
      </c>
      <c r="I536" s="74" t="s">
        <v>4410</v>
      </c>
      <c r="J536" s="16"/>
      <c r="K536" s="16"/>
      <c r="L536" s="20" t="s">
        <v>4411</v>
      </c>
      <c r="M536" s="16" t="s">
        <v>111</v>
      </c>
      <c r="N536" s="115">
        <v>45330</v>
      </c>
      <c r="O536" s="115">
        <v>45331</v>
      </c>
      <c r="P536" s="115">
        <v>45656</v>
      </c>
      <c r="Q536" s="23">
        <f>P536-O536</f>
        <v>325</v>
      </c>
      <c r="R536" s="17" t="s">
        <v>242</v>
      </c>
      <c r="S536" s="117" t="s">
        <v>4412</v>
      </c>
      <c r="T536" s="16" t="s">
        <v>1345</v>
      </c>
      <c r="U536" s="24">
        <v>63579539</v>
      </c>
      <c r="V536" s="16" t="s">
        <v>344</v>
      </c>
      <c r="W536" s="227">
        <v>51258900</v>
      </c>
      <c r="X536" s="24">
        <v>4659900</v>
      </c>
      <c r="Y536" s="24"/>
      <c r="Z536" s="24"/>
      <c r="AA536" s="17" t="s">
        <v>116</v>
      </c>
      <c r="AB536" s="23" t="str">
        <f>IFERROR(VLOOKUP(AA536,Listas!$A$1:$C$14,2,FALSE),"")</f>
        <v>FREDY CÉSPEDES VILLA</v>
      </c>
      <c r="AC536" s="23">
        <f>IFERROR(VLOOKUP(AA536,Listas!$A$1:$C$14,3,FALSE),"")</f>
        <v>93363483</v>
      </c>
      <c r="AD536" s="17" t="s">
        <v>345</v>
      </c>
      <c r="AE536" s="17" t="s">
        <v>346</v>
      </c>
      <c r="AF536" s="23" t="str">
        <f>IFERROR(VLOOKUP(AE536,Listas!$AD$1:$AF$65,2,FALSE),"")</f>
        <v>RODOLFO GIOVANNI CANCHILA SUÁREZ</v>
      </c>
      <c r="AG536" s="23">
        <f>IFERROR(VLOOKUP(AE536,Listas!$AD$1:$AF$65,3,FALSE),"")</f>
        <v>79672493</v>
      </c>
      <c r="AH536" s="17" t="s">
        <v>118</v>
      </c>
      <c r="AI536" s="65" t="s">
        <v>4413</v>
      </c>
      <c r="AJ536" s="25" t="s">
        <v>119</v>
      </c>
      <c r="AK536" s="26" t="s">
        <v>120</v>
      </c>
      <c r="AL536" s="26" t="s">
        <v>120</v>
      </c>
      <c r="AM536" s="90" t="s">
        <v>119</v>
      </c>
      <c r="AN536" s="105">
        <v>29150</v>
      </c>
      <c r="AO536" s="91">
        <f ca="1">IF(YEAR(TODAY())-YEAR(AN536)&gt;100," ",YEAR(TODAY())-YEAR(AN536))</f>
        <v>46</v>
      </c>
      <c r="AP536" s="26" t="s">
        <v>121</v>
      </c>
      <c r="AQ536" s="26" t="s">
        <v>367</v>
      </c>
      <c r="AR536" s="89"/>
      <c r="AS536" s="27"/>
      <c r="AT536" s="16"/>
      <c r="AU536" s="27"/>
      <c r="AV536" s="86"/>
      <c r="AW536" s="27"/>
      <c r="AX536" s="27"/>
      <c r="AY536" s="27"/>
      <c r="AZ536" s="27"/>
      <c r="BA536" s="27"/>
      <c r="BB536" s="27"/>
      <c r="BC536" s="97"/>
      <c r="BD536" s="27"/>
      <c r="BE536" s="16"/>
      <c r="BF536" s="28">
        <f t="shared" ref="BF536:BF545" si="237">BC536+BE536</f>
        <v>0</v>
      </c>
      <c r="BG536" s="29"/>
      <c r="BH536" s="27"/>
      <c r="BI536" s="30">
        <f t="shared" ref="BI536:BI545" si="238">BF536+Q536</f>
        <v>325</v>
      </c>
      <c r="BJ536" s="31">
        <f t="shared" ref="BJ536:BJ545" si="239">IF(BH536="",P536+BF536,BH536)</f>
        <v>45656</v>
      </c>
      <c r="BK536" s="27"/>
      <c r="BL536" s="16"/>
      <c r="BM536" s="27"/>
      <c r="BN536" s="16"/>
      <c r="BO536" s="27"/>
      <c r="BP536" s="16"/>
      <c r="BQ536" s="27"/>
      <c r="BR536" s="24"/>
      <c r="BS536" s="24"/>
      <c r="BT536" s="32"/>
      <c r="BU536" s="27"/>
      <c r="BV536" s="24"/>
      <c r="BW536" s="24"/>
      <c r="BX536" s="16"/>
      <c r="BY536" s="27"/>
      <c r="BZ536" s="24"/>
      <c r="CA536" s="24"/>
      <c r="CB536" s="16"/>
      <c r="CC536" s="49">
        <f t="shared" ref="CC536:CC581" si="240">BR536+BV536+BZ536</f>
        <v>0</v>
      </c>
      <c r="CD536" s="24"/>
      <c r="CE536" s="49">
        <f t="shared" ref="CE536:CE579" si="241">IF(Y536=0,(W536+CC536)-CD536,IF(Y536&gt;0,(Y536+CC536)-CD536))</f>
        <v>51258900</v>
      </c>
      <c r="CF536" s="50"/>
      <c r="CG536" s="49">
        <f t="shared" ref="CG536:CG581" ca="1" si="242">IFERROR(IF(((CE536/BI536)*(TODAY()-N536))&gt;CE536,CE536,((CE536/BI536)*(TODAY()-N536))),"")</f>
        <v>51258900</v>
      </c>
      <c r="CH536" s="33">
        <f t="shared" ref="CH536:CH581" ca="1" si="243">IF(TODAY()&gt;BJ536,1,+(DAYS360(O536,TODAY())/DAYS360(O536,BJ536)))</f>
        <v>1</v>
      </c>
      <c r="CI536" s="33">
        <f t="shared" ref="CI536:CI581" ca="1" si="244">+IF(CL536&gt;0,DAYS360(O536,CL536)/DAYS360(O536,BJ536),CH536)</f>
        <v>1</v>
      </c>
      <c r="CJ536" s="36">
        <f t="shared" ref="CJ536:CJ581" ca="1" si="245">IFERROR(IF(((CG536/CE536)*100)&gt;100,100,((CG536/CE536)*100)),"")</f>
        <v>100</v>
      </c>
      <c r="CK536" s="34">
        <f t="shared" ref="CK536:CK581" si="246">IFERROR((CF536/CE536)*100,"")</f>
        <v>0</v>
      </c>
      <c r="CL536" s="21"/>
      <c r="CM536" s="35" t="str">
        <f ca="1">IF(CL536&gt;1/1/6,"LIQUIDADO",IF(BJ536=$BE$20003,"",IF(BJ536&gt;=TODAY(),"VIGENTE",IF(BJ536&lt;TODAY(),"TERMINADO",))))</f>
        <v>TERMINADO</v>
      </c>
      <c r="CN536" s="82"/>
      <c r="CO536" s="145" t="s">
        <v>4414</v>
      </c>
      <c r="CP536" s="26" t="s">
        <v>142</v>
      </c>
    </row>
    <row r="537" spans="1:98" ht="24.75" customHeight="1">
      <c r="A537" s="109" t="s">
        <v>4415</v>
      </c>
      <c r="B537" s="77" t="s">
        <v>4416</v>
      </c>
      <c r="C537" s="17" t="s">
        <v>104</v>
      </c>
      <c r="D537" s="18" t="s">
        <v>4417</v>
      </c>
      <c r="E537" s="17" t="s">
        <v>106</v>
      </c>
      <c r="F537" s="17" t="s">
        <v>107</v>
      </c>
      <c r="G537" s="17" t="s">
        <v>108</v>
      </c>
      <c r="H537" s="78">
        <v>1067940622</v>
      </c>
      <c r="I537" s="74" t="s">
        <v>4418</v>
      </c>
      <c r="J537" s="16"/>
      <c r="K537" s="16"/>
      <c r="L537" s="20" t="s">
        <v>4419</v>
      </c>
      <c r="M537" s="16" t="s">
        <v>111</v>
      </c>
      <c r="N537" s="115">
        <v>45331</v>
      </c>
      <c r="O537" s="115">
        <v>45334</v>
      </c>
      <c r="P537" s="115">
        <v>45656</v>
      </c>
      <c r="Q537" s="23">
        <f>P537-O537</f>
        <v>322</v>
      </c>
      <c r="R537" s="17" t="s">
        <v>242</v>
      </c>
      <c r="S537" s="117" t="s">
        <v>4420</v>
      </c>
      <c r="T537" s="16" t="s">
        <v>1345</v>
      </c>
      <c r="U537" s="24">
        <v>63195373</v>
      </c>
      <c r="V537" s="16" t="s">
        <v>344</v>
      </c>
      <c r="W537" s="227">
        <v>63195373</v>
      </c>
      <c r="X537" s="24">
        <v>5762496</v>
      </c>
      <c r="Y537" s="24"/>
      <c r="Z537" s="24"/>
      <c r="AA537" s="17" t="s">
        <v>116</v>
      </c>
      <c r="AB537" s="23" t="str">
        <f>IFERROR(VLOOKUP(AA537,Listas!$A$1:$C$14,2,FALSE),"")</f>
        <v>FREDY CÉSPEDES VILLA</v>
      </c>
      <c r="AC537" s="23">
        <f>IFERROR(VLOOKUP(AA537,Listas!$A$1:$C$14,3,FALSE),"")</f>
        <v>93363483</v>
      </c>
      <c r="AD537" s="17" t="s">
        <v>345</v>
      </c>
      <c r="AE537" s="17" t="s">
        <v>632</v>
      </c>
      <c r="AF537" s="23" t="str">
        <f>IFERROR(VLOOKUP(AE537,Listas!$AD$1:$AF$65,2,FALSE),"")</f>
        <v>MANUEL ALBERTO LOZANO CARDONA</v>
      </c>
      <c r="AG537" s="23">
        <f>IFERROR(VLOOKUP(AE537,Listas!$AD$1:$AF$65,3,FALSE),"")</f>
        <v>79940034</v>
      </c>
      <c r="AH537" s="17" t="s">
        <v>118</v>
      </c>
      <c r="AI537" s="65" t="s">
        <v>4421</v>
      </c>
      <c r="AJ537" s="25" t="s">
        <v>119</v>
      </c>
      <c r="AK537" s="26" t="s">
        <v>120</v>
      </c>
      <c r="AL537" s="26" t="s">
        <v>120</v>
      </c>
      <c r="AM537" s="90" t="s">
        <v>119</v>
      </c>
      <c r="AN537" s="105">
        <v>34863</v>
      </c>
      <c r="AO537" s="91">
        <f ca="1">IF(YEAR(TODAY())-YEAR(AN537)&gt;100," ",YEAR(TODAY())-YEAR(AN537))</f>
        <v>30</v>
      </c>
      <c r="AP537" s="26" t="s">
        <v>121</v>
      </c>
      <c r="AQ537" s="26" t="s">
        <v>347</v>
      </c>
      <c r="AR537" s="89"/>
      <c r="AS537" s="27"/>
      <c r="AT537" s="16"/>
      <c r="AU537" s="27"/>
      <c r="AV537" s="86"/>
      <c r="AW537" s="27"/>
      <c r="AX537" s="27"/>
      <c r="AY537" s="27"/>
      <c r="AZ537" s="27"/>
      <c r="BA537" s="27"/>
      <c r="BB537" s="27"/>
      <c r="BC537" s="97"/>
      <c r="BD537" s="27"/>
      <c r="BE537" s="16"/>
      <c r="BF537" s="28">
        <f t="shared" si="237"/>
        <v>0</v>
      </c>
      <c r="BG537" s="29"/>
      <c r="BH537" s="27"/>
      <c r="BI537" s="30">
        <f t="shared" si="238"/>
        <v>322</v>
      </c>
      <c r="BJ537" s="31">
        <f t="shared" si="239"/>
        <v>45656</v>
      </c>
      <c r="BK537" s="27"/>
      <c r="BL537" s="16"/>
      <c r="BM537" s="27"/>
      <c r="BN537" s="16"/>
      <c r="BO537" s="27"/>
      <c r="BP537" s="16"/>
      <c r="BQ537" s="27"/>
      <c r="BR537" s="24"/>
      <c r="BS537" s="24"/>
      <c r="BT537" s="32"/>
      <c r="BU537" s="27"/>
      <c r="BV537" s="24"/>
      <c r="BW537" s="24"/>
      <c r="BX537" s="16"/>
      <c r="BY537" s="27"/>
      <c r="BZ537" s="24"/>
      <c r="CA537" s="24"/>
      <c r="CB537" s="16"/>
      <c r="CC537" s="49">
        <f t="shared" si="240"/>
        <v>0</v>
      </c>
      <c r="CD537" s="24"/>
      <c r="CE537" s="49">
        <f t="shared" si="241"/>
        <v>63195373</v>
      </c>
      <c r="CF537" s="50"/>
      <c r="CG537" s="49">
        <f t="shared" ca="1" si="242"/>
        <v>63195373</v>
      </c>
      <c r="CH537" s="33">
        <f t="shared" ca="1" si="243"/>
        <v>1</v>
      </c>
      <c r="CI537" s="33">
        <f t="shared" ca="1" si="244"/>
        <v>1</v>
      </c>
      <c r="CJ537" s="36">
        <f t="shared" ca="1" si="245"/>
        <v>100</v>
      </c>
      <c r="CK537" s="34">
        <f t="shared" si="246"/>
        <v>0</v>
      </c>
      <c r="CL537" s="21"/>
      <c r="CM537" s="35" t="str">
        <f ca="1">IF(CL537&gt;1/1/6,"LIQUIDADO",IF(BJ537=$BE$20003,"",IF(BJ537&gt;=TODAY(),"VIGENTE",IF(BJ537&lt;TODAY(),"TERMINADO",))))</f>
        <v>TERMINADO</v>
      </c>
      <c r="CN537" s="82"/>
      <c r="CO537" s="145" t="s">
        <v>4422</v>
      </c>
      <c r="CP537" s="26" t="s">
        <v>123</v>
      </c>
    </row>
    <row r="538" spans="1:98" ht="24.75" customHeight="1">
      <c r="A538" s="109" t="s">
        <v>4423</v>
      </c>
      <c r="B538" s="77" t="s">
        <v>4424</v>
      </c>
      <c r="C538" s="17" t="s">
        <v>104</v>
      </c>
      <c r="D538" s="18" t="s">
        <v>4425</v>
      </c>
      <c r="E538" s="17" t="s">
        <v>106</v>
      </c>
      <c r="F538" s="17" t="s">
        <v>107</v>
      </c>
      <c r="G538" s="17" t="s">
        <v>108</v>
      </c>
      <c r="H538" s="78">
        <v>1098611173</v>
      </c>
      <c r="I538" s="74" t="s">
        <v>4426</v>
      </c>
      <c r="J538" s="16"/>
      <c r="K538" s="16"/>
      <c r="L538" s="20" t="s">
        <v>4427</v>
      </c>
      <c r="M538" s="16" t="s">
        <v>111</v>
      </c>
      <c r="N538" s="115">
        <v>45331</v>
      </c>
      <c r="O538" s="115">
        <v>45334</v>
      </c>
      <c r="P538" s="115">
        <v>45656</v>
      </c>
      <c r="Q538" s="23">
        <f>P538-O538</f>
        <v>322</v>
      </c>
      <c r="R538" s="17" t="s">
        <v>242</v>
      </c>
      <c r="S538" s="117" t="s">
        <v>4428</v>
      </c>
      <c r="T538" s="16" t="s">
        <v>997</v>
      </c>
      <c r="U538" s="24">
        <v>118321700</v>
      </c>
      <c r="V538" s="16" t="s">
        <v>1239</v>
      </c>
      <c r="W538" s="227">
        <v>118321700</v>
      </c>
      <c r="X538" s="24">
        <v>10423000</v>
      </c>
      <c r="Y538" s="24"/>
      <c r="Z538" s="24"/>
      <c r="AA538" s="17" t="s">
        <v>116</v>
      </c>
      <c r="AB538" s="23" t="str">
        <f>IFERROR(VLOOKUP(AA538,Listas!$A$1:$C$14,2,FALSE),"")</f>
        <v>FREDY CÉSPEDES VILLA</v>
      </c>
      <c r="AC538" s="23">
        <f>IFERROR(VLOOKUP(AA538,Listas!$A$1:$C$14,3,FALSE),"")</f>
        <v>93363483</v>
      </c>
      <c r="AD538" s="17" t="s">
        <v>816</v>
      </c>
      <c r="AE538" s="17" t="s">
        <v>2835</v>
      </c>
      <c r="AF538" s="23" t="str">
        <f>IFERROR(VLOOKUP(AE538,Listas!$AD$1:$AF$65,2,FALSE),"")</f>
        <v>GUILLERMO ANDRES CARDONA HERRERA</v>
      </c>
      <c r="AG538" s="23">
        <f>IFERROR(VLOOKUP(AE538,Listas!$AD$1:$AF$65,3,FALSE),"")</f>
        <v>80018909</v>
      </c>
      <c r="AH538" s="17" t="s">
        <v>118</v>
      </c>
      <c r="AI538" s="65" t="s">
        <v>4429</v>
      </c>
      <c r="AJ538" s="25" t="s">
        <v>119</v>
      </c>
      <c r="AK538" s="26" t="s">
        <v>120</v>
      </c>
      <c r="AL538" s="26" t="s">
        <v>120</v>
      </c>
      <c r="AM538" s="90" t="s">
        <v>119</v>
      </c>
      <c r="AN538" s="105">
        <v>31452</v>
      </c>
      <c r="AO538" s="91">
        <f ca="1">IF(YEAR(TODAY())-YEAR(AN538)&gt;100," ",YEAR(TODAY())-YEAR(AN538))</f>
        <v>39</v>
      </c>
      <c r="AP538" s="26" t="s">
        <v>121</v>
      </c>
      <c r="AQ538" s="26" t="s">
        <v>515</v>
      </c>
      <c r="AR538" s="89"/>
      <c r="AS538" s="27"/>
      <c r="AT538" s="16"/>
      <c r="AU538" s="27"/>
      <c r="AV538" s="86"/>
      <c r="AW538" s="27"/>
      <c r="AX538" s="27"/>
      <c r="AY538" s="27"/>
      <c r="AZ538" s="27"/>
      <c r="BA538" s="27"/>
      <c r="BB538" s="27"/>
      <c r="BC538" s="97"/>
      <c r="BD538" s="27"/>
      <c r="BE538" s="16"/>
      <c r="BF538" s="28">
        <f t="shared" si="237"/>
        <v>0</v>
      </c>
      <c r="BG538" s="29"/>
      <c r="BH538" s="27"/>
      <c r="BI538" s="30">
        <f t="shared" si="238"/>
        <v>322</v>
      </c>
      <c r="BJ538" s="31">
        <f t="shared" si="239"/>
        <v>45656</v>
      </c>
      <c r="BK538" s="27"/>
      <c r="BL538" s="16"/>
      <c r="BM538" s="27"/>
      <c r="BN538" s="16"/>
      <c r="BO538" s="27"/>
      <c r="BP538" s="16"/>
      <c r="BQ538" s="27"/>
      <c r="BR538" s="24"/>
      <c r="BS538" s="24"/>
      <c r="BT538" s="32"/>
      <c r="BU538" s="27"/>
      <c r="BV538" s="24"/>
      <c r="BW538" s="24"/>
      <c r="BX538" s="16"/>
      <c r="BY538" s="27"/>
      <c r="BZ538" s="24"/>
      <c r="CA538" s="24"/>
      <c r="CB538" s="16"/>
      <c r="CC538" s="49">
        <f t="shared" si="240"/>
        <v>0</v>
      </c>
      <c r="CD538" s="24"/>
      <c r="CE538" s="49">
        <f t="shared" si="241"/>
        <v>118321700</v>
      </c>
      <c r="CF538" s="50"/>
      <c r="CG538" s="49">
        <f t="shared" ca="1" si="242"/>
        <v>118321700</v>
      </c>
      <c r="CH538" s="33">
        <f t="shared" ca="1" si="243"/>
        <v>1</v>
      </c>
      <c r="CI538" s="33">
        <f t="shared" ca="1" si="244"/>
        <v>1</v>
      </c>
      <c r="CJ538" s="36">
        <f t="shared" ca="1" si="245"/>
        <v>100</v>
      </c>
      <c r="CK538" s="34">
        <f t="shared" si="246"/>
        <v>0</v>
      </c>
      <c r="CL538" s="21"/>
      <c r="CM538" s="35" t="str">
        <f ca="1">IF(CL538&gt;1/1/6,"LIQUIDADO",IF(BJ538=$BE$20003,"",IF(BJ538&gt;=TODAY(),"VIGENTE",IF(BJ538&lt;TODAY(),"TERMINADO",))))</f>
        <v>TERMINADO</v>
      </c>
      <c r="CN538" s="82"/>
      <c r="CO538" s="145" t="s">
        <v>4430</v>
      </c>
      <c r="CP538" s="26" t="s">
        <v>142</v>
      </c>
    </row>
    <row r="539" spans="1:98" s="156" customFormat="1" ht="28.5" customHeight="1">
      <c r="A539" s="48"/>
      <c r="B539" s="345" t="s">
        <v>4431</v>
      </c>
      <c r="C539" s="345" t="s">
        <v>1583</v>
      </c>
      <c r="D539" s="18"/>
      <c r="E539" s="17"/>
      <c r="F539" s="17"/>
      <c r="G539" s="17"/>
      <c r="H539" s="78"/>
      <c r="I539" s="74"/>
      <c r="J539" s="16"/>
      <c r="K539" s="16"/>
      <c r="L539" s="96"/>
      <c r="M539" s="16"/>
      <c r="N539" s="22"/>
      <c r="O539" s="22"/>
      <c r="P539" s="22"/>
      <c r="Q539" s="23"/>
      <c r="R539" s="17"/>
      <c r="S539" s="16"/>
      <c r="T539" s="16"/>
      <c r="U539" s="67"/>
      <c r="V539" s="16"/>
      <c r="W539" s="24"/>
      <c r="X539" s="24"/>
      <c r="Y539" s="24"/>
      <c r="Z539" s="24"/>
      <c r="AA539" s="17"/>
      <c r="AB539" s="23"/>
      <c r="AC539" s="23"/>
      <c r="AD539" s="17"/>
      <c r="AE539" s="17"/>
      <c r="AF539" s="23"/>
      <c r="AG539" s="23"/>
      <c r="AH539" s="17"/>
      <c r="AI539" s="65"/>
      <c r="AJ539" s="25"/>
      <c r="AK539" s="26"/>
      <c r="AL539" s="26"/>
      <c r="AM539" s="90"/>
      <c r="AN539" s="105"/>
      <c r="AO539" s="91"/>
      <c r="AP539" s="26"/>
      <c r="AQ539" s="26"/>
      <c r="AR539" s="89"/>
      <c r="AS539" s="27"/>
      <c r="AT539" s="16"/>
      <c r="AU539" s="27"/>
      <c r="AV539" s="86"/>
      <c r="AW539" s="27"/>
      <c r="AX539" s="27"/>
      <c r="AY539" s="27"/>
      <c r="AZ539" s="27"/>
      <c r="BA539" s="27"/>
      <c r="BB539" s="27"/>
      <c r="BC539" s="97"/>
      <c r="BD539" s="27"/>
      <c r="BE539" s="16"/>
      <c r="BF539" s="28">
        <f t="shared" si="237"/>
        <v>0</v>
      </c>
      <c r="BG539" s="29"/>
      <c r="BH539" s="27"/>
      <c r="BI539" s="30">
        <f t="shared" si="238"/>
        <v>0</v>
      </c>
      <c r="BJ539" s="31">
        <f t="shared" si="239"/>
        <v>0</v>
      </c>
      <c r="BK539" s="27"/>
      <c r="BL539" s="16"/>
      <c r="BM539" s="27"/>
      <c r="BN539" s="16"/>
      <c r="BO539" s="27"/>
      <c r="BP539" s="16"/>
      <c r="BQ539" s="27"/>
      <c r="BR539" s="24"/>
      <c r="BS539" s="24"/>
      <c r="BT539" s="32"/>
      <c r="BU539" s="27"/>
      <c r="BV539" s="24"/>
      <c r="BW539" s="24"/>
      <c r="BX539" s="16"/>
      <c r="BY539" s="27"/>
      <c r="BZ539" s="24"/>
      <c r="CA539" s="24"/>
      <c r="CB539" s="16"/>
      <c r="CC539" s="49">
        <f t="shared" si="240"/>
        <v>0</v>
      </c>
      <c r="CD539" s="24"/>
      <c r="CE539" s="49">
        <f t="shared" si="241"/>
        <v>0</v>
      </c>
      <c r="CF539" s="50"/>
      <c r="CG539" s="49" t="str">
        <f t="shared" ca="1" si="242"/>
        <v/>
      </c>
      <c r="CH539" s="33">
        <f t="shared" ca="1" si="243"/>
        <v>1</v>
      </c>
      <c r="CI539" s="33">
        <f t="shared" ca="1" si="244"/>
        <v>1</v>
      </c>
      <c r="CJ539" s="36" t="str">
        <f t="shared" ca="1" si="245"/>
        <v/>
      </c>
      <c r="CK539" s="34" t="str">
        <f t="shared" si="246"/>
        <v/>
      </c>
      <c r="CL539" s="21"/>
      <c r="CM539" s="35"/>
      <c r="CN539" s="82"/>
      <c r="CO539" s="145"/>
      <c r="CP539" s="26"/>
      <c r="CQ539" s="83"/>
      <c r="CR539" s="83"/>
      <c r="CS539" s="48"/>
      <c r="CT539" s="345"/>
    </row>
    <row r="540" spans="1:98" ht="28.5" customHeight="1">
      <c r="A540" s="109" t="s">
        <v>4432</v>
      </c>
      <c r="B540" s="77" t="s">
        <v>4433</v>
      </c>
      <c r="C540" s="17" t="s">
        <v>104</v>
      </c>
      <c r="D540" s="18" t="s">
        <v>4434</v>
      </c>
      <c r="E540" s="17" t="s">
        <v>106</v>
      </c>
      <c r="F540" s="17" t="s">
        <v>107</v>
      </c>
      <c r="G540" s="17" t="s">
        <v>108</v>
      </c>
      <c r="H540" s="78">
        <v>1016028900</v>
      </c>
      <c r="I540" s="74" t="s">
        <v>4435</v>
      </c>
      <c r="J540" s="16"/>
      <c r="K540" s="16"/>
      <c r="L540" s="20" t="s">
        <v>874</v>
      </c>
      <c r="M540" s="16" t="s">
        <v>111</v>
      </c>
      <c r="N540" s="115">
        <v>45331</v>
      </c>
      <c r="O540" s="115">
        <v>45336</v>
      </c>
      <c r="P540" s="115">
        <v>45656</v>
      </c>
      <c r="Q540" s="23">
        <f>P540-O540</f>
        <v>320</v>
      </c>
      <c r="R540" s="17" t="s">
        <v>242</v>
      </c>
      <c r="S540" s="117" t="s">
        <v>4436</v>
      </c>
      <c r="T540" s="16" t="s">
        <v>997</v>
      </c>
      <c r="U540" s="24">
        <v>69120000</v>
      </c>
      <c r="V540" s="16" t="s">
        <v>815</v>
      </c>
      <c r="W540" s="227">
        <v>69120000</v>
      </c>
      <c r="X540" s="24">
        <v>6400000</v>
      </c>
      <c r="Y540" s="24"/>
      <c r="Z540" s="24"/>
      <c r="AA540" s="17" t="s">
        <v>116</v>
      </c>
      <c r="AB540" s="23" t="str">
        <f>IFERROR(VLOOKUP(AA540,Listas!$A$1:$C$14,2,FALSE),"")</f>
        <v>FREDY CÉSPEDES VILLA</v>
      </c>
      <c r="AC540" s="23">
        <f>IFERROR(VLOOKUP(AA540,Listas!$A$1:$C$14,3,FALSE),"")</f>
        <v>93363483</v>
      </c>
      <c r="AD540" s="17" t="s">
        <v>816</v>
      </c>
      <c r="AE540" s="17" t="s">
        <v>817</v>
      </c>
      <c r="AF540" s="23" t="str">
        <f>IFERROR(VLOOKUP(AE540,Listas!$AD$1:$AF$65,2,FALSE),"")</f>
        <v>JOSÉ EDUARDO PARADA JIMÉNEZ</v>
      </c>
      <c r="AG540" s="23">
        <f>IFERROR(VLOOKUP(AE540,Listas!$AD$1:$AF$65,3,FALSE),"")</f>
        <v>79434805</v>
      </c>
      <c r="AH540" s="17" t="s">
        <v>118</v>
      </c>
      <c r="AI540" s="65" t="s">
        <v>4437</v>
      </c>
      <c r="AJ540" s="25" t="s">
        <v>119</v>
      </c>
      <c r="AK540" s="26" t="s">
        <v>120</v>
      </c>
      <c r="AL540" s="26" t="s">
        <v>120</v>
      </c>
      <c r="AM540" s="90" t="s">
        <v>119</v>
      </c>
      <c r="AN540" s="105">
        <v>32999</v>
      </c>
      <c r="AO540" s="91">
        <f ca="1">IF(YEAR(TODAY())-YEAR(AN540)&gt;100," ",YEAR(TODAY())-YEAR(AN540))</f>
        <v>35</v>
      </c>
      <c r="AP540" s="26" t="s">
        <v>121</v>
      </c>
      <c r="AQ540" s="26" t="s">
        <v>819</v>
      </c>
      <c r="AR540" s="89"/>
      <c r="AS540" s="27"/>
      <c r="AT540" s="16"/>
      <c r="AU540" s="27"/>
      <c r="AV540" s="86"/>
      <c r="AW540" s="27"/>
      <c r="AX540" s="27"/>
      <c r="AY540" s="27"/>
      <c r="AZ540" s="27"/>
      <c r="BA540" s="27"/>
      <c r="BB540" s="27"/>
      <c r="BC540" s="97"/>
      <c r="BD540" s="27"/>
      <c r="BE540" s="16"/>
      <c r="BF540" s="28">
        <f t="shared" si="237"/>
        <v>0</v>
      </c>
      <c r="BG540" s="29"/>
      <c r="BH540" s="27"/>
      <c r="BI540" s="30">
        <f t="shared" si="238"/>
        <v>320</v>
      </c>
      <c r="BJ540" s="31">
        <f t="shared" si="239"/>
        <v>45656</v>
      </c>
      <c r="BK540" s="27"/>
      <c r="BL540" s="16"/>
      <c r="BM540" s="27"/>
      <c r="BN540" s="16"/>
      <c r="BO540" s="27"/>
      <c r="BP540" s="16"/>
      <c r="BQ540" s="27"/>
      <c r="BR540" s="24"/>
      <c r="BS540" s="24"/>
      <c r="BT540" s="32"/>
      <c r="BU540" s="27"/>
      <c r="BV540" s="24"/>
      <c r="BW540" s="24"/>
      <c r="BX540" s="16"/>
      <c r="BY540" s="27"/>
      <c r="BZ540" s="24"/>
      <c r="CA540" s="24"/>
      <c r="CB540" s="16"/>
      <c r="CC540" s="49">
        <f t="shared" si="240"/>
        <v>0</v>
      </c>
      <c r="CD540" s="24"/>
      <c r="CE540" s="49">
        <f t="shared" si="241"/>
        <v>69120000</v>
      </c>
      <c r="CF540" s="50"/>
      <c r="CG540" s="49">
        <f t="shared" ca="1" si="242"/>
        <v>69120000</v>
      </c>
      <c r="CH540" s="33">
        <f t="shared" ca="1" si="243"/>
        <v>1</v>
      </c>
      <c r="CI540" s="33">
        <f t="shared" ca="1" si="244"/>
        <v>1</v>
      </c>
      <c r="CJ540" s="36">
        <f t="shared" ca="1" si="245"/>
        <v>100</v>
      </c>
      <c r="CK540" s="34">
        <f t="shared" si="246"/>
        <v>0</v>
      </c>
      <c r="CL540" s="21"/>
      <c r="CM540" s="35" t="str">
        <f ca="1">IF(CL540&gt;1/1/6,"LIQUIDADO",IF(BJ540=$BE$20003,"",IF(BJ540&gt;=TODAY(),"VIGENTE",IF(BJ540&lt;TODAY(),"TERMINADO",))))</f>
        <v>TERMINADO</v>
      </c>
      <c r="CN540" s="82"/>
      <c r="CO540" s="145" t="s">
        <v>4438</v>
      </c>
      <c r="CP540" s="26" t="s">
        <v>123</v>
      </c>
    </row>
    <row r="541" spans="1:98" ht="28.5" customHeight="1">
      <c r="A541" s="48" t="s">
        <v>4439</v>
      </c>
      <c r="B541" s="77" t="s">
        <v>4440</v>
      </c>
      <c r="C541" s="17" t="s">
        <v>104</v>
      </c>
      <c r="D541" s="18" t="s">
        <v>4441</v>
      </c>
      <c r="E541" s="17" t="s">
        <v>106</v>
      </c>
      <c r="F541" s="17" t="s">
        <v>107</v>
      </c>
      <c r="G541" s="17" t="s">
        <v>108</v>
      </c>
      <c r="H541" s="78">
        <v>1047418549</v>
      </c>
      <c r="I541" s="74" t="s">
        <v>4442</v>
      </c>
      <c r="J541" s="16"/>
      <c r="K541" s="16"/>
      <c r="L541" s="20" t="s">
        <v>4443</v>
      </c>
      <c r="M541" s="16" t="s">
        <v>111</v>
      </c>
      <c r="N541" s="115">
        <v>45331</v>
      </c>
      <c r="O541" s="115">
        <v>45336</v>
      </c>
      <c r="P541" s="115">
        <v>45656</v>
      </c>
      <c r="Q541" s="23">
        <f>P541-O541</f>
        <v>320</v>
      </c>
      <c r="R541" s="17" t="s">
        <v>242</v>
      </c>
      <c r="S541" s="117" t="s">
        <v>4444</v>
      </c>
      <c r="T541" s="16" t="s">
        <v>997</v>
      </c>
      <c r="U541" s="24">
        <v>77153333</v>
      </c>
      <c r="V541" s="16" t="s">
        <v>815</v>
      </c>
      <c r="W541" s="227">
        <v>77153333</v>
      </c>
      <c r="X541" s="24">
        <v>7100000</v>
      </c>
      <c r="Y541" s="24"/>
      <c r="Z541" s="24"/>
      <c r="AA541" s="17" t="s">
        <v>116</v>
      </c>
      <c r="AB541" s="23" t="str">
        <f>IFERROR(VLOOKUP(AA541,Listas!$A$1:$C$14,2,FALSE),"")</f>
        <v>FREDY CÉSPEDES VILLA</v>
      </c>
      <c r="AC541" s="23">
        <f>IFERROR(VLOOKUP(AA541,Listas!$A$1:$C$14,3,FALSE),"")</f>
        <v>93363483</v>
      </c>
      <c r="AD541" s="17" t="s">
        <v>816</v>
      </c>
      <c r="AE541" s="17" t="s">
        <v>817</v>
      </c>
      <c r="AF541" s="23" t="str">
        <f>IFERROR(VLOOKUP(AE541,Listas!$AD$1:$AF$65,2,FALSE),"")</f>
        <v>JOSÉ EDUARDO PARADA JIMÉNEZ</v>
      </c>
      <c r="AG541" s="23">
        <f>IFERROR(VLOOKUP(AE541,Listas!$AD$1:$AF$65,3,FALSE),"")</f>
        <v>79434805</v>
      </c>
      <c r="AH541" s="17" t="s">
        <v>118</v>
      </c>
      <c r="AI541" s="65" t="s">
        <v>4445</v>
      </c>
      <c r="AJ541" s="25" t="s">
        <v>119</v>
      </c>
      <c r="AK541" s="26" t="s">
        <v>120</v>
      </c>
      <c r="AL541" s="26" t="s">
        <v>120</v>
      </c>
      <c r="AM541" s="90" t="s">
        <v>119</v>
      </c>
      <c r="AN541" s="105">
        <v>32924</v>
      </c>
      <c r="AO541" s="91">
        <f ca="1">IF(YEAR(TODAY())-YEAR(AN541)&gt;100," ",YEAR(TODAY())-YEAR(AN541))</f>
        <v>35</v>
      </c>
      <c r="AP541" s="26" t="s">
        <v>121</v>
      </c>
      <c r="AQ541" s="26" t="s">
        <v>819</v>
      </c>
      <c r="AR541" s="89"/>
      <c r="AS541" s="27"/>
      <c r="AT541" s="16"/>
      <c r="AU541" s="27"/>
      <c r="AV541" s="86"/>
      <c r="AW541" s="27"/>
      <c r="AX541" s="27"/>
      <c r="AY541" s="27"/>
      <c r="AZ541" s="27"/>
      <c r="BA541" s="27"/>
      <c r="BB541" s="27"/>
      <c r="BC541" s="97"/>
      <c r="BD541" s="27"/>
      <c r="BE541" s="16"/>
      <c r="BF541" s="28">
        <f t="shared" si="237"/>
        <v>0</v>
      </c>
      <c r="BG541" s="29"/>
      <c r="BH541" s="27"/>
      <c r="BI541" s="30">
        <f t="shared" si="238"/>
        <v>320</v>
      </c>
      <c r="BJ541" s="31">
        <f t="shared" si="239"/>
        <v>45656</v>
      </c>
      <c r="BK541" s="27"/>
      <c r="BL541" s="16"/>
      <c r="BM541" s="27"/>
      <c r="BN541" s="16"/>
      <c r="BO541" s="27"/>
      <c r="BP541" s="16"/>
      <c r="BQ541" s="27"/>
      <c r="BR541" s="24"/>
      <c r="BS541" s="24"/>
      <c r="BT541" s="32"/>
      <c r="BU541" s="27"/>
      <c r="BV541" s="24"/>
      <c r="BW541" s="24"/>
      <c r="BX541" s="16"/>
      <c r="BY541" s="27"/>
      <c r="BZ541" s="24"/>
      <c r="CA541" s="24"/>
      <c r="CB541" s="16"/>
      <c r="CC541" s="49">
        <f t="shared" si="240"/>
        <v>0</v>
      </c>
      <c r="CD541" s="24"/>
      <c r="CE541" s="49">
        <f t="shared" si="241"/>
        <v>77153333</v>
      </c>
      <c r="CF541" s="50"/>
      <c r="CG541" s="49">
        <f t="shared" ca="1" si="242"/>
        <v>77153333</v>
      </c>
      <c r="CH541" s="33">
        <f t="shared" ca="1" si="243"/>
        <v>1</v>
      </c>
      <c r="CI541" s="33">
        <f t="shared" ca="1" si="244"/>
        <v>1</v>
      </c>
      <c r="CJ541" s="36">
        <f t="shared" ca="1" si="245"/>
        <v>100</v>
      </c>
      <c r="CK541" s="34">
        <f t="shared" si="246"/>
        <v>0</v>
      </c>
      <c r="CL541" s="21"/>
      <c r="CM541" s="35" t="str">
        <f ca="1">IF(CL541&gt;1/1/6,"LIQUIDADO",IF(BJ541=$BE$20003,"",IF(BJ541&gt;=TODAY(),"VIGENTE",IF(BJ541&lt;TODAY(),"TERMINADO",))))</f>
        <v>TERMINADO</v>
      </c>
      <c r="CN541" s="82"/>
      <c r="CO541" s="145" t="s">
        <v>4446</v>
      </c>
      <c r="CP541" s="26" t="s">
        <v>123</v>
      </c>
    </row>
    <row r="542" spans="1:98" ht="28.5" customHeight="1">
      <c r="A542" s="48"/>
      <c r="B542" s="345" t="s">
        <v>4447</v>
      </c>
      <c r="C542" s="345" t="s">
        <v>1583</v>
      </c>
      <c r="D542" s="18"/>
      <c r="E542" s="17"/>
      <c r="F542" s="17"/>
      <c r="G542" s="17"/>
      <c r="H542" s="78"/>
      <c r="I542" s="74"/>
      <c r="J542" s="16"/>
      <c r="K542" s="16"/>
      <c r="L542" s="96"/>
      <c r="M542" s="16"/>
      <c r="N542" s="22"/>
      <c r="O542" s="22"/>
      <c r="P542" s="22"/>
      <c r="Q542" s="23"/>
      <c r="R542" s="17"/>
      <c r="S542" s="16"/>
      <c r="T542" s="16"/>
      <c r="U542" s="67"/>
      <c r="V542" s="16"/>
      <c r="W542" s="24"/>
      <c r="X542" s="24"/>
      <c r="Y542" s="24"/>
      <c r="Z542" s="24"/>
      <c r="AA542" s="17"/>
      <c r="AB542" s="23"/>
      <c r="AC542" s="23"/>
      <c r="AD542" s="17"/>
      <c r="AE542" s="17"/>
      <c r="AF542" s="23"/>
      <c r="AG542" s="23"/>
      <c r="AH542" s="17"/>
      <c r="AI542" s="65"/>
      <c r="AJ542" s="25"/>
      <c r="AK542" s="26"/>
      <c r="AL542" s="26"/>
      <c r="AM542" s="90"/>
      <c r="AN542" s="105"/>
      <c r="AO542" s="91"/>
      <c r="AP542" s="26"/>
      <c r="AQ542" s="26"/>
      <c r="AR542" s="89"/>
      <c r="AS542" s="27"/>
      <c r="AT542" s="16"/>
      <c r="AU542" s="27"/>
      <c r="AV542" s="86"/>
      <c r="AW542" s="27"/>
      <c r="AX542" s="27"/>
      <c r="AY542" s="27"/>
      <c r="AZ542" s="27"/>
      <c r="BA542" s="27"/>
      <c r="BB542" s="27"/>
      <c r="BC542" s="97"/>
      <c r="BD542" s="27"/>
      <c r="BE542" s="16"/>
      <c r="BF542" s="28">
        <f t="shared" si="237"/>
        <v>0</v>
      </c>
      <c r="BG542" s="29"/>
      <c r="BH542" s="27"/>
      <c r="BI542" s="30">
        <f t="shared" si="238"/>
        <v>0</v>
      </c>
      <c r="BJ542" s="31">
        <f t="shared" si="239"/>
        <v>0</v>
      </c>
      <c r="BK542" s="27"/>
      <c r="BL542" s="16"/>
      <c r="BM542" s="27"/>
      <c r="BN542" s="16"/>
      <c r="BO542" s="27"/>
      <c r="BP542" s="16"/>
      <c r="BQ542" s="27"/>
      <c r="BR542" s="24"/>
      <c r="BS542" s="24"/>
      <c r="BT542" s="32"/>
      <c r="BU542" s="27"/>
      <c r="BV542" s="24"/>
      <c r="BW542" s="24"/>
      <c r="BX542" s="16"/>
      <c r="BY542" s="27"/>
      <c r="BZ542" s="24"/>
      <c r="CA542" s="24"/>
      <c r="CB542" s="16"/>
      <c r="CC542" s="49">
        <f t="shared" si="240"/>
        <v>0</v>
      </c>
      <c r="CD542" s="24"/>
      <c r="CE542" s="49">
        <f t="shared" si="241"/>
        <v>0</v>
      </c>
      <c r="CF542" s="50"/>
      <c r="CG542" s="49" t="str">
        <f t="shared" ca="1" si="242"/>
        <v/>
      </c>
      <c r="CH542" s="33">
        <f t="shared" ca="1" si="243"/>
        <v>1</v>
      </c>
      <c r="CI542" s="33">
        <f t="shared" ca="1" si="244"/>
        <v>1</v>
      </c>
      <c r="CJ542" s="36" t="str">
        <f t="shared" ca="1" si="245"/>
        <v/>
      </c>
      <c r="CK542" s="34" t="str">
        <f t="shared" si="246"/>
        <v/>
      </c>
      <c r="CL542" s="21"/>
      <c r="CM542" s="35"/>
      <c r="CN542" s="82"/>
      <c r="CP542" s="26"/>
      <c r="CS542" s="48"/>
      <c r="CT542" s="345"/>
    </row>
    <row r="543" spans="1:98" ht="28.5" customHeight="1">
      <c r="A543" s="48" t="s">
        <v>4448</v>
      </c>
      <c r="B543" s="77" t="s">
        <v>4449</v>
      </c>
      <c r="C543" s="17" t="s">
        <v>104</v>
      </c>
      <c r="D543" s="18" t="s">
        <v>4450</v>
      </c>
      <c r="E543" s="17" t="s">
        <v>106</v>
      </c>
      <c r="F543" s="17" t="s">
        <v>107</v>
      </c>
      <c r="G543" s="17" t="s">
        <v>108</v>
      </c>
      <c r="H543" s="78">
        <v>1130596674</v>
      </c>
      <c r="I543" s="74" t="s">
        <v>4451</v>
      </c>
      <c r="J543" s="16"/>
      <c r="K543" s="16"/>
      <c r="L543" s="20" t="s">
        <v>647</v>
      </c>
      <c r="M543" s="16" t="s">
        <v>4452</v>
      </c>
      <c r="N543" s="115">
        <v>45334</v>
      </c>
      <c r="O543" s="115">
        <v>45338</v>
      </c>
      <c r="P543" s="115">
        <v>45656</v>
      </c>
      <c r="Q543" s="23">
        <f>P543-O543</f>
        <v>318</v>
      </c>
      <c r="R543" s="17" t="s">
        <v>242</v>
      </c>
      <c r="S543" s="117" t="s">
        <v>4453</v>
      </c>
      <c r="T543" s="16" t="s">
        <v>1345</v>
      </c>
      <c r="U543" s="24">
        <v>66460782</v>
      </c>
      <c r="V543" s="16" t="s">
        <v>344</v>
      </c>
      <c r="W543" s="227">
        <v>63387456</v>
      </c>
      <c r="X543" s="24">
        <v>5762496</v>
      </c>
      <c r="Y543" s="24"/>
      <c r="Z543" s="24"/>
      <c r="AA543" s="17" t="s">
        <v>116</v>
      </c>
      <c r="AB543" s="23" t="str">
        <f>IFERROR(VLOOKUP(AA543,Listas!$A$1:$C$14,2,FALSE),"")</f>
        <v>FREDY CÉSPEDES VILLA</v>
      </c>
      <c r="AC543" s="23">
        <f>IFERROR(VLOOKUP(AA543,Listas!$A$1:$C$14,3,FALSE),"")</f>
        <v>93363483</v>
      </c>
      <c r="AD543" s="17" t="s">
        <v>559</v>
      </c>
      <c r="AE543" s="17" t="s">
        <v>560</v>
      </c>
      <c r="AF543" s="23" t="str">
        <f>IFERROR(VLOOKUP(AE543,Listas!$AD$1:$AF$65,2,FALSE),"")</f>
        <v>CESAR AUGUSTO LÓPEZ LÓPEZ</v>
      </c>
      <c r="AG543" s="23">
        <f>IFERROR(VLOOKUP(AE543,Listas!$AD$1:$AF$65,3,FALSE),"")</f>
        <v>6103856</v>
      </c>
      <c r="AH543" s="17" t="s">
        <v>118</v>
      </c>
      <c r="AI543" s="65" t="s">
        <v>4454</v>
      </c>
      <c r="AJ543" s="25" t="s">
        <v>119</v>
      </c>
      <c r="AK543" s="26" t="s">
        <v>120</v>
      </c>
      <c r="AL543" s="26" t="s">
        <v>120</v>
      </c>
      <c r="AM543" s="90" t="s">
        <v>119</v>
      </c>
      <c r="AN543" s="105">
        <v>31927</v>
      </c>
      <c r="AO543" s="91">
        <f ca="1">IF(YEAR(TODAY())-YEAR(AN543)&gt;100," ",YEAR(TODAY())-YEAR(AN543))</f>
        <v>38</v>
      </c>
      <c r="AP543" s="26" t="s">
        <v>121</v>
      </c>
      <c r="AQ543" s="26" t="s">
        <v>327</v>
      </c>
      <c r="AR543" s="89"/>
      <c r="AS543" s="27"/>
      <c r="AT543" s="16"/>
      <c r="AU543" s="27"/>
      <c r="AV543" s="86"/>
      <c r="AW543" s="27"/>
      <c r="AX543" s="27"/>
      <c r="AY543" s="27"/>
      <c r="AZ543" s="27"/>
      <c r="BA543" s="27"/>
      <c r="BB543" s="27"/>
      <c r="BC543" s="97"/>
      <c r="BD543" s="27"/>
      <c r="BE543" s="16"/>
      <c r="BF543" s="28">
        <f t="shared" si="237"/>
        <v>0</v>
      </c>
      <c r="BG543" s="29"/>
      <c r="BH543" s="27"/>
      <c r="BI543" s="30">
        <f t="shared" si="238"/>
        <v>318</v>
      </c>
      <c r="BJ543" s="31">
        <f t="shared" si="239"/>
        <v>45656</v>
      </c>
      <c r="BK543" s="27"/>
      <c r="BL543" s="16"/>
      <c r="BM543" s="27"/>
      <c r="BN543" s="16"/>
      <c r="BO543" s="27"/>
      <c r="BP543" s="16"/>
      <c r="BQ543" s="27"/>
      <c r="BR543" s="24"/>
      <c r="BS543" s="24"/>
      <c r="BT543" s="32"/>
      <c r="BU543" s="27"/>
      <c r="BV543" s="24"/>
      <c r="BW543" s="24"/>
      <c r="BX543" s="16"/>
      <c r="BY543" s="27"/>
      <c r="BZ543" s="24"/>
      <c r="CA543" s="24"/>
      <c r="CB543" s="16"/>
      <c r="CC543" s="49">
        <f t="shared" si="240"/>
        <v>0</v>
      </c>
      <c r="CD543" s="24"/>
      <c r="CE543" s="49">
        <f t="shared" si="241"/>
        <v>63387456</v>
      </c>
      <c r="CF543" s="50"/>
      <c r="CG543" s="49">
        <f t="shared" ca="1" si="242"/>
        <v>63387456</v>
      </c>
      <c r="CH543" s="33">
        <f t="shared" ca="1" si="243"/>
        <v>1</v>
      </c>
      <c r="CI543" s="33">
        <f t="shared" ca="1" si="244"/>
        <v>1</v>
      </c>
      <c r="CJ543" s="36">
        <f t="shared" ca="1" si="245"/>
        <v>100</v>
      </c>
      <c r="CK543" s="34">
        <f t="shared" si="246"/>
        <v>0</v>
      </c>
      <c r="CL543" s="21"/>
      <c r="CM543" s="35" t="str">
        <f ca="1">IF(CL543&gt;1/1/6,"LIQUIDADO",IF(BJ543=$BE$20003,"",IF(BJ543&gt;=TODAY(),"VIGENTE",IF(BJ543&lt;TODAY(),"TERMINADO",))))</f>
        <v>TERMINADO</v>
      </c>
      <c r="CN543" s="82"/>
      <c r="CO543" s="145" t="s">
        <v>4455</v>
      </c>
      <c r="CP543" s="26" t="s">
        <v>123</v>
      </c>
    </row>
    <row r="544" spans="1:98" ht="28.5" customHeight="1">
      <c r="A544" s="109" t="s">
        <v>4456</v>
      </c>
      <c r="B544" s="77" t="s">
        <v>4457</v>
      </c>
      <c r="C544" s="17" t="s">
        <v>104</v>
      </c>
      <c r="D544" s="18" t="s">
        <v>4458</v>
      </c>
      <c r="E544" s="17" t="s">
        <v>106</v>
      </c>
      <c r="F544" s="17" t="s">
        <v>107</v>
      </c>
      <c r="G544" s="17" t="s">
        <v>108</v>
      </c>
      <c r="H544" s="78">
        <v>79948085</v>
      </c>
      <c r="I544" s="74" t="s">
        <v>4459</v>
      </c>
      <c r="J544" s="16"/>
      <c r="K544" s="16"/>
      <c r="L544" s="20" t="s">
        <v>2851</v>
      </c>
      <c r="M544" s="16" t="s">
        <v>111</v>
      </c>
      <c r="N544" s="115">
        <v>45334</v>
      </c>
      <c r="O544" s="115">
        <v>45336</v>
      </c>
      <c r="P544" s="115">
        <v>45656</v>
      </c>
      <c r="Q544" s="23">
        <f>P544-O544</f>
        <v>320</v>
      </c>
      <c r="R544" s="17" t="s">
        <v>242</v>
      </c>
      <c r="S544" s="117" t="s">
        <v>4460</v>
      </c>
      <c r="T544" s="16" t="s">
        <v>997</v>
      </c>
      <c r="U544" s="24">
        <v>69120000</v>
      </c>
      <c r="V544" s="16" t="s">
        <v>815</v>
      </c>
      <c r="W544" s="227">
        <v>69120000</v>
      </c>
      <c r="X544" s="24">
        <v>6400000</v>
      </c>
      <c r="Y544" s="24"/>
      <c r="Z544" s="24"/>
      <c r="AA544" s="17" t="s">
        <v>116</v>
      </c>
      <c r="AB544" s="23" t="str">
        <f>IFERROR(VLOOKUP(AA544,Listas!$A$1:$C$14,2,FALSE),"")</f>
        <v>FREDY CÉSPEDES VILLA</v>
      </c>
      <c r="AC544" s="23">
        <f>IFERROR(VLOOKUP(AA544,Listas!$A$1:$C$14,3,FALSE),"")</f>
        <v>93363483</v>
      </c>
      <c r="AD544" s="17" t="s">
        <v>816</v>
      </c>
      <c r="AE544" s="17" t="s">
        <v>817</v>
      </c>
      <c r="AF544" s="23" t="str">
        <f>IFERROR(VLOOKUP(AE544,Listas!$AD$1:$AF$65,2,FALSE),"")</f>
        <v>JOSÉ EDUARDO PARADA JIMÉNEZ</v>
      </c>
      <c r="AG544" s="23">
        <f>IFERROR(VLOOKUP(AE544,Listas!$AD$1:$AF$65,3,FALSE),"")</f>
        <v>79434805</v>
      </c>
      <c r="AH544" s="17" t="s">
        <v>118</v>
      </c>
      <c r="AI544" s="65" t="s">
        <v>2853</v>
      </c>
      <c r="AJ544" s="25" t="s">
        <v>119</v>
      </c>
      <c r="AK544" s="26" t="s">
        <v>120</v>
      </c>
      <c r="AL544" s="26" t="s">
        <v>120</v>
      </c>
      <c r="AM544" s="90" t="s">
        <v>119</v>
      </c>
      <c r="AN544" s="105">
        <v>28663</v>
      </c>
      <c r="AO544" s="91">
        <f ca="1">IF(YEAR(TODAY())-YEAR(AN544)&gt;100," ",YEAR(TODAY())-YEAR(AN544))</f>
        <v>47</v>
      </c>
      <c r="AP544" s="26" t="s">
        <v>121</v>
      </c>
      <c r="AQ544" s="26" t="s">
        <v>819</v>
      </c>
      <c r="AR544" s="89"/>
      <c r="AS544" s="27"/>
      <c r="AT544" s="16"/>
      <c r="AU544" s="27"/>
      <c r="AV544" s="86"/>
      <c r="AW544" s="27"/>
      <c r="AX544" s="27"/>
      <c r="AY544" s="27"/>
      <c r="AZ544" s="27"/>
      <c r="BA544" s="27"/>
      <c r="BB544" s="27"/>
      <c r="BC544" s="97"/>
      <c r="BD544" s="27"/>
      <c r="BE544" s="16"/>
      <c r="BF544" s="28">
        <f t="shared" si="237"/>
        <v>0</v>
      </c>
      <c r="BG544" s="29"/>
      <c r="BH544" s="27"/>
      <c r="BI544" s="30">
        <f t="shared" si="238"/>
        <v>320</v>
      </c>
      <c r="BJ544" s="31">
        <f t="shared" si="239"/>
        <v>45656</v>
      </c>
      <c r="BK544" s="27"/>
      <c r="BL544" s="16"/>
      <c r="BM544" s="27"/>
      <c r="BN544" s="16"/>
      <c r="BO544" s="27"/>
      <c r="BP544" s="16"/>
      <c r="BQ544" s="27"/>
      <c r="BR544" s="24"/>
      <c r="BS544" s="24"/>
      <c r="BT544" s="32"/>
      <c r="BU544" s="27"/>
      <c r="BV544" s="24"/>
      <c r="BW544" s="24"/>
      <c r="BX544" s="16"/>
      <c r="BY544" s="27"/>
      <c r="BZ544" s="24"/>
      <c r="CA544" s="24"/>
      <c r="CB544" s="16"/>
      <c r="CC544" s="49">
        <f t="shared" si="240"/>
        <v>0</v>
      </c>
      <c r="CD544" s="24"/>
      <c r="CE544" s="49">
        <f t="shared" si="241"/>
        <v>69120000</v>
      </c>
      <c r="CF544" s="50"/>
      <c r="CG544" s="49">
        <f t="shared" ca="1" si="242"/>
        <v>69120000</v>
      </c>
      <c r="CH544" s="33">
        <f t="shared" ca="1" si="243"/>
        <v>1</v>
      </c>
      <c r="CI544" s="33">
        <f t="shared" ca="1" si="244"/>
        <v>1</v>
      </c>
      <c r="CJ544" s="36">
        <f t="shared" ca="1" si="245"/>
        <v>100</v>
      </c>
      <c r="CK544" s="34">
        <f t="shared" si="246"/>
        <v>0</v>
      </c>
      <c r="CL544" s="21"/>
      <c r="CM544" s="35" t="str">
        <f ca="1">IF(CL544&gt;1/1/6,"LIQUIDADO",IF(BJ544=$BE$20003,"",IF(BJ544&gt;=TODAY(),"VIGENTE",IF(BJ544&lt;TODAY(),"TERMINADO",))))</f>
        <v>TERMINADO</v>
      </c>
      <c r="CN544" s="82"/>
      <c r="CO544" s="145" t="s">
        <v>4461</v>
      </c>
      <c r="CP544" s="26" t="s">
        <v>142</v>
      </c>
    </row>
    <row r="545" spans="1:98" ht="28.5" customHeight="1">
      <c r="A545" s="109" t="s">
        <v>4462</v>
      </c>
      <c r="B545" s="77" t="s">
        <v>4463</v>
      </c>
      <c r="C545" s="17" t="s">
        <v>104</v>
      </c>
      <c r="D545" s="18" t="s">
        <v>4464</v>
      </c>
      <c r="E545" s="17" t="s">
        <v>106</v>
      </c>
      <c r="F545" s="17" t="s">
        <v>107</v>
      </c>
      <c r="G545" s="17" t="s">
        <v>108</v>
      </c>
      <c r="H545" s="78">
        <v>52759870</v>
      </c>
      <c r="I545" s="74" t="s">
        <v>4465</v>
      </c>
      <c r="J545" s="16"/>
      <c r="K545" s="16"/>
      <c r="L545" s="20" t="s">
        <v>4466</v>
      </c>
      <c r="M545" s="16" t="s">
        <v>111</v>
      </c>
      <c r="N545" s="115">
        <v>45334</v>
      </c>
      <c r="O545" s="115">
        <v>45338</v>
      </c>
      <c r="P545" s="115">
        <v>45656</v>
      </c>
      <c r="Q545" s="23">
        <f>P545-O545</f>
        <v>318</v>
      </c>
      <c r="R545" s="17" t="s">
        <v>242</v>
      </c>
      <c r="S545" s="117" t="s">
        <v>4467</v>
      </c>
      <c r="T545" s="16" t="s">
        <v>997</v>
      </c>
      <c r="U545" s="24">
        <v>129320000</v>
      </c>
      <c r="V545" s="16" t="s">
        <v>815</v>
      </c>
      <c r="W545" s="227">
        <v>129320000</v>
      </c>
      <c r="X545" s="24">
        <v>12200000</v>
      </c>
      <c r="Y545" s="24"/>
      <c r="Z545" s="24"/>
      <c r="AA545" s="17" t="s">
        <v>116</v>
      </c>
      <c r="AB545" s="23" t="str">
        <f>IFERROR(VLOOKUP(AA545,Listas!$A$1:$C$14,2,FALSE),"")</f>
        <v>FREDY CÉSPEDES VILLA</v>
      </c>
      <c r="AC545" s="23">
        <f>IFERROR(VLOOKUP(AA545,Listas!$A$1:$C$14,3,FALSE),"")</f>
        <v>93363483</v>
      </c>
      <c r="AD545" s="17" t="s">
        <v>816</v>
      </c>
      <c r="AE545" s="17" t="s">
        <v>1450</v>
      </c>
      <c r="AF545" s="23" t="str">
        <f>IFERROR(VLOOKUP(AE545,Listas!$AD$1:$AF$65,2,FALSE),"")</f>
        <v>LINA MARIA CRUZ SILVA</v>
      </c>
      <c r="AG545" s="23">
        <f>IFERROR(VLOOKUP(AE545,Listas!$AD$1:$AF$65,3,FALSE),"")</f>
        <v>52423537</v>
      </c>
      <c r="AH545" s="17" t="s">
        <v>118</v>
      </c>
      <c r="AI545" s="65" t="s">
        <v>4468</v>
      </c>
      <c r="AJ545" s="25" t="s">
        <v>119</v>
      </c>
      <c r="AK545" s="26" t="s">
        <v>120</v>
      </c>
      <c r="AL545" s="26" t="s">
        <v>120</v>
      </c>
      <c r="AM545" s="90" t="s">
        <v>119</v>
      </c>
      <c r="AN545" s="105">
        <v>30620</v>
      </c>
      <c r="AO545" s="91">
        <f ca="1">IF(YEAR(TODAY())-YEAR(AN545)&gt;100," ",YEAR(TODAY())-YEAR(AN545))</f>
        <v>42</v>
      </c>
      <c r="AP545" s="26" t="s">
        <v>121</v>
      </c>
      <c r="AQ545" s="26" t="s">
        <v>515</v>
      </c>
      <c r="AR545" s="89"/>
      <c r="AS545" s="27"/>
      <c r="AT545" s="16"/>
      <c r="AU545" s="27"/>
      <c r="AV545" s="86"/>
      <c r="AW545" s="27"/>
      <c r="AX545" s="27"/>
      <c r="AY545" s="27"/>
      <c r="AZ545" s="27"/>
      <c r="BA545" s="27"/>
      <c r="BB545" s="27"/>
      <c r="BC545" s="97"/>
      <c r="BD545" s="27"/>
      <c r="BE545" s="16"/>
      <c r="BF545" s="28">
        <f t="shared" si="237"/>
        <v>0</v>
      </c>
      <c r="BG545" s="29"/>
      <c r="BH545" s="27"/>
      <c r="BI545" s="30">
        <f t="shared" si="238"/>
        <v>318</v>
      </c>
      <c r="BJ545" s="31">
        <f t="shared" si="239"/>
        <v>45656</v>
      </c>
      <c r="BK545" s="27"/>
      <c r="BL545" s="16"/>
      <c r="BM545" s="27"/>
      <c r="BN545" s="16"/>
      <c r="BO545" s="27"/>
      <c r="BP545" s="16"/>
      <c r="BQ545" s="27"/>
      <c r="BR545" s="24"/>
      <c r="BS545" s="24"/>
      <c r="BT545" s="32"/>
      <c r="BU545" s="27"/>
      <c r="BV545" s="24"/>
      <c r="BW545" s="24"/>
      <c r="BX545" s="16"/>
      <c r="BY545" s="27"/>
      <c r="BZ545" s="24"/>
      <c r="CA545" s="24"/>
      <c r="CB545" s="16"/>
      <c r="CC545" s="49">
        <f t="shared" si="240"/>
        <v>0</v>
      </c>
      <c r="CD545" s="24"/>
      <c r="CE545" s="49">
        <f t="shared" si="241"/>
        <v>129320000</v>
      </c>
      <c r="CF545" s="50"/>
      <c r="CG545" s="49">
        <f t="shared" ca="1" si="242"/>
        <v>129320000</v>
      </c>
      <c r="CH545" s="33">
        <f t="shared" ca="1" si="243"/>
        <v>1</v>
      </c>
      <c r="CI545" s="33">
        <f t="shared" ca="1" si="244"/>
        <v>1</v>
      </c>
      <c r="CJ545" s="36">
        <f t="shared" ca="1" si="245"/>
        <v>100</v>
      </c>
      <c r="CK545" s="34">
        <f t="shared" si="246"/>
        <v>0</v>
      </c>
      <c r="CL545" s="21"/>
      <c r="CM545" s="35" t="str">
        <f ca="1">IF(CL545&gt;1/1/6,"LIQUIDADO",IF(BJ545=$BE$20003,"",IF(BJ545&gt;=TODAY(),"VIGENTE",IF(BJ545&lt;TODAY(),"TERMINADO",))))</f>
        <v>TERMINADO</v>
      </c>
      <c r="CN545" s="82"/>
      <c r="CO545" s="145" t="s">
        <v>4469</v>
      </c>
      <c r="CP545" s="26" t="s">
        <v>123</v>
      </c>
    </row>
    <row r="546" spans="1:98" s="153" customFormat="1" ht="28.5" customHeight="1">
      <c r="A546" s="48"/>
      <c r="B546" s="345" t="s">
        <v>4470</v>
      </c>
      <c r="C546" s="345" t="s">
        <v>1583</v>
      </c>
      <c r="D546" s="18"/>
      <c r="E546" s="17"/>
      <c r="F546" s="17"/>
      <c r="G546" s="17"/>
      <c r="H546" s="78"/>
      <c r="I546" s="74"/>
      <c r="J546" s="16"/>
      <c r="K546" s="16"/>
      <c r="L546" s="96"/>
      <c r="M546" s="16"/>
      <c r="N546" s="22"/>
      <c r="O546" s="22"/>
      <c r="P546" s="22"/>
      <c r="Q546" s="23"/>
      <c r="R546" s="17"/>
      <c r="S546" s="16"/>
      <c r="T546" s="16"/>
      <c r="U546" s="67"/>
      <c r="V546" s="16"/>
      <c r="W546" s="24"/>
      <c r="X546" s="24"/>
      <c r="Y546" s="24"/>
      <c r="Z546" s="24"/>
      <c r="AA546" s="17"/>
      <c r="AB546" s="23"/>
      <c r="AC546" s="23"/>
      <c r="AD546" s="17"/>
      <c r="AE546" s="17"/>
      <c r="AF546" s="23"/>
      <c r="AG546" s="23"/>
      <c r="AH546" s="17"/>
      <c r="AI546" s="65"/>
      <c r="AJ546" s="25"/>
      <c r="AK546" s="26"/>
      <c r="AL546" s="26"/>
      <c r="AM546" s="90"/>
      <c r="AN546" s="105"/>
      <c r="AO546" s="91"/>
      <c r="AP546" s="26"/>
      <c r="AQ546" s="26"/>
      <c r="AR546" s="89"/>
      <c r="AS546" s="27"/>
      <c r="AT546" s="16"/>
      <c r="AU546" s="27"/>
      <c r="AV546" s="86"/>
      <c r="AW546" s="27"/>
      <c r="AX546" s="27"/>
      <c r="AY546" s="27"/>
      <c r="AZ546" s="27"/>
      <c r="BA546" s="27"/>
      <c r="BB546" s="27"/>
      <c r="BC546" s="97"/>
      <c r="BD546" s="27"/>
      <c r="BE546" s="16"/>
      <c r="BF546" s="28"/>
      <c r="BG546" s="29"/>
      <c r="BH546" s="27"/>
      <c r="BI546" s="30"/>
      <c r="BJ546" s="31"/>
      <c r="BK546" s="27"/>
      <c r="BL546" s="16"/>
      <c r="BM546" s="27"/>
      <c r="BN546" s="16"/>
      <c r="BO546" s="27"/>
      <c r="BP546" s="16"/>
      <c r="BQ546" s="27"/>
      <c r="BR546" s="24"/>
      <c r="BS546" s="24"/>
      <c r="BT546" s="32"/>
      <c r="BU546" s="27"/>
      <c r="BV546" s="24"/>
      <c r="BW546" s="24"/>
      <c r="BX546" s="16"/>
      <c r="BY546" s="27"/>
      <c r="BZ546" s="24"/>
      <c r="CA546" s="24"/>
      <c r="CB546" s="16"/>
      <c r="CC546" s="49">
        <f t="shared" si="240"/>
        <v>0</v>
      </c>
      <c r="CD546" s="24"/>
      <c r="CE546" s="49">
        <f t="shared" si="241"/>
        <v>0</v>
      </c>
      <c r="CF546" s="50"/>
      <c r="CG546" s="49" t="str">
        <f t="shared" ca="1" si="242"/>
        <v/>
      </c>
      <c r="CH546" s="33">
        <f t="shared" ca="1" si="243"/>
        <v>1</v>
      </c>
      <c r="CI546" s="33">
        <f t="shared" ca="1" si="244"/>
        <v>1</v>
      </c>
      <c r="CJ546" s="36" t="str">
        <f t="shared" ca="1" si="245"/>
        <v/>
      </c>
      <c r="CK546" s="34" t="str">
        <f t="shared" si="246"/>
        <v/>
      </c>
      <c r="CL546" s="21"/>
      <c r="CM546" s="35"/>
      <c r="CN546" s="82"/>
      <c r="CO546" s="145"/>
      <c r="CP546" s="26"/>
      <c r="CQ546" s="83"/>
      <c r="CR546" s="83"/>
      <c r="CS546" s="48"/>
      <c r="CT546" s="345"/>
    </row>
    <row r="547" spans="1:98" s="153" customFormat="1" ht="28.5" customHeight="1">
      <c r="A547" s="48"/>
      <c r="B547" s="345" t="s">
        <v>4471</v>
      </c>
      <c r="C547" s="345" t="s">
        <v>1583</v>
      </c>
      <c r="D547" s="18"/>
      <c r="E547" s="17"/>
      <c r="F547" s="17"/>
      <c r="G547" s="17"/>
      <c r="H547" s="78"/>
      <c r="I547" s="74"/>
      <c r="J547" s="16"/>
      <c r="K547" s="16"/>
      <c r="L547" s="96"/>
      <c r="M547" s="16"/>
      <c r="N547" s="22"/>
      <c r="O547" s="22"/>
      <c r="P547" s="22"/>
      <c r="Q547" s="23"/>
      <c r="R547" s="17"/>
      <c r="S547" s="16"/>
      <c r="T547" s="16"/>
      <c r="U547" s="67"/>
      <c r="V547" s="16"/>
      <c r="W547" s="24"/>
      <c r="X547" s="24"/>
      <c r="Y547" s="24"/>
      <c r="Z547" s="24"/>
      <c r="AA547" s="17"/>
      <c r="AB547" s="23"/>
      <c r="AC547" s="23"/>
      <c r="AD547" s="17"/>
      <c r="AE547" s="17"/>
      <c r="AF547" s="23"/>
      <c r="AG547" s="23"/>
      <c r="AH547" s="17"/>
      <c r="AI547" s="65"/>
      <c r="AJ547" s="25"/>
      <c r="AK547" s="26"/>
      <c r="AL547" s="26"/>
      <c r="AM547" s="90"/>
      <c r="AN547" s="105"/>
      <c r="AO547" s="91"/>
      <c r="AP547" s="26"/>
      <c r="AQ547" s="26"/>
      <c r="AR547" s="89"/>
      <c r="AS547" s="27"/>
      <c r="AT547" s="16"/>
      <c r="AU547" s="27"/>
      <c r="AV547" s="86"/>
      <c r="AW547" s="27"/>
      <c r="AX547" s="27"/>
      <c r="AY547" s="27"/>
      <c r="AZ547" s="27"/>
      <c r="BA547" s="27"/>
      <c r="BB547" s="27"/>
      <c r="BC547" s="97"/>
      <c r="BD547" s="27"/>
      <c r="BE547" s="16"/>
      <c r="BF547" s="28">
        <f t="shared" ref="BF547:BF581" si="247">BC547+BE547</f>
        <v>0</v>
      </c>
      <c r="BG547" s="29"/>
      <c r="BH547" s="27"/>
      <c r="BI547" s="30">
        <f t="shared" ref="BI547:BI581" si="248">BF547+Q547</f>
        <v>0</v>
      </c>
      <c r="BJ547" s="31">
        <f t="shared" ref="BJ547:BJ581" si="249">IF(BH547="",P547+BF547,BH547)</f>
        <v>0</v>
      </c>
      <c r="BK547" s="27"/>
      <c r="BL547" s="16"/>
      <c r="BM547" s="27"/>
      <c r="BN547" s="16"/>
      <c r="BO547" s="27"/>
      <c r="BP547" s="16"/>
      <c r="BQ547" s="27"/>
      <c r="BR547" s="24"/>
      <c r="BS547" s="24"/>
      <c r="BT547" s="32"/>
      <c r="BU547" s="27"/>
      <c r="BV547" s="24"/>
      <c r="BW547" s="24"/>
      <c r="BX547" s="16"/>
      <c r="BY547" s="27"/>
      <c r="BZ547" s="24"/>
      <c r="CA547" s="24"/>
      <c r="CB547" s="16"/>
      <c r="CC547" s="49">
        <f t="shared" si="240"/>
        <v>0</v>
      </c>
      <c r="CD547" s="24"/>
      <c r="CE547" s="49">
        <f t="shared" si="241"/>
        <v>0</v>
      </c>
      <c r="CF547" s="50"/>
      <c r="CG547" s="49" t="str">
        <f t="shared" ca="1" si="242"/>
        <v/>
      </c>
      <c r="CH547" s="33">
        <f t="shared" ca="1" si="243"/>
        <v>1</v>
      </c>
      <c r="CI547" s="33">
        <f t="shared" ca="1" si="244"/>
        <v>1</v>
      </c>
      <c r="CJ547" s="36" t="str">
        <f t="shared" ca="1" si="245"/>
        <v/>
      </c>
      <c r="CK547" s="34" t="str">
        <f t="shared" si="246"/>
        <v/>
      </c>
      <c r="CL547" s="21"/>
      <c r="CM547" s="35"/>
      <c r="CN547" s="82"/>
      <c r="CO547" s="145"/>
      <c r="CP547" s="26"/>
      <c r="CQ547" s="83"/>
      <c r="CR547" s="83"/>
      <c r="CS547" s="48"/>
      <c r="CT547" s="345"/>
    </row>
    <row r="548" spans="1:98" ht="28.5" customHeight="1">
      <c r="A548" s="109" t="s">
        <v>4472</v>
      </c>
      <c r="B548" s="77" t="s">
        <v>4473</v>
      </c>
      <c r="C548" s="17" t="s">
        <v>104</v>
      </c>
      <c r="D548" s="18" t="s">
        <v>4474</v>
      </c>
      <c r="E548" s="17" t="s">
        <v>106</v>
      </c>
      <c r="F548" s="17" t="s">
        <v>107</v>
      </c>
      <c r="G548" s="17" t="s">
        <v>108</v>
      </c>
      <c r="H548" s="78">
        <v>52701889</v>
      </c>
      <c r="I548" s="74" t="s">
        <v>4475</v>
      </c>
      <c r="J548" s="16"/>
      <c r="K548" s="16"/>
      <c r="L548" s="20" t="s">
        <v>4476</v>
      </c>
      <c r="M548" s="16" t="s">
        <v>111</v>
      </c>
      <c r="N548" s="115">
        <v>45334</v>
      </c>
      <c r="O548" s="115">
        <v>45338</v>
      </c>
      <c r="P548" s="115">
        <v>45656</v>
      </c>
      <c r="Q548" s="23">
        <f t="shared" ref="Q548:Q581" si="250">P548-O548</f>
        <v>318</v>
      </c>
      <c r="R548" s="17" t="s">
        <v>242</v>
      </c>
      <c r="S548" s="117" t="s">
        <v>4477</v>
      </c>
      <c r="T548" s="16" t="s">
        <v>404</v>
      </c>
      <c r="U548" s="24">
        <v>183909432</v>
      </c>
      <c r="V548" s="16" t="s">
        <v>4478</v>
      </c>
      <c r="W548" s="227">
        <v>168583646</v>
      </c>
      <c r="X548" s="24">
        <v>15325786</v>
      </c>
      <c r="Y548" s="24"/>
      <c r="Z548" s="24"/>
      <c r="AA548" s="17" t="s">
        <v>116</v>
      </c>
      <c r="AB548" s="23" t="str">
        <f>IFERROR(VLOOKUP(AA548,Listas!$A$1:$C$14,2,FALSE),"")</f>
        <v>FREDY CÉSPEDES VILLA</v>
      </c>
      <c r="AC548" s="23">
        <f>IFERROR(VLOOKUP(AA548,Listas!$A$1:$C$14,3,FALSE),"")</f>
        <v>93363483</v>
      </c>
      <c r="AD548" s="17" t="s">
        <v>406</v>
      </c>
      <c r="AE548" s="17" t="s">
        <v>504</v>
      </c>
      <c r="AF548" s="23" t="str">
        <f>IFERROR(VLOOKUP(AE548,Listas!$AD$1:$AF$65,2,FALSE),"")</f>
        <v>EDUARDO ELÍAS BARCHA BOLÍVAR</v>
      </c>
      <c r="AG548" s="23">
        <f>IFERROR(VLOOKUP(AE548,Listas!$AD$1:$AF$65,3,FALSE),"")</f>
        <v>72133921</v>
      </c>
      <c r="AH548" s="17" t="s">
        <v>118</v>
      </c>
      <c r="AI548" s="65" t="s">
        <v>4479</v>
      </c>
      <c r="AJ548" s="25" t="s">
        <v>119</v>
      </c>
      <c r="AK548" s="26" t="s">
        <v>120</v>
      </c>
      <c r="AL548" s="26" t="s">
        <v>120</v>
      </c>
      <c r="AM548" s="90" t="s">
        <v>119</v>
      </c>
      <c r="AN548" s="105">
        <v>29627</v>
      </c>
      <c r="AO548" s="91">
        <f t="shared" ref="AO548:AO581" ca="1" si="251">IF(YEAR(TODAY())-YEAR(AN548)&gt;100," ",YEAR(TODAY())-YEAR(AN548))</f>
        <v>44</v>
      </c>
      <c r="AP548" s="26" t="s">
        <v>121</v>
      </c>
      <c r="AQ548" s="26" t="s">
        <v>886</v>
      </c>
      <c r="AR548" s="89">
        <v>45433</v>
      </c>
      <c r="AS548" s="27" t="s">
        <v>4480</v>
      </c>
      <c r="AT548" s="104">
        <v>1140880594</v>
      </c>
      <c r="AU548" s="27" t="s">
        <v>4476</v>
      </c>
      <c r="AV548" s="86">
        <v>139975512</v>
      </c>
      <c r="AW548" s="27"/>
      <c r="AX548" s="27"/>
      <c r="AY548" s="27"/>
      <c r="AZ548" s="27"/>
      <c r="BA548" s="27"/>
      <c r="BB548" s="27"/>
      <c r="BC548" s="97"/>
      <c r="BD548" s="27"/>
      <c r="BE548" s="16"/>
      <c r="BF548" s="28">
        <f t="shared" si="247"/>
        <v>0</v>
      </c>
      <c r="BG548" s="29"/>
      <c r="BH548" s="27"/>
      <c r="BI548" s="30">
        <f t="shared" si="248"/>
        <v>318</v>
      </c>
      <c r="BJ548" s="31">
        <f t="shared" si="249"/>
        <v>45656</v>
      </c>
      <c r="BK548" s="27"/>
      <c r="BL548" s="16"/>
      <c r="BM548" s="27"/>
      <c r="BN548" s="16"/>
      <c r="BO548" s="27"/>
      <c r="BP548" s="16"/>
      <c r="BQ548" s="27"/>
      <c r="BR548" s="24"/>
      <c r="BS548" s="24"/>
      <c r="BT548" s="32"/>
      <c r="BU548" s="27"/>
      <c r="BV548" s="24"/>
      <c r="BW548" s="24"/>
      <c r="BX548" s="16"/>
      <c r="BY548" s="27"/>
      <c r="BZ548" s="24"/>
      <c r="CA548" s="24"/>
      <c r="CB548" s="16"/>
      <c r="CC548" s="49">
        <f t="shared" si="240"/>
        <v>0</v>
      </c>
      <c r="CD548" s="24"/>
      <c r="CE548" s="49">
        <f t="shared" si="241"/>
        <v>168583646</v>
      </c>
      <c r="CF548" s="50"/>
      <c r="CG548" s="49">
        <f t="shared" ca="1" si="242"/>
        <v>168583646</v>
      </c>
      <c r="CH548" s="33">
        <f t="shared" ca="1" si="243"/>
        <v>1</v>
      </c>
      <c r="CI548" s="33">
        <f t="shared" ca="1" si="244"/>
        <v>1</v>
      </c>
      <c r="CJ548" s="36">
        <f t="shared" ca="1" si="245"/>
        <v>100</v>
      </c>
      <c r="CK548" s="34">
        <f t="shared" si="246"/>
        <v>0</v>
      </c>
      <c r="CL548" s="21"/>
      <c r="CM548" s="35" t="str">
        <f t="shared" ref="CM548:CM581" ca="1" si="252">IF(CL548&gt;1/1/6,"LIQUIDADO",IF(BJ548=$BE$20003,"",IF(BJ548&gt;=TODAY(),"VIGENTE",IF(BJ548&lt;TODAY(),"TERMINADO",))))</f>
        <v>TERMINADO</v>
      </c>
      <c r="CN548" s="82"/>
      <c r="CO548" s="145" t="s">
        <v>4481</v>
      </c>
      <c r="CP548" s="26" t="s">
        <v>123</v>
      </c>
    </row>
    <row r="549" spans="1:98" ht="24.75" customHeight="1">
      <c r="A549" s="48" t="s">
        <v>4482</v>
      </c>
      <c r="B549" s="77" t="s">
        <v>4483</v>
      </c>
      <c r="C549" s="17" t="s">
        <v>104</v>
      </c>
      <c r="D549" s="18" t="s">
        <v>4484</v>
      </c>
      <c r="E549" s="17" t="s">
        <v>106</v>
      </c>
      <c r="F549" s="17" t="s">
        <v>107</v>
      </c>
      <c r="G549" s="17" t="s">
        <v>108</v>
      </c>
      <c r="H549" s="78">
        <v>1022371068</v>
      </c>
      <c r="I549" s="74" t="s">
        <v>4485</v>
      </c>
      <c r="J549" s="16"/>
      <c r="K549" s="16"/>
      <c r="L549" s="20" t="s">
        <v>4486</v>
      </c>
      <c r="M549" s="16" t="s">
        <v>111</v>
      </c>
      <c r="N549" s="115">
        <v>45335</v>
      </c>
      <c r="O549" s="22">
        <v>45337</v>
      </c>
      <c r="P549" s="115">
        <v>45656</v>
      </c>
      <c r="Q549" s="23">
        <f t="shared" si="250"/>
        <v>319</v>
      </c>
      <c r="R549" s="17" t="s">
        <v>112</v>
      </c>
      <c r="S549" s="117" t="s">
        <v>4487</v>
      </c>
      <c r="T549" s="16" t="s">
        <v>4488</v>
      </c>
      <c r="U549" s="67">
        <v>35200000</v>
      </c>
      <c r="V549" s="16" t="s">
        <v>1418</v>
      </c>
      <c r="W549" s="224">
        <v>35200000</v>
      </c>
      <c r="X549" s="24">
        <v>3200000</v>
      </c>
      <c r="Y549" s="24"/>
      <c r="Z549" s="24"/>
      <c r="AA549" s="17" t="s">
        <v>116</v>
      </c>
      <c r="AB549" s="23" t="str">
        <f>IFERROR(VLOOKUP(AA549,Listas!$A$1:$C$14,2,FALSE),"")</f>
        <v>FREDY CÉSPEDES VILLA</v>
      </c>
      <c r="AC549" s="23">
        <f>IFERROR(VLOOKUP(AA549,Listas!$A$1:$C$14,3,FALSE),"")</f>
        <v>93363483</v>
      </c>
      <c r="AD549" s="17" t="s">
        <v>116</v>
      </c>
      <c r="AE549" s="17" t="s">
        <v>484</v>
      </c>
      <c r="AF549" s="23" t="str">
        <f>IFERROR(VLOOKUP(AE549,Listas!$AD$1:$AF$65,2,FALSE),"")</f>
        <v>JAIME ANDRES GIL ACOSTA</v>
      </c>
      <c r="AG549" s="23">
        <f>IFERROR(VLOOKUP(AE549,Listas!$AD$1:$AF$65,3,FALSE),"")</f>
        <v>98622827</v>
      </c>
      <c r="AH549" s="17" t="s">
        <v>118</v>
      </c>
      <c r="AI549" s="65" t="s">
        <v>4489</v>
      </c>
      <c r="AJ549" s="25" t="s">
        <v>119</v>
      </c>
      <c r="AK549" s="26" t="s">
        <v>120</v>
      </c>
      <c r="AL549" s="26" t="s">
        <v>120</v>
      </c>
      <c r="AM549" s="90" t="s">
        <v>119</v>
      </c>
      <c r="AN549" s="105">
        <v>33483</v>
      </c>
      <c r="AO549" s="91">
        <f t="shared" ca="1" si="251"/>
        <v>34</v>
      </c>
      <c r="AP549" s="26" t="s">
        <v>121</v>
      </c>
      <c r="AQ549" s="26" t="s">
        <v>122</v>
      </c>
      <c r="AR549" s="89"/>
      <c r="AS549" s="27"/>
      <c r="AT549" s="16"/>
      <c r="AU549" s="27"/>
      <c r="AV549" s="86"/>
      <c r="AW549" s="27"/>
      <c r="AX549" s="27"/>
      <c r="AY549" s="27"/>
      <c r="AZ549" s="27"/>
      <c r="BA549" s="27"/>
      <c r="BB549" s="27"/>
      <c r="BC549" s="97"/>
      <c r="BD549" s="27"/>
      <c r="BE549" s="16"/>
      <c r="BF549" s="28">
        <f t="shared" si="247"/>
        <v>0</v>
      </c>
      <c r="BG549" s="29"/>
      <c r="BH549" s="27"/>
      <c r="BI549" s="30">
        <f t="shared" si="248"/>
        <v>319</v>
      </c>
      <c r="BJ549" s="31">
        <f t="shared" si="249"/>
        <v>45656</v>
      </c>
      <c r="BK549" s="27"/>
      <c r="BL549" s="16"/>
      <c r="BM549" s="27"/>
      <c r="BN549" s="16"/>
      <c r="BO549" s="27"/>
      <c r="BP549" s="16"/>
      <c r="BQ549" s="27"/>
      <c r="BR549" s="24"/>
      <c r="BS549" s="24"/>
      <c r="BT549" s="32"/>
      <c r="BU549" s="27"/>
      <c r="BV549" s="24"/>
      <c r="BW549" s="24"/>
      <c r="BX549" s="16"/>
      <c r="BY549" s="27"/>
      <c r="BZ549" s="24"/>
      <c r="CA549" s="24"/>
      <c r="CB549" s="16"/>
      <c r="CC549" s="49">
        <f t="shared" si="240"/>
        <v>0</v>
      </c>
      <c r="CD549" s="24"/>
      <c r="CE549" s="49">
        <f t="shared" si="241"/>
        <v>35200000</v>
      </c>
      <c r="CF549" s="50"/>
      <c r="CG549" s="49">
        <f t="shared" ca="1" si="242"/>
        <v>35200000</v>
      </c>
      <c r="CH549" s="33">
        <f t="shared" ca="1" si="243"/>
        <v>1</v>
      </c>
      <c r="CI549" s="33">
        <f t="shared" ca="1" si="244"/>
        <v>1</v>
      </c>
      <c r="CJ549" s="36">
        <f t="shared" ca="1" si="245"/>
        <v>100</v>
      </c>
      <c r="CK549" s="34">
        <f t="shared" si="246"/>
        <v>0</v>
      </c>
      <c r="CL549" s="21"/>
      <c r="CM549" s="35" t="str">
        <f t="shared" ca="1" si="252"/>
        <v>TERMINADO</v>
      </c>
      <c r="CN549" s="82"/>
      <c r="CO549" s="145" t="s">
        <v>4490</v>
      </c>
      <c r="CP549" s="26" t="s">
        <v>142</v>
      </c>
    </row>
    <row r="550" spans="1:98" ht="24.75" customHeight="1">
      <c r="A550" s="109" t="s">
        <v>4491</v>
      </c>
      <c r="B550" s="77" t="s">
        <v>4492</v>
      </c>
      <c r="C550" s="17" t="s">
        <v>104</v>
      </c>
      <c r="D550" s="18" t="s">
        <v>4493</v>
      </c>
      <c r="E550" s="17" t="s">
        <v>106</v>
      </c>
      <c r="F550" s="17" t="s">
        <v>107</v>
      </c>
      <c r="G550" s="17" t="s">
        <v>108</v>
      </c>
      <c r="H550" s="78">
        <v>79942728</v>
      </c>
      <c r="I550" s="74" t="s">
        <v>4494</v>
      </c>
      <c r="J550" s="16"/>
      <c r="K550" s="16"/>
      <c r="L550" s="20" t="s">
        <v>4495</v>
      </c>
      <c r="M550" s="16" t="s">
        <v>111</v>
      </c>
      <c r="N550" s="115">
        <v>45335</v>
      </c>
      <c r="O550" s="22">
        <v>45338</v>
      </c>
      <c r="P550" s="115">
        <v>45656</v>
      </c>
      <c r="Q550" s="23">
        <f t="shared" si="250"/>
        <v>318</v>
      </c>
      <c r="R550" s="17" t="s">
        <v>112</v>
      </c>
      <c r="S550" s="117" t="s">
        <v>4496</v>
      </c>
      <c r="T550" s="16" t="s">
        <v>263</v>
      </c>
      <c r="U550" s="67">
        <v>85391240</v>
      </c>
      <c r="V550" s="16" t="s">
        <v>264</v>
      </c>
      <c r="W550" s="224">
        <v>85391240</v>
      </c>
      <c r="X550" s="24">
        <v>7762840</v>
      </c>
      <c r="Y550" s="24"/>
      <c r="Z550" s="24"/>
      <c r="AA550" s="17" t="s">
        <v>116</v>
      </c>
      <c r="AB550" s="23" t="str">
        <f>IFERROR(VLOOKUP(AA550,Listas!$A$1:$C$14,2,FALSE),"")</f>
        <v>FREDY CÉSPEDES VILLA</v>
      </c>
      <c r="AC550" s="23">
        <f>IFERROR(VLOOKUP(AA550,Listas!$A$1:$C$14,3,FALSE),"")</f>
        <v>93363483</v>
      </c>
      <c r="AD550" s="17" t="s">
        <v>217</v>
      </c>
      <c r="AE550" s="17" t="s">
        <v>381</v>
      </c>
      <c r="AF550" s="23" t="str">
        <f>IFERROR(VLOOKUP(AE550,Listas!$AD$1:$AF$65,2,FALSE),"")</f>
        <v>MARINA AZUCENA MEDINA SANDOVAL</v>
      </c>
      <c r="AG550" s="23">
        <f>IFERROR(VLOOKUP(AE550,Listas!$AD$1:$AF$65,3,FALSE),"")</f>
        <v>51842510</v>
      </c>
      <c r="AH550" s="17" t="s">
        <v>118</v>
      </c>
      <c r="AI550" s="65" t="s">
        <v>4497</v>
      </c>
      <c r="AJ550" s="25" t="s">
        <v>119</v>
      </c>
      <c r="AK550" s="26" t="s">
        <v>120</v>
      </c>
      <c r="AL550" s="26" t="s">
        <v>120</v>
      </c>
      <c r="AM550" s="90" t="s">
        <v>119</v>
      </c>
      <c r="AN550" s="105">
        <v>28063</v>
      </c>
      <c r="AO550" s="91">
        <f t="shared" ca="1" si="251"/>
        <v>49</v>
      </c>
      <c r="AP550" s="26" t="s">
        <v>121</v>
      </c>
      <c r="AQ550" s="26" t="s">
        <v>220</v>
      </c>
      <c r="AR550" s="89"/>
      <c r="AS550" s="27"/>
      <c r="AT550" s="16"/>
      <c r="AU550" s="27"/>
      <c r="AV550" s="86"/>
      <c r="AW550" s="27"/>
      <c r="AX550" s="27"/>
      <c r="AY550" s="27"/>
      <c r="AZ550" s="27"/>
      <c r="BA550" s="27"/>
      <c r="BB550" s="27"/>
      <c r="BC550" s="97"/>
      <c r="BD550" s="27"/>
      <c r="BE550" s="16"/>
      <c r="BF550" s="28">
        <f t="shared" si="247"/>
        <v>0</v>
      </c>
      <c r="BG550" s="29"/>
      <c r="BH550" s="27"/>
      <c r="BI550" s="30">
        <f t="shared" si="248"/>
        <v>318</v>
      </c>
      <c r="BJ550" s="31">
        <f t="shared" si="249"/>
        <v>45656</v>
      </c>
      <c r="BK550" s="27"/>
      <c r="BL550" s="16"/>
      <c r="BM550" s="27"/>
      <c r="BN550" s="16"/>
      <c r="BO550" s="27"/>
      <c r="BP550" s="16"/>
      <c r="BQ550" s="27"/>
      <c r="BR550" s="24"/>
      <c r="BS550" s="24"/>
      <c r="BT550" s="32"/>
      <c r="BU550" s="27"/>
      <c r="BV550" s="24"/>
      <c r="BW550" s="24"/>
      <c r="BX550" s="16"/>
      <c r="BY550" s="27"/>
      <c r="BZ550" s="24"/>
      <c r="CA550" s="24"/>
      <c r="CB550" s="16"/>
      <c r="CC550" s="49">
        <f t="shared" si="240"/>
        <v>0</v>
      </c>
      <c r="CD550" s="24"/>
      <c r="CE550" s="49">
        <f t="shared" si="241"/>
        <v>85391240</v>
      </c>
      <c r="CF550" s="50"/>
      <c r="CG550" s="49">
        <f t="shared" ca="1" si="242"/>
        <v>85391240</v>
      </c>
      <c r="CH550" s="33">
        <f t="shared" ca="1" si="243"/>
        <v>1</v>
      </c>
      <c r="CI550" s="33">
        <f t="shared" ca="1" si="244"/>
        <v>1</v>
      </c>
      <c r="CJ550" s="36">
        <f t="shared" ca="1" si="245"/>
        <v>100</v>
      </c>
      <c r="CK550" s="34">
        <f t="shared" si="246"/>
        <v>0</v>
      </c>
      <c r="CL550" s="21"/>
      <c r="CM550" s="35" t="str">
        <f t="shared" ca="1" si="252"/>
        <v>TERMINADO</v>
      </c>
      <c r="CN550" s="82"/>
      <c r="CO550" s="145" t="s">
        <v>4498</v>
      </c>
      <c r="CP550" s="26" t="s">
        <v>123</v>
      </c>
    </row>
    <row r="551" spans="1:98" ht="24.75" customHeight="1">
      <c r="A551" s="109" t="s">
        <v>4499</v>
      </c>
      <c r="B551" s="77" t="s">
        <v>4500</v>
      </c>
      <c r="C551" s="17" t="s">
        <v>104</v>
      </c>
      <c r="D551" s="18" t="s">
        <v>4501</v>
      </c>
      <c r="E551" s="17" t="s">
        <v>106</v>
      </c>
      <c r="F551" s="17" t="s">
        <v>107</v>
      </c>
      <c r="G551" s="17" t="s">
        <v>108</v>
      </c>
      <c r="H551" s="78">
        <v>1098767519</v>
      </c>
      <c r="I551" s="74" t="s">
        <v>4502</v>
      </c>
      <c r="J551" s="16"/>
      <c r="K551" s="16"/>
      <c r="L551" s="20" t="s">
        <v>4503</v>
      </c>
      <c r="M551" s="16" t="s">
        <v>111</v>
      </c>
      <c r="N551" s="115">
        <v>45335</v>
      </c>
      <c r="O551" s="22">
        <v>45337</v>
      </c>
      <c r="P551" s="115">
        <v>45656</v>
      </c>
      <c r="Q551" s="23">
        <f t="shared" si="250"/>
        <v>319</v>
      </c>
      <c r="R551" s="17" t="s">
        <v>242</v>
      </c>
      <c r="S551" s="117" t="s">
        <v>4504</v>
      </c>
      <c r="T551" s="16" t="s">
        <v>997</v>
      </c>
      <c r="U551" s="67">
        <v>54000000</v>
      </c>
      <c r="V551" s="16" t="s">
        <v>815</v>
      </c>
      <c r="W551" s="224">
        <v>54000000</v>
      </c>
      <c r="X551" s="24">
        <v>5000000</v>
      </c>
      <c r="Y551" s="24"/>
      <c r="Z551" s="24"/>
      <c r="AA551" s="17" t="s">
        <v>116</v>
      </c>
      <c r="AB551" s="23" t="str">
        <f>IFERROR(VLOOKUP(AA551,Listas!$A$1:$C$14,2,FALSE),"")</f>
        <v>FREDY CÉSPEDES VILLA</v>
      </c>
      <c r="AC551" s="23">
        <f>IFERROR(VLOOKUP(AA551,Listas!$A$1:$C$14,3,FALSE),"")</f>
        <v>93363483</v>
      </c>
      <c r="AD551" s="17" t="s">
        <v>816</v>
      </c>
      <c r="AE551" s="17" t="s">
        <v>3578</v>
      </c>
      <c r="AF551" s="23" t="str">
        <f>IFERROR(VLOOKUP(AE551,Listas!$AD$1:$AF$65,2,FALSE),"")</f>
        <v>MARTHA RUTH ROBAYO LÓPEZ</v>
      </c>
      <c r="AG551" s="23">
        <f>IFERROR(VLOOKUP(AE551,Listas!$AD$1:$AF$65,3,FALSE),"")</f>
        <v>52193887</v>
      </c>
      <c r="AH551" s="17" t="s">
        <v>118</v>
      </c>
      <c r="AI551" s="65" t="s">
        <v>4505</v>
      </c>
      <c r="AJ551" s="25" t="s">
        <v>119</v>
      </c>
      <c r="AK551" s="26" t="s">
        <v>120</v>
      </c>
      <c r="AL551" s="26" t="s">
        <v>120</v>
      </c>
      <c r="AM551" s="90" t="s">
        <v>119</v>
      </c>
      <c r="AN551" s="105">
        <v>34777</v>
      </c>
      <c r="AO551" s="91">
        <f t="shared" ca="1" si="251"/>
        <v>30</v>
      </c>
      <c r="AP551" s="26" t="s">
        <v>121</v>
      </c>
      <c r="AQ551" s="26" t="s">
        <v>1641</v>
      </c>
      <c r="AR551" s="89"/>
      <c r="AS551" s="27"/>
      <c r="AT551" s="16"/>
      <c r="AU551" s="27"/>
      <c r="AV551" s="86"/>
      <c r="AW551" s="27"/>
      <c r="AX551" s="27"/>
      <c r="AY551" s="27"/>
      <c r="AZ551" s="27"/>
      <c r="BA551" s="27"/>
      <c r="BB551" s="27"/>
      <c r="BC551" s="97"/>
      <c r="BD551" s="27"/>
      <c r="BE551" s="16"/>
      <c r="BF551" s="28">
        <f t="shared" si="247"/>
        <v>0</v>
      </c>
      <c r="BG551" s="29"/>
      <c r="BH551" s="27"/>
      <c r="BI551" s="30">
        <f t="shared" si="248"/>
        <v>319</v>
      </c>
      <c r="BJ551" s="31">
        <f t="shared" si="249"/>
        <v>45656</v>
      </c>
      <c r="BK551" s="27"/>
      <c r="BL551" s="16"/>
      <c r="BM551" s="27"/>
      <c r="BN551" s="16"/>
      <c r="BO551" s="27"/>
      <c r="BP551" s="16"/>
      <c r="BQ551" s="27"/>
      <c r="BR551" s="24"/>
      <c r="BS551" s="24"/>
      <c r="BT551" s="32"/>
      <c r="BU551" s="27"/>
      <c r="BV551" s="24"/>
      <c r="BW551" s="24"/>
      <c r="BX551" s="16"/>
      <c r="BY551" s="27"/>
      <c r="BZ551" s="24"/>
      <c r="CA551" s="24"/>
      <c r="CB551" s="16"/>
      <c r="CC551" s="49">
        <f t="shared" si="240"/>
        <v>0</v>
      </c>
      <c r="CD551" s="24"/>
      <c r="CE551" s="49">
        <f t="shared" si="241"/>
        <v>54000000</v>
      </c>
      <c r="CF551" s="50"/>
      <c r="CG551" s="49">
        <f t="shared" ca="1" si="242"/>
        <v>54000000</v>
      </c>
      <c r="CH551" s="33">
        <f t="shared" ca="1" si="243"/>
        <v>1</v>
      </c>
      <c r="CI551" s="33">
        <f t="shared" ca="1" si="244"/>
        <v>1</v>
      </c>
      <c r="CJ551" s="36">
        <f t="shared" ca="1" si="245"/>
        <v>100</v>
      </c>
      <c r="CK551" s="34">
        <f t="shared" si="246"/>
        <v>0</v>
      </c>
      <c r="CL551" s="21"/>
      <c r="CM551" s="35" t="str">
        <f t="shared" ca="1" si="252"/>
        <v>TERMINADO</v>
      </c>
      <c r="CN551" s="82"/>
      <c r="CO551" s="145" t="s">
        <v>4506</v>
      </c>
      <c r="CP551" s="26" t="s">
        <v>123</v>
      </c>
    </row>
    <row r="552" spans="1:98" ht="24.75" customHeight="1">
      <c r="A552" s="109" t="s">
        <v>4507</v>
      </c>
      <c r="B552" s="77" t="s">
        <v>4508</v>
      </c>
      <c r="C552" s="17" t="s">
        <v>104</v>
      </c>
      <c r="D552" s="18" t="s">
        <v>4509</v>
      </c>
      <c r="E552" s="17" t="s">
        <v>106</v>
      </c>
      <c r="F552" s="17" t="s">
        <v>107</v>
      </c>
      <c r="G552" s="17" t="s">
        <v>108</v>
      </c>
      <c r="H552" s="78">
        <v>40332355</v>
      </c>
      <c r="I552" s="74" t="s">
        <v>4510</v>
      </c>
      <c r="J552" s="16"/>
      <c r="K552" s="16"/>
      <c r="L552" s="20" t="s">
        <v>4511</v>
      </c>
      <c r="M552" s="16" t="s">
        <v>111</v>
      </c>
      <c r="N552" s="115">
        <v>45335</v>
      </c>
      <c r="O552" s="22">
        <v>45337</v>
      </c>
      <c r="P552" s="115">
        <v>45656</v>
      </c>
      <c r="Q552" s="23">
        <f t="shared" si="250"/>
        <v>319</v>
      </c>
      <c r="R552" s="17" t="s">
        <v>242</v>
      </c>
      <c r="S552" s="117" t="s">
        <v>4512</v>
      </c>
      <c r="T552" s="16" t="s">
        <v>997</v>
      </c>
      <c r="U552" s="67">
        <v>60316667</v>
      </c>
      <c r="V552" s="16" t="s">
        <v>815</v>
      </c>
      <c r="W552" s="224">
        <v>60316667</v>
      </c>
      <c r="X552" s="24">
        <v>5500000</v>
      </c>
      <c r="Y552" s="24"/>
      <c r="Z552" s="24"/>
      <c r="AA552" s="17" t="s">
        <v>116</v>
      </c>
      <c r="AB552" s="23" t="str">
        <f>IFERROR(VLOOKUP(AA552,Listas!$A$1:$C$14,2,FALSE),"")</f>
        <v>FREDY CÉSPEDES VILLA</v>
      </c>
      <c r="AC552" s="23">
        <f>IFERROR(VLOOKUP(AA552,Listas!$A$1:$C$14,3,FALSE),"")</f>
        <v>93363483</v>
      </c>
      <c r="AD552" s="17" t="s">
        <v>816</v>
      </c>
      <c r="AE552" s="17" t="s">
        <v>4513</v>
      </c>
      <c r="AF552" s="23" t="str">
        <f>IFERROR(VLOOKUP(AE552,Listas!$AD$1:$AF$65,2,FALSE),"")</f>
        <v>PEDRO JOSÉ CARRILLO BERMUDEZ</v>
      </c>
      <c r="AG552" s="23">
        <f>IFERROR(VLOOKUP(AE552,Listas!$AD$1:$AF$65,3,FALSE),"")</f>
        <v>19490879</v>
      </c>
      <c r="AH552" s="17" t="s">
        <v>118</v>
      </c>
      <c r="AI552" s="65" t="s">
        <v>4514</v>
      </c>
      <c r="AJ552" s="25" t="s">
        <v>119</v>
      </c>
      <c r="AK552" s="26" t="s">
        <v>120</v>
      </c>
      <c r="AL552" s="26" t="s">
        <v>120</v>
      </c>
      <c r="AM552" s="90" t="s">
        <v>119</v>
      </c>
      <c r="AN552" s="105">
        <v>30839</v>
      </c>
      <c r="AO552" s="91">
        <f t="shared" ca="1" si="251"/>
        <v>41</v>
      </c>
      <c r="AP552" s="26" t="s">
        <v>121</v>
      </c>
      <c r="AQ552" s="26" t="s">
        <v>1641</v>
      </c>
      <c r="AR552" s="89"/>
      <c r="AS552" s="27"/>
      <c r="AT552" s="16"/>
      <c r="AU552" s="27"/>
      <c r="AV552" s="86"/>
      <c r="AW552" s="27"/>
      <c r="AX552" s="27"/>
      <c r="AY552" s="27"/>
      <c r="AZ552" s="27"/>
      <c r="BA552" s="27"/>
      <c r="BB552" s="27"/>
      <c r="BC552" s="97"/>
      <c r="BD552" s="27"/>
      <c r="BE552" s="16"/>
      <c r="BF552" s="28">
        <f t="shared" si="247"/>
        <v>0</v>
      </c>
      <c r="BG552" s="29"/>
      <c r="BH552" s="27"/>
      <c r="BI552" s="30">
        <f t="shared" si="248"/>
        <v>319</v>
      </c>
      <c r="BJ552" s="31">
        <f t="shared" si="249"/>
        <v>45656</v>
      </c>
      <c r="BK552" s="27"/>
      <c r="BL552" s="16"/>
      <c r="BM552" s="27"/>
      <c r="BN552" s="16"/>
      <c r="BO552" s="27"/>
      <c r="BP552" s="16"/>
      <c r="BQ552" s="27"/>
      <c r="BR552" s="24"/>
      <c r="BS552" s="24"/>
      <c r="BT552" s="32"/>
      <c r="BU552" s="27"/>
      <c r="BV552" s="24"/>
      <c r="BW552" s="24"/>
      <c r="BX552" s="16"/>
      <c r="BY552" s="27"/>
      <c r="BZ552" s="24"/>
      <c r="CA552" s="24"/>
      <c r="CB552" s="16"/>
      <c r="CC552" s="49">
        <f t="shared" si="240"/>
        <v>0</v>
      </c>
      <c r="CD552" s="24"/>
      <c r="CE552" s="49">
        <f t="shared" si="241"/>
        <v>60316667</v>
      </c>
      <c r="CF552" s="50"/>
      <c r="CG552" s="49">
        <f t="shared" ca="1" si="242"/>
        <v>60316667</v>
      </c>
      <c r="CH552" s="33">
        <f t="shared" ca="1" si="243"/>
        <v>1</v>
      </c>
      <c r="CI552" s="33">
        <f t="shared" ca="1" si="244"/>
        <v>1</v>
      </c>
      <c r="CJ552" s="36">
        <f t="shared" ca="1" si="245"/>
        <v>100</v>
      </c>
      <c r="CK552" s="34">
        <f t="shared" si="246"/>
        <v>0</v>
      </c>
      <c r="CL552" s="21"/>
      <c r="CM552" s="35" t="str">
        <f t="shared" ca="1" si="252"/>
        <v>TERMINADO</v>
      </c>
      <c r="CN552" s="82"/>
      <c r="CO552" s="145" t="s">
        <v>4515</v>
      </c>
      <c r="CP552" s="26" t="s">
        <v>123</v>
      </c>
    </row>
    <row r="553" spans="1:98" ht="24.75" customHeight="1">
      <c r="A553" s="48" t="s">
        <v>1424</v>
      </c>
      <c r="B553" s="77" t="s">
        <v>4516</v>
      </c>
      <c r="C553" s="17" t="s">
        <v>2927</v>
      </c>
      <c r="D553" s="18" t="s">
        <v>4517</v>
      </c>
      <c r="E553" s="17" t="s">
        <v>2929</v>
      </c>
      <c r="F553" s="17" t="s">
        <v>1426</v>
      </c>
      <c r="G553" s="17" t="s">
        <v>1427</v>
      </c>
      <c r="H553" s="78" t="s">
        <v>4518</v>
      </c>
      <c r="I553" s="74" t="s">
        <v>4519</v>
      </c>
      <c r="J553" s="16" t="s">
        <v>4520</v>
      </c>
      <c r="K553" s="104">
        <v>28061062</v>
      </c>
      <c r="L553" s="20" t="s">
        <v>2933</v>
      </c>
      <c r="M553" s="16"/>
      <c r="N553" s="115">
        <v>45335</v>
      </c>
      <c r="O553" s="22">
        <v>45335</v>
      </c>
      <c r="P553" s="115">
        <v>45701</v>
      </c>
      <c r="Q553" s="23">
        <f t="shared" si="250"/>
        <v>366</v>
      </c>
      <c r="R553" s="17" t="s">
        <v>2934</v>
      </c>
      <c r="S553" s="117" t="s">
        <v>1424</v>
      </c>
      <c r="T553" s="16" t="s">
        <v>1424</v>
      </c>
      <c r="U553" s="67" t="s">
        <v>1424</v>
      </c>
      <c r="V553" s="16" t="s">
        <v>1424</v>
      </c>
      <c r="W553" s="224">
        <v>0</v>
      </c>
      <c r="X553" s="24"/>
      <c r="Y553" s="24" t="s">
        <v>2935</v>
      </c>
      <c r="Z553" s="24"/>
      <c r="AA553" s="17" t="s">
        <v>406</v>
      </c>
      <c r="AB553" s="23" t="str">
        <f>IFERROR(VLOOKUP(AA553,Listas!$A$1:$C$14,2,FALSE),"")</f>
        <v>EDUARDO ELÍAS BARCHA BOLÍVAR</v>
      </c>
      <c r="AC553" s="23">
        <f>IFERROR(VLOOKUP(AA553,Listas!$A$1:$C$14,3,FALSE),"")</f>
        <v>72133921</v>
      </c>
      <c r="AD553" s="17" t="s">
        <v>1523</v>
      </c>
      <c r="AE553" s="17" t="s">
        <v>1524</v>
      </c>
      <c r="AF553" s="23" t="str">
        <f>IFERROR(VLOOKUP(AE553,Listas!$AD$1:$AF$65,2,FALSE),"")</f>
        <v>IVETTE FRASSER SÁNCHEZ</v>
      </c>
      <c r="AG553" s="23">
        <f>IFERROR(VLOOKUP(AE553,Listas!$AD$1:$AF$65,3,FALSE),"")</f>
        <v>38285903</v>
      </c>
      <c r="AH553" s="17" t="s">
        <v>2936</v>
      </c>
      <c r="AI553" s="65"/>
      <c r="AJ553" s="25" t="s">
        <v>1435</v>
      </c>
      <c r="AK553" s="26" t="s">
        <v>2071</v>
      </c>
      <c r="AL553" s="26" t="s">
        <v>2071</v>
      </c>
      <c r="AM553" s="90" t="s">
        <v>1435</v>
      </c>
      <c r="AN553" s="105"/>
      <c r="AO553" s="91" t="str">
        <f t="shared" ca="1" si="251"/>
        <v xml:space="preserve"> </v>
      </c>
      <c r="AP553" s="26" t="s">
        <v>2937</v>
      </c>
      <c r="AQ553" s="26" t="s">
        <v>3501</v>
      </c>
      <c r="AR553" s="89"/>
      <c r="AS553" s="27"/>
      <c r="AT553" s="16"/>
      <c r="AU553" s="27"/>
      <c r="AV553" s="86"/>
      <c r="AW553" s="27"/>
      <c r="AX553" s="27"/>
      <c r="AY553" s="27"/>
      <c r="AZ553" s="27"/>
      <c r="BA553" s="27"/>
      <c r="BB553" s="27"/>
      <c r="BC553" s="97"/>
      <c r="BD553" s="27"/>
      <c r="BE553" s="16"/>
      <c r="BF553" s="28">
        <f t="shared" si="247"/>
        <v>0</v>
      </c>
      <c r="BG553" s="29"/>
      <c r="BH553" s="27"/>
      <c r="BI553" s="30">
        <f t="shared" si="248"/>
        <v>366</v>
      </c>
      <c r="BJ553" s="31">
        <f t="shared" si="249"/>
        <v>45701</v>
      </c>
      <c r="BK553" s="27"/>
      <c r="BL553" s="16"/>
      <c r="BM553" s="27"/>
      <c r="BN553" s="16"/>
      <c r="BO553" s="27"/>
      <c r="BP553" s="16"/>
      <c r="BQ553" s="27"/>
      <c r="BR553" s="24"/>
      <c r="BS553" s="24"/>
      <c r="BT553" s="32"/>
      <c r="BU553" s="27"/>
      <c r="BV553" s="24"/>
      <c r="BW553" s="24"/>
      <c r="BX553" s="16"/>
      <c r="BY553" s="27"/>
      <c r="BZ553" s="24"/>
      <c r="CA553" s="24"/>
      <c r="CB553" s="16"/>
      <c r="CC553" s="49">
        <f t="shared" si="240"/>
        <v>0</v>
      </c>
      <c r="CD553" s="24"/>
      <c r="CE553" s="49" t="str">
        <f>IFERROR(IF(Y553=0,(W553+CC553)-CD553,IF(Y553&gt;0,(Y553+CC553)-CD553)),"")</f>
        <v/>
      </c>
      <c r="CF553" s="50">
        <v>0</v>
      </c>
      <c r="CG553" s="49" t="str">
        <f t="shared" ca="1" si="242"/>
        <v/>
      </c>
      <c r="CH553" s="33">
        <f t="shared" ca="1" si="243"/>
        <v>1</v>
      </c>
      <c r="CI553" s="33">
        <f t="shared" ca="1" si="244"/>
        <v>1</v>
      </c>
      <c r="CJ553" s="36" t="str">
        <f t="shared" ca="1" si="245"/>
        <v/>
      </c>
      <c r="CK553" s="34" t="str">
        <f t="shared" si="246"/>
        <v/>
      </c>
      <c r="CL553" s="21"/>
      <c r="CM553" s="35" t="str">
        <f t="shared" ca="1" si="252"/>
        <v>TERMINADO</v>
      </c>
      <c r="CN553" s="82"/>
      <c r="CP553" s="83" t="s">
        <v>1424</v>
      </c>
    </row>
    <row r="554" spans="1:98" ht="24.75" customHeight="1">
      <c r="A554" s="48" t="s">
        <v>1424</v>
      </c>
      <c r="B554" s="77" t="s">
        <v>4521</v>
      </c>
      <c r="C554" s="17" t="s">
        <v>2927</v>
      </c>
      <c r="D554" s="18" t="s">
        <v>4522</v>
      </c>
      <c r="E554" s="17" t="s">
        <v>2929</v>
      </c>
      <c r="F554" s="17" t="s">
        <v>1426</v>
      </c>
      <c r="G554" s="17" t="s">
        <v>1427</v>
      </c>
      <c r="H554" s="78" t="s">
        <v>4523</v>
      </c>
      <c r="I554" s="74" t="s">
        <v>4524</v>
      </c>
      <c r="J554" s="16" t="s">
        <v>4525</v>
      </c>
      <c r="K554" s="104">
        <v>72258609</v>
      </c>
      <c r="L554" s="20" t="s">
        <v>2933</v>
      </c>
      <c r="M554" s="16"/>
      <c r="N554" s="115">
        <v>45335</v>
      </c>
      <c r="O554" s="22">
        <v>45335</v>
      </c>
      <c r="P554" s="115">
        <v>45701</v>
      </c>
      <c r="Q554" s="23">
        <f t="shared" si="250"/>
        <v>366</v>
      </c>
      <c r="R554" s="17" t="s">
        <v>2934</v>
      </c>
      <c r="S554" s="117" t="s">
        <v>1424</v>
      </c>
      <c r="T554" s="16" t="s">
        <v>1424</v>
      </c>
      <c r="U554" s="67" t="s">
        <v>1424</v>
      </c>
      <c r="V554" s="16" t="s">
        <v>1424</v>
      </c>
      <c r="W554" s="224">
        <v>0</v>
      </c>
      <c r="X554" s="24"/>
      <c r="Y554" s="24" t="s">
        <v>2935</v>
      </c>
      <c r="Z554" s="24"/>
      <c r="AA554" s="17" t="s">
        <v>406</v>
      </c>
      <c r="AB554" s="23" t="str">
        <f>IFERROR(VLOOKUP(AA554,Listas!$A$1:$C$14,2,FALSE),"")</f>
        <v>EDUARDO ELÍAS BARCHA BOLÍVAR</v>
      </c>
      <c r="AC554" s="23">
        <f>IFERROR(VLOOKUP(AA554,Listas!$A$1:$C$14,3,FALSE),"")</f>
        <v>72133921</v>
      </c>
      <c r="AD554" s="17" t="s">
        <v>903</v>
      </c>
      <c r="AE554" s="17" t="s">
        <v>904</v>
      </c>
      <c r="AF554" s="23" t="str">
        <f>IFERROR(VLOOKUP(AE554,Listas!$AD$1:$AF$65,2,FALSE),"")</f>
        <v>VIVIANA MARGARITA ROMERO</v>
      </c>
      <c r="AG554" s="23">
        <f>IFERROR(VLOOKUP(AE554,Listas!$AD$1:$AF$65,3,FALSE),"")</f>
        <v>32794946</v>
      </c>
      <c r="AH554" s="17" t="s">
        <v>2936</v>
      </c>
      <c r="AI554" s="65"/>
      <c r="AJ554" s="25" t="s">
        <v>1435</v>
      </c>
      <c r="AK554" s="26" t="s">
        <v>2071</v>
      </c>
      <c r="AL554" s="26" t="s">
        <v>2071</v>
      </c>
      <c r="AM554" s="90" t="s">
        <v>1435</v>
      </c>
      <c r="AN554" s="105"/>
      <c r="AO554" s="91" t="str">
        <f t="shared" ca="1" si="251"/>
        <v xml:space="preserve"> </v>
      </c>
      <c r="AP554" s="26" t="s">
        <v>2937</v>
      </c>
      <c r="AQ554" s="26" t="s">
        <v>4526</v>
      </c>
      <c r="AR554" s="89"/>
      <c r="AS554" s="27"/>
      <c r="AT554" s="16"/>
      <c r="AU554" s="27"/>
      <c r="AV554" s="86"/>
      <c r="AW554" s="27"/>
      <c r="AX554" s="27"/>
      <c r="AY554" s="27"/>
      <c r="AZ554" s="27"/>
      <c r="BA554" s="27"/>
      <c r="BB554" s="27">
        <v>45679</v>
      </c>
      <c r="BC554" s="97">
        <v>321</v>
      </c>
      <c r="BD554" s="27"/>
      <c r="BE554" s="16"/>
      <c r="BF554" s="28">
        <f t="shared" si="247"/>
        <v>321</v>
      </c>
      <c r="BG554" s="29"/>
      <c r="BH554" s="27"/>
      <c r="BI554" s="30">
        <f t="shared" si="248"/>
        <v>687</v>
      </c>
      <c r="BJ554" s="31">
        <f t="shared" si="249"/>
        <v>46022</v>
      </c>
      <c r="BK554" s="27">
        <v>45679</v>
      </c>
      <c r="BL554" s="16" t="s">
        <v>4527</v>
      </c>
      <c r="BM554" s="27"/>
      <c r="BN554" s="16"/>
      <c r="BO554" s="27"/>
      <c r="BP554" s="16"/>
      <c r="BQ554" s="27"/>
      <c r="BR554" s="24"/>
      <c r="BS554" s="24"/>
      <c r="BT554" s="32"/>
      <c r="BU554" s="27"/>
      <c r="BV554" s="24"/>
      <c r="BW554" s="24"/>
      <c r="BX554" s="16"/>
      <c r="BY554" s="27"/>
      <c r="BZ554" s="24"/>
      <c r="CA554" s="24"/>
      <c r="CB554" s="16"/>
      <c r="CC554" s="49">
        <f t="shared" si="240"/>
        <v>0</v>
      </c>
      <c r="CD554" s="24"/>
      <c r="CE554" s="49" t="str">
        <f>IFERROR(IF(Y554=0,(W554+CC554)-CD554,IF(Y554&gt;0,(Y554+CC554)-CD554)),"")</f>
        <v/>
      </c>
      <c r="CF554" s="50">
        <v>3892869005.6600099</v>
      </c>
      <c r="CG554" s="49" t="str">
        <f t="shared" ca="1" si="242"/>
        <v/>
      </c>
      <c r="CH554" s="33">
        <f t="shared" ca="1" si="243"/>
        <v>0.89528023598820061</v>
      </c>
      <c r="CI554" s="33">
        <f t="shared" ca="1" si="244"/>
        <v>0.89528023598820061</v>
      </c>
      <c r="CJ554" s="36" t="str">
        <f t="shared" ca="1" si="245"/>
        <v/>
      </c>
      <c r="CK554" s="34" t="str">
        <f t="shared" si="246"/>
        <v/>
      </c>
      <c r="CL554" s="21"/>
      <c r="CM554" s="35" t="str">
        <f t="shared" ca="1" si="252"/>
        <v>VIGENTE</v>
      </c>
      <c r="CN554" s="82"/>
      <c r="CP554" s="83" t="s">
        <v>1424</v>
      </c>
    </row>
    <row r="555" spans="1:98" ht="24.75" customHeight="1">
      <c r="A555" s="109" t="s">
        <v>4528</v>
      </c>
      <c r="B555" s="77" t="s">
        <v>4529</v>
      </c>
      <c r="C555" s="17" t="s">
        <v>104</v>
      </c>
      <c r="D555" s="18" t="s">
        <v>4530</v>
      </c>
      <c r="E555" s="17" t="s">
        <v>106</v>
      </c>
      <c r="F555" s="17" t="s">
        <v>1426</v>
      </c>
      <c r="G555" s="17" t="s">
        <v>1427</v>
      </c>
      <c r="H555" s="78" t="s">
        <v>4531</v>
      </c>
      <c r="I555" s="74" t="s">
        <v>4532</v>
      </c>
      <c r="J555" s="16" t="s">
        <v>4533</v>
      </c>
      <c r="K555" s="16">
        <v>52056284</v>
      </c>
      <c r="L555" s="20" t="s">
        <v>4534</v>
      </c>
      <c r="M555" s="16" t="s">
        <v>111</v>
      </c>
      <c r="N555" s="115">
        <v>45335</v>
      </c>
      <c r="O555" s="22">
        <v>45362</v>
      </c>
      <c r="P555" s="115">
        <v>45726</v>
      </c>
      <c r="Q555" s="23">
        <f t="shared" si="250"/>
        <v>364</v>
      </c>
      <c r="R555" s="17" t="s">
        <v>242</v>
      </c>
      <c r="S555" s="117" t="s">
        <v>4535</v>
      </c>
      <c r="T555" s="16" t="s">
        <v>4536</v>
      </c>
      <c r="U555" s="67">
        <v>238523600</v>
      </c>
      <c r="V555" s="16" t="s">
        <v>2812</v>
      </c>
      <c r="W555" s="224">
        <v>238523600</v>
      </c>
      <c r="X555" s="24"/>
      <c r="Y555" s="24"/>
      <c r="Z555" s="24"/>
      <c r="AA555" s="17" t="s">
        <v>116</v>
      </c>
      <c r="AB555" s="23" t="str">
        <f>IFERROR(VLOOKUP(AA555,Listas!$A$1:$C$14,2,FALSE),"")</f>
        <v>FREDY CÉSPEDES VILLA</v>
      </c>
      <c r="AC555" s="23">
        <f>IFERROR(VLOOKUP(AA555,Listas!$A$1:$C$14,3,FALSE),"")</f>
        <v>93363483</v>
      </c>
      <c r="AD555" s="17" t="s">
        <v>816</v>
      </c>
      <c r="AE555" s="17" t="s">
        <v>2577</v>
      </c>
      <c r="AF555" s="23" t="str">
        <f>IFERROR(VLOOKUP(AE555,Listas!$AD$1:$AF$65,2,FALSE),"")</f>
        <v>VICTOR RAUL BAUTISTA GALINDO</v>
      </c>
      <c r="AG555" s="23">
        <f>IFERROR(VLOOKUP(AE555,Listas!$AD$1:$AF$65,3,FALSE),"")</f>
        <v>79352968</v>
      </c>
      <c r="AH555" s="17" t="s">
        <v>118</v>
      </c>
      <c r="AI555" s="65"/>
      <c r="AJ555" s="25" t="s">
        <v>1435</v>
      </c>
      <c r="AK555" s="26" t="s">
        <v>2071</v>
      </c>
      <c r="AL555" s="26" t="s">
        <v>2071</v>
      </c>
      <c r="AM555" s="90" t="s">
        <v>1435</v>
      </c>
      <c r="AN555" s="105" t="s">
        <v>1424</v>
      </c>
      <c r="AO555" s="91" t="e">
        <f t="shared" ca="1" si="251"/>
        <v>#VALUE!</v>
      </c>
      <c r="AP555" s="26" t="s">
        <v>121</v>
      </c>
      <c r="AQ555" s="26" t="s">
        <v>327</v>
      </c>
      <c r="AR555" s="89"/>
      <c r="AS555" s="27"/>
      <c r="AT555" s="16"/>
      <c r="AU555" s="27"/>
      <c r="AV555" s="86"/>
      <c r="AW555" s="27"/>
      <c r="AX555" s="27"/>
      <c r="AY555" s="27"/>
      <c r="AZ555" s="27"/>
      <c r="BA555" s="27"/>
      <c r="BB555" s="27"/>
      <c r="BC555" s="97"/>
      <c r="BD555" s="27"/>
      <c r="BE555" s="16"/>
      <c r="BF555" s="28">
        <f t="shared" si="247"/>
        <v>0</v>
      </c>
      <c r="BG555" s="29"/>
      <c r="BH555" s="27"/>
      <c r="BI555" s="30">
        <f t="shared" si="248"/>
        <v>364</v>
      </c>
      <c r="BJ555" s="31">
        <f t="shared" si="249"/>
        <v>45726</v>
      </c>
      <c r="BK555" s="27"/>
      <c r="BL555" s="16"/>
      <c r="BM555" s="27"/>
      <c r="BN555" s="16"/>
      <c r="BO555" s="27"/>
      <c r="BP555" s="16"/>
      <c r="BQ555" s="27"/>
      <c r="BR555" s="24"/>
      <c r="BS555" s="24"/>
      <c r="BT555" s="32"/>
      <c r="BU555" s="27"/>
      <c r="BV555" s="24"/>
      <c r="BW555" s="24"/>
      <c r="BX555" s="16"/>
      <c r="BY555" s="27"/>
      <c r="BZ555" s="24"/>
      <c r="CA555" s="24"/>
      <c r="CB555" s="16"/>
      <c r="CC555" s="49">
        <f t="shared" si="240"/>
        <v>0</v>
      </c>
      <c r="CD555" s="24"/>
      <c r="CE555" s="49">
        <f t="shared" si="241"/>
        <v>238523600</v>
      </c>
      <c r="CF555" s="50"/>
      <c r="CG555" s="49">
        <f t="shared" ca="1" si="242"/>
        <v>238523600</v>
      </c>
      <c r="CH555" s="33">
        <f t="shared" ca="1" si="243"/>
        <v>1</v>
      </c>
      <c r="CI555" s="33">
        <f t="shared" ca="1" si="244"/>
        <v>1</v>
      </c>
      <c r="CJ555" s="36">
        <f t="shared" ca="1" si="245"/>
        <v>100</v>
      </c>
      <c r="CK555" s="34">
        <f t="shared" si="246"/>
        <v>0</v>
      </c>
      <c r="CL555" s="21"/>
      <c r="CM555" s="35" t="str">
        <f t="shared" ca="1" si="252"/>
        <v>TERMINADO</v>
      </c>
      <c r="CN555" s="82"/>
      <c r="CO555" s="145" t="s">
        <v>4537</v>
      </c>
      <c r="CP555" s="83" t="s">
        <v>1424</v>
      </c>
    </row>
    <row r="556" spans="1:98" ht="24.75" customHeight="1">
      <c r="A556" s="48" t="s">
        <v>4538</v>
      </c>
      <c r="B556" s="77" t="s">
        <v>4539</v>
      </c>
      <c r="C556" s="17" t="s">
        <v>104</v>
      </c>
      <c r="D556" s="18" t="s">
        <v>4540</v>
      </c>
      <c r="E556" s="17" t="s">
        <v>106</v>
      </c>
      <c r="F556" s="17" t="s">
        <v>107</v>
      </c>
      <c r="G556" s="17" t="s">
        <v>108</v>
      </c>
      <c r="H556" s="78">
        <v>1026584949</v>
      </c>
      <c r="I556" s="74" t="s">
        <v>4541</v>
      </c>
      <c r="J556" s="16"/>
      <c r="K556" s="16"/>
      <c r="L556" s="20" t="s">
        <v>4542</v>
      </c>
      <c r="M556" s="16" t="s">
        <v>111</v>
      </c>
      <c r="N556" s="115">
        <v>45335</v>
      </c>
      <c r="O556" s="22">
        <v>45338</v>
      </c>
      <c r="P556" s="115">
        <v>45656</v>
      </c>
      <c r="Q556" s="23">
        <f t="shared" si="250"/>
        <v>318</v>
      </c>
      <c r="R556" s="17" t="s">
        <v>242</v>
      </c>
      <c r="S556" s="117" t="s">
        <v>4543</v>
      </c>
      <c r="T556" s="16" t="s">
        <v>865</v>
      </c>
      <c r="U556" s="67">
        <v>52800000</v>
      </c>
      <c r="V556" s="16" t="s">
        <v>866</v>
      </c>
      <c r="W556" s="224">
        <v>50453333</v>
      </c>
      <c r="X556" s="24">
        <v>4400000</v>
      </c>
      <c r="Y556" s="24"/>
      <c r="Z556" s="24"/>
      <c r="AA556" s="17" t="s">
        <v>116</v>
      </c>
      <c r="AB556" s="23" t="str">
        <f>IFERROR(VLOOKUP(AA556,Listas!$A$1:$C$14,2,FALSE),"")</f>
        <v>FREDY CÉSPEDES VILLA</v>
      </c>
      <c r="AC556" s="23">
        <f>IFERROR(VLOOKUP(AA556,Listas!$A$1:$C$14,3,FALSE),"")</f>
        <v>93363483</v>
      </c>
      <c r="AD556" s="17" t="s">
        <v>816</v>
      </c>
      <c r="AE556" s="17" t="s">
        <v>817</v>
      </c>
      <c r="AF556" s="23" t="str">
        <f>IFERROR(VLOOKUP(AE556,Listas!$AD$1:$AF$65,2,FALSE),"")</f>
        <v>JOSÉ EDUARDO PARADA JIMÉNEZ</v>
      </c>
      <c r="AG556" s="23">
        <f>IFERROR(VLOOKUP(AE556,Listas!$AD$1:$AF$65,3,FALSE),"")</f>
        <v>79434805</v>
      </c>
      <c r="AH556" s="17" t="s">
        <v>118</v>
      </c>
      <c r="AI556" s="65" t="s">
        <v>4544</v>
      </c>
      <c r="AJ556" s="25" t="s">
        <v>119</v>
      </c>
      <c r="AK556" s="26" t="s">
        <v>120</v>
      </c>
      <c r="AL556" s="26" t="s">
        <v>120</v>
      </c>
      <c r="AM556" s="90" t="s">
        <v>119</v>
      </c>
      <c r="AN556" s="105">
        <v>35016</v>
      </c>
      <c r="AO556" s="91">
        <f t="shared" ca="1" si="251"/>
        <v>30</v>
      </c>
      <c r="AP556" s="26" t="s">
        <v>121</v>
      </c>
      <c r="AQ556" s="26" t="s">
        <v>819</v>
      </c>
      <c r="AR556" s="89"/>
      <c r="AS556" s="27"/>
      <c r="AT556" s="16"/>
      <c r="AU556" s="27"/>
      <c r="AV556" s="86"/>
      <c r="AW556" s="27"/>
      <c r="AX556" s="27"/>
      <c r="AY556" s="27"/>
      <c r="AZ556" s="27"/>
      <c r="BA556" s="27"/>
      <c r="BB556" s="27"/>
      <c r="BC556" s="97"/>
      <c r="BD556" s="27"/>
      <c r="BE556" s="16"/>
      <c r="BF556" s="28">
        <f t="shared" si="247"/>
        <v>0</v>
      </c>
      <c r="BG556" s="29"/>
      <c r="BH556" s="27"/>
      <c r="BI556" s="30">
        <f t="shared" si="248"/>
        <v>318</v>
      </c>
      <c r="BJ556" s="31">
        <f t="shared" si="249"/>
        <v>45656</v>
      </c>
      <c r="BK556" s="27"/>
      <c r="BL556" s="16"/>
      <c r="BM556" s="27"/>
      <c r="BN556" s="16"/>
      <c r="BO556" s="27"/>
      <c r="BP556" s="16"/>
      <c r="BQ556" s="27"/>
      <c r="BR556" s="24"/>
      <c r="BS556" s="24"/>
      <c r="BT556" s="32"/>
      <c r="BU556" s="27"/>
      <c r="BV556" s="24"/>
      <c r="BW556" s="24"/>
      <c r="BX556" s="16"/>
      <c r="BY556" s="27"/>
      <c r="BZ556" s="24"/>
      <c r="CA556" s="24"/>
      <c r="CB556" s="16"/>
      <c r="CC556" s="49">
        <f t="shared" si="240"/>
        <v>0</v>
      </c>
      <c r="CD556" s="24"/>
      <c r="CE556" s="49">
        <f t="shared" si="241"/>
        <v>50453333</v>
      </c>
      <c r="CF556" s="50"/>
      <c r="CG556" s="49">
        <f t="shared" ca="1" si="242"/>
        <v>50453333</v>
      </c>
      <c r="CH556" s="33">
        <f t="shared" ca="1" si="243"/>
        <v>1</v>
      </c>
      <c r="CI556" s="33">
        <f t="shared" ca="1" si="244"/>
        <v>1</v>
      </c>
      <c r="CJ556" s="36">
        <f t="shared" ca="1" si="245"/>
        <v>100</v>
      </c>
      <c r="CK556" s="34">
        <f t="shared" si="246"/>
        <v>0</v>
      </c>
      <c r="CL556" s="21"/>
      <c r="CM556" s="35" t="str">
        <f t="shared" ca="1" si="252"/>
        <v>TERMINADO</v>
      </c>
      <c r="CN556" s="82"/>
      <c r="CO556" s="145" t="s">
        <v>4545</v>
      </c>
      <c r="CP556" s="26" t="s">
        <v>123</v>
      </c>
    </row>
    <row r="557" spans="1:98" ht="24.75" customHeight="1">
      <c r="A557" s="109" t="s">
        <v>4546</v>
      </c>
      <c r="B557" s="77" t="s">
        <v>4547</v>
      </c>
      <c r="C557" s="17" t="s">
        <v>104</v>
      </c>
      <c r="D557" s="18" t="s">
        <v>4548</v>
      </c>
      <c r="E557" s="17" t="s">
        <v>106</v>
      </c>
      <c r="F557" s="17" t="s">
        <v>107</v>
      </c>
      <c r="G557" s="17" t="s">
        <v>108</v>
      </c>
      <c r="H557" s="78">
        <v>85468430</v>
      </c>
      <c r="I557" s="74" t="s">
        <v>4549</v>
      </c>
      <c r="J557" s="16"/>
      <c r="K557" s="16"/>
      <c r="L557" s="20" t="s">
        <v>4550</v>
      </c>
      <c r="M557" s="16" t="s">
        <v>111</v>
      </c>
      <c r="N557" s="115">
        <v>45335</v>
      </c>
      <c r="O557" s="22">
        <v>45336</v>
      </c>
      <c r="P557" s="115">
        <v>45656</v>
      </c>
      <c r="Q557" s="23">
        <f t="shared" si="250"/>
        <v>320</v>
      </c>
      <c r="R557" s="17" t="s">
        <v>242</v>
      </c>
      <c r="S557" s="117" t="s">
        <v>4551</v>
      </c>
      <c r="T557" s="16" t="s">
        <v>997</v>
      </c>
      <c r="U557" s="67">
        <v>114053333</v>
      </c>
      <c r="V557" s="16" t="s">
        <v>815</v>
      </c>
      <c r="W557" s="224">
        <v>114053333</v>
      </c>
      <c r="X557" s="24">
        <v>10400000</v>
      </c>
      <c r="Y557" s="24"/>
      <c r="Z557" s="24"/>
      <c r="AA557" s="17" t="s">
        <v>116</v>
      </c>
      <c r="AB557" s="23" t="str">
        <f>IFERROR(VLOOKUP(AA557,Listas!$A$1:$C$14,2,FALSE),"")</f>
        <v>FREDY CÉSPEDES VILLA</v>
      </c>
      <c r="AC557" s="23">
        <f>IFERROR(VLOOKUP(AA557,Listas!$A$1:$C$14,3,FALSE),"")</f>
        <v>93363483</v>
      </c>
      <c r="AD557" s="17" t="s">
        <v>816</v>
      </c>
      <c r="AE557" s="17" t="s">
        <v>4513</v>
      </c>
      <c r="AF557" s="23" t="str">
        <f>IFERROR(VLOOKUP(AE557,Listas!$AD$1:$AF$65,2,FALSE),"")</f>
        <v>PEDRO JOSÉ CARRILLO BERMUDEZ</v>
      </c>
      <c r="AG557" s="23">
        <f>IFERROR(VLOOKUP(AE557,Listas!$AD$1:$AF$65,3,FALSE),"")</f>
        <v>19490879</v>
      </c>
      <c r="AH557" s="17" t="s">
        <v>118</v>
      </c>
      <c r="AI557" s="65" t="s">
        <v>4552</v>
      </c>
      <c r="AJ557" s="25" t="s">
        <v>119</v>
      </c>
      <c r="AK557" s="26" t="s">
        <v>120</v>
      </c>
      <c r="AL557" s="26" t="s">
        <v>120</v>
      </c>
      <c r="AM557" s="90" t="s">
        <v>119</v>
      </c>
      <c r="AN557" s="105">
        <v>27142</v>
      </c>
      <c r="AO557" s="91">
        <f t="shared" ca="1" si="251"/>
        <v>51</v>
      </c>
      <c r="AP557" s="26" t="s">
        <v>121</v>
      </c>
      <c r="AQ557" s="26" t="s">
        <v>1641</v>
      </c>
      <c r="AR557" s="89"/>
      <c r="AS557" s="27"/>
      <c r="AT557" s="16"/>
      <c r="AU557" s="27"/>
      <c r="AV557" s="86"/>
      <c r="AW557" s="27"/>
      <c r="AX557" s="27"/>
      <c r="AY557" s="27"/>
      <c r="AZ557" s="27"/>
      <c r="BA557" s="27"/>
      <c r="BB557" s="27"/>
      <c r="BC557" s="97"/>
      <c r="BD557" s="27"/>
      <c r="BE557" s="16"/>
      <c r="BF557" s="28">
        <f t="shared" si="247"/>
        <v>0</v>
      </c>
      <c r="BG557" s="29"/>
      <c r="BH557" s="27"/>
      <c r="BI557" s="30">
        <f t="shared" si="248"/>
        <v>320</v>
      </c>
      <c r="BJ557" s="31">
        <f t="shared" si="249"/>
        <v>45656</v>
      </c>
      <c r="BK557" s="27"/>
      <c r="BL557" s="16"/>
      <c r="BM557" s="27"/>
      <c r="BN557" s="16"/>
      <c r="BO557" s="27"/>
      <c r="BP557" s="16"/>
      <c r="BQ557" s="27"/>
      <c r="BR557" s="24"/>
      <c r="BS557" s="24"/>
      <c r="BT557" s="32"/>
      <c r="BU557" s="27"/>
      <c r="BV557" s="24"/>
      <c r="BW557" s="24"/>
      <c r="BX557" s="16"/>
      <c r="BY557" s="27"/>
      <c r="BZ557" s="24"/>
      <c r="CA557" s="24"/>
      <c r="CB557" s="16"/>
      <c r="CC557" s="49">
        <f t="shared" si="240"/>
        <v>0</v>
      </c>
      <c r="CD557" s="24"/>
      <c r="CE557" s="49">
        <f t="shared" si="241"/>
        <v>114053333</v>
      </c>
      <c r="CF557" s="50"/>
      <c r="CG557" s="49">
        <f t="shared" ca="1" si="242"/>
        <v>114053333</v>
      </c>
      <c r="CH557" s="33">
        <f t="shared" ca="1" si="243"/>
        <v>1</v>
      </c>
      <c r="CI557" s="33">
        <f t="shared" ca="1" si="244"/>
        <v>1</v>
      </c>
      <c r="CJ557" s="36">
        <f t="shared" ca="1" si="245"/>
        <v>100</v>
      </c>
      <c r="CK557" s="34">
        <f t="shared" si="246"/>
        <v>0</v>
      </c>
      <c r="CL557" s="21"/>
      <c r="CM557" s="35" t="str">
        <f t="shared" ca="1" si="252"/>
        <v>TERMINADO</v>
      </c>
      <c r="CN557" s="82"/>
      <c r="CO557" s="145" t="s">
        <v>4553</v>
      </c>
      <c r="CP557" s="26" t="s">
        <v>142</v>
      </c>
    </row>
    <row r="558" spans="1:98" ht="24.75" customHeight="1">
      <c r="A558" s="109" t="s">
        <v>4554</v>
      </c>
      <c r="B558" s="77" t="s">
        <v>4555</v>
      </c>
      <c r="C558" s="17" t="s">
        <v>104</v>
      </c>
      <c r="D558" s="18" t="s">
        <v>4556</v>
      </c>
      <c r="E558" s="17" t="s">
        <v>106</v>
      </c>
      <c r="F558" s="17" t="s">
        <v>107</v>
      </c>
      <c r="G558" s="17" t="s">
        <v>108</v>
      </c>
      <c r="H558" s="78">
        <v>52261845</v>
      </c>
      <c r="I558" s="74" t="s">
        <v>4557</v>
      </c>
      <c r="J558" s="16"/>
      <c r="K558" s="16"/>
      <c r="L558" s="20" t="s">
        <v>4132</v>
      </c>
      <c r="M558" s="16" t="s">
        <v>111</v>
      </c>
      <c r="N558" s="115">
        <v>45335</v>
      </c>
      <c r="O558" s="22">
        <v>45337</v>
      </c>
      <c r="P558" s="115">
        <v>45656</v>
      </c>
      <c r="Q558" s="23">
        <f t="shared" si="250"/>
        <v>319</v>
      </c>
      <c r="R558" s="17" t="s">
        <v>242</v>
      </c>
      <c r="S558" s="117" t="s">
        <v>4558</v>
      </c>
      <c r="T558" s="16" t="s">
        <v>997</v>
      </c>
      <c r="U558" s="67">
        <v>82646667</v>
      </c>
      <c r="V558" s="16" t="s">
        <v>815</v>
      </c>
      <c r="W558" s="224">
        <v>82646667</v>
      </c>
      <c r="X558" s="24">
        <v>7700000</v>
      </c>
      <c r="Y558" s="24"/>
      <c r="Z558" s="24"/>
      <c r="AA558" s="17" t="s">
        <v>116</v>
      </c>
      <c r="AB558" s="23" t="str">
        <f>IFERROR(VLOOKUP(AA558,Listas!$A$1:$C$14,2,FALSE),"")</f>
        <v>FREDY CÉSPEDES VILLA</v>
      </c>
      <c r="AC558" s="23">
        <f>IFERROR(VLOOKUP(AA558,Listas!$A$1:$C$14,3,FALSE),"")</f>
        <v>93363483</v>
      </c>
      <c r="AD558" s="17" t="s">
        <v>816</v>
      </c>
      <c r="AE558" s="17" t="s">
        <v>2835</v>
      </c>
      <c r="AF558" s="23" t="str">
        <f>IFERROR(VLOOKUP(AE558,Listas!$AD$1:$AF$65,2,FALSE),"")</f>
        <v>GUILLERMO ANDRES CARDONA HERRERA</v>
      </c>
      <c r="AG558" s="23">
        <f>IFERROR(VLOOKUP(AE558,Listas!$AD$1:$AF$65,3,FALSE),"")</f>
        <v>80018909</v>
      </c>
      <c r="AH558" s="17" t="s">
        <v>118</v>
      </c>
      <c r="AI558" s="65" t="s">
        <v>4559</v>
      </c>
      <c r="AJ558" s="25" t="s">
        <v>119</v>
      </c>
      <c r="AK558" s="26" t="s">
        <v>120</v>
      </c>
      <c r="AL558" s="26" t="s">
        <v>120</v>
      </c>
      <c r="AM558" s="90" t="s">
        <v>119</v>
      </c>
      <c r="AN558" s="105">
        <v>27449</v>
      </c>
      <c r="AO558" s="91">
        <f t="shared" ca="1" si="251"/>
        <v>50</v>
      </c>
      <c r="AP558" s="26" t="s">
        <v>121</v>
      </c>
      <c r="AQ558" s="26" t="s">
        <v>1641</v>
      </c>
      <c r="AR558" s="89"/>
      <c r="AS558" s="27"/>
      <c r="AT558" s="16"/>
      <c r="AU558" s="27"/>
      <c r="AV558" s="86"/>
      <c r="AW558" s="27"/>
      <c r="AX558" s="27"/>
      <c r="AY558" s="27"/>
      <c r="AZ558" s="27"/>
      <c r="BA558" s="27"/>
      <c r="BB558" s="27"/>
      <c r="BC558" s="97"/>
      <c r="BD558" s="27"/>
      <c r="BE558" s="16"/>
      <c r="BF558" s="28">
        <f t="shared" si="247"/>
        <v>0</v>
      </c>
      <c r="BG558" s="29"/>
      <c r="BH558" s="27"/>
      <c r="BI558" s="30">
        <f t="shared" si="248"/>
        <v>319</v>
      </c>
      <c r="BJ558" s="31">
        <f t="shared" si="249"/>
        <v>45656</v>
      </c>
      <c r="BK558" s="27"/>
      <c r="BL558" s="16"/>
      <c r="BM558" s="27"/>
      <c r="BN558" s="16"/>
      <c r="BO558" s="27"/>
      <c r="BP558" s="16"/>
      <c r="BQ558" s="27"/>
      <c r="BR558" s="24"/>
      <c r="BS558" s="24"/>
      <c r="BT558" s="32"/>
      <c r="BU558" s="27"/>
      <c r="BV558" s="24"/>
      <c r="BW558" s="24"/>
      <c r="BX558" s="16"/>
      <c r="BY558" s="27"/>
      <c r="BZ558" s="24"/>
      <c r="CA558" s="24"/>
      <c r="CB558" s="16"/>
      <c r="CC558" s="49">
        <f t="shared" si="240"/>
        <v>0</v>
      </c>
      <c r="CD558" s="24"/>
      <c r="CE558" s="49">
        <f t="shared" si="241"/>
        <v>82646667</v>
      </c>
      <c r="CF558" s="50"/>
      <c r="CG558" s="49">
        <f t="shared" ca="1" si="242"/>
        <v>82646667</v>
      </c>
      <c r="CH558" s="33">
        <f t="shared" ca="1" si="243"/>
        <v>1</v>
      </c>
      <c r="CI558" s="33">
        <f t="shared" ca="1" si="244"/>
        <v>1</v>
      </c>
      <c r="CJ558" s="36">
        <f t="shared" ca="1" si="245"/>
        <v>100</v>
      </c>
      <c r="CK558" s="34">
        <f t="shared" si="246"/>
        <v>0</v>
      </c>
      <c r="CL558" s="21"/>
      <c r="CM558" s="35" t="str">
        <f t="shared" ca="1" si="252"/>
        <v>TERMINADO</v>
      </c>
      <c r="CN558" s="82"/>
      <c r="CO558" s="145" t="s">
        <v>4560</v>
      </c>
      <c r="CP558" s="26" t="s">
        <v>123</v>
      </c>
    </row>
    <row r="559" spans="1:98" ht="24.75" customHeight="1">
      <c r="A559" s="109" t="s">
        <v>4561</v>
      </c>
      <c r="B559" s="77" t="s">
        <v>4562</v>
      </c>
      <c r="C559" s="17" t="s">
        <v>104</v>
      </c>
      <c r="D559" s="18" t="s">
        <v>4563</v>
      </c>
      <c r="E559" s="17" t="s">
        <v>106</v>
      </c>
      <c r="F559" s="17" t="s">
        <v>107</v>
      </c>
      <c r="G559" s="17" t="s">
        <v>108</v>
      </c>
      <c r="H559" s="78">
        <v>1019072303</v>
      </c>
      <c r="I559" s="74" t="s">
        <v>4564</v>
      </c>
      <c r="J559" s="16"/>
      <c r="K559" s="16"/>
      <c r="L559" s="20" t="s">
        <v>4565</v>
      </c>
      <c r="M559" s="16" t="s">
        <v>111</v>
      </c>
      <c r="N559" s="115">
        <v>45335</v>
      </c>
      <c r="O559" s="22">
        <v>45338</v>
      </c>
      <c r="P559" s="115">
        <v>45656</v>
      </c>
      <c r="Q559" s="23">
        <f t="shared" si="250"/>
        <v>318</v>
      </c>
      <c r="R559" s="17" t="s">
        <v>242</v>
      </c>
      <c r="S559" s="117" t="s">
        <v>4566</v>
      </c>
      <c r="T559" s="16" t="s">
        <v>997</v>
      </c>
      <c r="U559" s="67">
        <v>80166667</v>
      </c>
      <c r="V559" s="16" t="s">
        <v>815</v>
      </c>
      <c r="W559" s="224">
        <v>80166667</v>
      </c>
      <c r="X559" s="24">
        <v>7400000</v>
      </c>
      <c r="Y559" s="24"/>
      <c r="Z559" s="24"/>
      <c r="AA559" s="17" t="s">
        <v>116</v>
      </c>
      <c r="AB559" s="23" t="str">
        <f>IFERROR(VLOOKUP(AA559,Listas!$A$1:$C$14,2,FALSE),"")</f>
        <v>FREDY CÉSPEDES VILLA</v>
      </c>
      <c r="AC559" s="23">
        <f>IFERROR(VLOOKUP(AA559,Listas!$A$1:$C$14,3,FALSE),"")</f>
        <v>93363483</v>
      </c>
      <c r="AD559" s="17" t="s">
        <v>816</v>
      </c>
      <c r="AE559" s="17" t="s">
        <v>867</v>
      </c>
      <c r="AF559" s="23" t="str">
        <f>IFERROR(VLOOKUP(AE559,Listas!$AD$1:$AF$65,2,FALSE),"")</f>
        <v>CARLOS EDUARDO CRUZ GONZALEZ</v>
      </c>
      <c r="AG559" s="23">
        <f>IFERROR(VLOOKUP(AE559,Listas!$AD$1:$AF$65,3,FALSE),"")</f>
        <v>79451906</v>
      </c>
      <c r="AH559" s="17" t="s">
        <v>118</v>
      </c>
      <c r="AI559" s="65" t="s">
        <v>4567</v>
      </c>
      <c r="AJ559" s="25" t="s">
        <v>119</v>
      </c>
      <c r="AK559" s="26" t="s">
        <v>120</v>
      </c>
      <c r="AL559" s="26" t="s">
        <v>120</v>
      </c>
      <c r="AM559" s="90" t="s">
        <v>119</v>
      </c>
      <c r="AN559" s="105">
        <v>33792</v>
      </c>
      <c r="AO559" s="91">
        <f t="shared" ca="1" si="251"/>
        <v>33</v>
      </c>
      <c r="AP559" s="26" t="s">
        <v>121</v>
      </c>
      <c r="AQ559" s="26" t="s">
        <v>1641</v>
      </c>
      <c r="AR559" s="89"/>
      <c r="AS559" s="27"/>
      <c r="AT559" s="16"/>
      <c r="AU559" s="27"/>
      <c r="AV559" s="86"/>
      <c r="AW559" s="27"/>
      <c r="AX559" s="27"/>
      <c r="AY559" s="27"/>
      <c r="AZ559" s="27"/>
      <c r="BA559" s="27"/>
      <c r="BB559" s="27"/>
      <c r="BC559" s="97"/>
      <c r="BD559" s="27"/>
      <c r="BE559" s="16"/>
      <c r="BF559" s="28">
        <f t="shared" si="247"/>
        <v>0</v>
      </c>
      <c r="BG559" s="29"/>
      <c r="BH559" s="27"/>
      <c r="BI559" s="30">
        <f t="shared" si="248"/>
        <v>318</v>
      </c>
      <c r="BJ559" s="31">
        <f t="shared" si="249"/>
        <v>45656</v>
      </c>
      <c r="BK559" s="27"/>
      <c r="BL559" s="16"/>
      <c r="BM559" s="27"/>
      <c r="BN559" s="16"/>
      <c r="BO559" s="27"/>
      <c r="BP559" s="16"/>
      <c r="BQ559" s="27"/>
      <c r="BR559" s="24"/>
      <c r="BS559" s="24"/>
      <c r="BT559" s="32"/>
      <c r="BU559" s="27"/>
      <c r="BV559" s="24"/>
      <c r="BW559" s="24"/>
      <c r="BX559" s="16"/>
      <c r="BY559" s="27"/>
      <c r="BZ559" s="24"/>
      <c r="CA559" s="24"/>
      <c r="CB559" s="16"/>
      <c r="CC559" s="49">
        <f t="shared" si="240"/>
        <v>0</v>
      </c>
      <c r="CD559" s="24"/>
      <c r="CE559" s="49">
        <f t="shared" si="241"/>
        <v>80166667</v>
      </c>
      <c r="CF559" s="50"/>
      <c r="CG559" s="49">
        <f t="shared" ca="1" si="242"/>
        <v>80166667</v>
      </c>
      <c r="CH559" s="33">
        <f t="shared" ca="1" si="243"/>
        <v>1</v>
      </c>
      <c r="CI559" s="33">
        <f t="shared" ca="1" si="244"/>
        <v>1</v>
      </c>
      <c r="CJ559" s="36">
        <f t="shared" ca="1" si="245"/>
        <v>100</v>
      </c>
      <c r="CK559" s="34">
        <f t="shared" si="246"/>
        <v>0</v>
      </c>
      <c r="CL559" s="21"/>
      <c r="CM559" s="35" t="str">
        <f t="shared" ca="1" si="252"/>
        <v>TERMINADO</v>
      </c>
      <c r="CN559" s="82"/>
      <c r="CO559" s="145" t="s">
        <v>4568</v>
      </c>
      <c r="CP559" s="26" t="s">
        <v>142</v>
      </c>
    </row>
    <row r="560" spans="1:98" ht="24.75" customHeight="1">
      <c r="A560" s="48" t="s">
        <v>1424</v>
      </c>
      <c r="B560" s="77" t="s">
        <v>4569</v>
      </c>
      <c r="C560" s="17" t="s">
        <v>2927</v>
      </c>
      <c r="D560" s="18" t="s">
        <v>4570</v>
      </c>
      <c r="E560" s="17" t="s">
        <v>2929</v>
      </c>
      <c r="F560" s="17" t="s">
        <v>1426</v>
      </c>
      <c r="G560" s="17" t="s">
        <v>1427</v>
      </c>
      <c r="H560" s="78" t="s">
        <v>4571</v>
      </c>
      <c r="I560" s="74" t="s">
        <v>4572</v>
      </c>
      <c r="J560" s="16" t="s">
        <v>4573</v>
      </c>
      <c r="K560" s="104">
        <v>43722681</v>
      </c>
      <c r="L560" s="20" t="s">
        <v>2933</v>
      </c>
      <c r="M560" s="16"/>
      <c r="N560" s="115">
        <v>45335</v>
      </c>
      <c r="O560" s="22">
        <v>45335</v>
      </c>
      <c r="P560" s="115">
        <v>45701</v>
      </c>
      <c r="Q560" s="23">
        <f t="shared" si="250"/>
        <v>366</v>
      </c>
      <c r="R560" s="17" t="s">
        <v>2934</v>
      </c>
      <c r="S560" s="117" t="s">
        <v>1424</v>
      </c>
      <c r="T560" s="16" t="s">
        <v>1424</v>
      </c>
      <c r="U560" s="67" t="s">
        <v>1424</v>
      </c>
      <c r="V560" s="16" t="s">
        <v>1424</v>
      </c>
      <c r="W560" s="224">
        <v>0</v>
      </c>
      <c r="X560" s="24"/>
      <c r="Y560" s="24" t="s">
        <v>2935</v>
      </c>
      <c r="Z560" s="24"/>
      <c r="AA560" s="17" t="s">
        <v>406</v>
      </c>
      <c r="AB560" s="23" t="str">
        <f>IFERROR(VLOOKUP(AA560,Listas!$A$1:$C$14,2,FALSE),"")</f>
        <v>EDUARDO ELÍAS BARCHA BOLÍVAR</v>
      </c>
      <c r="AC560" s="23">
        <f>IFERROR(VLOOKUP(AA560,Listas!$A$1:$C$14,3,FALSE),"")</f>
        <v>72133921</v>
      </c>
      <c r="AD560" s="17" t="s">
        <v>472</v>
      </c>
      <c r="AE560" s="17" t="s">
        <v>473</v>
      </c>
      <c r="AF560" s="23" t="str">
        <f>IFERROR(VLOOKUP(AE560,Listas!$AD$1:$AF$65,2,FALSE),"")</f>
        <v>DANIEL ALBERTO CASTAÑO LOPEZ</v>
      </c>
      <c r="AG560" s="23">
        <f>IFERROR(VLOOKUP(AE560,Listas!$AD$1:$AF$65,3,FALSE),"")</f>
        <v>7544385</v>
      </c>
      <c r="AH560" s="17" t="s">
        <v>2936</v>
      </c>
      <c r="AI560" s="65"/>
      <c r="AJ560" s="25" t="s">
        <v>1435</v>
      </c>
      <c r="AK560" s="26" t="s">
        <v>2071</v>
      </c>
      <c r="AL560" s="26" t="s">
        <v>2071</v>
      </c>
      <c r="AM560" s="90" t="s">
        <v>1435</v>
      </c>
      <c r="AN560" s="105"/>
      <c r="AO560" s="91" t="str">
        <f t="shared" ca="1" si="251"/>
        <v xml:space="preserve"> </v>
      </c>
      <c r="AP560" s="26" t="s">
        <v>2937</v>
      </c>
      <c r="AQ560" s="26" t="s">
        <v>2938</v>
      </c>
      <c r="AR560" s="89"/>
      <c r="AS560" s="27"/>
      <c r="AT560" s="16"/>
      <c r="AU560" s="27"/>
      <c r="AV560" s="86"/>
      <c r="AW560" s="27"/>
      <c r="AX560" s="27"/>
      <c r="AY560" s="27"/>
      <c r="AZ560" s="27"/>
      <c r="BA560" s="27"/>
      <c r="BB560" s="27">
        <v>45700</v>
      </c>
      <c r="BC560" s="97">
        <v>321</v>
      </c>
      <c r="BD560" s="27"/>
      <c r="BE560" s="16"/>
      <c r="BF560" s="28">
        <f t="shared" si="247"/>
        <v>321</v>
      </c>
      <c r="BG560" s="29"/>
      <c r="BH560" s="27"/>
      <c r="BI560" s="30">
        <f t="shared" si="248"/>
        <v>687</v>
      </c>
      <c r="BJ560" s="31">
        <f t="shared" si="249"/>
        <v>46022</v>
      </c>
      <c r="BK560" s="27">
        <v>45700</v>
      </c>
      <c r="BL560" s="16" t="s">
        <v>4574</v>
      </c>
      <c r="BM560" s="27"/>
      <c r="BN560" s="16"/>
      <c r="BO560" s="27"/>
      <c r="BP560" s="16"/>
      <c r="BQ560" s="27"/>
      <c r="BR560" s="24"/>
      <c r="BS560" s="24"/>
      <c r="BT560" s="32"/>
      <c r="BU560" s="27"/>
      <c r="BV560" s="24"/>
      <c r="BW560" s="24"/>
      <c r="BX560" s="16"/>
      <c r="BY560" s="27"/>
      <c r="BZ560" s="24"/>
      <c r="CA560" s="24"/>
      <c r="CB560" s="16"/>
      <c r="CC560" s="49">
        <f t="shared" si="240"/>
        <v>0</v>
      </c>
      <c r="CD560" s="24"/>
      <c r="CE560" s="49" t="str">
        <f>IFERROR(IF(Y560=0,(W560+CC560)-CD560,IF(Y560&gt;0,(Y560+CC560)-CD560)),"")</f>
        <v/>
      </c>
      <c r="CF560" s="50">
        <v>1171491202.55</v>
      </c>
      <c r="CG560" s="49" t="str">
        <f t="shared" ca="1" si="242"/>
        <v/>
      </c>
      <c r="CH560" s="33">
        <f t="shared" ca="1" si="243"/>
        <v>0.89528023598820061</v>
      </c>
      <c r="CI560" s="33">
        <f t="shared" ca="1" si="244"/>
        <v>0.89528023598820061</v>
      </c>
      <c r="CJ560" s="36" t="str">
        <f t="shared" ca="1" si="245"/>
        <v/>
      </c>
      <c r="CK560" s="34" t="str">
        <f t="shared" si="246"/>
        <v/>
      </c>
      <c r="CL560" s="21"/>
      <c r="CM560" s="35" t="str">
        <f t="shared" ca="1" si="252"/>
        <v>VIGENTE</v>
      </c>
      <c r="CN560" s="82"/>
      <c r="CP560" s="83" t="s">
        <v>1424</v>
      </c>
    </row>
    <row r="561" spans="1:94" ht="24.75" customHeight="1">
      <c r="A561" s="48" t="s">
        <v>4575</v>
      </c>
      <c r="B561" s="77" t="s">
        <v>4576</v>
      </c>
      <c r="C561" s="17" t="s">
        <v>104</v>
      </c>
      <c r="D561" s="18" t="s">
        <v>4577</v>
      </c>
      <c r="E561" s="17" t="s">
        <v>106</v>
      </c>
      <c r="F561" s="17" t="s">
        <v>107</v>
      </c>
      <c r="G561" s="17" t="s">
        <v>108</v>
      </c>
      <c r="H561" s="78">
        <v>1031165652</v>
      </c>
      <c r="I561" s="74" t="s">
        <v>4578</v>
      </c>
      <c r="J561" s="16"/>
      <c r="K561" s="16"/>
      <c r="L561" s="20" t="s">
        <v>4579</v>
      </c>
      <c r="M561" s="16" t="s">
        <v>111</v>
      </c>
      <c r="N561" s="115">
        <v>45335</v>
      </c>
      <c r="O561" s="22">
        <v>45338</v>
      </c>
      <c r="P561" s="115">
        <v>45476</v>
      </c>
      <c r="Q561" s="23">
        <f t="shared" si="250"/>
        <v>138</v>
      </c>
      <c r="R561" s="17" t="s">
        <v>242</v>
      </c>
      <c r="S561" s="117" t="s">
        <v>4580</v>
      </c>
      <c r="T561" s="16" t="s">
        <v>4581</v>
      </c>
      <c r="U561" s="67">
        <v>55908468</v>
      </c>
      <c r="V561" s="16" t="s">
        <v>1318</v>
      </c>
      <c r="W561" s="224">
        <v>51249429</v>
      </c>
      <c r="X561" s="24">
        <v>4659039</v>
      </c>
      <c r="Y561" s="24"/>
      <c r="Z561" s="24"/>
      <c r="AA561" s="17" t="s">
        <v>116</v>
      </c>
      <c r="AB561" s="23" t="str">
        <f>IFERROR(VLOOKUP(AA561,Listas!$A$1:$C$14,2,FALSE),"")</f>
        <v>FREDY CÉSPEDES VILLA</v>
      </c>
      <c r="AC561" s="23">
        <f>IFERROR(VLOOKUP(AA561,Listas!$A$1:$C$14,3,FALSE),"")</f>
        <v>93363483</v>
      </c>
      <c r="AD561" s="17" t="s">
        <v>116</v>
      </c>
      <c r="AE561" s="17" t="s">
        <v>659</v>
      </c>
      <c r="AF561" s="23" t="str">
        <f>IFERROR(VLOOKUP(AE561,Listas!$AD$1:$AF$65,2,FALSE),"")</f>
        <v>TATIANA FORERO TORRES</v>
      </c>
      <c r="AG561" s="23">
        <f>IFERROR(VLOOKUP(AE561,Listas!$AD$1:$AF$65,3,FALSE),"")</f>
        <v>1072446921</v>
      </c>
      <c r="AH561" s="17" t="s">
        <v>118</v>
      </c>
      <c r="AI561" s="65" t="s">
        <v>4582</v>
      </c>
      <c r="AJ561" s="25" t="s">
        <v>119</v>
      </c>
      <c r="AK561" s="26" t="s">
        <v>120</v>
      </c>
      <c r="AL561" s="26" t="s">
        <v>120</v>
      </c>
      <c r="AM561" s="90" t="s">
        <v>119</v>
      </c>
      <c r="AN561" s="105">
        <v>35247</v>
      </c>
      <c r="AO561" s="91">
        <f t="shared" ca="1" si="251"/>
        <v>29</v>
      </c>
      <c r="AP561" s="26" t="s">
        <v>121</v>
      </c>
      <c r="AQ561" s="26" t="s">
        <v>285</v>
      </c>
      <c r="AR561" s="89"/>
      <c r="AS561" s="27"/>
      <c r="AT561" s="16"/>
      <c r="AU561" s="27"/>
      <c r="AV561" s="86"/>
      <c r="AW561" s="27"/>
      <c r="AX561" s="27"/>
      <c r="AY561" s="27"/>
      <c r="AZ561" s="27"/>
      <c r="BA561" s="27"/>
      <c r="BB561" s="27"/>
      <c r="BC561" s="97"/>
      <c r="BD561" s="27"/>
      <c r="BE561" s="16"/>
      <c r="BF561" s="28">
        <f t="shared" si="247"/>
        <v>0</v>
      </c>
      <c r="BG561" s="29"/>
      <c r="BH561" s="27"/>
      <c r="BI561" s="30">
        <f t="shared" si="248"/>
        <v>138</v>
      </c>
      <c r="BJ561" s="31">
        <f t="shared" si="249"/>
        <v>45476</v>
      </c>
      <c r="BK561" s="27"/>
      <c r="BL561" s="16"/>
      <c r="BM561" s="27"/>
      <c r="BN561" s="16"/>
      <c r="BO561" s="27"/>
      <c r="BP561" s="16"/>
      <c r="BQ561" s="27"/>
      <c r="BR561" s="24"/>
      <c r="BS561" s="24"/>
      <c r="BT561" s="32"/>
      <c r="BU561" s="27"/>
      <c r="BV561" s="24"/>
      <c r="BW561" s="24"/>
      <c r="BX561" s="16"/>
      <c r="BY561" s="27"/>
      <c r="BZ561" s="24"/>
      <c r="CA561" s="24"/>
      <c r="CB561" s="16"/>
      <c r="CC561" s="49">
        <f t="shared" si="240"/>
        <v>0</v>
      </c>
      <c r="CD561" s="24"/>
      <c r="CE561" s="49">
        <f t="shared" si="241"/>
        <v>51249429</v>
      </c>
      <c r="CF561" s="50"/>
      <c r="CG561" s="49">
        <f t="shared" ca="1" si="242"/>
        <v>51249429</v>
      </c>
      <c r="CH561" s="33">
        <f t="shared" ca="1" si="243"/>
        <v>1</v>
      </c>
      <c r="CI561" s="33">
        <f t="shared" ca="1" si="244"/>
        <v>1</v>
      </c>
      <c r="CJ561" s="36">
        <f t="shared" ca="1" si="245"/>
        <v>100</v>
      </c>
      <c r="CK561" s="34">
        <f t="shared" si="246"/>
        <v>0</v>
      </c>
      <c r="CL561" s="21"/>
      <c r="CM561" s="35" t="str">
        <f t="shared" ca="1" si="252"/>
        <v>TERMINADO</v>
      </c>
      <c r="CN561" s="82"/>
      <c r="CO561" s="145" t="s">
        <v>4583</v>
      </c>
      <c r="CP561" s="26" t="s">
        <v>142</v>
      </c>
    </row>
    <row r="562" spans="1:94" ht="24.75" customHeight="1">
      <c r="A562" s="109" t="s">
        <v>4584</v>
      </c>
      <c r="B562" s="77" t="s">
        <v>4585</v>
      </c>
      <c r="C562" s="17" t="s">
        <v>104</v>
      </c>
      <c r="D562" s="18" t="s">
        <v>4586</v>
      </c>
      <c r="E562" s="17" t="s">
        <v>106</v>
      </c>
      <c r="F562" s="17" t="s">
        <v>107</v>
      </c>
      <c r="G562" s="17" t="s">
        <v>108</v>
      </c>
      <c r="H562" s="78">
        <v>1098768682</v>
      </c>
      <c r="I562" s="74" t="s">
        <v>4587</v>
      </c>
      <c r="J562" s="16"/>
      <c r="K562" s="16"/>
      <c r="L562" s="20" t="s">
        <v>4588</v>
      </c>
      <c r="M562" s="16" t="s">
        <v>111</v>
      </c>
      <c r="N562" s="115">
        <v>45335</v>
      </c>
      <c r="O562" s="22">
        <v>45337</v>
      </c>
      <c r="P562" s="115">
        <v>45656</v>
      </c>
      <c r="Q562" s="23">
        <f t="shared" si="250"/>
        <v>319</v>
      </c>
      <c r="R562" s="17" t="s">
        <v>242</v>
      </c>
      <c r="S562" s="117" t="s">
        <v>4558</v>
      </c>
      <c r="T562" s="16" t="s">
        <v>997</v>
      </c>
      <c r="U562" s="67">
        <v>54833333</v>
      </c>
      <c r="V562" s="16" t="s">
        <v>815</v>
      </c>
      <c r="W562" s="224">
        <v>54833333</v>
      </c>
      <c r="X562" s="24">
        <v>5000000</v>
      </c>
      <c r="Y562" s="24"/>
      <c r="Z562" s="24"/>
      <c r="AA562" s="17" t="s">
        <v>116</v>
      </c>
      <c r="AB562" s="23" t="str">
        <f>IFERROR(VLOOKUP(AA562,Listas!$A$1:$C$14,2,FALSE),"")</f>
        <v>FREDY CÉSPEDES VILLA</v>
      </c>
      <c r="AC562" s="23">
        <f>IFERROR(VLOOKUP(AA562,Listas!$A$1:$C$14,3,FALSE),"")</f>
        <v>93363483</v>
      </c>
      <c r="AD562" s="17" t="s">
        <v>816</v>
      </c>
      <c r="AE562" s="17" t="s">
        <v>4513</v>
      </c>
      <c r="AF562" s="23" t="str">
        <f>IFERROR(VLOOKUP(AE562,Listas!$AD$1:$AF$65,2,FALSE),"")</f>
        <v>PEDRO JOSÉ CARRILLO BERMUDEZ</v>
      </c>
      <c r="AG562" s="23">
        <f>IFERROR(VLOOKUP(AE562,Listas!$AD$1:$AF$65,3,FALSE),"")</f>
        <v>19490879</v>
      </c>
      <c r="AH562" s="17" t="s">
        <v>118</v>
      </c>
      <c r="AI562" s="65" t="s">
        <v>4589</v>
      </c>
      <c r="AJ562" s="25" t="s">
        <v>119</v>
      </c>
      <c r="AK562" s="26" t="s">
        <v>120</v>
      </c>
      <c r="AL562" s="26" t="s">
        <v>120</v>
      </c>
      <c r="AM562" s="90" t="s">
        <v>119</v>
      </c>
      <c r="AN562" s="105">
        <v>34767</v>
      </c>
      <c r="AO562" s="91">
        <f t="shared" ca="1" si="251"/>
        <v>30</v>
      </c>
      <c r="AP562" s="26" t="s">
        <v>121</v>
      </c>
      <c r="AQ562" s="26" t="s">
        <v>1641</v>
      </c>
      <c r="AR562" s="89"/>
      <c r="AS562" s="27"/>
      <c r="AT562" s="16"/>
      <c r="AU562" s="27"/>
      <c r="AV562" s="86"/>
      <c r="AW562" s="27"/>
      <c r="AX562" s="27"/>
      <c r="AY562" s="27"/>
      <c r="AZ562" s="27"/>
      <c r="BA562" s="27"/>
      <c r="BB562" s="27"/>
      <c r="BC562" s="97"/>
      <c r="BD562" s="27"/>
      <c r="BE562" s="16"/>
      <c r="BF562" s="28">
        <f t="shared" si="247"/>
        <v>0</v>
      </c>
      <c r="BG562" s="29"/>
      <c r="BH562" s="27"/>
      <c r="BI562" s="30">
        <f t="shared" si="248"/>
        <v>319</v>
      </c>
      <c r="BJ562" s="31">
        <f t="shared" si="249"/>
        <v>45656</v>
      </c>
      <c r="BK562" s="27"/>
      <c r="BL562" s="16"/>
      <c r="BM562" s="27"/>
      <c r="BN562" s="16"/>
      <c r="BO562" s="27"/>
      <c r="BP562" s="16"/>
      <c r="BQ562" s="27"/>
      <c r="BR562" s="24"/>
      <c r="BS562" s="24"/>
      <c r="BT562" s="32"/>
      <c r="BU562" s="27"/>
      <c r="BV562" s="24"/>
      <c r="BW562" s="24"/>
      <c r="BX562" s="16"/>
      <c r="BY562" s="27"/>
      <c r="BZ562" s="24"/>
      <c r="CA562" s="24"/>
      <c r="CB562" s="16"/>
      <c r="CC562" s="49">
        <f t="shared" si="240"/>
        <v>0</v>
      </c>
      <c r="CD562" s="24"/>
      <c r="CE562" s="49">
        <f t="shared" si="241"/>
        <v>54833333</v>
      </c>
      <c r="CF562" s="50">
        <v>0</v>
      </c>
      <c r="CG562" s="49">
        <f t="shared" ca="1" si="242"/>
        <v>54833333</v>
      </c>
      <c r="CH562" s="33">
        <f t="shared" ca="1" si="243"/>
        <v>1</v>
      </c>
      <c r="CI562" s="33">
        <f t="shared" ca="1" si="244"/>
        <v>1</v>
      </c>
      <c r="CJ562" s="36">
        <f t="shared" ca="1" si="245"/>
        <v>100</v>
      </c>
      <c r="CK562" s="34">
        <f t="shared" si="246"/>
        <v>0</v>
      </c>
      <c r="CL562" s="21"/>
      <c r="CM562" s="35" t="str">
        <f t="shared" ca="1" si="252"/>
        <v>TERMINADO</v>
      </c>
      <c r="CN562" s="82"/>
      <c r="CO562" s="145" t="s">
        <v>4590</v>
      </c>
      <c r="CP562" s="26" t="s">
        <v>123</v>
      </c>
    </row>
    <row r="563" spans="1:94" ht="24.75" customHeight="1">
      <c r="A563" s="48" t="s">
        <v>4591</v>
      </c>
      <c r="B563" s="77" t="s">
        <v>4592</v>
      </c>
      <c r="C563" s="17" t="s">
        <v>104</v>
      </c>
      <c r="D563" s="18" t="s">
        <v>4593</v>
      </c>
      <c r="E563" s="17" t="s">
        <v>106</v>
      </c>
      <c r="F563" s="17" t="s">
        <v>107</v>
      </c>
      <c r="G563" s="17" t="s">
        <v>108</v>
      </c>
      <c r="H563" s="78">
        <v>51914987</v>
      </c>
      <c r="I563" s="74" t="s">
        <v>4594</v>
      </c>
      <c r="J563" s="16"/>
      <c r="K563" s="16"/>
      <c r="L563" s="20" t="s">
        <v>4329</v>
      </c>
      <c r="M563" s="16" t="s">
        <v>111</v>
      </c>
      <c r="N563" s="115">
        <v>45335</v>
      </c>
      <c r="O563" s="22">
        <v>45337</v>
      </c>
      <c r="P563" s="115">
        <v>45656</v>
      </c>
      <c r="Q563" s="23">
        <f t="shared" si="250"/>
        <v>319</v>
      </c>
      <c r="R563" s="17" t="s">
        <v>242</v>
      </c>
      <c r="S563" s="117" t="s">
        <v>4595</v>
      </c>
      <c r="T563" s="16" t="s">
        <v>1521</v>
      </c>
      <c r="U563" s="67">
        <v>48552086</v>
      </c>
      <c r="V563" s="16" t="s">
        <v>1522</v>
      </c>
      <c r="W563" s="224">
        <v>48552086</v>
      </c>
      <c r="X563" s="24">
        <v>4413826</v>
      </c>
      <c r="Y563" s="24"/>
      <c r="Z563" s="24"/>
      <c r="AA563" s="17" t="s">
        <v>116</v>
      </c>
      <c r="AB563" s="23" t="str">
        <f>IFERROR(VLOOKUP(AA563,Listas!$A$1:$C$14,2,FALSE),"")</f>
        <v>FREDY CÉSPEDES VILLA</v>
      </c>
      <c r="AC563" s="23">
        <f>IFERROR(VLOOKUP(AA563,Listas!$A$1:$C$14,3,FALSE),"")</f>
        <v>93363483</v>
      </c>
      <c r="AD563" s="17" t="s">
        <v>1533</v>
      </c>
      <c r="AE563" s="17" t="s">
        <v>1534</v>
      </c>
      <c r="AF563" s="23" t="str">
        <f>IFERROR(VLOOKUP(AE563,Listas!$AD$1:$AF$65,2,FALSE),"")</f>
        <v>ESTEBAN GUERRERO ALVAREZ</v>
      </c>
      <c r="AG563" s="23">
        <f>IFERROR(VLOOKUP(AE563,Listas!$AD$1:$AF$65,3,FALSE),"")</f>
        <v>1032460552</v>
      </c>
      <c r="AH563" s="17" t="s">
        <v>118</v>
      </c>
      <c r="AI563" s="65" t="s">
        <v>4596</v>
      </c>
      <c r="AJ563" s="25" t="s">
        <v>119</v>
      </c>
      <c r="AK563" s="26" t="s">
        <v>120</v>
      </c>
      <c r="AL563" s="26" t="s">
        <v>120</v>
      </c>
      <c r="AM563" s="90" t="s">
        <v>119</v>
      </c>
      <c r="AN563" s="105">
        <v>25072</v>
      </c>
      <c r="AO563" s="91">
        <f t="shared" ca="1" si="251"/>
        <v>57</v>
      </c>
      <c r="AP563" s="26" t="s">
        <v>121</v>
      </c>
      <c r="AQ563" s="26" t="s">
        <v>327</v>
      </c>
      <c r="AR563" s="89"/>
      <c r="AS563" s="27"/>
      <c r="AT563" s="16"/>
      <c r="AU563" s="27"/>
      <c r="AV563" s="86"/>
      <c r="AW563" s="27"/>
      <c r="AX563" s="27"/>
      <c r="AY563" s="27"/>
      <c r="AZ563" s="27"/>
      <c r="BA563" s="27"/>
      <c r="BB563" s="27"/>
      <c r="BC563" s="97"/>
      <c r="BD563" s="27"/>
      <c r="BE563" s="16"/>
      <c r="BF563" s="28">
        <f t="shared" si="247"/>
        <v>0</v>
      </c>
      <c r="BG563" s="29"/>
      <c r="BH563" s="27">
        <v>45590</v>
      </c>
      <c r="BI563" s="30">
        <f t="shared" si="248"/>
        <v>319</v>
      </c>
      <c r="BJ563" s="31">
        <f t="shared" si="249"/>
        <v>45590</v>
      </c>
      <c r="BK563" s="27"/>
      <c r="BL563" s="16"/>
      <c r="BM563" s="27"/>
      <c r="BN563" s="16"/>
      <c r="BO563" s="27"/>
      <c r="BP563" s="16"/>
      <c r="BQ563" s="27"/>
      <c r="BR563" s="24"/>
      <c r="BS563" s="24"/>
      <c r="BT563" s="32"/>
      <c r="BU563" s="27"/>
      <c r="BV563" s="24"/>
      <c r="BW563" s="24"/>
      <c r="BX563" s="16"/>
      <c r="BY563" s="27"/>
      <c r="BZ563" s="24"/>
      <c r="CA563" s="24"/>
      <c r="CB563" s="16"/>
      <c r="CC563" s="49">
        <f t="shared" si="240"/>
        <v>0</v>
      </c>
      <c r="CD563" s="24"/>
      <c r="CE563" s="49">
        <f t="shared" si="241"/>
        <v>48552086</v>
      </c>
      <c r="CF563" s="50"/>
      <c r="CG563" s="49">
        <f t="shared" ca="1" si="242"/>
        <v>48552086</v>
      </c>
      <c r="CH563" s="33">
        <f t="shared" ca="1" si="243"/>
        <v>1</v>
      </c>
      <c r="CI563" s="33">
        <f t="shared" ca="1" si="244"/>
        <v>1</v>
      </c>
      <c r="CJ563" s="36">
        <f t="shared" ca="1" si="245"/>
        <v>100</v>
      </c>
      <c r="CK563" s="34">
        <f t="shared" si="246"/>
        <v>0</v>
      </c>
      <c r="CL563" s="21"/>
      <c r="CM563" s="35" t="str">
        <f t="shared" ca="1" si="252"/>
        <v>TERMINADO</v>
      </c>
      <c r="CN563" s="82"/>
      <c r="CO563" s="145" t="s">
        <v>4597</v>
      </c>
      <c r="CP563" s="26" t="s">
        <v>123</v>
      </c>
    </row>
    <row r="564" spans="1:94" ht="24.75" customHeight="1">
      <c r="A564" s="48" t="s">
        <v>4598</v>
      </c>
      <c r="B564" s="77" t="s">
        <v>4599</v>
      </c>
      <c r="C564" s="17" t="s">
        <v>104</v>
      </c>
      <c r="D564" s="18" t="s">
        <v>4600</v>
      </c>
      <c r="E564" s="17" t="s">
        <v>106</v>
      </c>
      <c r="F564" s="17" t="s">
        <v>107</v>
      </c>
      <c r="G564" s="17" t="s">
        <v>108</v>
      </c>
      <c r="H564" s="78">
        <v>6394504</v>
      </c>
      <c r="I564" s="74" t="s">
        <v>4601</v>
      </c>
      <c r="J564" s="16"/>
      <c r="K564" s="16"/>
      <c r="L564" s="20" t="s">
        <v>4542</v>
      </c>
      <c r="M564" s="16" t="s">
        <v>111</v>
      </c>
      <c r="N564" s="115">
        <v>45335</v>
      </c>
      <c r="O564" s="22">
        <v>45337</v>
      </c>
      <c r="P564" s="115">
        <v>45656</v>
      </c>
      <c r="Q564" s="23">
        <f t="shared" si="250"/>
        <v>319</v>
      </c>
      <c r="R564" s="17" t="s">
        <v>242</v>
      </c>
      <c r="S564" s="117" t="s">
        <v>4602</v>
      </c>
      <c r="T564" s="16" t="s">
        <v>997</v>
      </c>
      <c r="U564" s="67">
        <v>50746667</v>
      </c>
      <c r="V564" s="16" t="s">
        <v>866</v>
      </c>
      <c r="W564" s="224">
        <v>50746667</v>
      </c>
      <c r="X564" s="24">
        <v>4400000</v>
      </c>
      <c r="Y564" s="24"/>
      <c r="Z564" s="24"/>
      <c r="AA564" s="17" t="s">
        <v>116</v>
      </c>
      <c r="AB564" s="23" t="str">
        <f>IFERROR(VLOOKUP(AA564,Listas!$A$1:$C$14,2,FALSE),"")</f>
        <v>FREDY CÉSPEDES VILLA</v>
      </c>
      <c r="AC564" s="23">
        <f>IFERROR(VLOOKUP(AA564,Listas!$A$1:$C$14,3,FALSE),"")</f>
        <v>93363483</v>
      </c>
      <c r="AD564" s="17" t="s">
        <v>816</v>
      </c>
      <c r="AE564" s="17" t="s">
        <v>817</v>
      </c>
      <c r="AF564" s="23" t="str">
        <f>IFERROR(VLOOKUP(AE564,Listas!$AD$1:$AF$65,2,FALSE),"")</f>
        <v>JOSÉ EDUARDO PARADA JIMÉNEZ</v>
      </c>
      <c r="AG564" s="23">
        <f>IFERROR(VLOOKUP(AE564,Listas!$AD$1:$AF$65,3,FALSE),"")</f>
        <v>79434805</v>
      </c>
      <c r="AH564" s="17" t="s">
        <v>118</v>
      </c>
      <c r="AI564" s="65" t="s">
        <v>4603</v>
      </c>
      <c r="AJ564" s="25" t="s">
        <v>119</v>
      </c>
      <c r="AK564" s="26" t="s">
        <v>120</v>
      </c>
      <c r="AL564" s="26" t="s">
        <v>120</v>
      </c>
      <c r="AM564" s="90" t="s">
        <v>119</v>
      </c>
      <c r="AN564" s="105">
        <v>29773</v>
      </c>
      <c r="AO564" s="91">
        <f t="shared" ca="1" si="251"/>
        <v>44</v>
      </c>
      <c r="AP564" s="26" t="s">
        <v>121</v>
      </c>
      <c r="AQ564" s="26" t="s">
        <v>819</v>
      </c>
      <c r="AR564" s="89"/>
      <c r="AS564" s="27"/>
      <c r="AT564" s="16"/>
      <c r="AU564" s="27"/>
      <c r="AV564" s="86"/>
      <c r="AW564" s="27"/>
      <c r="AX564" s="27"/>
      <c r="AY564" s="27"/>
      <c r="AZ564" s="27"/>
      <c r="BA564" s="27"/>
      <c r="BB564" s="27"/>
      <c r="BC564" s="97"/>
      <c r="BD564" s="27"/>
      <c r="BE564" s="16"/>
      <c r="BF564" s="28">
        <f t="shared" si="247"/>
        <v>0</v>
      </c>
      <c r="BG564" s="29"/>
      <c r="BH564" s="27"/>
      <c r="BI564" s="30">
        <f t="shared" si="248"/>
        <v>319</v>
      </c>
      <c r="BJ564" s="31">
        <f t="shared" si="249"/>
        <v>45656</v>
      </c>
      <c r="BK564" s="27"/>
      <c r="BL564" s="16"/>
      <c r="BM564" s="27"/>
      <c r="BN564" s="16"/>
      <c r="BO564" s="27"/>
      <c r="BP564" s="16"/>
      <c r="BQ564" s="27"/>
      <c r="BR564" s="24"/>
      <c r="BS564" s="24"/>
      <c r="BT564" s="32"/>
      <c r="BU564" s="27"/>
      <c r="BV564" s="24"/>
      <c r="BW564" s="24"/>
      <c r="BX564" s="16"/>
      <c r="BY564" s="27"/>
      <c r="BZ564" s="24"/>
      <c r="CA564" s="24"/>
      <c r="CB564" s="16"/>
      <c r="CC564" s="49">
        <f t="shared" si="240"/>
        <v>0</v>
      </c>
      <c r="CD564" s="24"/>
      <c r="CE564" s="49">
        <f t="shared" si="241"/>
        <v>50746667</v>
      </c>
      <c r="CF564" s="50"/>
      <c r="CG564" s="49">
        <f t="shared" ca="1" si="242"/>
        <v>50746667</v>
      </c>
      <c r="CH564" s="33">
        <f t="shared" ca="1" si="243"/>
        <v>1</v>
      </c>
      <c r="CI564" s="33">
        <f t="shared" ca="1" si="244"/>
        <v>1</v>
      </c>
      <c r="CJ564" s="36">
        <f t="shared" ca="1" si="245"/>
        <v>100</v>
      </c>
      <c r="CK564" s="34">
        <f t="shared" si="246"/>
        <v>0</v>
      </c>
      <c r="CL564" s="21"/>
      <c r="CM564" s="35" t="str">
        <f t="shared" ca="1" si="252"/>
        <v>TERMINADO</v>
      </c>
      <c r="CN564" s="82"/>
      <c r="CO564" s="145" t="s">
        <v>4604</v>
      </c>
      <c r="CP564" s="26" t="s">
        <v>142</v>
      </c>
    </row>
    <row r="565" spans="1:94" ht="24.75" customHeight="1">
      <c r="A565" s="48" t="s">
        <v>4605</v>
      </c>
      <c r="B565" s="77" t="s">
        <v>4606</v>
      </c>
      <c r="C565" s="17" t="s">
        <v>104</v>
      </c>
      <c r="D565" s="18" t="s">
        <v>4607</v>
      </c>
      <c r="E565" s="17" t="s">
        <v>106</v>
      </c>
      <c r="F565" s="17" t="s">
        <v>107</v>
      </c>
      <c r="G565" s="17" t="s">
        <v>108</v>
      </c>
      <c r="H565" s="78">
        <v>1052403251</v>
      </c>
      <c r="I565" s="74" t="s">
        <v>4608</v>
      </c>
      <c r="J565" s="16"/>
      <c r="K565" s="16"/>
      <c r="L565" s="20" t="s">
        <v>1866</v>
      </c>
      <c r="M565" s="16" t="s">
        <v>111</v>
      </c>
      <c r="N565" s="115">
        <v>45335</v>
      </c>
      <c r="O565" s="22">
        <v>45337</v>
      </c>
      <c r="P565" s="115">
        <v>45657</v>
      </c>
      <c r="Q565" s="23">
        <f t="shared" si="250"/>
        <v>320</v>
      </c>
      <c r="R565" s="17" t="s">
        <v>242</v>
      </c>
      <c r="S565" s="117" t="s">
        <v>4609</v>
      </c>
      <c r="T565" s="16" t="s">
        <v>1145</v>
      </c>
      <c r="U565" s="67">
        <v>69899100</v>
      </c>
      <c r="V565" s="16" t="s">
        <v>426</v>
      </c>
      <c r="W565" s="224">
        <v>67650883</v>
      </c>
      <c r="X565" s="24">
        <v>6131500</v>
      </c>
      <c r="Y565" s="24"/>
      <c r="Z565" s="24"/>
      <c r="AA565" s="17" t="s">
        <v>116</v>
      </c>
      <c r="AB565" s="23" t="str">
        <f>IFERROR(VLOOKUP(AA565,Listas!$A$1:$C$14,2,FALSE),"")</f>
        <v>FREDY CÉSPEDES VILLA</v>
      </c>
      <c r="AC565" s="23">
        <f>IFERROR(VLOOKUP(AA565,Listas!$A$1:$C$14,3,FALSE),"")</f>
        <v>93363483</v>
      </c>
      <c r="AD565" s="17" t="s">
        <v>427</v>
      </c>
      <c r="AE565" s="17" t="s">
        <v>1802</v>
      </c>
      <c r="AF565" s="23" t="str">
        <f>IFERROR(VLOOKUP(AE565,Listas!$AD$1:$AF$65,2,FALSE),"")</f>
        <v>YULI ANDREA RIVEROS PINEDA</v>
      </c>
      <c r="AG565" s="23">
        <f>IFERROR(VLOOKUP(AE565,Listas!$AD$1:$AF$65,3,FALSE),"")</f>
        <v>53036984</v>
      </c>
      <c r="AH565" s="17" t="s">
        <v>118</v>
      </c>
      <c r="AI565" s="65" t="s">
        <v>4610</v>
      </c>
      <c r="AJ565" s="25" t="s">
        <v>119</v>
      </c>
      <c r="AK565" s="26" t="s">
        <v>120</v>
      </c>
      <c r="AL565" s="26" t="s">
        <v>120</v>
      </c>
      <c r="AM565" s="90" t="s">
        <v>119</v>
      </c>
      <c r="AN565" s="105">
        <v>34673</v>
      </c>
      <c r="AO565" s="91">
        <f t="shared" ca="1" si="251"/>
        <v>31</v>
      </c>
      <c r="AP565" s="26" t="s">
        <v>121</v>
      </c>
      <c r="AQ565" s="26" t="s">
        <v>1272</v>
      </c>
      <c r="AR565" s="89"/>
      <c r="AS565" s="27"/>
      <c r="AT565" s="16"/>
      <c r="AU565" s="27"/>
      <c r="AV565" s="86"/>
      <c r="AW565" s="27"/>
      <c r="AX565" s="27"/>
      <c r="AY565" s="27"/>
      <c r="AZ565" s="27"/>
      <c r="BA565" s="27"/>
      <c r="BB565" s="27"/>
      <c r="BC565" s="97"/>
      <c r="BD565" s="27"/>
      <c r="BE565" s="16"/>
      <c r="BF565" s="28">
        <f t="shared" si="247"/>
        <v>0</v>
      </c>
      <c r="BG565" s="29"/>
      <c r="BH565" s="27"/>
      <c r="BI565" s="30">
        <f t="shared" si="248"/>
        <v>320</v>
      </c>
      <c r="BJ565" s="31">
        <f t="shared" si="249"/>
        <v>45657</v>
      </c>
      <c r="BK565" s="27"/>
      <c r="BL565" s="16"/>
      <c r="BM565" s="27"/>
      <c r="BN565" s="16"/>
      <c r="BO565" s="27"/>
      <c r="BP565" s="16"/>
      <c r="BQ565" s="27"/>
      <c r="BR565" s="24"/>
      <c r="BS565" s="24"/>
      <c r="BT565" s="32"/>
      <c r="BU565" s="27"/>
      <c r="BV565" s="24"/>
      <c r="BW565" s="24"/>
      <c r="BX565" s="16"/>
      <c r="BY565" s="27"/>
      <c r="BZ565" s="24"/>
      <c r="CA565" s="24"/>
      <c r="CB565" s="16"/>
      <c r="CC565" s="49">
        <f t="shared" si="240"/>
        <v>0</v>
      </c>
      <c r="CD565" s="24"/>
      <c r="CE565" s="49">
        <f t="shared" si="241"/>
        <v>67650883</v>
      </c>
      <c r="CF565" s="50"/>
      <c r="CG565" s="49">
        <f t="shared" ca="1" si="242"/>
        <v>67650883</v>
      </c>
      <c r="CH565" s="33">
        <f t="shared" ca="1" si="243"/>
        <v>1</v>
      </c>
      <c r="CI565" s="33">
        <f t="shared" ca="1" si="244"/>
        <v>1</v>
      </c>
      <c r="CJ565" s="36">
        <f t="shared" ca="1" si="245"/>
        <v>100</v>
      </c>
      <c r="CK565" s="34">
        <f t="shared" si="246"/>
        <v>0</v>
      </c>
      <c r="CL565" s="21"/>
      <c r="CM565" s="35" t="str">
        <f t="shared" ca="1" si="252"/>
        <v>TERMINADO</v>
      </c>
      <c r="CN565" s="82"/>
      <c r="CO565" s="145" t="s">
        <v>4611</v>
      </c>
      <c r="CP565" s="26" t="s">
        <v>123</v>
      </c>
    </row>
    <row r="566" spans="1:94" ht="24.75" customHeight="1">
      <c r="A566" s="109" t="s">
        <v>4612</v>
      </c>
      <c r="B566" s="77" t="s">
        <v>4613</v>
      </c>
      <c r="C566" s="17" t="s">
        <v>104</v>
      </c>
      <c r="D566" s="18" t="s">
        <v>4614</v>
      </c>
      <c r="E566" s="17" t="s">
        <v>106</v>
      </c>
      <c r="F566" s="17" t="s">
        <v>107</v>
      </c>
      <c r="G566" s="17" t="s">
        <v>108</v>
      </c>
      <c r="H566" s="78">
        <v>79981959</v>
      </c>
      <c r="I566" s="74" t="s">
        <v>4615</v>
      </c>
      <c r="J566" s="16"/>
      <c r="K566" s="16"/>
      <c r="L566" s="20" t="s">
        <v>3902</v>
      </c>
      <c r="M566" s="16" t="s">
        <v>111</v>
      </c>
      <c r="N566" s="115">
        <v>45335</v>
      </c>
      <c r="O566" s="22">
        <v>45337</v>
      </c>
      <c r="P566" s="115">
        <v>45657</v>
      </c>
      <c r="Q566" s="23">
        <f t="shared" si="250"/>
        <v>320</v>
      </c>
      <c r="R566" s="17" t="s">
        <v>242</v>
      </c>
      <c r="S566" s="117" t="s">
        <v>4616</v>
      </c>
      <c r="T566" s="16" t="s">
        <v>997</v>
      </c>
      <c r="U566" s="67">
        <v>85866667</v>
      </c>
      <c r="V566" s="16" t="s">
        <v>426</v>
      </c>
      <c r="W566" s="224">
        <v>85866667</v>
      </c>
      <c r="X566" s="24">
        <v>8000000</v>
      </c>
      <c r="Y566" s="24"/>
      <c r="Z566" s="24"/>
      <c r="AA566" s="17" t="s">
        <v>116</v>
      </c>
      <c r="AB566" s="23" t="str">
        <f>IFERROR(VLOOKUP(AA566,Listas!$A$1:$C$14,2,FALSE),"")</f>
        <v>FREDY CÉSPEDES VILLA</v>
      </c>
      <c r="AC566" s="23">
        <f>IFERROR(VLOOKUP(AA566,Listas!$A$1:$C$14,3,FALSE),"")</f>
        <v>93363483</v>
      </c>
      <c r="AD566" s="17" t="s">
        <v>816</v>
      </c>
      <c r="AE566" s="17" t="s">
        <v>2835</v>
      </c>
      <c r="AF566" s="23" t="str">
        <f>IFERROR(VLOOKUP(AE566,Listas!$AD$1:$AF$65,2,FALSE),"")</f>
        <v>GUILLERMO ANDRES CARDONA HERRERA</v>
      </c>
      <c r="AG566" s="23">
        <f>IFERROR(VLOOKUP(AE566,Listas!$AD$1:$AF$65,3,FALSE),"")</f>
        <v>80018909</v>
      </c>
      <c r="AH566" s="17" t="s">
        <v>118</v>
      </c>
      <c r="AI566" s="65" t="s">
        <v>4617</v>
      </c>
      <c r="AJ566" s="25" t="s">
        <v>119</v>
      </c>
      <c r="AK566" s="26" t="s">
        <v>120</v>
      </c>
      <c r="AL566" s="26" t="s">
        <v>120</v>
      </c>
      <c r="AM566" s="90" t="s">
        <v>119</v>
      </c>
      <c r="AN566" s="105">
        <v>28849</v>
      </c>
      <c r="AO566" s="91">
        <f t="shared" ca="1" si="251"/>
        <v>47</v>
      </c>
      <c r="AP566" s="26" t="s">
        <v>121</v>
      </c>
      <c r="AQ566" s="26" t="s">
        <v>1641</v>
      </c>
      <c r="AR566" s="89"/>
      <c r="AS566" s="27"/>
      <c r="AT566" s="16"/>
      <c r="AU566" s="27"/>
      <c r="AV566" s="86"/>
      <c r="AW566" s="27"/>
      <c r="AX566" s="27"/>
      <c r="AY566" s="27"/>
      <c r="AZ566" s="27"/>
      <c r="BA566" s="27"/>
      <c r="BB566" s="27"/>
      <c r="BC566" s="97"/>
      <c r="BD566" s="27"/>
      <c r="BE566" s="16"/>
      <c r="BF566" s="28">
        <f t="shared" si="247"/>
        <v>0</v>
      </c>
      <c r="BG566" s="29"/>
      <c r="BH566" s="27"/>
      <c r="BI566" s="30">
        <f t="shared" si="248"/>
        <v>320</v>
      </c>
      <c r="BJ566" s="31">
        <f t="shared" si="249"/>
        <v>45657</v>
      </c>
      <c r="BK566" s="27"/>
      <c r="BL566" s="16"/>
      <c r="BM566" s="27"/>
      <c r="BN566" s="16"/>
      <c r="BO566" s="27"/>
      <c r="BP566" s="16"/>
      <c r="BQ566" s="27"/>
      <c r="BR566" s="24"/>
      <c r="BS566" s="24"/>
      <c r="BT566" s="32"/>
      <c r="BU566" s="27"/>
      <c r="BV566" s="24"/>
      <c r="BW566" s="24"/>
      <c r="BX566" s="16"/>
      <c r="BY566" s="27"/>
      <c r="BZ566" s="24"/>
      <c r="CA566" s="24"/>
      <c r="CB566" s="16"/>
      <c r="CC566" s="49">
        <f t="shared" si="240"/>
        <v>0</v>
      </c>
      <c r="CD566" s="24"/>
      <c r="CE566" s="49">
        <f t="shared" si="241"/>
        <v>85866667</v>
      </c>
      <c r="CF566" s="50"/>
      <c r="CG566" s="49">
        <f t="shared" ca="1" si="242"/>
        <v>85866667</v>
      </c>
      <c r="CH566" s="33">
        <f t="shared" ca="1" si="243"/>
        <v>1</v>
      </c>
      <c r="CI566" s="33">
        <f t="shared" ca="1" si="244"/>
        <v>1</v>
      </c>
      <c r="CJ566" s="36">
        <f t="shared" ca="1" si="245"/>
        <v>100</v>
      </c>
      <c r="CK566" s="34">
        <f t="shared" si="246"/>
        <v>0</v>
      </c>
      <c r="CL566" s="21"/>
      <c r="CM566" s="35" t="str">
        <f t="shared" ca="1" si="252"/>
        <v>TERMINADO</v>
      </c>
      <c r="CN566" s="82"/>
      <c r="CO566" s="145" t="s">
        <v>4618</v>
      </c>
      <c r="CP566" s="26" t="s">
        <v>142</v>
      </c>
    </row>
    <row r="567" spans="1:94" ht="24.75" customHeight="1">
      <c r="A567" s="48" t="s">
        <v>4619</v>
      </c>
      <c r="B567" s="77" t="s">
        <v>4620</v>
      </c>
      <c r="C567" s="17" t="s">
        <v>104</v>
      </c>
      <c r="D567" s="18" t="s">
        <v>4621</v>
      </c>
      <c r="E567" s="17" t="s">
        <v>106</v>
      </c>
      <c r="F567" s="17" t="s">
        <v>107</v>
      </c>
      <c r="G567" s="17" t="s">
        <v>108</v>
      </c>
      <c r="H567" s="78">
        <v>1124850686</v>
      </c>
      <c r="I567" s="74" t="s">
        <v>4622</v>
      </c>
      <c r="J567" s="16"/>
      <c r="K567" s="16"/>
      <c r="L567" s="20" t="s">
        <v>1655</v>
      </c>
      <c r="M567" s="16" t="s">
        <v>4623</v>
      </c>
      <c r="N567" s="115">
        <v>45336</v>
      </c>
      <c r="O567" s="22">
        <v>45338</v>
      </c>
      <c r="P567" s="115">
        <v>45656</v>
      </c>
      <c r="Q567" s="23">
        <f t="shared" si="250"/>
        <v>318</v>
      </c>
      <c r="R567" s="17" t="s">
        <v>242</v>
      </c>
      <c r="S567" s="117" t="s">
        <v>4624</v>
      </c>
      <c r="T567" s="16" t="s">
        <v>1345</v>
      </c>
      <c r="U567" s="24">
        <v>66460782</v>
      </c>
      <c r="V567" s="16" t="s">
        <v>344</v>
      </c>
      <c r="W567" s="227">
        <v>63387456</v>
      </c>
      <c r="X567" s="24">
        <v>5762496</v>
      </c>
      <c r="Y567" s="24"/>
      <c r="Z567" s="24"/>
      <c r="AA567" s="17" t="s">
        <v>116</v>
      </c>
      <c r="AB567" s="23" t="str">
        <f>IFERROR(VLOOKUP(AA567,Listas!$A$1:$C$14,2,FALSE),"")</f>
        <v>FREDY CÉSPEDES VILLA</v>
      </c>
      <c r="AC567" s="23">
        <f>IFERROR(VLOOKUP(AA567,Listas!$A$1:$C$14,3,FALSE),"")</f>
        <v>93363483</v>
      </c>
      <c r="AD567" s="17" t="s">
        <v>559</v>
      </c>
      <c r="AE567" s="17" t="s">
        <v>560</v>
      </c>
      <c r="AF567" s="23" t="str">
        <f>IFERROR(VLOOKUP(AE567,Listas!$AD$1:$AF$65,2,FALSE),"")</f>
        <v>CESAR AUGUSTO LÓPEZ LÓPEZ</v>
      </c>
      <c r="AG567" s="23">
        <f>IFERROR(VLOOKUP(AE567,Listas!$AD$1:$AF$65,3,FALSE),"")</f>
        <v>6103856</v>
      </c>
      <c r="AH567" s="17" t="s">
        <v>118</v>
      </c>
      <c r="AI567" s="65" t="s">
        <v>1657</v>
      </c>
      <c r="AJ567" s="25" t="s">
        <v>119</v>
      </c>
      <c r="AK567" s="26" t="s">
        <v>120</v>
      </c>
      <c r="AL567" s="26" t="s">
        <v>120</v>
      </c>
      <c r="AM567" s="90" t="s">
        <v>119</v>
      </c>
      <c r="AN567" s="105">
        <v>31961</v>
      </c>
      <c r="AO567" s="91">
        <f t="shared" ca="1" si="251"/>
        <v>38</v>
      </c>
      <c r="AP567" s="26" t="s">
        <v>121</v>
      </c>
      <c r="AQ567" s="26" t="s">
        <v>327</v>
      </c>
      <c r="AR567" s="89"/>
      <c r="AS567" s="27"/>
      <c r="AT567" s="16"/>
      <c r="AU567" s="27"/>
      <c r="AV567" s="86"/>
      <c r="AW567" s="27"/>
      <c r="AX567" s="27"/>
      <c r="AY567" s="27"/>
      <c r="AZ567" s="27"/>
      <c r="BA567" s="27"/>
      <c r="BB567" s="27"/>
      <c r="BC567" s="97"/>
      <c r="BD567" s="27"/>
      <c r="BE567" s="16"/>
      <c r="BF567" s="28">
        <f t="shared" si="247"/>
        <v>0</v>
      </c>
      <c r="BG567" s="29"/>
      <c r="BH567" s="27"/>
      <c r="BI567" s="30">
        <f t="shared" si="248"/>
        <v>318</v>
      </c>
      <c r="BJ567" s="31">
        <f t="shared" si="249"/>
        <v>45656</v>
      </c>
      <c r="BK567" s="27"/>
      <c r="BL567" s="16"/>
      <c r="BM567" s="27"/>
      <c r="BN567" s="16"/>
      <c r="BO567" s="27"/>
      <c r="BP567" s="16"/>
      <c r="BQ567" s="27"/>
      <c r="BR567" s="24"/>
      <c r="BS567" s="24"/>
      <c r="BT567" s="32"/>
      <c r="BU567" s="27"/>
      <c r="BV567" s="24"/>
      <c r="BW567" s="24"/>
      <c r="BX567" s="16"/>
      <c r="BY567" s="27"/>
      <c r="BZ567" s="24"/>
      <c r="CA567" s="24"/>
      <c r="CB567" s="16"/>
      <c r="CC567" s="49">
        <f t="shared" si="240"/>
        <v>0</v>
      </c>
      <c r="CD567" s="24"/>
      <c r="CE567" s="49">
        <f t="shared" si="241"/>
        <v>63387456</v>
      </c>
      <c r="CF567" s="50"/>
      <c r="CG567" s="49">
        <f t="shared" ca="1" si="242"/>
        <v>63387456</v>
      </c>
      <c r="CH567" s="33">
        <f t="shared" ca="1" si="243"/>
        <v>1</v>
      </c>
      <c r="CI567" s="33">
        <f t="shared" ca="1" si="244"/>
        <v>1</v>
      </c>
      <c r="CJ567" s="36">
        <f t="shared" ca="1" si="245"/>
        <v>100</v>
      </c>
      <c r="CK567" s="34">
        <f t="shared" si="246"/>
        <v>0</v>
      </c>
      <c r="CL567" s="21"/>
      <c r="CM567" s="35" t="str">
        <f t="shared" ca="1" si="252"/>
        <v>TERMINADO</v>
      </c>
      <c r="CN567" s="82"/>
      <c r="CO567" s="145" t="s">
        <v>4625</v>
      </c>
      <c r="CP567" s="26" t="s">
        <v>123</v>
      </c>
    </row>
    <row r="568" spans="1:94" ht="24.75" customHeight="1">
      <c r="A568" s="48" t="s">
        <v>1424</v>
      </c>
      <c r="B568" s="77" t="s">
        <v>4626</v>
      </c>
      <c r="C568" s="17" t="s">
        <v>2927</v>
      </c>
      <c r="D568" s="18" t="s">
        <v>4627</v>
      </c>
      <c r="E568" s="17" t="s">
        <v>2929</v>
      </c>
      <c r="F568" s="17" t="s">
        <v>1426</v>
      </c>
      <c r="G568" s="17" t="s">
        <v>1427</v>
      </c>
      <c r="H568" s="78" t="s">
        <v>4628</v>
      </c>
      <c r="I568" s="74" t="s">
        <v>4629</v>
      </c>
      <c r="J568" s="16" t="s">
        <v>4630</v>
      </c>
      <c r="K568" s="104">
        <v>79802614</v>
      </c>
      <c r="L568" s="20" t="s">
        <v>2933</v>
      </c>
      <c r="M568" s="16"/>
      <c r="N568" s="115">
        <v>45336</v>
      </c>
      <c r="O568" s="22">
        <v>45336</v>
      </c>
      <c r="P568" s="115">
        <v>45702</v>
      </c>
      <c r="Q568" s="23">
        <f t="shared" si="250"/>
        <v>366</v>
      </c>
      <c r="R568" s="17" t="s">
        <v>2934</v>
      </c>
      <c r="S568" s="117" t="s">
        <v>1424</v>
      </c>
      <c r="T568" s="16" t="s">
        <v>1424</v>
      </c>
      <c r="U568" s="24" t="s">
        <v>1424</v>
      </c>
      <c r="V568" s="16" t="s">
        <v>1424</v>
      </c>
      <c r="W568" s="227">
        <v>0</v>
      </c>
      <c r="X568" s="24"/>
      <c r="Y568" s="24" t="s">
        <v>2935</v>
      </c>
      <c r="Z568" s="24"/>
      <c r="AA568" s="17" t="s">
        <v>406</v>
      </c>
      <c r="AB568" s="23" t="str">
        <f>IFERROR(VLOOKUP(AA568,Listas!$A$1:$C$14,2,FALSE),"")</f>
        <v>EDUARDO ELÍAS BARCHA BOLÍVAR</v>
      </c>
      <c r="AC568" s="23">
        <f>IFERROR(VLOOKUP(AA568,Listas!$A$1:$C$14,3,FALSE),"")</f>
        <v>72133921</v>
      </c>
      <c r="AD568" s="17" t="s">
        <v>1533</v>
      </c>
      <c r="AE568" s="17" t="s">
        <v>1534</v>
      </c>
      <c r="AF568" s="23" t="str">
        <f>IFERROR(VLOOKUP(AE568,Listas!$AD$1:$AF$65,2,FALSE),"")</f>
        <v>ESTEBAN GUERRERO ALVAREZ</v>
      </c>
      <c r="AG568" s="23">
        <f>IFERROR(VLOOKUP(AE568,Listas!$AD$1:$AF$65,3,FALSE),"")</f>
        <v>1032460552</v>
      </c>
      <c r="AH568" s="17" t="s">
        <v>2936</v>
      </c>
      <c r="AI568" s="65"/>
      <c r="AJ568" s="25" t="s">
        <v>1435</v>
      </c>
      <c r="AK568" s="26" t="s">
        <v>2071</v>
      </c>
      <c r="AL568" s="26" t="s">
        <v>2071</v>
      </c>
      <c r="AM568" s="90" t="s">
        <v>1435</v>
      </c>
      <c r="AN568" s="105"/>
      <c r="AO568" s="91" t="str">
        <f t="shared" ca="1" si="251"/>
        <v xml:space="preserve"> </v>
      </c>
      <c r="AP568" s="26" t="s">
        <v>2937</v>
      </c>
      <c r="AQ568" s="26" t="s">
        <v>3501</v>
      </c>
      <c r="AR568" s="89"/>
      <c r="AS568" s="27"/>
      <c r="AT568" s="16"/>
      <c r="AU568" s="27"/>
      <c r="AV568" s="86"/>
      <c r="AW568" s="27"/>
      <c r="AX568" s="27"/>
      <c r="AY568" s="27"/>
      <c r="AZ568" s="27"/>
      <c r="BA568" s="27"/>
      <c r="BB568" s="27">
        <v>45667</v>
      </c>
      <c r="BC568" s="97">
        <v>320</v>
      </c>
      <c r="BD568" s="27"/>
      <c r="BE568" s="16"/>
      <c r="BF568" s="28">
        <f t="shared" si="247"/>
        <v>320</v>
      </c>
      <c r="BG568" s="29"/>
      <c r="BH568" s="27"/>
      <c r="BI568" s="30">
        <f t="shared" si="248"/>
        <v>686</v>
      </c>
      <c r="BJ568" s="31">
        <f t="shared" si="249"/>
        <v>46022</v>
      </c>
      <c r="BK568" s="27">
        <v>45667</v>
      </c>
      <c r="BL568" s="16" t="s">
        <v>4631</v>
      </c>
      <c r="BM568" s="27"/>
      <c r="BN568" s="16"/>
      <c r="BO568" s="27"/>
      <c r="BP568" s="16"/>
      <c r="BQ568" s="27"/>
      <c r="BR568" s="24"/>
      <c r="BS568" s="24"/>
      <c r="BT568" s="32"/>
      <c r="BU568" s="27"/>
      <c r="BV568" s="24"/>
      <c r="BW568" s="24"/>
      <c r="BX568" s="16"/>
      <c r="BY568" s="27"/>
      <c r="BZ568" s="24"/>
      <c r="CA568" s="24"/>
      <c r="CB568" s="16"/>
      <c r="CC568" s="49">
        <f t="shared" si="240"/>
        <v>0</v>
      </c>
      <c r="CD568" s="24"/>
      <c r="CE568" s="49" t="str">
        <f>IFERROR(IF(Y568=0,(W568+CC568)-CD568,IF(Y568&gt;0,(Y568+CC568)-CD568)),"")</f>
        <v/>
      </c>
      <c r="CF568" s="50">
        <v>1023291302.65</v>
      </c>
      <c r="CG568" s="49" t="str">
        <f t="shared" ca="1" si="242"/>
        <v/>
      </c>
      <c r="CH568" s="33">
        <f t="shared" ca="1" si="243"/>
        <v>0.89512555391432791</v>
      </c>
      <c r="CI568" s="33">
        <f t="shared" ca="1" si="244"/>
        <v>0.89512555391432791</v>
      </c>
      <c r="CJ568" s="36" t="str">
        <f t="shared" ca="1" si="245"/>
        <v/>
      </c>
      <c r="CK568" s="34" t="str">
        <f t="shared" si="246"/>
        <v/>
      </c>
      <c r="CL568" s="21"/>
      <c r="CM568" s="35" t="str">
        <f t="shared" ca="1" si="252"/>
        <v>VIGENTE</v>
      </c>
      <c r="CN568" s="82"/>
      <c r="CP568" s="83" t="s">
        <v>1424</v>
      </c>
    </row>
    <row r="569" spans="1:94" ht="24.75" customHeight="1">
      <c r="A569" s="48" t="s">
        <v>4632</v>
      </c>
      <c r="B569" s="77" t="s">
        <v>4633</v>
      </c>
      <c r="C569" s="17" t="s">
        <v>104</v>
      </c>
      <c r="D569" s="18" t="s">
        <v>4634</v>
      </c>
      <c r="E569" s="17" t="s">
        <v>106</v>
      </c>
      <c r="F569" s="17" t="s">
        <v>107</v>
      </c>
      <c r="G569" s="17" t="s">
        <v>108</v>
      </c>
      <c r="H569" s="78">
        <v>1032466021</v>
      </c>
      <c r="I569" s="74" t="s">
        <v>4635</v>
      </c>
      <c r="J569" s="16"/>
      <c r="K569" s="16"/>
      <c r="L569" s="20" t="s">
        <v>4636</v>
      </c>
      <c r="M569" s="16" t="s">
        <v>111</v>
      </c>
      <c r="N569" s="115">
        <v>45336</v>
      </c>
      <c r="O569" s="22">
        <v>45338</v>
      </c>
      <c r="P569" s="115">
        <v>45656</v>
      </c>
      <c r="Q569" s="23">
        <f t="shared" si="250"/>
        <v>318</v>
      </c>
      <c r="R569" s="17" t="s">
        <v>112</v>
      </c>
      <c r="S569" s="117" t="s">
        <v>4637</v>
      </c>
      <c r="T569" s="16" t="s">
        <v>4638</v>
      </c>
      <c r="U569" s="24">
        <v>114459444</v>
      </c>
      <c r="V569" s="16" t="s">
        <v>4639</v>
      </c>
      <c r="W569" s="227">
        <v>104921157</v>
      </c>
      <c r="X569" s="24">
        <v>9538287</v>
      </c>
      <c r="Y569" s="24"/>
      <c r="Z569" s="24"/>
      <c r="AA569" s="17" t="s">
        <v>116</v>
      </c>
      <c r="AB569" s="23" t="str">
        <f>IFERROR(VLOOKUP(AA569,Listas!$A$1:$C$14,2,FALSE),"")</f>
        <v>FREDY CÉSPEDES VILLA</v>
      </c>
      <c r="AC569" s="23">
        <f>IFERROR(VLOOKUP(AA569,Listas!$A$1:$C$14,3,FALSE),"")</f>
        <v>93363483</v>
      </c>
      <c r="AD569" s="17" t="s">
        <v>116</v>
      </c>
      <c r="AE569" s="17" t="s">
        <v>659</v>
      </c>
      <c r="AF569" s="23" t="str">
        <f>IFERROR(VLOOKUP(AE569,Listas!$AD$1:$AF$65,2,FALSE),"")</f>
        <v>TATIANA FORERO TORRES</v>
      </c>
      <c r="AG569" s="23">
        <f>IFERROR(VLOOKUP(AE569,Listas!$AD$1:$AF$65,3,FALSE),"")</f>
        <v>1072446921</v>
      </c>
      <c r="AH569" s="17" t="s">
        <v>118</v>
      </c>
      <c r="AI569" s="65" t="s">
        <v>4640</v>
      </c>
      <c r="AJ569" s="25" t="s">
        <v>119</v>
      </c>
      <c r="AK569" s="26" t="s">
        <v>120</v>
      </c>
      <c r="AL569" s="26" t="s">
        <v>120</v>
      </c>
      <c r="AM569" s="90" t="s">
        <v>119</v>
      </c>
      <c r="AN569" s="105">
        <v>34590</v>
      </c>
      <c r="AO569" s="91">
        <f t="shared" ca="1" si="251"/>
        <v>31</v>
      </c>
      <c r="AP569" s="26" t="s">
        <v>121</v>
      </c>
      <c r="AQ569" s="26" t="s">
        <v>285</v>
      </c>
      <c r="AR569" s="89"/>
      <c r="AS569" s="27"/>
      <c r="AT569" s="16"/>
      <c r="AU569" s="27"/>
      <c r="AV569" s="86"/>
      <c r="AW569" s="27"/>
      <c r="AX569" s="27"/>
      <c r="AY569" s="27"/>
      <c r="AZ569" s="27"/>
      <c r="BA569" s="27"/>
      <c r="BB569" s="27"/>
      <c r="BC569" s="97"/>
      <c r="BD569" s="27"/>
      <c r="BE569" s="16"/>
      <c r="BF569" s="28">
        <f t="shared" si="247"/>
        <v>0</v>
      </c>
      <c r="BG569" s="29"/>
      <c r="BH569" s="27"/>
      <c r="BI569" s="30">
        <f t="shared" si="248"/>
        <v>318</v>
      </c>
      <c r="BJ569" s="31">
        <f t="shared" si="249"/>
        <v>45656</v>
      </c>
      <c r="BK569" s="27"/>
      <c r="BL569" s="16"/>
      <c r="BM569" s="27"/>
      <c r="BN569" s="16"/>
      <c r="BO569" s="27"/>
      <c r="BP569" s="16"/>
      <c r="BQ569" s="27"/>
      <c r="BR569" s="24"/>
      <c r="BS569" s="24"/>
      <c r="BT569" s="32"/>
      <c r="BU569" s="27"/>
      <c r="BV569" s="24"/>
      <c r="BW569" s="24"/>
      <c r="BX569" s="16"/>
      <c r="BY569" s="27"/>
      <c r="BZ569" s="24"/>
      <c r="CA569" s="24"/>
      <c r="CB569" s="16"/>
      <c r="CC569" s="49">
        <f t="shared" si="240"/>
        <v>0</v>
      </c>
      <c r="CD569" s="24"/>
      <c r="CE569" s="49">
        <f t="shared" si="241"/>
        <v>104921157</v>
      </c>
      <c r="CF569" s="50"/>
      <c r="CG569" s="49">
        <f t="shared" ca="1" si="242"/>
        <v>104921157</v>
      </c>
      <c r="CH569" s="33">
        <f t="shared" ca="1" si="243"/>
        <v>1</v>
      </c>
      <c r="CI569" s="33">
        <f t="shared" ca="1" si="244"/>
        <v>1</v>
      </c>
      <c r="CJ569" s="36">
        <f t="shared" ca="1" si="245"/>
        <v>100</v>
      </c>
      <c r="CK569" s="34">
        <f t="shared" si="246"/>
        <v>0</v>
      </c>
      <c r="CL569" s="21"/>
      <c r="CM569" s="35" t="str">
        <f t="shared" ca="1" si="252"/>
        <v>TERMINADO</v>
      </c>
      <c r="CN569" s="82"/>
      <c r="CO569" s="145" t="s">
        <v>4641</v>
      </c>
      <c r="CP569" s="26" t="s">
        <v>123</v>
      </c>
    </row>
    <row r="570" spans="1:94" ht="24.75" customHeight="1">
      <c r="A570" s="48" t="s">
        <v>4642</v>
      </c>
      <c r="B570" s="77" t="s">
        <v>4643</v>
      </c>
      <c r="C570" s="17" t="s">
        <v>104</v>
      </c>
      <c r="D570" s="18" t="s">
        <v>4644</v>
      </c>
      <c r="E570" s="17" t="s">
        <v>106</v>
      </c>
      <c r="F570" s="17" t="s">
        <v>107</v>
      </c>
      <c r="G570" s="17" t="s">
        <v>108</v>
      </c>
      <c r="H570" s="78">
        <v>1024479812</v>
      </c>
      <c r="I570" s="74" t="s">
        <v>4645</v>
      </c>
      <c r="J570" s="16"/>
      <c r="K570" s="16"/>
      <c r="L570" s="20" t="s">
        <v>4646</v>
      </c>
      <c r="M570" s="16" t="s">
        <v>111</v>
      </c>
      <c r="N570" s="115">
        <v>45336</v>
      </c>
      <c r="O570" s="22">
        <v>45336</v>
      </c>
      <c r="P570" s="115">
        <v>45656</v>
      </c>
      <c r="Q570" s="23">
        <f t="shared" si="250"/>
        <v>320</v>
      </c>
      <c r="R570" s="17" t="s">
        <v>242</v>
      </c>
      <c r="S570" s="117" t="s">
        <v>4647</v>
      </c>
      <c r="T570" s="16" t="s">
        <v>2708</v>
      </c>
      <c r="U570" s="24">
        <v>69149952</v>
      </c>
      <c r="V570" s="16" t="s">
        <v>4648</v>
      </c>
      <c r="W570" s="227">
        <v>63387456</v>
      </c>
      <c r="X570" s="24">
        <v>5762496</v>
      </c>
      <c r="Y570" s="24"/>
      <c r="Z570" s="24"/>
      <c r="AA570" s="17" t="s">
        <v>116</v>
      </c>
      <c r="AB570" s="23" t="str">
        <f>IFERROR(VLOOKUP(AA570,Listas!$A$1:$C$14,2,FALSE),"")</f>
        <v>FREDY CÉSPEDES VILLA</v>
      </c>
      <c r="AC570" s="23">
        <f>IFERROR(VLOOKUP(AA570,Listas!$A$1:$C$14,3,FALSE),"")</f>
        <v>93363483</v>
      </c>
      <c r="AD570" s="17" t="s">
        <v>116</v>
      </c>
      <c r="AE570" s="17" t="s">
        <v>2309</v>
      </c>
      <c r="AF570" s="23" t="str">
        <f>IFERROR(VLOOKUP(AE570,Listas!$AD$1:$AF$65,2,FALSE),"")</f>
        <v>YURY NAYIBE LADINO</v>
      </c>
      <c r="AG570" s="23">
        <f>IFERROR(VLOOKUP(AE570,Listas!$AD$1:$AF$65,3,FALSE),"")</f>
        <v>1013587191</v>
      </c>
      <c r="AH570" s="17" t="s">
        <v>118</v>
      </c>
      <c r="AI570" s="65" t="s">
        <v>4649</v>
      </c>
      <c r="AJ570" s="25" t="s">
        <v>119</v>
      </c>
      <c r="AK570" s="26" t="s">
        <v>120</v>
      </c>
      <c r="AL570" s="26" t="s">
        <v>120</v>
      </c>
      <c r="AM570" s="90" t="s">
        <v>119</v>
      </c>
      <c r="AN570" s="105">
        <v>32220</v>
      </c>
      <c r="AO570" s="91">
        <f t="shared" ca="1" si="251"/>
        <v>37</v>
      </c>
      <c r="AP570" s="26" t="s">
        <v>121</v>
      </c>
      <c r="AQ570" s="26" t="s">
        <v>122</v>
      </c>
      <c r="AR570" s="89"/>
      <c r="AS570" s="27"/>
      <c r="AT570" s="16"/>
      <c r="AU570" s="27"/>
      <c r="AV570" s="86"/>
      <c r="AW570" s="27"/>
      <c r="AX570" s="27"/>
      <c r="AY570" s="27"/>
      <c r="AZ570" s="27"/>
      <c r="BA570" s="27"/>
      <c r="BB570" s="27"/>
      <c r="BC570" s="97"/>
      <c r="BD570" s="27"/>
      <c r="BE570" s="16"/>
      <c r="BF570" s="28">
        <f t="shared" si="247"/>
        <v>0</v>
      </c>
      <c r="BG570" s="29"/>
      <c r="BH570" s="27"/>
      <c r="BI570" s="30">
        <f t="shared" si="248"/>
        <v>320</v>
      </c>
      <c r="BJ570" s="31">
        <f t="shared" si="249"/>
        <v>45656</v>
      </c>
      <c r="BK570" s="27"/>
      <c r="BL570" s="16"/>
      <c r="BM570" s="27"/>
      <c r="BN570" s="16"/>
      <c r="BO570" s="27"/>
      <c r="BP570" s="16"/>
      <c r="BQ570" s="27"/>
      <c r="BR570" s="24"/>
      <c r="BS570" s="24"/>
      <c r="BT570" s="32"/>
      <c r="BU570" s="27"/>
      <c r="BV570" s="24"/>
      <c r="BW570" s="24"/>
      <c r="BX570" s="16"/>
      <c r="BY570" s="27"/>
      <c r="BZ570" s="24"/>
      <c r="CA570" s="24"/>
      <c r="CB570" s="16"/>
      <c r="CC570" s="49">
        <f t="shared" si="240"/>
        <v>0</v>
      </c>
      <c r="CD570" s="24"/>
      <c r="CE570" s="49">
        <f t="shared" si="241"/>
        <v>63387456</v>
      </c>
      <c r="CF570" s="50"/>
      <c r="CG570" s="49">
        <f t="shared" ca="1" si="242"/>
        <v>63387456</v>
      </c>
      <c r="CH570" s="33">
        <f t="shared" ca="1" si="243"/>
        <v>1</v>
      </c>
      <c r="CI570" s="33">
        <f t="shared" ca="1" si="244"/>
        <v>1</v>
      </c>
      <c r="CJ570" s="36">
        <f t="shared" ca="1" si="245"/>
        <v>100</v>
      </c>
      <c r="CK570" s="34">
        <f t="shared" si="246"/>
        <v>0</v>
      </c>
      <c r="CL570" s="21"/>
      <c r="CM570" s="35" t="str">
        <f t="shared" ca="1" si="252"/>
        <v>TERMINADO</v>
      </c>
      <c r="CN570" s="82"/>
      <c r="CO570" s="145" t="s">
        <v>4650</v>
      </c>
      <c r="CP570" s="26" t="s">
        <v>123</v>
      </c>
    </row>
    <row r="571" spans="1:94" ht="24.75" customHeight="1">
      <c r="A571" s="48" t="s">
        <v>4651</v>
      </c>
      <c r="B571" s="77" t="s">
        <v>4652</v>
      </c>
      <c r="C571" s="17" t="s">
        <v>104</v>
      </c>
      <c r="D571" s="18" t="s">
        <v>4653</v>
      </c>
      <c r="E571" s="17" t="s">
        <v>106</v>
      </c>
      <c r="F571" s="17" t="s">
        <v>107</v>
      </c>
      <c r="G571" s="17" t="s">
        <v>108</v>
      </c>
      <c r="H571" s="78">
        <v>80921755</v>
      </c>
      <c r="I571" s="74" t="s">
        <v>4654</v>
      </c>
      <c r="J571" s="16"/>
      <c r="K571" s="16"/>
      <c r="L571" s="20" t="s">
        <v>4655</v>
      </c>
      <c r="M571" s="16" t="s">
        <v>111</v>
      </c>
      <c r="N571" s="115">
        <v>45336</v>
      </c>
      <c r="O571" s="22">
        <v>45337</v>
      </c>
      <c r="P571" s="115">
        <v>45656</v>
      </c>
      <c r="Q571" s="23">
        <f t="shared" si="250"/>
        <v>319</v>
      </c>
      <c r="R571" s="17" t="s">
        <v>242</v>
      </c>
      <c r="S571" s="117" t="s">
        <v>4656</v>
      </c>
      <c r="T571" s="16" t="s">
        <v>997</v>
      </c>
      <c r="U571" s="24">
        <v>95100000</v>
      </c>
      <c r="V571" s="16" t="s">
        <v>3291</v>
      </c>
      <c r="W571" s="227">
        <v>95100000</v>
      </c>
      <c r="X571" s="24">
        <v>9000000</v>
      </c>
      <c r="Y571" s="24"/>
      <c r="Z571" s="24"/>
      <c r="AA571" s="17" t="s">
        <v>116</v>
      </c>
      <c r="AB571" s="23" t="str">
        <f>IFERROR(VLOOKUP(AA571,Listas!$A$1:$C$14,2,FALSE),"")</f>
        <v>FREDY CÉSPEDES VILLA</v>
      </c>
      <c r="AC571" s="23">
        <f>IFERROR(VLOOKUP(AA571,Listas!$A$1:$C$14,3,FALSE),"")</f>
        <v>93363483</v>
      </c>
      <c r="AD571" s="17" t="s">
        <v>816</v>
      </c>
      <c r="AE571" s="17" t="s">
        <v>1450</v>
      </c>
      <c r="AF571" s="23" t="str">
        <f>IFERROR(VLOOKUP(AE571,Listas!$AD$1:$AF$65,2,FALSE),"")</f>
        <v>LINA MARIA CRUZ SILVA</v>
      </c>
      <c r="AG571" s="23">
        <f>IFERROR(VLOOKUP(AE571,Listas!$AD$1:$AF$65,3,FALSE),"")</f>
        <v>52423537</v>
      </c>
      <c r="AH571" s="17" t="s">
        <v>118</v>
      </c>
      <c r="AI571" s="65" t="s">
        <v>4657</v>
      </c>
      <c r="AJ571" s="25" t="s">
        <v>119</v>
      </c>
      <c r="AK571" s="26" t="s">
        <v>120</v>
      </c>
      <c r="AL571" s="26" t="s">
        <v>120</v>
      </c>
      <c r="AM571" s="90" t="s">
        <v>119</v>
      </c>
      <c r="AN571" s="105">
        <v>31439</v>
      </c>
      <c r="AO571" s="91">
        <f t="shared" ca="1" si="251"/>
        <v>39</v>
      </c>
      <c r="AP571" s="26" t="s">
        <v>121</v>
      </c>
      <c r="AQ571" s="26" t="s">
        <v>515</v>
      </c>
      <c r="AR571" s="89"/>
      <c r="AS571" s="27"/>
      <c r="AT571" s="16"/>
      <c r="AU571" s="27"/>
      <c r="AV571" s="86"/>
      <c r="AW571" s="27"/>
      <c r="AX571" s="27"/>
      <c r="AY571" s="27"/>
      <c r="AZ571" s="27"/>
      <c r="BA571" s="27"/>
      <c r="BB571" s="27"/>
      <c r="BC571" s="97"/>
      <c r="BD571" s="27"/>
      <c r="BE571" s="16"/>
      <c r="BF571" s="28">
        <f t="shared" si="247"/>
        <v>0</v>
      </c>
      <c r="BG571" s="29"/>
      <c r="BH571" s="27"/>
      <c r="BI571" s="30">
        <f t="shared" si="248"/>
        <v>319</v>
      </c>
      <c r="BJ571" s="31">
        <f t="shared" si="249"/>
        <v>45656</v>
      </c>
      <c r="BK571" s="27"/>
      <c r="BL571" s="16"/>
      <c r="BM571" s="27"/>
      <c r="BN571" s="16"/>
      <c r="BO571" s="27"/>
      <c r="BP571" s="16"/>
      <c r="BQ571" s="27"/>
      <c r="BR571" s="24"/>
      <c r="BS571" s="24"/>
      <c r="BT571" s="32"/>
      <c r="BU571" s="27"/>
      <c r="BV571" s="24"/>
      <c r="BW571" s="24"/>
      <c r="BX571" s="16"/>
      <c r="BY571" s="27"/>
      <c r="BZ571" s="24"/>
      <c r="CA571" s="24"/>
      <c r="CB571" s="16"/>
      <c r="CC571" s="49">
        <f t="shared" si="240"/>
        <v>0</v>
      </c>
      <c r="CD571" s="24"/>
      <c r="CE571" s="49">
        <f t="shared" si="241"/>
        <v>95100000</v>
      </c>
      <c r="CF571" s="50"/>
      <c r="CG571" s="49">
        <f t="shared" ca="1" si="242"/>
        <v>95100000</v>
      </c>
      <c r="CH571" s="33">
        <f t="shared" ca="1" si="243"/>
        <v>1</v>
      </c>
      <c r="CI571" s="33">
        <f t="shared" ca="1" si="244"/>
        <v>1</v>
      </c>
      <c r="CJ571" s="36">
        <f t="shared" ca="1" si="245"/>
        <v>100</v>
      </c>
      <c r="CK571" s="34">
        <f t="shared" si="246"/>
        <v>0</v>
      </c>
      <c r="CL571" s="21"/>
      <c r="CM571" s="35" t="str">
        <f t="shared" ca="1" si="252"/>
        <v>TERMINADO</v>
      </c>
      <c r="CN571" s="82"/>
      <c r="CO571" s="145" t="s">
        <v>4658</v>
      </c>
      <c r="CP571" s="26" t="s">
        <v>142</v>
      </c>
    </row>
    <row r="572" spans="1:94" ht="24.75" customHeight="1">
      <c r="A572" s="48" t="s">
        <v>4659</v>
      </c>
      <c r="B572" s="77" t="s">
        <v>4660</v>
      </c>
      <c r="C572" s="17" t="s">
        <v>104</v>
      </c>
      <c r="D572" s="18" t="s">
        <v>4661</v>
      </c>
      <c r="E572" s="17" t="s">
        <v>106</v>
      </c>
      <c r="F572" s="17" t="s">
        <v>107</v>
      </c>
      <c r="G572" s="17" t="s">
        <v>108</v>
      </c>
      <c r="H572" s="78">
        <v>1073253595</v>
      </c>
      <c r="I572" s="74" t="s">
        <v>4662</v>
      </c>
      <c r="J572" s="16"/>
      <c r="K572" s="16"/>
      <c r="L572" s="20" t="s">
        <v>4663</v>
      </c>
      <c r="M572" s="16" t="s">
        <v>111</v>
      </c>
      <c r="N572" s="115">
        <v>45336</v>
      </c>
      <c r="O572" s="22">
        <v>45338</v>
      </c>
      <c r="P572" s="115">
        <v>45656</v>
      </c>
      <c r="Q572" s="23">
        <f t="shared" si="250"/>
        <v>318</v>
      </c>
      <c r="R572" s="17" t="s">
        <v>242</v>
      </c>
      <c r="S572" s="117" t="s">
        <v>4664</v>
      </c>
      <c r="T572" s="16" t="s">
        <v>1470</v>
      </c>
      <c r="U572" s="24">
        <v>73578000</v>
      </c>
      <c r="V572" s="16" t="s">
        <v>1212</v>
      </c>
      <c r="W572" s="227">
        <v>73578000</v>
      </c>
      <c r="X572" s="24">
        <v>6131500</v>
      </c>
      <c r="Y572" s="24"/>
      <c r="Z572" s="24"/>
      <c r="AA572" s="17" t="s">
        <v>116</v>
      </c>
      <c r="AB572" s="23" t="str">
        <f>IFERROR(VLOOKUP(AA572,Listas!$A$1:$C$14,2,FALSE),"")</f>
        <v>FREDY CÉSPEDES VILLA</v>
      </c>
      <c r="AC572" s="23">
        <f>IFERROR(VLOOKUP(AA572,Listas!$A$1:$C$14,3,FALSE),"")</f>
        <v>93363483</v>
      </c>
      <c r="AD572" s="17" t="s">
        <v>577</v>
      </c>
      <c r="AE572" s="17" t="s">
        <v>1599</v>
      </c>
      <c r="AF572" s="23" t="str">
        <f>IFERROR(VLOOKUP(AE572,Listas!$AD$1:$AF$65,2,FALSE),"")</f>
        <v>BEATRIZ HELENA TORRES LIZARAZO</v>
      </c>
      <c r="AG572" s="23">
        <f>IFERROR(VLOOKUP(AE572,Listas!$AD$1:$AF$65,3,FALSE),"")</f>
        <v>63513648</v>
      </c>
      <c r="AH572" s="17" t="s">
        <v>118</v>
      </c>
      <c r="AI572" s="65" t="s">
        <v>4665</v>
      </c>
      <c r="AJ572" s="25" t="s">
        <v>119</v>
      </c>
      <c r="AK572" s="26" t="s">
        <v>120</v>
      </c>
      <c r="AL572" s="26" t="s">
        <v>120</v>
      </c>
      <c r="AM572" s="90" t="s">
        <v>119</v>
      </c>
      <c r="AN572" s="105">
        <v>36310</v>
      </c>
      <c r="AO572" s="91">
        <f t="shared" ca="1" si="251"/>
        <v>26</v>
      </c>
      <c r="AP572" s="26" t="s">
        <v>121</v>
      </c>
      <c r="AQ572" s="26" t="s">
        <v>886</v>
      </c>
      <c r="AR572" s="89"/>
      <c r="AS572" s="27"/>
      <c r="AT572" s="16"/>
      <c r="AU572" s="27"/>
      <c r="AV572" s="86"/>
      <c r="AW572" s="27"/>
      <c r="AX572" s="27"/>
      <c r="AY572" s="27"/>
      <c r="AZ572" s="27"/>
      <c r="BA572" s="27"/>
      <c r="BB572" s="27"/>
      <c r="BC572" s="97"/>
      <c r="BD572" s="27"/>
      <c r="BE572" s="16"/>
      <c r="BF572" s="28">
        <f t="shared" si="247"/>
        <v>0</v>
      </c>
      <c r="BG572" s="29"/>
      <c r="BH572" s="27"/>
      <c r="BI572" s="30">
        <f t="shared" si="248"/>
        <v>318</v>
      </c>
      <c r="BJ572" s="31">
        <f t="shared" si="249"/>
        <v>45656</v>
      </c>
      <c r="BK572" s="27"/>
      <c r="BL572" s="16"/>
      <c r="BM572" s="27"/>
      <c r="BN572" s="16"/>
      <c r="BO572" s="27"/>
      <c r="BP572" s="16"/>
      <c r="BQ572" s="27"/>
      <c r="BR572" s="24"/>
      <c r="BS572" s="24"/>
      <c r="BT572" s="32"/>
      <c r="BU572" s="27"/>
      <c r="BV572" s="24"/>
      <c r="BW572" s="24"/>
      <c r="BX572" s="16"/>
      <c r="BY572" s="27"/>
      <c r="BZ572" s="24"/>
      <c r="CA572" s="24"/>
      <c r="CB572" s="16"/>
      <c r="CC572" s="49">
        <f t="shared" si="240"/>
        <v>0</v>
      </c>
      <c r="CD572" s="24"/>
      <c r="CE572" s="49">
        <f t="shared" si="241"/>
        <v>73578000</v>
      </c>
      <c r="CF572" s="50"/>
      <c r="CG572" s="49">
        <f t="shared" ca="1" si="242"/>
        <v>73578000</v>
      </c>
      <c r="CH572" s="33">
        <f t="shared" ca="1" si="243"/>
        <v>1</v>
      </c>
      <c r="CI572" s="33">
        <f t="shared" ca="1" si="244"/>
        <v>1</v>
      </c>
      <c r="CJ572" s="36">
        <f t="shared" ca="1" si="245"/>
        <v>100</v>
      </c>
      <c r="CK572" s="34">
        <f t="shared" si="246"/>
        <v>0</v>
      </c>
      <c r="CL572" s="21"/>
      <c r="CM572" s="35" t="str">
        <f t="shared" ca="1" si="252"/>
        <v>TERMINADO</v>
      </c>
      <c r="CN572" s="82"/>
      <c r="CO572" s="145" t="s">
        <v>4666</v>
      </c>
      <c r="CP572" s="26" t="s">
        <v>123</v>
      </c>
    </row>
    <row r="573" spans="1:94" ht="24.75" customHeight="1">
      <c r="A573" s="48" t="s">
        <v>4667</v>
      </c>
      <c r="B573" s="77" t="s">
        <v>4668</v>
      </c>
      <c r="C573" s="17" t="s">
        <v>104</v>
      </c>
      <c r="D573" s="18" t="s">
        <v>4669</v>
      </c>
      <c r="E573" s="17" t="s">
        <v>106</v>
      </c>
      <c r="F573" s="17" t="s">
        <v>107</v>
      </c>
      <c r="G573" s="17" t="s">
        <v>108</v>
      </c>
      <c r="H573" s="78">
        <v>1026260827</v>
      </c>
      <c r="I573" s="74" t="s">
        <v>4670</v>
      </c>
      <c r="J573" s="16"/>
      <c r="K573" s="16"/>
      <c r="L573" s="20" t="s">
        <v>4671</v>
      </c>
      <c r="M573" s="16" t="s">
        <v>111</v>
      </c>
      <c r="N573" s="115">
        <v>45336</v>
      </c>
      <c r="O573" s="22">
        <v>45341</v>
      </c>
      <c r="P573" s="115">
        <v>45656</v>
      </c>
      <c r="Q573" s="23">
        <f t="shared" si="250"/>
        <v>315</v>
      </c>
      <c r="R573" s="17" t="s">
        <v>242</v>
      </c>
      <c r="S573" s="117" t="s">
        <v>4672</v>
      </c>
      <c r="T573" s="16" t="s">
        <v>997</v>
      </c>
      <c r="U573" s="24">
        <v>106000000</v>
      </c>
      <c r="V573" s="16" t="s">
        <v>3421</v>
      </c>
      <c r="W573" s="227">
        <v>106000000</v>
      </c>
      <c r="X573" s="24">
        <v>10000000</v>
      </c>
      <c r="Y573" s="24"/>
      <c r="Z573" s="24"/>
      <c r="AA573" s="17" t="s">
        <v>116</v>
      </c>
      <c r="AB573" s="23" t="str">
        <f>IFERROR(VLOOKUP(AA573,Listas!$A$1:$C$14,2,FALSE),"")</f>
        <v>FREDY CÉSPEDES VILLA</v>
      </c>
      <c r="AC573" s="23">
        <f>IFERROR(VLOOKUP(AA573,Listas!$A$1:$C$14,3,FALSE),"")</f>
        <v>93363483</v>
      </c>
      <c r="AD573" s="17" t="s">
        <v>816</v>
      </c>
      <c r="AE573" s="17" t="s">
        <v>2577</v>
      </c>
      <c r="AF573" s="23" t="str">
        <f>IFERROR(VLOOKUP(AE573,Listas!$AD$1:$AF$65,2,FALSE),"")</f>
        <v>VICTOR RAUL BAUTISTA GALINDO</v>
      </c>
      <c r="AG573" s="23">
        <f>IFERROR(VLOOKUP(AE573,Listas!$AD$1:$AF$65,3,FALSE),"")</f>
        <v>79352968</v>
      </c>
      <c r="AH573" s="17" t="s">
        <v>118</v>
      </c>
      <c r="AI573" s="65" t="s">
        <v>4673</v>
      </c>
      <c r="AJ573" s="25" t="s">
        <v>119</v>
      </c>
      <c r="AK573" s="26" t="s">
        <v>120</v>
      </c>
      <c r="AL573" s="26" t="s">
        <v>120</v>
      </c>
      <c r="AM573" s="90" t="s">
        <v>119</v>
      </c>
      <c r="AN573" s="105">
        <v>32187</v>
      </c>
      <c r="AO573" s="91">
        <f t="shared" ca="1" si="251"/>
        <v>37</v>
      </c>
      <c r="AP573" s="26" t="s">
        <v>121</v>
      </c>
      <c r="AQ573" s="26" t="s">
        <v>515</v>
      </c>
      <c r="AR573" s="89"/>
      <c r="AS573" s="27"/>
      <c r="AT573" s="16"/>
      <c r="AU573" s="27"/>
      <c r="AV573" s="86"/>
      <c r="AW573" s="27"/>
      <c r="AX573" s="27"/>
      <c r="AY573" s="27"/>
      <c r="AZ573" s="27"/>
      <c r="BA573" s="27"/>
      <c r="BB573" s="27"/>
      <c r="BC573" s="97"/>
      <c r="BD573" s="27"/>
      <c r="BE573" s="16"/>
      <c r="BF573" s="28">
        <f t="shared" si="247"/>
        <v>0</v>
      </c>
      <c r="BG573" s="29"/>
      <c r="BH573" s="27"/>
      <c r="BI573" s="30">
        <f t="shared" si="248"/>
        <v>315</v>
      </c>
      <c r="BJ573" s="31">
        <f t="shared" si="249"/>
        <v>45656</v>
      </c>
      <c r="BK573" s="27"/>
      <c r="BL573" s="16"/>
      <c r="BM573" s="27"/>
      <c r="BN573" s="16"/>
      <c r="BO573" s="27"/>
      <c r="BP573" s="16"/>
      <c r="BQ573" s="27"/>
      <c r="BR573" s="24"/>
      <c r="BS573" s="24"/>
      <c r="BT573" s="32"/>
      <c r="BU573" s="27"/>
      <c r="BV573" s="24"/>
      <c r="BW573" s="24"/>
      <c r="BX573" s="16"/>
      <c r="BY573" s="27"/>
      <c r="BZ573" s="24"/>
      <c r="CA573" s="24"/>
      <c r="CB573" s="16"/>
      <c r="CC573" s="49">
        <f t="shared" si="240"/>
        <v>0</v>
      </c>
      <c r="CD573" s="24"/>
      <c r="CE573" s="49">
        <f t="shared" si="241"/>
        <v>106000000</v>
      </c>
      <c r="CF573" s="50"/>
      <c r="CG573" s="49">
        <f t="shared" ca="1" si="242"/>
        <v>106000000</v>
      </c>
      <c r="CH573" s="33">
        <f t="shared" ca="1" si="243"/>
        <v>1</v>
      </c>
      <c r="CI573" s="33">
        <f t="shared" ca="1" si="244"/>
        <v>1</v>
      </c>
      <c r="CJ573" s="36">
        <f t="shared" ca="1" si="245"/>
        <v>100</v>
      </c>
      <c r="CK573" s="34">
        <f t="shared" si="246"/>
        <v>0</v>
      </c>
      <c r="CL573" s="21"/>
      <c r="CM573" s="35" t="str">
        <f t="shared" ca="1" si="252"/>
        <v>TERMINADO</v>
      </c>
      <c r="CN573" s="82"/>
      <c r="CO573" s="145" t="s">
        <v>4674</v>
      </c>
      <c r="CP573" s="26" t="s">
        <v>142</v>
      </c>
    </row>
    <row r="574" spans="1:94" ht="24.75" customHeight="1">
      <c r="A574" s="48" t="s">
        <v>1424</v>
      </c>
      <c r="B574" s="77" t="s">
        <v>4675</v>
      </c>
      <c r="C574" s="17" t="s">
        <v>2927</v>
      </c>
      <c r="D574" s="18" t="s">
        <v>4676</v>
      </c>
      <c r="E574" s="17" t="s">
        <v>2929</v>
      </c>
      <c r="F574" s="17" t="s">
        <v>1426</v>
      </c>
      <c r="G574" s="17" t="s">
        <v>1427</v>
      </c>
      <c r="H574" s="78" t="s">
        <v>4677</v>
      </c>
      <c r="I574" s="74" t="s">
        <v>4678</v>
      </c>
      <c r="J574" s="16" t="s">
        <v>4679</v>
      </c>
      <c r="K574" s="104">
        <v>73350900</v>
      </c>
      <c r="L574" s="20" t="s">
        <v>2933</v>
      </c>
      <c r="M574" s="16"/>
      <c r="N574" s="115">
        <v>45337</v>
      </c>
      <c r="O574" s="22">
        <v>45337</v>
      </c>
      <c r="P574" s="115">
        <v>45703</v>
      </c>
      <c r="Q574" s="23">
        <f t="shared" si="250"/>
        <v>366</v>
      </c>
      <c r="R574" s="17" t="s">
        <v>2934</v>
      </c>
      <c r="S574" s="117" t="s">
        <v>1424</v>
      </c>
      <c r="T574" s="16" t="s">
        <v>1424</v>
      </c>
      <c r="U574" s="24" t="s">
        <v>1424</v>
      </c>
      <c r="V574" s="16" t="s">
        <v>1424</v>
      </c>
      <c r="W574" s="227">
        <v>0</v>
      </c>
      <c r="X574" s="24"/>
      <c r="Y574" s="24" t="s">
        <v>2935</v>
      </c>
      <c r="Z574" s="24"/>
      <c r="AA574" s="17" t="s">
        <v>406</v>
      </c>
      <c r="AB574" s="23" t="str">
        <f>IFERROR(VLOOKUP(AA574,Listas!$A$1:$C$14,2,FALSE),"")</f>
        <v>EDUARDO ELÍAS BARCHA BOLÍVAR</v>
      </c>
      <c r="AC574" s="23">
        <f>IFERROR(VLOOKUP(AA574,Listas!$A$1:$C$14,3,FALSE),"")</f>
        <v>72133921</v>
      </c>
      <c r="AD574" s="17" t="s">
        <v>4680</v>
      </c>
      <c r="AE574" s="17" t="s">
        <v>4681</v>
      </c>
      <c r="AF574" s="23" t="s">
        <v>4682</v>
      </c>
      <c r="AG574" s="23" t="s">
        <v>4683</v>
      </c>
      <c r="AH574" s="17" t="s">
        <v>2936</v>
      </c>
      <c r="AI574" s="65"/>
      <c r="AJ574" s="25" t="s">
        <v>1435</v>
      </c>
      <c r="AK574" s="26" t="s">
        <v>2071</v>
      </c>
      <c r="AL574" s="26" t="s">
        <v>2071</v>
      </c>
      <c r="AM574" s="90" t="s">
        <v>1435</v>
      </c>
      <c r="AN574" s="105"/>
      <c r="AO574" s="91" t="str">
        <f t="shared" ca="1" si="251"/>
        <v xml:space="preserve"> </v>
      </c>
      <c r="AP574" s="26" t="s">
        <v>2937</v>
      </c>
      <c r="AQ574" s="26" t="s">
        <v>3501</v>
      </c>
      <c r="AR574" s="89"/>
      <c r="AS574" s="27"/>
      <c r="AT574" s="16"/>
      <c r="AU574" s="27"/>
      <c r="AV574" s="86"/>
      <c r="AW574" s="27"/>
      <c r="AX574" s="27"/>
      <c r="AY574" s="27"/>
      <c r="AZ574" s="27"/>
      <c r="BA574" s="27"/>
      <c r="BB574" s="27">
        <v>45688</v>
      </c>
      <c r="BC574" s="97">
        <v>319</v>
      </c>
      <c r="BD574" s="27"/>
      <c r="BE574" s="16"/>
      <c r="BF574" s="28">
        <f t="shared" si="247"/>
        <v>319</v>
      </c>
      <c r="BG574" s="29"/>
      <c r="BH574" s="27"/>
      <c r="BI574" s="30">
        <f t="shared" si="248"/>
        <v>685</v>
      </c>
      <c r="BJ574" s="31">
        <f t="shared" si="249"/>
        <v>46022</v>
      </c>
      <c r="BK574" s="27">
        <v>45688</v>
      </c>
      <c r="BL574" s="16" t="s">
        <v>4684</v>
      </c>
      <c r="BM574" s="27"/>
      <c r="BN574" s="16"/>
      <c r="BO574" s="27"/>
      <c r="BP574" s="16"/>
      <c r="BQ574" s="27"/>
      <c r="BR574" s="24"/>
      <c r="BS574" s="24"/>
      <c r="BT574" s="32"/>
      <c r="BU574" s="27"/>
      <c r="BV574" s="24"/>
      <c r="BW574" s="24"/>
      <c r="BX574" s="16"/>
      <c r="BY574" s="27"/>
      <c r="BZ574" s="24"/>
      <c r="CA574" s="24"/>
      <c r="CB574" s="16"/>
      <c r="CC574" s="49">
        <f t="shared" si="240"/>
        <v>0</v>
      </c>
      <c r="CD574" s="24"/>
      <c r="CE574" s="49" t="str">
        <f>IFERROR(IF(Y574=0,(W574+CC574)-CD574,IF(Y574&gt;0,(Y574+CC574)-CD574)),"")</f>
        <v/>
      </c>
      <c r="CF574" s="50">
        <v>393282060.60000002</v>
      </c>
      <c r="CG574" s="49" t="str">
        <f t="shared" ca="1" si="242"/>
        <v/>
      </c>
      <c r="CH574" s="33">
        <f t="shared" ca="1" si="243"/>
        <v>0.8949704142011834</v>
      </c>
      <c r="CI574" s="33">
        <f t="shared" ca="1" si="244"/>
        <v>0.8949704142011834</v>
      </c>
      <c r="CJ574" s="36" t="str">
        <f t="shared" ca="1" si="245"/>
        <v/>
      </c>
      <c r="CK574" s="34" t="str">
        <f t="shared" si="246"/>
        <v/>
      </c>
      <c r="CL574" s="21"/>
      <c r="CM574" s="35" t="str">
        <f t="shared" ca="1" si="252"/>
        <v>VIGENTE</v>
      </c>
      <c r="CN574" s="82"/>
      <c r="CP574" s="83" t="s">
        <v>1424</v>
      </c>
    </row>
    <row r="575" spans="1:94" ht="24.75" customHeight="1">
      <c r="A575" s="48" t="s">
        <v>4685</v>
      </c>
      <c r="B575" s="77" t="s">
        <v>4686</v>
      </c>
      <c r="C575" s="17" t="s">
        <v>104</v>
      </c>
      <c r="D575" s="18" t="s">
        <v>4687</v>
      </c>
      <c r="E575" s="17" t="s">
        <v>106</v>
      </c>
      <c r="F575" s="17" t="s">
        <v>107</v>
      </c>
      <c r="G575" s="17" t="s">
        <v>108</v>
      </c>
      <c r="H575" s="78">
        <v>1003520158</v>
      </c>
      <c r="I575" s="74" t="s">
        <v>4688</v>
      </c>
      <c r="J575" s="16"/>
      <c r="K575" s="16"/>
      <c r="L575" s="20" t="s">
        <v>4689</v>
      </c>
      <c r="M575" s="16" t="s">
        <v>111</v>
      </c>
      <c r="N575" s="115">
        <v>45337</v>
      </c>
      <c r="O575" s="22">
        <v>45338</v>
      </c>
      <c r="P575" s="115">
        <v>45656</v>
      </c>
      <c r="Q575" s="23">
        <f t="shared" si="250"/>
        <v>318</v>
      </c>
      <c r="R575" s="17" t="s">
        <v>242</v>
      </c>
      <c r="S575" s="117" t="s">
        <v>4690</v>
      </c>
      <c r="T575" s="16" t="s">
        <v>4691</v>
      </c>
      <c r="U575" s="24">
        <v>44138268</v>
      </c>
      <c r="V575" s="16" t="s">
        <v>4339</v>
      </c>
      <c r="W575" s="227">
        <v>40460079</v>
      </c>
      <c r="X575" s="24">
        <v>3678189</v>
      </c>
      <c r="Y575" s="24"/>
      <c r="Z575" s="24"/>
      <c r="AA575" s="17" t="s">
        <v>116</v>
      </c>
      <c r="AB575" s="23" t="str">
        <f>IFERROR(VLOOKUP(AA575,Listas!$A$1:$C$14,2,FALSE),"")</f>
        <v>FREDY CÉSPEDES VILLA</v>
      </c>
      <c r="AC575" s="23">
        <f>IFERROR(VLOOKUP(AA575,Listas!$A$1:$C$14,3,FALSE),"")</f>
        <v>93363483</v>
      </c>
      <c r="AD575" s="17" t="s">
        <v>116</v>
      </c>
      <c r="AE575" s="17" t="s">
        <v>2309</v>
      </c>
      <c r="AF575" s="23" t="str">
        <f>IFERROR(VLOOKUP(AE575,Listas!$AD$1:$AF$65,2,FALSE),"")</f>
        <v>YURY NAYIBE LADINO</v>
      </c>
      <c r="AG575" s="23">
        <f>IFERROR(VLOOKUP(AE575,Listas!$AD$1:$AF$65,3,FALSE),"")</f>
        <v>1013587191</v>
      </c>
      <c r="AH575" s="17" t="s">
        <v>118</v>
      </c>
      <c r="AI575" s="65" t="s">
        <v>4692</v>
      </c>
      <c r="AJ575" s="25" t="s">
        <v>119</v>
      </c>
      <c r="AK575" s="26" t="s">
        <v>120</v>
      </c>
      <c r="AL575" s="26" t="s">
        <v>120</v>
      </c>
      <c r="AM575" s="90" t="s">
        <v>119</v>
      </c>
      <c r="AN575" s="105">
        <v>37030</v>
      </c>
      <c r="AO575" s="91">
        <f t="shared" ca="1" si="251"/>
        <v>24</v>
      </c>
      <c r="AP575" s="26" t="s">
        <v>121</v>
      </c>
      <c r="AQ575" s="26" t="s">
        <v>285</v>
      </c>
      <c r="AR575" s="89"/>
      <c r="AS575" s="27"/>
      <c r="AT575" s="16"/>
      <c r="AU575" s="27"/>
      <c r="AV575" s="86"/>
      <c r="AW575" s="27"/>
      <c r="AX575" s="27"/>
      <c r="AY575" s="27"/>
      <c r="AZ575" s="27"/>
      <c r="BA575" s="27"/>
      <c r="BB575" s="27"/>
      <c r="BC575" s="97"/>
      <c r="BD575" s="27"/>
      <c r="BE575" s="16"/>
      <c r="BF575" s="28">
        <f t="shared" si="247"/>
        <v>0</v>
      </c>
      <c r="BG575" s="29"/>
      <c r="BH575" s="27"/>
      <c r="BI575" s="30">
        <f t="shared" si="248"/>
        <v>318</v>
      </c>
      <c r="BJ575" s="31">
        <f t="shared" si="249"/>
        <v>45656</v>
      </c>
      <c r="BK575" s="27"/>
      <c r="BL575" s="16"/>
      <c r="BM575" s="27"/>
      <c r="BN575" s="16"/>
      <c r="BO575" s="27"/>
      <c r="BP575" s="16"/>
      <c r="BQ575" s="27"/>
      <c r="BR575" s="24"/>
      <c r="BS575" s="24"/>
      <c r="BT575" s="32"/>
      <c r="BU575" s="27"/>
      <c r="BV575" s="24"/>
      <c r="BW575" s="24"/>
      <c r="BX575" s="16"/>
      <c r="BY575" s="27"/>
      <c r="BZ575" s="24"/>
      <c r="CA575" s="24"/>
      <c r="CB575" s="16"/>
      <c r="CC575" s="49">
        <f t="shared" si="240"/>
        <v>0</v>
      </c>
      <c r="CD575" s="24"/>
      <c r="CE575" s="49">
        <f t="shared" si="241"/>
        <v>40460079</v>
      </c>
      <c r="CF575" s="50"/>
      <c r="CG575" s="49">
        <f t="shared" ca="1" si="242"/>
        <v>40460079</v>
      </c>
      <c r="CH575" s="33">
        <f t="shared" ca="1" si="243"/>
        <v>1</v>
      </c>
      <c r="CI575" s="33">
        <f t="shared" ca="1" si="244"/>
        <v>1</v>
      </c>
      <c r="CJ575" s="36">
        <f t="shared" ca="1" si="245"/>
        <v>100</v>
      </c>
      <c r="CK575" s="34">
        <f t="shared" si="246"/>
        <v>0</v>
      </c>
      <c r="CL575" s="21"/>
      <c r="CM575" s="35" t="str">
        <f t="shared" ca="1" si="252"/>
        <v>TERMINADO</v>
      </c>
      <c r="CN575" s="82"/>
      <c r="CO575" s="145" t="s">
        <v>4693</v>
      </c>
      <c r="CP575" s="26" t="s">
        <v>142</v>
      </c>
    </row>
    <row r="576" spans="1:94" ht="24.75" customHeight="1">
      <c r="A576" s="48" t="s">
        <v>4694</v>
      </c>
      <c r="B576" s="77" t="s">
        <v>4695</v>
      </c>
      <c r="C576" s="17" t="s">
        <v>104</v>
      </c>
      <c r="D576" s="18" t="s">
        <v>4696</v>
      </c>
      <c r="E576" s="17" t="s">
        <v>106</v>
      </c>
      <c r="F576" s="17" t="s">
        <v>107</v>
      </c>
      <c r="G576" s="17" t="s">
        <v>108</v>
      </c>
      <c r="H576" s="78">
        <v>1077035887</v>
      </c>
      <c r="I576" s="74" t="s">
        <v>4697</v>
      </c>
      <c r="J576" s="16"/>
      <c r="K576" s="16"/>
      <c r="L576" s="20" t="s">
        <v>4698</v>
      </c>
      <c r="M576" s="16" t="s">
        <v>111</v>
      </c>
      <c r="N576" s="115">
        <v>45337</v>
      </c>
      <c r="O576" s="22">
        <v>45337</v>
      </c>
      <c r="P576" s="115">
        <v>45656</v>
      </c>
      <c r="Q576" s="23">
        <f t="shared" si="250"/>
        <v>319</v>
      </c>
      <c r="R576" s="17" t="s">
        <v>242</v>
      </c>
      <c r="S576" s="117" t="s">
        <v>4699</v>
      </c>
      <c r="T576" s="16" t="s">
        <v>4700</v>
      </c>
      <c r="U576" s="24">
        <v>40118400</v>
      </c>
      <c r="V576" s="16" t="s">
        <v>4701</v>
      </c>
      <c r="W576" s="227">
        <v>36775200</v>
      </c>
      <c r="X576" s="24">
        <v>3343200</v>
      </c>
      <c r="Y576" s="24"/>
      <c r="Z576" s="24"/>
      <c r="AA576" s="17" t="s">
        <v>116</v>
      </c>
      <c r="AB576" s="23" t="str">
        <f>IFERROR(VLOOKUP(AA576,Listas!$A$1:$C$14,2,FALSE),"")</f>
        <v>FREDY CÉSPEDES VILLA</v>
      </c>
      <c r="AC576" s="23">
        <f>IFERROR(VLOOKUP(AA576,Listas!$A$1:$C$14,3,FALSE),"")</f>
        <v>93363483</v>
      </c>
      <c r="AD576" s="17" t="s">
        <v>607</v>
      </c>
      <c r="AE576" s="17" t="s">
        <v>1155</v>
      </c>
      <c r="AF576" s="23" t="str">
        <f>IFERROR(VLOOKUP(AE576,Listas!$AD$1:$AF$65,2,FALSE),"")</f>
        <v>MARÍA FRANCISCA CEPEDA QUINTERO</v>
      </c>
      <c r="AG576" s="23">
        <f>IFERROR(VLOOKUP(AE576,Listas!$AD$1:$AF$65,3,FALSE),"")</f>
        <v>53062608</v>
      </c>
      <c r="AH576" s="17" t="s">
        <v>118</v>
      </c>
      <c r="AI576" s="65" t="s">
        <v>4702</v>
      </c>
      <c r="AJ576" s="25" t="s">
        <v>119</v>
      </c>
      <c r="AK576" s="26" t="s">
        <v>120</v>
      </c>
      <c r="AL576" s="26" t="s">
        <v>120</v>
      </c>
      <c r="AM576" s="90" t="s">
        <v>119</v>
      </c>
      <c r="AN576" s="105">
        <v>35814</v>
      </c>
      <c r="AO576" s="91">
        <f t="shared" ca="1" si="251"/>
        <v>27</v>
      </c>
      <c r="AP576" s="26" t="s">
        <v>121</v>
      </c>
      <c r="AQ576" s="26" t="s">
        <v>486</v>
      </c>
      <c r="AR576" s="89"/>
      <c r="AS576" s="27"/>
      <c r="AT576" s="16"/>
      <c r="AU576" s="27"/>
      <c r="AV576" s="86"/>
      <c r="AW576" s="27"/>
      <c r="AX576" s="27"/>
      <c r="AY576" s="27"/>
      <c r="AZ576" s="27"/>
      <c r="BA576" s="27"/>
      <c r="BB576" s="27"/>
      <c r="BC576" s="97"/>
      <c r="BD576" s="27"/>
      <c r="BE576" s="16"/>
      <c r="BF576" s="28">
        <f t="shared" si="247"/>
        <v>0</v>
      </c>
      <c r="BG576" s="29"/>
      <c r="BH576" s="27"/>
      <c r="BI576" s="30">
        <f t="shared" si="248"/>
        <v>319</v>
      </c>
      <c r="BJ576" s="31">
        <f t="shared" si="249"/>
        <v>45656</v>
      </c>
      <c r="BK576" s="27"/>
      <c r="BL576" s="16"/>
      <c r="BM576" s="27"/>
      <c r="BN576" s="16"/>
      <c r="BO576" s="27"/>
      <c r="BP576" s="16"/>
      <c r="BQ576" s="27"/>
      <c r="BR576" s="24"/>
      <c r="BS576" s="24"/>
      <c r="BT576" s="32"/>
      <c r="BU576" s="27"/>
      <c r="BV576" s="24"/>
      <c r="BW576" s="24"/>
      <c r="BX576" s="16"/>
      <c r="BY576" s="27"/>
      <c r="BZ576" s="24"/>
      <c r="CA576" s="24"/>
      <c r="CB576" s="16"/>
      <c r="CC576" s="49">
        <f t="shared" si="240"/>
        <v>0</v>
      </c>
      <c r="CD576" s="24"/>
      <c r="CE576" s="49">
        <f t="shared" si="241"/>
        <v>36775200</v>
      </c>
      <c r="CF576" s="50"/>
      <c r="CG576" s="49">
        <f t="shared" ca="1" si="242"/>
        <v>36775200</v>
      </c>
      <c r="CH576" s="33">
        <f t="shared" ca="1" si="243"/>
        <v>1</v>
      </c>
      <c r="CI576" s="33">
        <f t="shared" ca="1" si="244"/>
        <v>1</v>
      </c>
      <c r="CJ576" s="36">
        <f t="shared" ca="1" si="245"/>
        <v>100</v>
      </c>
      <c r="CK576" s="34">
        <f t="shared" si="246"/>
        <v>0</v>
      </c>
      <c r="CL576" s="21"/>
      <c r="CM576" s="35" t="str">
        <f t="shared" ca="1" si="252"/>
        <v>TERMINADO</v>
      </c>
      <c r="CN576" s="82"/>
      <c r="CO576" s="145" t="s">
        <v>4703</v>
      </c>
      <c r="CP576" s="26" t="s">
        <v>142</v>
      </c>
    </row>
    <row r="577" spans="1:98" ht="24.75" customHeight="1">
      <c r="A577" s="48" t="s">
        <v>4704</v>
      </c>
      <c r="B577" s="77" t="s">
        <v>4705</v>
      </c>
      <c r="C577" s="17" t="s">
        <v>104</v>
      </c>
      <c r="D577" s="18" t="s">
        <v>4706</v>
      </c>
      <c r="E577" s="17" t="s">
        <v>106</v>
      </c>
      <c r="F577" s="17" t="s">
        <v>107</v>
      </c>
      <c r="G577" s="17" t="s">
        <v>108</v>
      </c>
      <c r="H577" s="78">
        <v>1072649377</v>
      </c>
      <c r="I577" s="74" t="s">
        <v>4707</v>
      </c>
      <c r="J577" s="16"/>
      <c r="K577" s="16"/>
      <c r="L577" s="20" t="s">
        <v>4708</v>
      </c>
      <c r="M577" s="16" t="s">
        <v>111</v>
      </c>
      <c r="N577" s="115">
        <v>45337</v>
      </c>
      <c r="O577" s="22">
        <v>45338</v>
      </c>
      <c r="P577" s="115">
        <v>45656</v>
      </c>
      <c r="Q577" s="23">
        <f t="shared" si="250"/>
        <v>318</v>
      </c>
      <c r="R577" s="17" t="s">
        <v>112</v>
      </c>
      <c r="S577" s="117" t="s">
        <v>4709</v>
      </c>
      <c r="T577" s="16" t="s">
        <v>114</v>
      </c>
      <c r="U577" s="24">
        <v>89023000</v>
      </c>
      <c r="V577" s="16" t="s">
        <v>1938</v>
      </c>
      <c r="W577" s="227">
        <v>89023000</v>
      </c>
      <c r="X577" s="24">
        <v>8093000</v>
      </c>
      <c r="Y577" s="24"/>
      <c r="Z577" s="24"/>
      <c r="AA577" s="17" t="s">
        <v>116</v>
      </c>
      <c r="AB577" s="23" t="str">
        <f>IFERROR(VLOOKUP(AA577,Listas!$A$1:$C$14,2,FALSE),"")</f>
        <v>FREDY CÉSPEDES VILLA</v>
      </c>
      <c r="AC577" s="23">
        <f>IFERROR(VLOOKUP(AA577,Listas!$A$1:$C$14,3,FALSE),"")</f>
        <v>93363483</v>
      </c>
      <c r="AD577" s="17" t="s">
        <v>116</v>
      </c>
      <c r="AE577" s="17" t="s">
        <v>743</v>
      </c>
      <c r="AF577" s="23" t="str">
        <f>IFERROR(VLOOKUP(AE577,Listas!$AD$1:$AF$65,2,FALSE),"")</f>
        <v>FREDY CÉSPEDES VILLA</v>
      </c>
      <c r="AG577" s="23">
        <f>IFERROR(VLOOKUP(AE577,Listas!$AD$1:$AF$65,3,FALSE),"")</f>
        <v>93363483</v>
      </c>
      <c r="AH577" s="17" t="s">
        <v>118</v>
      </c>
      <c r="AI577" s="65" t="s">
        <v>4710</v>
      </c>
      <c r="AJ577" s="25" t="s">
        <v>119</v>
      </c>
      <c r="AK577" s="26" t="s">
        <v>120</v>
      </c>
      <c r="AL577" s="26" t="s">
        <v>120</v>
      </c>
      <c r="AM577" s="90" t="s">
        <v>119</v>
      </c>
      <c r="AN577" s="105">
        <v>32386</v>
      </c>
      <c r="AO577" s="91">
        <f t="shared" ca="1" si="251"/>
        <v>37</v>
      </c>
      <c r="AP577" s="26" t="s">
        <v>121</v>
      </c>
      <c r="AQ577" s="26" t="s">
        <v>122</v>
      </c>
      <c r="AR577" s="89"/>
      <c r="AS577" s="27"/>
      <c r="AT577" s="16"/>
      <c r="AU577" s="27"/>
      <c r="AV577" s="86"/>
      <c r="AW577" s="27"/>
      <c r="AX577" s="27"/>
      <c r="AY577" s="27"/>
      <c r="AZ577" s="27"/>
      <c r="BA577" s="27"/>
      <c r="BB577" s="27"/>
      <c r="BC577" s="97"/>
      <c r="BD577" s="27"/>
      <c r="BE577" s="16"/>
      <c r="BF577" s="28">
        <f t="shared" si="247"/>
        <v>0</v>
      </c>
      <c r="BG577" s="29"/>
      <c r="BH577" s="27"/>
      <c r="BI577" s="30">
        <f t="shared" si="248"/>
        <v>318</v>
      </c>
      <c r="BJ577" s="31">
        <f t="shared" si="249"/>
        <v>45656</v>
      </c>
      <c r="BK577" s="27"/>
      <c r="BL577" s="16"/>
      <c r="BM577" s="27"/>
      <c r="BN577" s="16"/>
      <c r="BO577" s="27"/>
      <c r="BP577" s="16"/>
      <c r="BQ577" s="27"/>
      <c r="BR577" s="24"/>
      <c r="BS577" s="24"/>
      <c r="BT577" s="32"/>
      <c r="BU577" s="27"/>
      <c r="BV577" s="24"/>
      <c r="BW577" s="24"/>
      <c r="BX577" s="16"/>
      <c r="BY577" s="27"/>
      <c r="BZ577" s="24"/>
      <c r="CA577" s="24"/>
      <c r="CB577" s="16"/>
      <c r="CC577" s="49">
        <f t="shared" si="240"/>
        <v>0</v>
      </c>
      <c r="CD577" s="24"/>
      <c r="CE577" s="49">
        <f t="shared" si="241"/>
        <v>89023000</v>
      </c>
      <c r="CF577" s="50"/>
      <c r="CG577" s="49">
        <f t="shared" ca="1" si="242"/>
        <v>89023000</v>
      </c>
      <c r="CH577" s="33">
        <f t="shared" ca="1" si="243"/>
        <v>1</v>
      </c>
      <c r="CI577" s="33">
        <f t="shared" ca="1" si="244"/>
        <v>1</v>
      </c>
      <c r="CJ577" s="36">
        <f t="shared" ca="1" si="245"/>
        <v>100</v>
      </c>
      <c r="CK577" s="34">
        <f t="shared" si="246"/>
        <v>0</v>
      </c>
      <c r="CL577" s="21"/>
      <c r="CM577" s="35" t="str">
        <f t="shared" ca="1" si="252"/>
        <v>TERMINADO</v>
      </c>
      <c r="CN577" s="82"/>
      <c r="CO577" s="145" t="s">
        <v>4711</v>
      </c>
      <c r="CP577" s="26" t="s">
        <v>142</v>
      </c>
    </row>
    <row r="578" spans="1:98" ht="24.75" customHeight="1">
      <c r="A578" s="48" t="s">
        <v>4712</v>
      </c>
      <c r="B578" s="77" t="s">
        <v>4713</v>
      </c>
      <c r="C578" s="17" t="s">
        <v>104</v>
      </c>
      <c r="D578" s="18" t="s">
        <v>4714</v>
      </c>
      <c r="E578" s="17" t="s">
        <v>106</v>
      </c>
      <c r="F578" s="17" t="s">
        <v>107</v>
      </c>
      <c r="G578" s="17" t="s">
        <v>108</v>
      </c>
      <c r="H578" s="78">
        <v>1032459527</v>
      </c>
      <c r="I578" s="74" t="s">
        <v>4715</v>
      </c>
      <c r="J578" s="16"/>
      <c r="K578" s="16"/>
      <c r="L578" s="20" t="s">
        <v>4716</v>
      </c>
      <c r="M578" s="16" t="s">
        <v>111</v>
      </c>
      <c r="N578" s="115">
        <v>45337</v>
      </c>
      <c r="O578" s="22">
        <v>45338</v>
      </c>
      <c r="P578" s="115">
        <v>45656</v>
      </c>
      <c r="Q578" s="23">
        <f t="shared" si="250"/>
        <v>318</v>
      </c>
      <c r="R578" s="17" t="s">
        <v>112</v>
      </c>
      <c r="S578" s="117" t="s">
        <v>4717</v>
      </c>
      <c r="T578" s="16" t="s">
        <v>114</v>
      </c>
      <c r="U578" s="24">
        <v>119232000</v>
      </c>
      <c r="V578" s="16" t="s">
        <v>1938</v>
      </c>
      <c r="W578" s="227">
        <v>119232000</v>
      </c>
      <c r="X578" s="24">
        <v>7112500</v>
      </c>
      <c r="Y578" s="24"/>
      <c r="Z578" s="24"/>
      <c r="AA578" s="17" t="s">
        <v>116</v>
      </c>
      <c r="AB578" s="23" t="str">
        <f>IFERROR(VLOOKUP(AA578,Listas!$A$1:$C$14,2,FALSE),"")</f>
        <v>FREDY CÉSPEDES VILLA</v>
      </c>
      <c r="AC578" s="23">
        <f>IFERROR(VLOOKUP(AA578,Listas!$A$1:$C$14,3,FALSE),"")</f>
        <v>93363483</v>
      </c>
      <c r="AD578" s="17" t="s">
        <v>116</v>
      </c>
      <c r="AE578" s="17" t="s">
        <v>743</v>
      </c>
      <c r="AF578" s="23" t="str">
        <f>IFERROR(VLOOKUP(AE578,Listas!$AD$1:$AF$65,2,FALSE),"")</f>
        <v>FREDY CÉSPEDES VILLA</v>
      </c>
      <c r="AG578" s="23">
        <f>IFERROR(VLOOKUP(AE578,Listas!$AD$1:$AF$65,3,FALSE),"")</f>
        <v>93363483</v>
      </c>
      <c r="AH578" s="17" t="s">
        <v>118</v>
      </c>
      <c r="AI578" s="65" t="s">
        <v>4718</v>
      </c>
      <c r="AJ578" s="25" t="s">
        <v>119</v>
      </c>
      <c r="AK578" s="26" t="s">
        <v>120</v>
      </c>
      <c r="AL578" s="26" t="s">
        <v>120</v>
      </c>
      <c r="AM578" s="90" t="s">
        <v>119</v>
      </c>
      <c r="AN578" s="105">
        <v>34250</v>
      </c>
      <c r="AO578" s="91">
        <f t="shared" ca="1" si="251"/>
        <v>32</v>
      </c>
      <c r="AP578" s="26" t="s">
        <v>121</v>
      </c>
      <c r="AQ578" s="26" t="s">
        <v>122</v>
      </c>
      <c r="AR578" s="89"/>
      <c r="AS578" s="27"/>
      <c r="AT578" s="16"/>
      <c r="AU578" s="27"/>
      <c r="AV578" s="86"/>
      <c r="AW578" s="27"/>
      <c r="AX578" s="27"/>
      <c r="AY578" s="27"/>
      <c r="AZ578" s="27"/>
      <c r="BA578" s="27"/>
      <c r="BB578" s="27"/>
      <c r="BC578" s="97"/>
      <c r="BD578" s="27"/>
      <c r="BE578" s="16"/>
      <c r="BF578" s="28">
        <f t="shared" si="247"/>
        <v>0</v>
      </c>
      <c r="BG578" s="29"/>
      <c r="BH578" s="27"/>
      <c r="BI578" s="30">
        <f t="shared" si="248"/>
        <v>318</v>
      </c>
      <c r="BJ578" s="31">
        <f t="shared" si="249"/>
        <v>45656</v>
      </c>
      <c r="BK578" s="27"/>
      <c r="BL578" s="16"/>
      <c r="BM578" s="27"/>
      <c r="BN578" s="16"/>
      <c r="BO578" s="27"/>
      <c r="BP578" s="16"/>
      <c r="BQ578" s="27"/>
      <c r="BR578" s="24"/>
      <c r="BS578" s="24"/>
      <c r="BT578" s="32"/>
      <c r="BU578" s="27"/>
      <c r="BV578" s="24"/>
      <c r="BW578" s="24"/>
      <c r="BX578" s="16"/>
      <c r="BY578" s="27"/>
      <c r="BZ578" s="24"/>
      <c r="CA578" s="24"/>
      <c r="CB578" s="16"/>
      <c r="CC578" s="49">
        <f t="shared" si="240"/>
        <v>0</v>
      </c>
      <c r="CD578" s="24"/>
      <c r="CE578" s="49">
        <f t="shared" si="241"/>
        <v>119232000</v>
      </c>
      <c r="CF578" s="50"/>
      <c r="CG578" s="49">
        <f t="shared" ca="1" si="242"/>
        <v>119232000</v>
      </c>
      <c r="CH578" s="33">
        <f t="shared" ca="1" si="243"/>
        <v>1</v>
      </c>
      <c r="CI578" s="33">
        <f t="shared" ca="1" si="244"/>
        <v>1</v>
      </c>
      <c r="CJ578" s="36">
        <f t="shared" ca="1" si="245"/>
        <v>100</v>
      </c>
      <c r="CK578" s="34">
        <f t="shared" si="246"/>
        <v>0</v>
      </c>
      <c r="CL578" s="21"/>
      <c r="CM578" s="35" t="str">
        <f t="shared" ca="1" si="252"/>
        <v>TERMINADO</v>
      </c>
      <c r="CN578" s="82"/>
      <c r="CO578" s="145" t="s">
        <v>4719</v>
      </c>
      <c r="CP578" s="26" t="s">
        <v>142</v>
      </c>
    </row>
    <row r="579" spans="1:98" ht="24.75" customHeight="1">
      <c r="A579" s="48" t="s">
        <v>4720</v>
      </c>
      <c r="B579" s="77" t="s">
        <v>4721</v>
      </c>
      <c r="C579" s="17" t="s">
        <v>104</v>
      </c>
      <c r="D579" s="18" t="s">
        <v>4722</v>
      </c>
      <c r="E579" s="17" t="s">
        <v>106</v>
      </c>
      <c r="F579" s="17" t="s">
        <v>107</v>
      </c>
      <c r="G579" s="17" t="s">
        <v>108</v>
      </c>
      <c r="H579" s="78">
        <v>1053785674</v>
      </c>
      <c r="I579" s="74" t="s">
        <v>4723</v>
      </c>
      <c r="J579" s="16"/>
      <c r="K579" s="16"/>
      <c r="L579" s="20" t="s">
        <v>4724</v>
      </c>
      <c r="M579" s="16" t="s">
        <v>111</v>
      </c>
      <c r="N579" s="115">
        <v>45337</v>
      </c>
      <c r="O579" s="22">
        <v>45341</v>
      </c>
      <c r="P579" s="115">
        <v>45656</v>
      </c>
      <c r="Q579" s="23">
        <f t="shared" si="250"/>
        <v>315</v>
      </c>
      <c r="R579" s="17" t="s">
        <v>112</v>
      </c>
      <c r="S579" s="117" t="s">
        <v>4725</v>
      </c>
      <c r="T579" s="16" t="s">
        <v>114</v>
      </c>
      <c r="U579" s="24">
        <v>103145762</v>
      </c>
      <c r="V579" s="16" t="s">
        <v>1938</v>
      </c>
      <c r="W579" s="227">
        <v>103145762</v>
      </c>
      <c r="X579" s="24">
        <v>8595480</v>
      </c>
      <c r="Y579" s="24"/>
      <c r="Z579" s="24"/>
      <c r="AA579" s="17" t="s">
        <v>116</v>
      </c>
      <c r="AB579" s="23" t="str">
        <f>IFERROR(VLOOKUP(AA579,Listas!$A$1:$C$14,2,FALSE),"")</f>
        <v>FREDY CÉSPEDES VILLA</v>
      </c>
      <c r="AC579" s="23">
        <f>IFERROR(VLOOKUP(AA579,Listas!$A$1:$C$14,3,FALSE),"")</f>
        <v>93363483</v>
      </c>
      <c r="AD579" s="17" t="s">
        <v>116</v>
      </c>
      <c r="AE579" s="17" t="s">
        <v>743</v>
      </c>
      <c r="AF579" s="23" t="str">
        <f>IFERROR(VLOOKUP(AE579,Listas!$AD$1:$AF$65,2,FALSE),"")</f>
        <v>FREDY CÉSPEDES VILLA</v>
      </c>
      <c r="AG579" s="23">
        <f>IFERROR(VLOOKUP(AE579,Listas!$AD$1:$AF$65,3,FALSE),"")</f>
        <v>93363483</v>
      </c>
      <c r="AH579" s="17" t="s">
        <v>118</v>
      </c>
      <c r="AI579" s="65" t="s">
        <v>4726</v>
      </c>
      <c r="AJ579" s="25" t="s">
        <v>119</v>
      </c>
      <c r="AK579" s="26" t="s">
        <v>120</v>
      </c>
      <c r="AL579" s="26" t="s">
        <v>120</v>
      </c>
      <c r="AM579" s="90" t="s">
        <v>119</v>
      </c>
      <c r="AN579" s="105">
        <v>31784</v>
      </c>
      <c r="AO579" s="91">
        <f t="shared" ca="1" si="251"/>
        <v>38</v>
      </c>
      <c r="AP579" s="26" t="s">
        <v>121</v>
      </c>
      <c r="AQ579" s="26" t="s">
        <v>122</v>
      </c>
      <c r="AR579" s="89"/>
      <c r="AS579" s="27"/>
      <c r="AT579" s="16"/>
      <c r="AU579" s="27"/>
      <c r="AV579" s="86"/>
      <c r="AW579" s="27"/>
      <c r="AX579" s="27"/>
      <c r="AY579" s="27"/>
      <c r="AZ579" s="27"/>
      <c r="BA579" s="27"/>
      <c r="BB579" s="27"/>
      <c r="BC579" s="97"/>
      <c r="BD579" s="27"/>
      <c r="BE579" s="16"/>
      <c r="BF579" s="28">
        <f t="shared" si="247"/>
        <v>0</v>
      </c>
      <c r="BG579" s="29"/>
      <c r="BH579" s="27"/>
      <c r="BI579" s="30">
        <f t="shared" si="248"/>
        <v>315</v>
      </c>
      <c r="BJ579" s="31">
        <f t="shared" si="249"/>
        <v>45656</v>
      </c>
      <c r="BK579" s="27"/>
      <c r="BL579" s="16"/>
      <c r="BM579" s="27"/>
      <c r="BN579" s="16"/>
      <c r="BO579" s="27"/>
      <c r="BP579" s="16"/>
      <c r="BQ579" s="27"/>
      <c r="BR579" s="24"/>
      <c r="BS579" s="24"/>
      <c r="BT579" s="32"/>
      <c r="BU579" s="27"/>
      <c r="BV579" s="24"/>
      <c r="BW579" s="24"/>
      <c r="BX579" s="16"/>
      <c r="BY579" s="27"/>
      <c r="BZ579" s="24"/>
      <c r="CA579" s="24"/>
      <c r="CB579" s="16"/>
      <c r="CC579" s="49">
        <f t="shared" si="240"/>
        <v>0</v>
      </c>
      <c r="CD579" s="24"/>
      <c r="CE579" s="49">
        <f t="shared" si="241"/>
        <v>103145762</v>
      </c>
      <c r="CF579" s="50"/>
      <c r="CG579" s="49">
        <f t="shared" ca="1" si="242"/>
        <v>103145762</v>
      </c>
      <c r="CH579" s="33">
        <f t="shared" ca="1" si="243"/>
        <v>1</v>
      </c>
      <c r="CI579" s="33">
        <f t="shared" ca="1" si="244"/>
        <v>1</v>
      </c>
      <c r="CJ579" s="36">
        <f t="shared" ca="1" si="245"/>
        <v>100</v>
      </c>
      <c r="CK579" s="34">
        <f t="shared" si="246"/>
        <v>0</v>
      </c>
      <c r="CL579" s="21"/>
      <c r="CM579" s="35" t="str">
        <f t="shared" ca="1" si="252"/>
        <v>TERMINADO</v>
      </c>
      <c r="CN579" s="82"/>
      <c r="CO579" s="145" t="s">
        <v>4727</v>
      </c>
      <c r="CP579" s="26" t="s">
        <v>123</v>
      </c>
    </row>
    <row r="580" spans="1:98" ht="24.75" customHeight="1">
      <c r="A580" s="48" t="s">
        <v>4728</v>
      </c>
      <c r="B580" s="77" t="s">
        <v>4729</v>
      </c>
      <c r="C580" s="17" t="s">
        <v>104</v>
      </c>
      <c r="D580" s="18" t="s">
        <v>4730</v>
      </c>
      <c r="E580" s="17" t="s">
        <v>106</v>
      </c>
      <c r="F580" s="17" t="s">
        <v>107</v>
      </c>
      <c r="G580" s="17" t="s">
        <v>108</v>
      </c>
      <c r="H580" s="78">
        <v>1075247100</v>
      </c>
      <c r="I580" s="74" t="s">
        <v>4731</v>
      </c>
      <c r="J580" s="16"/>
      <c r="K580" s="16"/>
      <c r="L580" s="20" t="s">
        <v>4732</v>
      </c>
      <c r="M580" s="16" t="s">
        <v>111</v>
      </c>
      <c r="N580" s="115">
        <v>45337</v>
      </c>
      <c r="O580" s="22">
        <v>45338</v>
      </c>
      <c r="P580" s="115">
        <v>45656</v>
      </c>
      <c r="Q580" s="23">
        <f t="shared" si="250"/>
        <v>318</v>
      </c>
      <c r="R580" s="17" t="s">
        <v>112</v>
      </c>
      <c r="S580" s="117" t="s">
        <v>4733</v>
      </c>
      <c r="T580" s="16" t="s">
        <v>114</v>
      </c>
      <c r="U580" s="24">
        <v>103145762</v>
      </c>
      <c r="V580" s="16" t="s">
        <v>1938</v>
      </c>
      <c r="W580" s="227">
        <v>103145762</v>
      </c>
      <c r="X580" s="24">
        <v>8595480</v>
      </c>
      <c r="Y580" s="24"/>
      <c r="Z580" s="24"/>
      <c r="AA580" s="17" t="s">
        <v>116</v>
      </c>
      <c r="AB580" s="23" t="str">
        <f>IFERROR(VLOOKUP(AA580,Listas!$A$1:$C$14,2,FALSE),"")</f>
        <v>FREDY CÉSPEDES VILLA</v>
      </c>
      <c r="AC580" s="23">
        <f>IFERROR(VLOOKUP(AA580,Listas!$A$1:$C$14,3,FALSE),"")</f>
        <v>93363483</v>
      </c>
      <c r="AD580" s="17" t="s">
        <v>116</v>
      </c>
      <c r="AE580" s="17" t="s">
        <v>743</v>
      </c>
      <c r="AF580" s="23" t="str">
        <f>IFERROR(VLOOKUP(AE580,Listas!$AD$1:$AF$65,2,FALSE),"")</f>
        <v>FREDY CÉSPEDES VILLA</v>
      </c>
      <c r="AG580" s="23">
        <f>IFERROR(VLOOKUP(AE580,Listas!$AD$1:$AF$65,3,FALSE),"")</f>
        <v>93363483</v>
      </c>
      <c r="AH580" s="17" t="s">
        <v>118</v>
      </c>
      <c r="AI580" s="65" t="s">
        <v>4734</v>
      </c>
      <c r="AJ580" s="25" t="s">
        <v>119</v>
      </c>
      <c r="AK580" s="26" t="s">
        <v>120</v>
      </c>
      <c r="AL580" s="26" t="s">
        <v>120</v>
      </c>
      <c r="AM580" s="90" t="s">
        <v>119</v>
      </c>
      <c r="AN580" s="105">
        <v>33115</v>
      </c>
      <c r="AO580" s="91">
        <f t="shared" ca="1" si="251"/>
        <v>35</v>
      </c>
      <c r="AP580" s="26" t="s">
        <v>121</v>
      </c>
      <c r="AQ580" s="26" t="s">
        <v>122</v>
      </c>
      <c r="AR580" s="89"/>
      <c r="AS580" s="27"/>
      <c r="AT580" s="16"/>
      <c r="AU580" s="27"/>
      <c r="AV580" s="86"/>
      <c r="AW580" s="27"/>
      <c r="AX580" s="27"/>
      <c r="AY580" s="27"/>
      <c r="AZ580" s="27"/>
      <c r="BA580" s="27"/>
      <c r="BB580" s="27"/>
      <c r="BC580" s="97"/>
      <c r="BD580" s="27"/>
      <c r="BE580" s="16"/>
      <c r="BF580" s="28">
        <f t="shared" si="247"/>
        <v>0</v>
      </c>
      <c r="BG580" s="29"/>
      <c r="BH580" s="27"/>
      <c r="BI580" s="30">
        <f t="shared" si="248"/>
        <v>318</v>
      </c>
      <c r="BJ580" s="31">
        <f t="shared" si="249"/>
        <v>45656</v>
      </c>
      <c r="BK580" s="27"/>
      <c r="BL580" s="16"/>
      <c r="BM580" s="27"/>
      <c r="BN580" s="16"/>
      <c r="BO580" s="27"/>
      <c r="BP580" s="16"/>
      <c r="BQ580" s="27"/>
      <c r="BR580" s="24"/>
      <c r="BS580" s="24"/>
      <c r="BT580" s="32"/>
      <c r="BU580" s="27"/>
      <c r="BV580" s="24"/>
      <c r="BW580" s="24"/>
      <c r="BX580" s="16"/>
      <c r="BY580" s="27"/>
      <c r="BZ580" s="24"/>
      <c r="CA580" s="24"/>
      <c r="CB580" s="16"/>
      <c r="CC580" s="49">
        <f t="shared" si="240"/>
        <v>0</v>
      </c>
      <c r="CD580" s="24"/>
      <c r="CE580" s="49">
        <f>IF(Y580=0,(U580+CC580)-CD580,IF(Y580&gt;0,(Y580+CC580)-CD580))</f>
        <v>103145762</v>
      </c>
      <c r="CF580" s="50"/>
      <c r="CG580" s="49">
        <f t="shared" ca="1" si="242"/>
        <v>103145762</v>
      </c>
      <c r="CH580" s="33">
        <f t="shared" ca="1" si="243"/>
        <v>1</v>
      </c>
      <c r="CI580" s="33">
        <f t="shared" ca="1" si="244"/>
        <v>1</v>
      </c>
      <c r="CJ580" s="36">
        <f t="shared" ca="1" si="245"/>
        <v>100</v>
      </c>
      <c r="CK580" s="34">
        <f t="shared" si="246"/>
        <v>0</v>
      </c>
      <c r="CL580" s="21"/>
      <c r="CM580" s="35" t="str">
        <f t="shared" ca="1" si="252"/>
        <v>TERMINADO</v>
      </c>
      <c r="CN580" s="82"/>
      <c r="CO580" s="145" t="s">
        <v>4735</v>
      </c>
      <c r="CP580" s="26" t="s">
        <v>123</v>
      </c>
    </row>
    <row r="581" spans="1:98" ht="24.75" customHeight="1">
      <c r="A581" s="48" t="s">
        <v>4736</v>
      </c>
      <c r="B581" s="77" t="s">
        <v>4737</v>
      </c>
      <c r="C581" s="17" t="s">
        <v>104</v>
      </c>
      <c r="D581" s="18" t="s">
        <v>4738</v>
      </c>
      <c r="E581" s="17" t="s">
        <v>106</v>
      </c>
      <c r="F581" s="17" t="s">
        <v>107</v>
      </c>
      <c r="G581" s="17" t="s">
        <v>108</v>
      </c>
      <c r="H581" s="78">
        <v>1018413396</v>
      </c>
      <c r="I581" s="74" t="s">
        <v>4739</v>
      </c>
      <c r="J581" s="16"/>
      <c r="K581" s="16"/>
      <c r="L581" s="20" t="s">
        <v>4740</v>
      </c>
      <c r="M581" s="16" t="s">
        <v>111</v>
      </c>
      <c r="N581" s="115">
        <v>45337</v>
      </c>
      <c r="O581" s="22">
        <v>45341</v>
      </c>
      <c r="P581" s="115">
        <v>45656</v>
      </c>
      <c r="Q581" s="23">
        <f t="shared" si="250"/>
        <v>315</v>
      </c>
      <c r="R581" s="17" t="s">
        <v>112</v>
      </c>
      <c r="S581" s="117" t="s">
        <v>4741</v>
      </c>
      <c r="T581" s="16" t="s">
        <v>114</v>
      </c>
      <c r="U581" s="24">
        <v>109296000</v>
      </c>
      <c r="V581" s="16" t="s">
        <v>1938</v>
      </c>
      <c r="W581" s="227">
        <v>109296000</v>
      </c>
      <c r="X581" s="24">
        <v>9936000</v>
      </c>
      <c r="Y581" s="24"/>
      <c r="Z581" s="24"/>
      <c r="AA581" s="17" t="s">
        <v>116</v>
      </c>
      <c r="AB581" s="23" t="str">
        <f>IFERROR(VLOOKUP(AA581,Listas!$A$1:$C$14,2,FALSE),"")</f>
        <v>FREDY CÉSPEDES VILLA</v>
      </c>
      <c r="AC581" s="23">
        <f>IFERROR(VLOOKUP(AA581,Listas!$A$1:$C$14,3,FALSE),"")</f>
        <v>93363483</v>
      </c>
      <c r="AD581" s="17" t="s">
        <v>116</v>
      </c>
      <c r="AE581" s="17" t="s">
        <v>743</v>
      </c>
      <c r="AF581" s="23" t="str">
        <f>IFERROR(VLOOKUP(AE581,Listas!$AD$1:$AF$65,2,FALSE),"")</f>
        <v>FREDY CÉSPEDES VILLA</v>
      </c>
      <c r="AG581" s="23">
        <f>IFERROR(VLOOKUP(AE581,Listas!$AD$1:$AF$65,3,FALSE),"")</f>
        <v>93363483</v>
      </c>
      <c r="AH581" s="17" t="s">
        <v>118</v>
      </c>
      <c r="AI581" s="65" t="s">
        <v>4742</v>
      </c>
      <c r="AJ581" s="25" t="s">
        <v>119</v>
      </c>
      <c r="AK581" s="26" t="s">
        <v>120</v>
      </c>
      <c r="AL581" s="26" t="s">
        <v>120</v>
      </c>
      <c r="AM581" s="90" t="s">
        <v>119</v>
      </c>
      <c r="AN581" s="105">
        <v>32060</v>
      </c>
      <c r="AO581" s="91">
        <f t="shared" ca="1" si="251"/>
        <v>38</v>
      </c>
      <c r="AP581" s="26" t="s">
        <v>121</v>
      </c>
      <c r="AQ581" s="26" t="s">
        <v>122</v>
      </c>
      <c r="AR581" s="89"/>
      <c r="AS581" s="27"/>
      <c r="AT581" s="16"/>
      <c r="AU581" s="27"/>
      <c r="AV581" s="86"/>
      <c r="AW581" s="27"/>
      <c r="AX581" s="27"/>
      <c r="AY581" s="27"/>
      <c r="AZ581" s="27"/>
      <c r="BA581" s="27"/>
      <c r="BB581" s="27"/>
      <c r="BC581" s="97"/>
      <c r="BD581" s="27"/>
      <c r="BE581" s="16"/>
      <c r="BF581" s="28">
        <f t="shared" si="247"/>
        <v>0</v>
      </c>
      <c r="BG581" s="29"/>
      <c r="BH581" s="27"/>
      <c r="BI581" s="30">
        <f t="shared" si="248"/>
        <v>315</v>
      </c>
      <c r="BJ581" s="31">
        <f t="shared" si="249"/>
        <v>45656</v>
      </c>
      <c r="BK581" s="27"/>
      <c r="BL581" s="16"/>
      <c r="BM581" s="27"/>
      <c r="BN581" s="16"/>
      <c r="BO581" s="27"/>
      <c r="BP581" s="16"/>
      <c r="BQ581" s="27"/>
      <c r="BR581" s="24"/>
      <c r="BS581" s="24"/>
      <c r="BT581" s="32"/>
      <c r="BU581" s="27"/>
      <c r="BV581" s="24"/>
      <c r="BW581" s="24"/>
      <c r="BX581" s="16"/>
      <c r="BY581" s="27"/>
      <c r="BZ581" s="24"/>
      <c r="CA581" s="24"/>
      <c r="CB581" s="16"/>
      <c r="CC581" s="49">
        <f t="shared" si="240"/>
        <v>0</v>
      </c>
      <c r="CD581" s="24"/>
      <c r="CE581" s="49">
        <f>IF(Y581=0,(W581+CC581)-CD581,IF(Y581&gt;0,(Y581+CC581)-CD581))</f>
        <v>109296000</v>
      </c>
      <c r="CF581" s="50"/>
      <c r="CG581" s="49">
        <f t="shared" ca="1" si="242"/>
        <v>109296000</v>
      </c>
      <c r="CH581" s="33">
        <f t="shared" ca="1" si="243"/>
        <v>1</v>
      </c>
      <c r="CI581" s="33">
        <f t="shared" ca="1" si="244"/>
        <v>1</v>
      </c>
      <c r="CJ581" s="36">
        <f t="shared" ca="1" si="245"/>
        <v>100</v>
      </c>
      <c r="CK581" s="34">
        <f t="shared" si="246"/>
        <v>0</v>
      </c>
      <c r="CL581" s="21"/>
      <c r="CM581" s="35" t="str">
        <f t="shared" ca="1" si="252"/>
        <v>TERMINADO</v>
      </c>
      <c r="CN581" s="82"/>
      <c r="CO581" s="145" t="s">
        <v>4743</v>
      </c>
      <c r="CP581" s="26" t="s">
        <v>142</v>
      </c>
    </row>
    <row r="582" spans="1:98" s="154" customFormat="1" ht="24.75" customHeight="1">
      <c r="A582" s="48"/>
      <c r="B582" s="345" t="s">
        <v>4744</v>
      </c>
      <c r="C582" s="345" t="s">
        <v>1583</v>
      </c>
      <c r="D582" s="18"/>
      <c r="E582" s="17"/>
      <c r="F582" s="17"/>
      <c r="G582" s="17"/>
      <c r="H582" s="78"/>
      <c r="I582" s="74"/>
      <c r="J582" s="16"/>
      <c r="K582" s="16"/>
      <c r="L582" s="96"/>
      <c r="M582" s="16"/>
      <c r="N582" s="22"/>
      <c r="O582" s="22"/>
      <c r="P582" s="22"/>
      <c r="Q582" s="23"/>
      <c r="R582" s="17"/>
      <c r="S582" s="16"/>
      <c r="T582" s="16"/>
      <c r="U582" s="67"/>
      <c r="V582" s="16"/>
      <c r="W582" s="24"/>
      <c r="X582" s="24"/>
      <c r="Y582" s="24"/>
      <c r="Z582" s="24"/>
      <c r="AA582" s="17"/>
      <c r="AB582" s="23"/>
      <c r="AC582" s="23"/>
      <c r="AD582" s="17"/>
      <c r="AE582" s="17"/>
      <c r="AF582" s="23"/>
      <c r="AG582" s="23"/>
      <c r="AH582" s="17"/>
      <c r="AI582" s="65"/>
      <c r="AJ582" s="25"/>
      <c r="AK582" s="26"/>
      <c r="AL582" s="26"/>
      <c r="AM582" s="90"/>
      <c r="AN582" s="105"/>
      <c r="AO582" s="91"/>
      <c r="AP582" s="26"/>
      <c r="AQ582" s="26"/>
      <c r="AR582" s="89"/>
      <c r="AS582" s="27"/>
      <c r="AT582" s="16"/>
      <c r="AU582" s="27"/>
      <c r="AV582" s="86"/>
      <c r="AW582" s="27"/>
      <c r="AX582" s="27"/>
      <c r="AY582" s="27"/>
      <c r="AZ582" s="27"/>
      <c r="BA582" s="27"/>
      <c r="BB582" s="27"/>
      <c r="BC582" s="97"/>
      <c r="BD582" s="27"/>
      <c r="BE582" s="16"/>
      <c r="BF582" s="28"/>
      <c r="BG582" s="29"/>
      <c r="BH582" s="27"/>
      <c r="BI582" s="30"/>
      <c r="BJ582" s="31"/>
      <c r="BK582" s="27"/>
      <c r="BL582" s="16"/>
      <c r="BM582" s="27"/>
      <c r="BN582" s="16"/>
      <c r="BO582" s="27"/>
      <c r="BP582" s="16"/>
      <c r="BQ582" s="27"/>
      <c r="BR582" s="24"/>
      <c r="BS582" s="24"/>
      <c r="BT582" s="32"/>
      <c r="BU582" s="27"/>
      <c r="BV582" s="24"/>
      <c r="BW582" s="24"/>
      <c r="BX582" s="16"/>
      <c r="BY582" s="27"/>
      <c r="BZ582" s="24"/>
      <c r="CA582" s="24"/>
      <c r="CB582" s="16"/>
      <c r="CC582" s="49"/>
      <c r="CD582" s="24"/>
      <c r="CE582" s="49"/>
      <c r="CF582" s="50"/>
      <c r="CG582" s="49"/>
      <c r="CH582" s="33"/>
      <c r="CI582" s="33"/>
      <c r="CJ582" s="36"/>
      <c r="CK582" s="34"/>
      <c r="CL582" s="21"/>
      <c r="CM582" s="35"/>
      <c r="CN582" s="82"/>
      <c r="CO582" s="145"/>
      <c r="CP582" s="26"/>
      <c r="CQ582" s="83"/>
      <c r="CR582" s="83"/>
      <c r="CS582" s="48"/>
      <c r="CT582" s="345"/>
    </row>
    <row r="583" spans="1:98" s="154" customFormat="1" ht="24.75" customHeight="1">
      <c r="A583" s="48"/>
      <c r="B583" s="345" t="s">
        <v>4745</v>
      </c>
      <c r="C583" s="345" t="s">
        <v>1583</v>
      </c>
      <c r="D583" s="18"/>
      <c r="E583" s="17"/>
      <c r="F583" s="17"/>
      <c r="G583" s="17"/>
      <c r="H583" s="78"/>
      <c r="I583" s="74"/>
      <c r="J583" s="16"/>
      <c r="K583" s="16"/>
      <c r="L583" s="96"/>
      <c r="M583" s="16"/>
      <c r="N583" s="22"/>
      <c r="O583" s="22"/>
      <c r="P583" s="22"/>
      <c r="Q583" s="23"/>
      <c r="R583" s="17"/>
      <c r="S583" s="16"/>
      <c r="T583" s="16"/>
      <c r="U583" s="67"/>
      <c r="V583" s="16"/>
      <c r="W583" s="24"/>
      <c r="X583" s="24"/>
      <c r="Y583" s="24"/>
      <c r="Z583" s="24"/>
      <c r="AA583" s="17"/>
      <c r="AB583" s="23"/>
      <c r="AC583" s="23"/>
      <c r="AD583" s="17"/>
      <c r="AE583" s="17"/>
      <c r="AF583" s="23"/>
      <c r="AG583" s="23"/>
      <c r="AH583" s="17"/>
      <c r="AI583" s="65"/>
      <c r="AJ583" s="25"/>
      <c r="AK583" s="26"/>
      <c r="AL583" s="26"/>
      <c r="AM583" s="90"/>
      <c r="AN583" s="105"/>
      <c r="AO583" s="91"/>
      <c r="AP583" s="26"/>
      <c r="AQ583" s="26"/>
      <c r="AR583" s="89"/>
      <c r="AS583" s="27"/>
      <c r="AT583" s="16"/>
      <c r="AU583" s="27"/>
      <c r="AV583" s="86"/>
      <c r="AW583" s="27"/>
      <c r="AX583" s="27"/>
      <c r="AY583" s="27"/>
      <c r="AZ583" s="27"/>
      <c r="BA583" s="27"/>
      <c r="BB583" s="27"/>
      <c r="BC583" s="97"/>
      <c r="BD583" s="27"/>
      <c r="BE583" s="16"/>
      <c r="BF583" s="28"/>
      <c r="BG583" s="29"/>
      <c r="BH583" s="27"/>
      <c r="BI583" s="30"/>
      <c r="BJ583" s="31"/>
      <c r="BK583" s="27"/>
      <c r="BL583" s="16"/>
      <c r="BM583" s="27"/>
      <c r="BN583" s="16"/>
      <c r="BO583" s="27"/>
      <c r="BP583" s="16"/>
      <c r="BQ583" s="27"/>
      <c r="BR583" s="24"/>
      <c r="BS583" s="24"/>
      <c r="BT583" s="32"/>
      <c r="BU583" s="27"/>
      <c r="BV583" s="24"/>
      <c r="BW583" s="24"/>
      <c r="BX583" s="16"/>
      <c r="BY583" s="27"/>
      <c r="BZ583" s="24"/>
      <c r="CA583" s="24"/>
      <c r="CB583" s="16"/>
      <c r="CC583" s="49"/>
      <c r="CD583" s="24"/>
      <c r="CE583" s="49"/>
      <c r="CF583" s="50"/>
      <c r="CG583" s="49"/>
      <c r="CH583" s="33"/>
      <c r="CI583" s="33"/>
      <c r="CJ583" s="36"/>
      <c r="CK583" s="34"/>
      <c r="CL583" s="21"/>
      <c r="CM583" s="35"/>
      <c r="CN583" s="82"/>
      <c r="CO583" s="145"/>
      <c r="CP583" s="26"/>
      <c r="CQ583" s="83"/>
      <c r="CR583" s="83"/>
      <c r="CS583" s="48"/>
      <c r="CT583" s="345"/>
    </row>
    <row r="584" spans="1:98" ht="24.75" customHeight="1">
      <c r="A584" s="48" t="s">
        <v>4746</v>
      </c>
      <c r="B584" s="77" t="s">
        <v>4747</v>
      </c>
      <c r="C584" s="17" t="s">
        <v>104</v>
      </c>
      <c r="D584" s="18" t="s">
        <v>4748</v>
      </c>
      <c r="E584" s="17" t="s">
        <v>106</v>
      </c>
      <c r="F584" s="17" t="s">
        <v>107</v>
      </c>
      <c r="G584" s="17" t="s">
        <v>108</v>
      </c>
      <c r="H584" s="78">
        <v>1015459699</v>
      </c>
      <c r="I584" s="74" t="s">
        <v>4749</v>
      </c>
      <c r="J584" s="16"/>
      <c r="K584" s="16"/>
      <c r="L584" s="20" t="s">
        <v>4750</v>
      </c>
      <c r="M584" s="16" t="s">
        <v>111</v>
      </c>
      <c r="N584" s="115">
        <v>45337</v>
      </c>
      <c r="O584" s="22">
        <v>45337</v>
      </c>
      <c r="P584" s="115">
        <v>45656</v>
      </c>
      <c r="Q584" s="23">
        <f t="shared" ref="Q584:Q615" si="253">P584-O584</f>
        <v>319</v>
      </c>
      <c r="R584" s="17" t="s">
        <v>242</v>
      </c>
      <c r="S584" s="117" t="s">
        <v>4751</v>
      </c>
      <c r="T584" s="16" t="s">
        <v>425</v>
      </c>
      <c r="U584" s="24">
        <v>67446500</v>
      </c>
      <c r="V584" s="16" t="s">
        <v>4752</v>
      </c>
      <c r="W584" s="227">
        <v>67446500</v>
      </c>
      <c r="X584" s="24">
        <v>6131500</v>
      </c>
      <c r="Y584" s="24"/>
      <c r="Z584" s="24"/>
      <c r="AA584" s="17" t="s">
        <v>116</v>
      </c>
      <c r="AB584" s="23" t="str">
        <f>IFERROR(VLOOKUP(AA584,Listas!$A$1:$C$14,2,FALSE),"")</f>
        <v>FREDY CÉSPEDES VILLA</v>
      </c>
      <c r="AC584" s="23">
        <f>IFERROR(VLOOKUP(AA584,Listas!$A$1:$C$14,3,FALSE),"")</f>
        <v>93363483</v>
      </c>
      <c r="AD584" s="17" t="s">
        <v>427</v>
      </c>
      <c r="AE584" s="17" t="s">
        <v>1390</v>
      </c>
      <c r="AF584" s="23" t="str">
        <f>IFERROR(VLOOKUP(AE584,Listas!$AD$1:$AF$65,2,FALSE),"")</f>
        <v>BLANCA FLOR AMÉZQUITA RODRÍGUEZ</v>
      </c>
      <c r="AG584" s="23">
        <f>IFERROR(VLOOKUP(AE584,Listas!$AD$1:$AF$65,3,FALSE),"")</f>
        <v>51613966</v>
      </c>
      <c r="AH584" s="17" t="s">
        <v>118</v>
      </c>
      <c r="AI584" s="65" t="s">
        <v>4753</v>
      </c>
      <c r="AJ584" s="25" t="s">
        <v>119</v>
      </c>
      <c r="AK584" s="26" t="s">
        <v>120</v>
      </c>
      <c r="AL584" s="26" t="s">
        <v>120</v>
      </c>
      <c r="AM584" s="90" t="s">
        <v>119</v>
      </c>
      <c r="AN584" s="105">
        <v>35060</v>
      </c>
      <c r="AO584" s="91">
        <f t="shared" ref="AO584:AO615" ca="1" si="254">IF(YEAR(TODAY())-YEAR(AN584)&gt;100," ",YEAR(TODAY())-YEAR(AN584))</f>
        <v>30</v>
      </c>
      <c r="AP584" s="26" t="s">
        <v>121</v>
      </c>
      <c r="AQ584" s="26" t="s">
        <v>122</v>
      </c>
      <c r="AR584" s="89"/>
      <c r="AS584" s="27"/>
      <c r="AT584" s="16"/>
      <c r="AU584" s="27"/>
      <c r="AV584" s="86"/>
      <c r="AW584" s="27"/>
      <c r="AX584" s="27"/>
      <c r="AY584" s="27"/>
      <c r="AZ584" s="27"/>
      <c r="BA584" s="27"/>
      <c r="BB584" s="27"/>
      <c r="BC584" s="97"/>
      <c r="BD584" s="27"/>
      <c r="BE584" s="16"/>
      <c r="BF584" s="28">
        <f t="shared" ref="BF584:BF615" si="255">BC584+BE584</f>
        <v>0</v>
      </c>
      <c r="BG584" s="29"/>
      <c r="BH584" s="27"/>
      <c r="BI584" s="30">
        <f t="shared" ref="BI584:BI615" si="256">BF584+Q584</f>
        <v>319</v>
      </c>
      <c r="BJ584" s="31">
        <f t="shared" ref="BJ584:BJ615" si="257">IF(BH584="",P584+BF584,BH584)</f>
        <v>45656</v>
      </c>
      <c r="BK584" s="27"/>
      <c r="BL584" s="16"/>
      <c r="BM584" s="27"/>
      <c r="BN584" s="16"/>
      <c r="BO584" s="27"/>
      <c r="BP584" s="16"/>
      <c r="BQ584" s="27"/>
      <c r="BR584" s="24"/>
      <c r="BS584" s="24"/>
      <c r="BT584" s="32"/>
      <c r="BU584" s="27"/>
      <c r="BV584" s="24"/>
      <c r="BW584" s="24"/>
      <c r="BX584" s="16"/>
      <c r="BY584" s="27"/>
      <c r="BZ584" s="24"/>
      <c r="CA584" s="24"/>
      <c r="CB584" s="16"/>
      <c r="CC584" s="49">
        <f t="shared" ref="CC584:CC615" si="258">BR584+BV584+BZ584</f>
        <v>0</v>
      </c>
      <c r="CD584" s="24"/>
      <c r="CE584" s="49">
        <f t="shared" ref="CE584:CE614" si="259">IF(Y584=0,(W584+CC584)-CD584,IF(Y584&gt;0,(Y584+CC584)-CD584))</f>
        <v>67446500</v>
      </c>
      <c r="CF584" s="50"/>
      <c r="CG584" s="49">
        <f t="shared" ref="CG584:CG616" ca="1" si="260">IFERROR(IF(((CE584/BI584)*(TODAY()-N584))&gt;CE584,CE584,((CE584/BI584)*(TODAY()-N584))),"")</f>
        <v>67446500</v>
      </c>
      <c r="CH584" s="33">
        <f t="shared" ref="CH584:CH615" ca="1" si="261">IF(TODAY()&gt;BJ584,1,+(DAYS360(O584,TODAY())/DAYS360(O584,BJ584)))</f>
        <v>1</v>
      </c>
      <c r="CI584" s="33">
        <f t="shared" ref="CI584:CI615" ca="1" si="262">+IF(CL584&gt;0,DAYS360(O584,CL584)/DAYS360(O584,BJ584),CH584)</f>
        <v>1</v>
      </c>
      <c r="CJ584" s="36">
        <f t="shared" ref="CJ584:CJ647" ca="1" si="263">IFERROR(IF(((CG584/CE584)*100)&gt;100,100,((CG584/CE584)*100)),"")</f>
        <v>100</v>
      </c>
      <c r="CK584" s="34">
        <f t="shared" ref="CK584:CK647" si="264">IFERROR((CF584/CE584)*100,"")</f>
        <v>0</v>
      </c>
      <c r="CL584" s="21"/>
      <c r="CM584" s="35" t="str">
        <f t="shared" ref="CM584:CM615" ca="1" si="265">IF(CL584&gt;1/1/6,"LIQUIDADO",IF(BJ584=$BE$20003,"",IF(BJ584&gt;=TODAY(),"VIGENTE",IF(BJ584&lt;TODAY(),"TERMINADO",))))</f>
        <v>TERMINADO</v>
      </c>
      <c r="CN584" s="82"/>
      <c r="CO584" s="145" t="s">
        <v>4754</v>
      </c>
      <c r="CP584" s="26" t="s">
        <v>142</v>
      </c>
    </row>
    <row r="585" spans="1:98" ht="24.75" customHeight="1">
      <c r="A585" s="48" t="s">
        <v>1424</v>
      </c>
      <c r="B585" s="77" t="s">
        <v>4755</v>
      </c>
      <c r="C585" s="17" t="s">
        <v>2927</v>
      </c>
      <c r="D585" s="18" t="s">
        <v>4756</v>
      </c>
      <c r="E585" s="17" t="s">
        <v>2929</v>
      </c>
      <c r="F585" s="17" t="s">
        <v>1426</v>
      </c>
      <c r="G585" s="17" t="s">
        <v>1427</v>
      </c>
      <c r="H585" s="78" t="s">
        <v>4757</v>
      </c>
      <c r="I585" s="74" t="s">
        <v>4758</v>
      </c>
      <c r="J585" s="16" t="s">
        <v>4759</v>
      </c>
      <c r="K585" s="104">
        <v>80414941</v>
      </c>
      <c r="L585" s="20" t="s">
        <v>2933</v>
      </c>
      <c r="M585" s="16"/>
      <c r="N585" s="115">
        <v>45337</v>
      </c>
      <c r="O585" s="22">
        <v>45337</v>
      </c>
      <c r="P585" s="115">
        <v>45703</v>
      </c>
      <c r="Q585" s="23">
        <f t="shared" si="253"/>
        <v>366</v>
      </c>
      <c r="R585" s="17" t="s">
        <v>2934</v>
      </c>
      <c r="S585" s="117" t="s">
        <v>1424</v>
      </c>
      <c r="T585" s="16" t="s">
        <v>1424</v>
      </c>
      <c r="U585" s="24" t="s">
        <v>1424</v>
      </c>
      <c r="V585" s="16" t="s">
        <v>1424</v>
      </c>
      <c r="W585" s="227">
        <v>0</v>
      </c>
      <c r="X585" s="24"/>
      <c r="Y585" s="24" t="s">
        <v>2935</v>
      </c>
      <c r="Z585" s="24"/>
      <c r="AA585" s="17" t="s">
        <v>406</v>
      </c>
      <c r="AB585" s="23" t="str">
        <f>IFERROR(VLOOKUP(AA585,Listas!$A$1:$C$14,2,FALSE),"")</f>
        <v>EDUARDO ELÍAS BARCHA BOLÍVAR</v>
      </c>
      <c r="AC585" s="23">
        <f>IFERROR(VLOOKUP(AA585,Listas!$A$1:$C$14,3,FALSE),"")</f>
        <v>72133921</v>
      </c>
      <c r="AD585" s="17" t="s">
        <v>1533</v>
      </c>
      <c r="AE585" s="17" t="s">
        <v>1534</v>
      </c>
      <c r="AF585" s="23" t="str">
        <f>IFERROR(VLOOKUP(AE585,Listas!$AD$1:$AF$65,2,FALSE),"")</f>
        <v>ESTEBAN GUERRERO ALVAREZ</v>
      </c>
      <c r="AG585" s="23">
        <f>IFERROR(VLOOKUP(AE585,Listas!$AD$1:$AF$65,3,FALSE),"")</f>
        <v>1032460552</v>
      </c>
      <c r="AH585" s="17" t="s">
        <v>2936</v>
      </c>
      <c r="AI585" s="65"/>
      <c r="AJ585" s="25" t="s">
        <v>1435</v>
      </c>
      <c r="AK585" s="26" t="s">
        <v>2071</v>
      </c>
      <c r="AL585" s="26" t="s">
        <v>2071</v>
      </c>
      <c r="AM585" s="90" t="s">
        <v>1435</v>
      </c>
      <c r="AN585" s="105"/>
      <c r="AO585" s="91" t="str">
        <f t="shared" ca="1" si="254"/>
        <v xml:space="preserve"> </v>
      </c>
      <c r="AP585" s="26" t="s">
        <v>2937</v>
      </c>
      <c r="AQ585" s="26" t="s">
        <v>3453</v>
      </c>
      <c r="AR585" s="89"/>
      <c r="AS585" s="27"/>
      <c r="AT585" s="16"/>
      <c r="AU585" s="27"/>
      <c r="AV585" s="86"/>
      <c r="AW585" s="27"/>
      <c r="AX585" s="27"/>
      <c r="AY585" s="27"/>
      <c r="AZ585" s="27"/>
      <c r="BA585" s="27"/>
      <c r="BB585" s="27">
        <v>45702</v>
      </c>
      <c r="BC585" s="97">
        <v>319</v>
      </c>
      <c r="BD585" s="27"/>
      <c r="BE585" s="16"/>
      <c r="BF585" s="28">
        <f t="shared" si="255"/>
        <v>319</v>
      </c>
      <c r="BG585" s="29"/>
      <c r="BH585" s="27"/>
      <c r="BI585" s="30">
        <f t="shared" si="256"/>
        <v>685</v>
      </c>
      <c r="BJ585" s="31">
        <f t="shared" si="257"/>
        <v>46022</v>
      </c>
      <c r="BK585" s="27">
        <v>45702</v>
      </c>
      <c r="BL585" s="16" t="s">
        <v>4760</v>
      </c>
      <c r="BM585" s="27"/>
      <c r="BN585" s="16"/>
      <c r="BO585" s="27"/>
      <c r="BP585" s="16"/>
      <c r="BQ585" s="27"/>
      <c r="BR585" s="24"/>
      <c r="BS585" s="24"/>
      <c r="BT585" s="32"/>
      <c r="BU585" s="27"/>
      <c r="BV585" s="24"/>
      <c r="BW585" s="24"/>
      <c r="BX585" s="16"/>
      <c r="BY585" s="27"/>
      <c r="BZ585" s="24"/>
      <c r="CA585" s="24"/>
      <c r="CB585" s="16"/>
      <c r="CC585" s="49">
        <f t="shared" si="258"/>
        <v>0</v>
      </c>
      <c r="CD585" s="24"/>
      <c r="CE585" s="49" t="str">
        <f>IFERROR(IF(Y585=0,(W585+CC585)-CD585,IF(Y585&gt;0,(Y585+CC585)-CD585)),"")</f>
        <v/>
      </c>
      <c r="CF585" s="50">
        <v>3485156284.2100101</v>
      </c>
      <c r="CG585" s="49" t="str">
        <f t="shared" ca="1" si="260"/>
        <v/>
      </c>
      <c r="CH585" s="33">
        <f t="shared" ca="1" si="261"/>
        <v>0.8949704142011834</v>
      </c>
      <c r="CI585" s="33">
        <f t="shared" ca="1" si="262"/>
        <v>0.8949704142011834</v>
      </c>
      <c r="CJ585" s="36" t="str">
        <f t="shared" ca="1" si="263"/>
        <v/>
      </c>
      <c r="CK585" s="34" t="str">
        <f t="shared" si="264"/>
        <v/>
      </c>
      <c r="CL585" s="21"/>
      <c r="CM585" s="35" t="str">
        <f t="shared" ca="1" si="265"/>
        <v>VIGENTE</v>
      </c>
      <c r="CN585" s="145"/>
      <c r="CO585" s="26"/>
      <c r="CP585" s="83" t="s">
        <v>1424</v>
      </c>
    </row>
    <row r="586" spans="1:98" ht="24.75" customHeight="1">
      <c r="A586" s="48" t="s">
        <v>4761</v>
      </c>
      <c r="B586" s="77" t="s">
        <v>4762</v>
      </c>
      <c r="C586" s="17" t="s">
        <v>104</v>
      </c>
      <c r="D586" s="18" t="s">
        <v>4763</v>
      </c>
      <c r="E586" s="17" t="s">
        <v>106</v>
      </c>
      <c r="F586" s="17" t="s">
        <v>107</v>
      </c>
      <c r="G586" s="17" t="s">
        <v>108</v>
      </c>
      <c r="H586" s="78">
        <v>17348888</v>
      </c>
      <c r="I586" s="74" t="s">
        <v>4764</v>
      </c>
      <c r="J586" s="16"/>
      <c r="K586" s="16"/>
      <c r="L586" s="20" t="s">
        <v>4765</v>
      </c>
      <c r="M586" s="16" t="s">
        <v>111</v>
      </c>
      <c r="N586" s="115">
        <v>45337</v>
      </c>
      <c r="O586" s="22">
        <v>45344</v>
      </c>
      <c r="P586" s="115">
        <v>45656</v>
      </c>
      <c r="Q586" s="23">
        <f t="shared" si="253"/>
        <v>312</v>
      </c>
      <c r="R586" s="17" t="s">
        <v>242</v>
      </c>
      <c r="S586" s="117" t="s">
        <v>4766</v>
      </c>
      <c r="T586" s="16" t="s">
        <v>404</v>
      </c>
      <c r="U586" s="24">
        <v>97104180</v>
      </c>
      <c r="V586" s="16" t="s">
        <v>2667</v>
      </c>
      <c r="W586" s="227">
        <v>97104180</v>
      </c>
      <c r="X586" s="24">
        <v>8092015</v>
      </c>
      <c r="Y586" s="24"/>
      <c r="Z586" s="24"/>
      <c r="AA586" s="17" t="s">
        <v>116</v>
      </c>
      <c r="AB586" s="23" t="str">
        <f>IFERROR(VLOOKUP(AA586,Listas!$A$1:$C$14,2,FALSE),"")</f>
        <v>FREDY CÉSPEDES VILLA</v>
      </c>
      <c r="AC586" s="23">
        <f>IFERROR(VLOOKUP(AA586,Listas!$A$1:$C$14,3,FALSE),"")</f>
        <v>93363483</v>
      </c>
      <c r="AD586" s="17" t="s">
        <v>406</v>
      </c>
      <c r="AE586" s="17" t="s">
        <v>504</v>
      </c>
      <c r="AF586" s="23" t="str">
        <f>IFERROR(VLOOKUP(AE586,Listas!$AD$1:$AF$65,2,FALSE),"")</f>
        <v>EDUARDO ELÍAS BARCHA BOLÍVAR</v>
      </c>
      <c r="AG586" s="23">
        <f>IFERROR(VLOOKUP(AE586,Listas!$AD$1:$AF$65,3,FALSE),"")</f>
        <v>72133921</v>
      </c>
      <c r="AH586" s="17" t="s">
        <v>118</v>
      </c>
      <c r="AI586" s="65" t="s">
        <v>4767</v>
      </c>
      <c r="AJ586" s="25" t="s">
        <v>119</v>
      </c>
      <c r="AK586" s="26" t="s">
        <v>120</v>
      </c>
      <c r="AL586" s="26" t="s">
        <v>120</v>
      </c>
      <c r="AM586" s="90" t="s">
        <v>119</v>
      </c>
      <c r="AN586" s="105">
        <v>26344</v>
      </c>
      <c r="AO586" s="91">
        <f t="shared" ca="1" si="254"/>
        <v>53</v>
      </c>
      <c r="AP586" s="26" t="s">
        <v>121</v>
      </c>
      <c r="AQ586" s="26" t="s">
        <v>886</v>
      </c>
      <c r="AR586" s="89"/>
      <c r="AS586" s="27"/>
      <c r="AT586" s="16"/>
      <c r="AU586" s="27"/>
      <c r="AV586" s="86"/>
      <c r="AW586" s="27"/>
      <c r="AX586" s="27"/>
      <c r="AY586" s="27"/>
      <c r="AZ586" s="27"/>
      <c r="BA586" s="27"/>
      <c r="BB586" s="27"/>
      <c r="BC586" s="97"/>
      <c r="BD586" s="27"/>
      <c r="BE586" s="16"/>
      <c r="BF586" s="28">
        <f t="shared" si="255"/>
        <v>0</v>
      </c>
      <c r="BG586" s="29"/>
      <c r="BH586" s="27"/>
      <c r="BI586" s="30">
        <f t="shared" si="256"/>
        <v>312</v>
      </c>
      <c r="BJ586" s="31">
        <f t="shared" si="257"/>
        <v>45656</v>
      </c>
      <c r="BK586" s="27"/>
      <c r="BL586" s="16"/>
      <c r="BM586" s="27"/>
      <c r="BN586" s="16"/>
      <c r="BO586" s="27"/>
      <c r="BP586" s="16"/>
      <c r="BQ586" s="27"/>
      <c r="BR586" s="24"/>
      <c r="BS586" s="24"/>
      <c r="BT586" s="32"/>
      <c r="BU586" s="27"/>
      <c r="BV586" s="24"/>
      <c r="BW586" s="24"/>
      <c r="BX586" s="16"/>
      <c r="BY586" s="27"/>
      <c r="BZ586" s="24"/>
      <c r="CA586" s="24"/>
      <c r="CB586" s="16"/>
      <c r="CC586" s="49">
        <f t="shared" si="258"/>
        <v>0</v>
      </c>
      <c r="CD586" s="24"/>
      <c r="CE586" s="49">
        <f t="shared" si="259"/>
        <v>97104180</v>
      </c>
      <c r="CF586" s="50">
        <v>0</v>
      </c>
      <c r="CG586" s="49">
        <f t="shared" ca="1" si="260"/>
        <v>97104180</v>
      </c>
      <c r="CH586" s="33">
        <f t="shared" ca="1" si="261"/>
        <v>1</v>
      </c>
      <c r="CI586" s="33">
        <f t="shared" ca="1" si="262"/>
        <v>1</v>
      </c>
      <c r="CJ586" s="36">
        <f t="shared" ca="1" si="263"/>
        <v>100</v>
      </c>
      <c r="CK586" s="34">
        <f t="shared" si="264"/>
        <v>0</v>
      </c>
      <c r="CL586" s="21"/>
      <c r="CM586" s="35" t="str">
        <f t="shared" ca="1" si="265"/>
        <v>TERMINADO</v>
      </c>
      <c r="CN586" s="82"/>
      <c r="CO586" s="145" t="s">
        <v>4768</v>
      </c>
      <c r="CP586" s="26" t="s">
        <v>142</v>
      </c>
    </row>
    <row r="587" spans="1:98" ht="24.75" customHeight="1">
      <c r="A587" s="109" t="s">
        <v>4769</v>
      </c>
      <c r="B587" s="77" t="s">
        <v>4770</v>
      </c>
      <c r="C587" s="17" t="s">
        <v>104</v>
      </c>
      <c r="D587" s="18" t="s">
        <v>4771</v>
      </c>
      <c r="E587" s="17" t="s">
        <v>106</v>
      </c>
      <c r="F587" s="17" t="s">
        <v>107</v>
      </c>
      <c r="G587" s="17" t="s">
        <v>108</v>
      </c>
      <c r="H587" s="78">
        <v>7633581</v>
      </c>
      <c r="I587" s="74" t="s">
        <v>4772</v>
      </c>
      <c r="J587" s="16"/>
      <c r="K587" s="16"/>
      <c r="L587" s="20" t="s">
        <v>4773</v>
      </c>
      <c r="M587" s="16" t="s">
        <v>111</v>
      </c>
      <c r="N587" s="115">
        <v>45337</v>
      </c>
      <c r="O587" s="22">
        <v>45337</v>
      </c>
      <c r="P587" s="115">
        <v>45656</v>
      </c>
      <c r="Q587" s="23">
        <f t="shared" si="253"/>
        <v>319</v>
      </c>
      <c r="R587" s="17" t="s">
        <v>242</v>
      </c>
      <c r="S587" s="117" t="s">
        <v>4774</v>
      </c>
      <c r="T587" s="16" t="s">
        <v>997</v>
      </c>
      <c r="U587" s="24">
        <v>97093333</v>
      </c>
      <c r="V587" s="16" t="s">
        <v>3421</v>
      </c>
      <c r="W587" s="227">
        <v>97093333</v>
      </c>
      <c r="X587" s="24">
        <v>8800000</v>
      </c>
      <c r="Y587" s="24"/>
      <c r="Z587" s="24"/>
      <c r="AA587" s="17" t="s">
        <v>116</v>
      </c>
      <c r="AB587" s="23" t="str">
        <f>IFERROR(VLOOKUP(AA587,Listas!$A$1:$C$14,2,FALSE),"")</f>
        <v>FREDY CÉSPEDES VILLA</v>
      </c>
      <c r="AC587" s="23">
        <f>IFERROR(VLOOKUP(AA587,Listas!$A$1:$C$14,3,FALSE),"")</f>
        <v>93363483</v>
      </c>
      <c r="AD587" s="17" t="s">
        <v>816</v>
      </c>
      <c r="AE587" s="17" t="s">
        <v>4513</v>
      </c>
      <c r="AF587" s="23" t="str">
        <f>IFERROR(VLOOKUP(AE587,Listas!$AD$1:$AF$65,2,FALSE),"")</f>
        <v>PEDRO JOSÉ CARRILLO BERMUDEZ</v>
      </c>
      <c r="AG587" s="23">
        <f>IFERROR(VLOOKUP(AE587,Listas!$AD$1:$AF$65,3,FALSE),"")</f>
        <v>19490879</v>
      </c>
      <c r="AH587" s="17" t="s">
        <v>118</v>
      </c>
      <c r="AI587" s="65" t="s">
        <v>4775</v>
      </c>
      <c r="AJ587" s="25" t="s">
        <v>119</v>
      </c>
      <c r="AK587" s="26" t="s">
        <v>120</v>
      </c>
      <c r="AL587" s="26" t="s">
        <v>120</v>
      </c>
      <c r="AM587" s="90" t="s">
        <v>119</v>
      </c>
      <c r="AN587" s="105">
        <v>29825</v>
      </c>
      <c r="AO587" s="91">
        <f t="shared" ca="1" si="254"/>
        <v>44</v>
      </c>
      <c r="AP587" s="26" t="s">
        <v>121</v>
      </c>
      <c r="AQ587" s="26" t="s">
        <v>1641</v>
      </c>
      <c r="AR587" s="89"/>
      <c r="AS587" s="27"/>
      <c r="AT587" s="16"/>
      <c r="AU587" s="27"/>
      <c r="AV587" s="86"/>
      <c r="AW587" s="27"/>
      <c r="AX587" s="27"/>
      <c r="AY587" s="27"/>
      <c r="AZ587" s="27"/>
      <c r="BA587" s="27"/>
      <c r="BB587" s="27"/>
      <c r="BC587" s="97"/>
      <c r="BD587" s="27"/>
      <c r="BE587" s="16"/>
      <c r="BF587" s="28">
        <f t="shared" si="255"/>
        <v>0</v>
      </c>
      <c r="BG587" s="29"/>
      <c r="BH587" s="27"/>
      <c r="BI587" s="30">
        <f t="shared" si="256"/>
        <v>319</v>
      </c>
      <c r="BJ587" s="31">
        <f t="shared" si="257"/>
        <v>45656</v>
      </c>
      <c r="BK587" s="27"/>
      <c r="BL587" s="16"/>
      <c r="BM587" s="27"/>
      <c r="BN587" s="16"/>
      <c r="BO587" s="27"/>
      <c r="BP587" s="16"/>
      <c r="BQ587" s="27"/>
      <c r="BR587" s="24"/>
      <c r="BS587" s="24"/>
      <c r="BT587" s="32"/>
      <c r="BU587" s="27"/>
      <c r="BV587" s="24"/>
      <c r="BW587" s="24"/>
      <c r="BX587" s="16"/>
      <c r="BY587" s="27"/>
      <c r="BZ587" s="24"/>
      <c r="CA587" s="24"/>
      <c r="CB587" s="16"/>
      <c r="CC587" s="49">
        <f t="shared" si="258"/>
        <v>0</v>
      </c>
      <c r="CD587" s="24"/>
      <c r="CE587" s="49">
        <f t="shared" si="259"/>
        <v>97093333</v>
      </c>
      <c r="CF587" s="50"/>
      <c r="CG587" s="49">
        <f t="shared" ca="1" si="260"/>
        <v>97093333</v>
      </c>
      <c r="CH587" s="33">
        <f t="shared" ca="1" si="261"/>
        <v>1</v>
      </c>
      <c r="CI587" s="33">
        <f t="shared" ca="1" si="262"/>
        <v>1</v>
      </c>
      <c r="CJ587" s="36">
        <f t="shared" ca="1" si="263"/>
        <v>100</v>
      </c>
      <c r="CK587" s="34">
        <f t="shared" si="264"/>
        <v>0</v>
      </c>
      <c r="CL587" s="21"/>
      <c r="CM587" s="35" t="str">
        <f t="shared" ca="1" si="265"/>
        <v>TERMINADO</v>
      </c>
      <c r="CN587" s="82"/>
      <c r="CO587" s="145" t="s">
        <v>4776</v>
      </c>
      <c r="CP587" s="26" t="s">
        <v>142</v>
      </c>
    </row>
    <row r="588" spans="1:98" ht="24.75" customHeight="1">
      <c r="A588" s="109" t="s">
        <v>4777</v>
      </c>
      <c r="B588" s="77" t="s">
        <v>4778</v>
      </c>
      <c r="C588" s="17" t="s">
        <v>104</v>
      </c>
      <c r="D588" s="18" t="s">
        <v>4779</v>
      </c>
      <c r="E588" s="17" t="s">
        <v>106</v>
      </c>
      <c r="F588" s="17" t="s">
        <v>107</v>
      </c>
      <c r="G588" s="17" t="s">
        <v>108</v>
      </c>
      <c r="H588" s="78">
        <v>79963775</v>
      </c>
      <c r="I588" s="74" t="s">
        <v>4780</v>
      </c>
      <c r="J588" s="16"/>
      <c r="K588" s="16"/>
      <c r="L588" s="20" t="s">
        <v>4781</v>
      </c>
      <c r="M588" s="16" t="s">
        <v>111</v>
      </c>
      <c r="N588" s="115">
        <v>45337</v>
      </c>
      <c r="O588" s="22">
        <v>45338</v>
      </c>
      <c r="P588" s="115">
        <v>45656</v>
      </c>
      <c r="Q588" s="23">
        <f t="shared" si="253"/>
        <v>318</v>
      </c>
      <c r="R588" s="17" t="s">
        <v>242</v>
      </c>
      <c r="S588" s="117" t="s">
        <v>4782</v>
      </c>
      <c r="T588" s="16" t="s">
        <v>997</v>
      </c>
      <c r="U588" s="24">
        <v>98583333</v>
      </c>
      <c r="V588" s="16" t="s">
        <v>3421</v>
      </c>
      <c r="W588" s="227">
        <v>98583333</v>
      </c>
      <c r="X588" s="24">
        <v>9100000</v>
      </c>
      <c r="Y588" s="24"/>
      <c r="Z588" s="24"/>
      <c r="AA588" s="17" t="s">
        <v>116</v>
      </c>
      <c r="AB588" s="23" t="str">
        <f>IFERROR(VLOOKUP(AA588,Listas!$A$1:$C$14,2,FALSE),"")</f>
        <v>FREDY CÉSPEDES VILLA</v>
      </c>
      <c r="AC588" s="23">
        <f>IFERROR(VLOOKUP(AA588,Listas!$A$1:$C$14,3,FALSE),"")</f>
        <v>93363483</v>
      </c>
      <c r="AD588" s="17" t="s">
        <v>816</v>
      </c>
      <c r="AE588" s="17" t="s">
        <v>4513</v>
      </c>
      <c r="AF588" s="23" t="str">
        <f>IFERROR(VLOOKUP(AE588,Listas!$AD$1:$AF$65,2,FALSE),"")</f>
        <v>PEDRO JOSÉ CARRILLO BERMUDEZ</v>
      </c>
      <c r="AG588" s="23">
        <f>IFERROR(VLOOKUP(AE588,Listas!$AD$1:$AF$65,3,FALSE),"")</f>
        <v>19490879</v>
      </c>
      <c r="AH588" s="17" t="s">
        <v>118</v>
      </c>
      <c r="AI588" s="65" t="s">
        <v>4783</v>
      </c>
      <c r="AJ588" s="25" t="s">
        <v>119</v>
      </c>
      <c r="AK588" s="26" t="s">
        <v>120</v>
      </c>
      <c r="AL588" s="26" t="s">
        <v>120</v>
      </c>
      <c r="AM588" s="90" t="s">
        <v>119</v>
      </c>
      <c r="AN588" s="105">
        <v>28420</v>
      </c>
      <c r="AO588" s="91">
        <f t="shared" ca="1" si="254"/>
        <v>48</v>
      </c>
      <c r="AP588" s="26" t="s">
        <v>121</v>
      </c>
      <c r="AQ588" s="26" t="s">
        <v>1641</v>
      </c>
      <c r="AR588" s="89"/>
      <c r="AS588" s="27"/>
      <c r="AT588" s="16"/>
      <c r="AU588" s="27"/>
      <c r="AV588" s="86"/>
      <c r="AW588" s="27"/>
      <c r="AX588" s="27"/>
      <c r="AY588" s="27"/>
      <c r="AZ588" s="27"/>
      <c r="BA588" s="27"/>
      <c r="BB588" s="27"/>
      <c r="BC588" s="97"/>
      <c r="BD588" s="27"/>
      <c r="BE588" s="16"/>
      <c r="BF588" s="28">
        <f t="shared" si="255"/>
        <v>0</v>
      </c>
      <c r="BG588" s="29"/>
      <c r="BH588" s="27"/>
      <c r="BI588" s="30">
        <f t="shared" si="256"/>
        <v>318</v>
      </c>
      <c r="BJ588" s="31">
        <f t="shared" si="257"/>
        <v>45656</v>
      </c>
      <c r="BK588" s="27"/>
      <c r="BL588" s="16"/>
      <c r="BM588" s="27"/>
      <c r="BN588" s="16"/>
      <c r="BO588" s="27"/>
      <c r="BP588" s="16"/>
      <c r="BQ588" s="27"/>
      <c r="BR588" s="24"/>
      <c r="BS588" s="24"/>
      <c r="BT588" s="32"/>
      <c r="BU588" s="27"/>
      <c r="BV588" s="24"/>
      <c r="BW588" s="24"/>
      <c r="BX588" s="16"/>
      <c r="BY588" s="27"/>
      <c r="BZ588" s="24"/>
      <c r="CA588" s="24"/>
      <c r="CB588" s="16"/>
      <c r="CC588" s="49">
        <f t="shared" si="258"/>
        <v>0</v>
      </c>
      <c r="CD588" s="24"/>
      <c r="CE588" s="49">
        <f t="shared" si="259"/>
        <v>98583333</v>
      </c>
      <c r="CF588" s="50"/>
      <c r="CG588" s="49">
        <f t="shared" ca="1" si="260"/>
        <v>98583333</v>
      </c>
      <c r="CH588" s="33">
        <f t="shared" ca="1" si="261"/>
        <v>1</v>
      </c>
      <c r="CI588" s="33">
        <f t="shared" ca="1" si="262"/>
        <v>1</v>
      </c>
      <c r="CJ588" s="36">
        <f t="shared" ca="1" si="263"/>
        <v>100</v>
      </c>
      <c r="CK588" s="34">
        <f t="shared" si="264"/>
        <v>0</v>
      </c>
      <c r="CL588" s="21"/>
      <c r="CM588" s="35" t="str">
        <f t="shared" ca="1" si="265"/>
        <v>TERMINADO</v>
      </c>
      <c r="CN588" s="82"/>
      <c r="CO588" s="145" t="s">
        <v>4784</v>
      </c>
      <c r="CP588" s="26" t="s">
        <v>142</v>
      </c>
    </row>
    <row r="589" spans="1:98" ht="24.75" customHeight="1">
      <c r="A589" s="109" t="s">
        <v>4785</v>
      </c>
      <c r="B589" s="77" t="s">
        <v>4786</v>
      </c>
      <c r="C589" s="17" t="s">
        <v>104</v>
      </c>
      <c r="D589" s="18" t="s">
        <v>4787</v>
      </c>
      <c r="E589" s="17" t="s">
        <v>106</v>
      </c>
      <c r="F589" s="17" t="s">
        <v>107</v>
      </c>
      <c r="G589" s="17" t="s">
        <v>108</v>
      </c>
      <c r="H589" s="78">
        <v>80831017</v>
      </c>
      <c r="I589" s="74" t="s">
        <v>4788</v>
      </c>
      <c r="J589" s="16"/>
      <c r="K589" s="16"/>
      <c r="L589" s="20" t="s">
        <v>4132</v>
      </c>
      <c r="M589" s="16" t="s">
        <v>111</v>
      </c>
      <c r="N589" s="115">
        <v>45337</v>
      </c>
      <c r="O589" s="22">
        <v>45341</v>
      </c>
      <c r="P589" s="115">
        <v>45656</v>
      </c>
      <c r="Q589" s="23">
        <f t="shared" si="253"/>
        <v>315</v>
      </c>
      <c r="R589" s="17" t="s">
        <v>242</v>
      </c>
      <c r="S589" s="117" t="s">
        <v>4789</v>
      </c>
      <c r="T589" s="16" t="s">
        <v>997</v>
      </c>
      <c r="U589" s="24">
        <v>82903333</v>
      </c>
      <c r="V589" s="16" t="s">
        <v>3421</v>
      </c>
      <c r="W589" s="227">
        <v>82903333</v>
      </c>
      <c r="X589" s="24">
        <v>7700000</v>
      </c>
      <c r="Y589" s="24"/>
      <c r="Z589" s="24"/>
      <c r="AA589" s="17" t="s">
        <v>116</v>
      </c>
      <c r="AB589" s="23" t="str">
        <f>IFERROR(VLOOKUP(AA589,Listas!$A$1:$C$14,2,FALSE),"")</f>
        <v>FREDY CÉSPEDES VILLA</v>
      </c>
      <c r="AC589" s="23">
        <f>IFERROR(VLOOKUP(AA589,Listas!$A$1:$C$14,3,FALSE),"")</f>
        <v>93363483</v>
      </c>
      <c r="AD589" s="17" t="s">
        <v>816</v>
      </c>
      <c r="AE589" s="17" t="s">
        <v>2835</v>
      </c>
      <c r="AF589" s="23" t="str">
        <f>IFERROR(VLOOKUP(AE589,Listas!$AD$1:$AF$65,2,FALSE),"")</f>
        <v>GUILLERMO ANDRES CARDONA HERRERA</v>
      </c>
      <c r="AG589" s="23">
        <f>IFERROR(VLOOKUP(AE589,Listas!$AD$1:$AF$65,3,FALSE),"")</f>
        <v>80018909</v>
      </c>
      <c r="AH589" s="17" t="s">
        <v>118</v>
      </c>
      <c r="AI589" s="65" t="s">
        <v>4790</v>
      </c>
      <c r="AJ589" s="25" t="s">
        <v>119</v>
      </c>
      <c r="AK589" s="26" t="s">
        <v>120</v>
      </c>
      <c r="AL589" s="26" t="s">
        <v>120</v>
      </c>
      <c r="AM589" s="90" t="s">
        <v>119</v>
      </c>
      <c r="AN589" s="105">
        <v>31172</v>
      </c>
      <c r="AO589" s="91">
        <f t="shared" ca="1" si="254"/>
        <v>40</v>
      </c>
      <c r="AP589" s="26" t="s">
        <v>121</v>
      </c>
      <c r="AQ589" s="26" t="s">
        <v>1641</v>
      </c>
      <c r="AR589" s="89"/>
      <c r="AS589" s="27"/>
      <c r="AT589" s="16"/>
      <c r="AU589" s="27"/>
      <c r="AV589" s="86"/>
      <c r="AW589" s="27"/>
      <c r="AX589" s="27"/>
      <c r="AY589" s="27"/>
      <c r="AZ589" s="27"/>
      <c r="BA589" s="27"/>
      <c r="BB589" s="27"/>
      <c r="BC589" s="97"/>
      <c r="BD589" s="27"/>
      <c r="BE589" s="16"/>
      <c r="BF589" s="28">
        <f t="shared" si="255"/>
        <v>0</v>
      </c>
      <c r="BG589" s="29"/>
      <c r="BH589" s="27"/>
      <c r="BI589" s="30">
        <f t="shared" si="256"/>
        <v>315</v>
      </c>
      <c r="BJ589" s="31">
        <f t="shared" si="257"/>
        <v>45656</v>
      </c>
      <c r="BK589" s="27"/>
      <c r="BL589" s="16"/>
      <c r="BM589" s="27"/>
      <c r="BN589" s="16"/>
      <c r="BO589" s="27"/>
      <c r="BP589" s="16"/>
      <c r="BQ589" s="27"/>
      <c r="BR589" s="24"/>
      <c r="BS589" s="24"/>
      <c r="BT589" s="32"/>
      <c r="BU589" s="27"/>
      <c r="BV589" s="24"/>
      <c r="BW589" s="24"/>
      <c r="BX589" s="16"/>
      <c r="BY589" s="27"/>
      <c r="BZ589" s="24"/>
      <c r="CA589" s="24"/>
      <c r="CB589" s="16"/>
      <c r="CC589" s="49">
        <f t="shared" si="258"/>
        <v>0</v>
      </c>
      <c r="CD589" s="24"/>
      <c r="CE589" s="49">
        <f t="shared" si="259"/>
        <v>82903333</v>
      </c>
      <c r="CF589" s="50"/>
      <c r="CG589" s="49">
        <f t="shared" ca="1" si="260"/>
        <v>82903333</v>
      </c>
      <c r="CH589" s="33">
        <f t="shared" ca="1" si="261"/>
        <v>1</v>
      </c>
      <c r="CI589" s="33">
        <f t="shared" ca="1" si="262"/>
        <v>1</v>
      </c>
      <c r="CJ589" s="36">
        <f t="shared" ca="1" si="263"/>
        <v>100</v>
      </c>
      <c r="CK589" s="34">
        <f t="shared" si="264"/>
        <v>0</v>
      </c>
      <c r="CL589" s="21"/>
      <c r="CM589" s="35" t="str">
        <f t="shared" ca="1" si="265"/>
        <v>TERMINADO</v>
      </c>
      <c r="CN589" s="82"/>
      <c r="CO589" s="145" t="s">
        <v>4791</v>
      </c>
      <c r="CP589" s="26" t="s">
        <v>142</v>
      </c>
    </row>
    <row r="590" spans="1:98" ht="24.75" customHeight="1">
      <c r="A590" s="48" t="s">
        <v>4792</v>
      </c>
      <c r="B590" s="77" t="s">
        <v>4793</v>
      </c>
      <c r="C590" s="17" t="s">
        <v>104</v>
      </c>
      <c r="D590" s="18" t="s">
        <v>4794</v>
      </c>
      <c r="E590" s="17" t="s">
        <v>106</v>
      </c>
      <c r="F590" s="17" t="s">
        <v>107</v>
      </c>
      <c r="G590" s="17" t="s">
        <v>108</v>
      </c>
      <c r="H590" s="78">
        <v>1140882030</v>
      </c>
      <c r="I590" s="74" t="s">
        <v>4795</v>
      </c>
      <c r="J590" s="16"/>
      <c r="K590" s="16"/>
      <c r="L590" s="20" t="s">
        <v>4796</v>
      </c>
      <c r="M590" s="16" t="s">
        <v>901</v>
      </c>
      <c r="N590" s="115">
        <v>45337</v>
      </c>
      <c r="O590" s="22">
        <v>45342</v>
      </c>
      <c r="P590" s="115">
        <v>45656</v>
      </c>
      <c r="Q590" s="23">
        <f t="shared" si="253"/>
        <v>314</v>
      </c>
      <c r="R590" s="17" t="s">
        <v>242</v>
      </c>
      <c r="S590" s="117" t="s">
        <v>4797</v>
      </c>
      <c r="T590" s="16" t="s">
        <v>4798</v>
      </c>
      <c r="U590" s="24">
        <v>57042421</v>
      </c>
      <c r="V590" s="16" t="s">
        <v>4049</v>
      </c>
      <c r="W590" s="227">
        <v>53936960</v>
      </c>
      <c r="X590" s="24">
        <v>4903360</v>
      </c>
      <c r="Y590" s="24"/>
      <c r="Z590" s="24"/>
      <c r="AA590" s="17" t="s">
        <v>116</v>
      </c>
      <c r="AB590" s="23" t="str">
        <f>IFERROR(VLOOKUP(AA590,Listas!$A$1:$C$14,2,FALSE),"")</f>
        <v>FREDY CÉSPEDES VILLA</v>
      </c>
      <c r="AC590" s="23">
        <f>IFERROR(VLOOKUP(AA590,Listas!$A$1:$C$14,3,FALSE),"")</f>
        <v>93363483</v>
      </c>
      <c r="AD590" s="17" t="s">
        <v>903</v>
      </c>
      <c r="AE590" s="17" t="s">
        <v>904</v>
      </c>
      <c r="AF590" s="23" t="str">
        <f>IFERROR(VLOOKUP(AE590,Listas!$AD$1:$AF$65,2,FALSE),"")</f>
        <v>VIVIANA MARGARITA ROMERO</v>
      </c>
      <c r="AG590" s="23">
        <f>IFERROR(VLOOKUP(AE590,Listas!$AD$1:$AF$65,3,FALSE),"")</f>
        <v>32794946</v>
      </c>
      <c r="AH590" s="17" t="s">
        <v>118</v>
      </c>
      <c r="AI590" s="65" t="s">
        <v>2654</v>
      </c>
      <c r="AJ590" s="25" t="s">
        <v>119</v>
      </c>
      <c r="AK590" s="26" t="s">
        <v>120</v>
      </c>
      <c r="AL590" s="26" t="s">
        <v>120</v>
      </c>
      <c r="AM590" s="90" t="s">
        <v>119</v>
      </c>
      <c r="AN590" s="105">
        <v>35018</v>
      </c>
      <c r="AO590" s="91">
        <f t="shared" ca="1" si="254"/>
        <v>30</v>
      </c>
      <c r="AP590" s="26" t="s">
        <v>121</v>
      </c>
      <c r="AQ590" s="26" t="s">
        <v>327</v>
      </c>
      <c r="AR590" s="89"/>
      <c r="AS590" s="27"/>
      <c r="AT590" s="16"/>
      <c r="AU590" s="27"/>
      <c r="AV590" s="86"/>
      <c r="AW590" s="27"/>
      <c r="AX590" s="27"/>
      <c r="AY590" s="27"/>
      <c r="AZ590" s="27"/>
      <c r="BA590" s="27"/>
      <c r="BB590" s="27"/>
      <c r="BC590" s="97"/>
      <c r="BD590" s="27"/>
      <c r="BE590" s="16"/>
      <c r="BF590" s="28">
        <f t="shared" si="255"/>
        <v>0</v>
      </c>
      <c r="BG590" s="29"/>
      <c r="BH590" s="27"/>
      <c r="BI590" s="30">
        <f t="shared" si="256"/>
        <v>314</v>
      </c>
      <c r="BJ590" s="31">
        <f t="shared" si="257"/>
        <v>45656</v>
      </c>
      <c r="BK590" s="27"/>
      <c r="BL590" s="16"/>
      <c r="BM590" s="27"/>
      <c r="BN590" s="16"/>
      <c r="BO590" s="27"/>
      <c r="BP590" s="16"/>
      <c r="BQ590" s="27"/>
      <c r="BR590" s="24"/>
      <c r="BS590" s="24"/>
      <c r="BT590" s="32"/>
      <c r="BU590" s="27"/>
      <c r="BV590" s="24"/>
      <c r="BW590" s="24"/>
      <c r="BX590" s="16"/>
      <c r="BY590" s="27"/>
      <c r="BZ590" s="24"/>
      <c r="CA590" s="24"/>
      <c r="CB590" s="16"/>
      <c r="CC590" s="49">
        <f t="shared" si="258"/>
        <v>0</v>
      </c>
      <c r="CD590" s="24"/>
      <c r="CE590" s="49">
        <f t="shared" si="259"/>
        <v>53936960</v>
      </c>
      <c r="CF590" s="50"/>
      <c r="CG590" s="49">
        <f t="shared" ca="1" si="260"/>
        <v>53936960</v>
      </c>
      <c r="CH590" s="33">
        <f t="shared" ca="1" si="261"/>
        <v>1</v>
      </c>
      <c r="CI590" s="33">
        <f t="shared" ca="1" si="262"/>
        <v>1</v>
      </c>
      <c r="CJ590" s="36">
        <f t="shared" ca="1" si="263"/>
        <v>100</v>
      </c>
      <c r="CK590" s="34">
        <f t="shared" si="264"/>
        <v>0</v>
      </c>
      <c r="CL590" s="21"/>
      <c r="CM590" s="35" t="str">
        <f t="shared" ca="1" si="265"/>
        <v>TERMINADO</v>
      </c>
      <c r="CN590" s="82"/>
      <c r="CO590" s="145" t="s">
        <v>4799</v>
      </c>
      <c r="CP590" s="26" t="s">
        <v>142</v>
      </c>
    </row>
    <row r="591" spans="1:98" ht="24.75" customHeight="1">
      <c r="A591" s="109" t="s">
        <v>4800</v>
      </c>
      <c r="B591" s="77" t="s">
        <v>4801</v>
      </c>
      <c r="C591" s="17" t="s">
        <v>104</v>
      </c>
      <c r="D591" s="18" t="s">
        <v>4802</v>
      </c>
      <c r="E591" s="17" t="s">
        <v>106</v>
      </c>
      <c r="F591" s="17" t="s">
        <v>107</v>
      </c>
      <c r="G591" s="17" t="s">
        <v>108</v>
      </c>
      <c r="H591" s="78">
        <v>79460542</v>
      </c>
      <c r="I591" s="74" t="s">
        <v>4803</v>
      </c>
      <c r="J591" s="16"/>
      <c r="K591" s="16"/>
      <c r="L591" s="20" t="s">
        <v>4804</v>
      </c>
      <c r="M591" s="16" t="s">
        <v>111</v>
      </c>
      <c r="N591" s="115">
        <v>45337</v>
      </c>
      <c r="O591" s="22">
        <v>45338</v>
      </c>
      <c r="P591" s="115">
        <v>45430</v>
      </c>
      <c r="Q591" s="23">
        <f t="shared" si="253"/>
        <v>92</v>
      </c>
      <c r="R591" s="17" t="s">
        <v>242</v>
      </c>
      <c r="S591" s="117" t="s">
        <v>4805</v>
      </c>
      <c r="T591" s="16" t="s">
        <v>997</v>
      </c>
      <c r="U591" s="24">
        <v>31200000</v>
      </c>
      <c r="V591" s="16" t="s">
        <v>3421</v>
      </c>
      <c r="W591" s="227">
        <v>31200000</v>
      </c>
      <c r="X591" s="24">
        <v>10400000</v>
      </c>
      <c r="Y591" s="24"/>
      <c r="Z591" s="24"/>
      <c r="AA591" s="17" t="s">
        <v>116</v>
      </c>
      <c r="AB591" s="23" t="str">
        <f>IFERROR(VLOOKUP(AA591,Listas!$A$1:$C$14,2,FALSE),"")</f>
        <v>FREDY CÉSPEDES VILLA</v>
      </c>
      <c r="AC591" s="23">
        <f>IFERROR(VLOOKUP(AA591,Listas!$A$1:$C$14,3,FALSE),"")</f>
        <v>93363483</v>
      </c>
      <c r="AD591" s="17" t="s">
        <v>816</v>
      </c>
      <c r="AE591" s="17" t="s">
        <v>1450</v>
      </c>
      <c r="AF591" s="23" t="str">
        <f>IFERROR(VLOOKUP(AE591,Listas!$AD$1:$AF$65,2,FALSE),"")</f>
        <v>LINA MARIA CRUZ SILVA</v>
      </c>
      <c r="AG591" s="23">
        <f>IFERROR(VLOOKUP(AE591,Listas!$AD$1:$AF$65,3,FALSE),"")</f>
        <v>52423537</v>
      </c>
      <c r="AH591" s="17" t="s">
        <v>118</v>
      </c>
      <c r="AI591" s="65" t="s">
        <v>4806</v>
      </c>
      <c r="AJ591" s="25" t="s">
        <v>119</v>
      </c>
      <c r="AK591" s="26" t="s">
        <v>120</v>
      </c>
      <c r="AL591" s="26" t="s">
        <v>120</v>
      </c>
      <c r="AM591" s="90" t="s">
        <v>119</v>
      </c>
      <c r="AN591" s="105">
        <v>25185</v>
      </c>
      <c r="AO591" s="91">
        <f t="shared" ca="1" si="254"/>
        <v>57</v>
      </c>
      <c r="AP591" s="26" t="s">
        <v>121</v>
      </c>
      <c r="AQ591" s="26" t="s">
        <v>1641</v>
      </c>
      <c r="AR591" s="89"/>
      <c r="AS591" s="27"/>
      <c r="AT591" s="16"/>
      <c r="AU591" s="27"/>
      <c r="AV591" s="86"/>
      <c r="AW591" s="27"/>
      <c r="AX591" s="27"/>
      <c r="AY591" s="27"/>
      <c r="AZ591" s="27"/>
      <c r="BA591" s="27"/>
      <c r="BB591" s="27"/>
      <c r="BC591" s="97"/>
      <c r="BD591" s="27"/>
      <c r="BE591" s="16"/>
      <c r="BF591" s="28">
        <f t="shared" si="255"/>
        <v>0</v>
      </c>
      <c r="BG591" s="29"/>
      <c r="BH591" s="27"/>
      <c r="BI591" s="30">
        <f t="shared" si="256"/>
        <v>92</v>
      </c>
      <c r="BJ591" s="31">
        <f t="shared" si="257"/>
        <v>45430</v>
      </c>
      <c r="BK591" s="27"/>
      <c r="BL591" s="16"/>
      <c r="BM591" s="27"/>
      <c r="BN591" s="16"/>
      <c r="BO591" s="27"/>
      <c r="BP591" s="16"/>
      <c r="BQ591" s="27"/>
      <c r="BR591" s="24"/>
      <c r="BS591" s="24"/>
      <c r="BT591" s="32"/>
      <c r="BU591" s="27"/>
      <c r="BV591" s="24"/>
      <c r="BW591" s="24"/>
      <c r="BX591" s="16"/>
      <c r="BY591" s="27"/>
      <c r="BZ591" s="24"/>
      <c r="CA591" s="24"/>
      <c r="CB591" s="16"/>
      <c r="CC591" s="49">
        <f t="shared" si="258"/>
        <v>0</v>
      </c>
      <c r="CD591" s="24"/>
      <c r="CE591" s="49">
        <f t="shared" si="259"/>
        <v>31200000</v>
      </c>
      <c r="CF591" s="50"/>
      <c r="CG591" s="49">
        <f t="shared" ca="1" si="260"/>
        <v>31200000</v>
      </c>
      <c r="CH591" s="33">
        <f t="shared" ca="1" si="261"/>
        <v>1</v>
      </c>
      <c r="CI591" s="33">
        <f t="shared" ca="1" si="262"/>
        <v>1</v>
      </c>
      <c r="CJ591" s="36">
        <f t="shared" ca="1" si="263"/>
        <v>100</v>
      </c>
      <c r="CK591" s="34">
        <f t="shared" si="264"/>
        <v>0</v>
      </c>
      <c r="CL591" s="21"/>
      <c r="CM591" s="35" t="str">
        <f t="shared" ca="1" si="265"/>
        <v>TERMINADO</v>
      </c>
      <c r="CN591" s="82"/>
      <c r="CO591" s="145" t="s">
        <v>4807</v>
      </c>
      <c r="CP591" s="26" t="s">
        <v>142</v>
      </c>
    </row>
    <row r="592" spans="1:98" ht="24.75" customHeight="1">
      <c r="A592" s="48" t="s">
        <v>4808</v>
      </c>
      <c r="B592" s="77" t="s">
        <v>4809</v>
      </c>
      <c r="C592" s="17" t="s">
        <v>104</v>
      </c>
      <c r="D592" s="18" t="s">
        <v>4810</v>
      </c>
      <c r="E592" s="17" t="s">
        <v>106</v>
      </c>
      <c r="F592" s="17" t="s">
        <v>107</v>
      </c>
      <c r="G592" s="17" t="s">
        <v>108</v>
      </c>
      <c r="H592" s="78">
        <v>52219634</v>
      </c>
      <c r="I592" s="74" t="s">
        <v>4811</v>
      </c>
      <c r="J592" s="16"/>
      <c r="K592" s="16"/>
      <c r="L592" s="20" t="s">
        <v>4812</v>
      </c>
      <c r="M592" s="16" t="s">
        <v>111</v>
      </c>
      <c r="N592" s="115">
        <v>45337</v>
      </c>
      <c r="O592" s="22">
        <v>45341</v>
      </c>
      <c r="P592" s="115">
        <v>45656</v>
      </c>
      <c r="Q592" s="23">
        <f t="shared" si="253"/>
        <v>315</v>
      </c>
      <c r="R592" s="17" t="s">
        <v>242</v>
      </c>
      <c r="S592" s="117" t="s">
        <v>4813</v>
      </c>
      <c r="T592" s="16" t="s">
        <v>997</v>
      </c>
      <c r="U592" s="24">
        <v>84533333</v>
      </c>
      <c r="V592" s="16" t="s">
        <v>3421</v>
      </c>
      <c r="W592" s="227">
        <v>84533333</v>
      </c>
      <c r="X592" s="24">
        <v>8000000</v>
      </c>
      <c r="Y592" s="24"/>
      <c r="Z592" s="24"/>
      <c r="AA592" s="17" t="s">
        <v>116</v>
      </c>
      <c r="AB592" s="23" t="str">
        <f>IFERROR(VLOOKUP(AA592,Listas!$A$1:$C$14,2,FALSE),"")</f>
        <v>FREDY CÉSPEDES VILLA</v>
      </c>
      <c r="AC592" s="23">
        <f>IFERROR(VLOOKUP(AA592,Listas!$A$1:$C$14,3,FALSE),"")</f>
        <v>93363483</v>
      </c>
      <c r="AD592" s="17" t="s">
        <v>816</v>
      </c>
      <c r="AE592" s="17" t="s">
        <v>2577</v>
      </c>
      <c r="AF592" s="23" t="str">
        <f>IFERROR(VLOOKUP(AE592,Listas!$AD$1:$AF$65,2,FALSE),"")</f>
        <v>VICTOR RAUL BAUTISTA GALINDO</v>
      </c>
      <c r="AG592" s="23">
        <f>IFERROR(VLOOKUP(AE592,Listas!$AD$1:$AF$65,3,FALSE),"")</f>
        <v>79352968</v>
      </c>
      <c r="AH592" s="17" t="s">
        <v>118</v>
      </c>
      <c r="AI592" s="65" t="s">
        <v>4814</v>
      </c>
      <c r="AJ592" s="25" t="s">
        <v>119</v>
      </c>
      <c r="AK592" s="26" t="s">
        <v>120</v>
      </c>
      <c r="AL592" s="26" t="s">
        <v>120</v>
      </c>
      <c r="AM592" s="90" t="s">
        <v>119</v>
      </c>
      <c r="AN592" s="105">
        <v>27103</v>
      </c>
      <c r="AO592" s="91">
        <f t="shared" ca="1" si="254"/>
        <v>51</v>
      </c>
      <c r="AP592" s="26" t="s">
        <v>121</v>
      </c>
      <c r="AQ592" s="26" t="s">
        <v>515</v>
      </c>
      <c r="AR592" s="89"/>
      <c r="AS592" s="27"/>
      <c r="AT592" s="16"/>
      <c r="AU592" s="27"/>
      <c r="AV592" s="86"/>
      <c r="AW592" s="27"/>
      <c r="AX592" s="27"/>
      <c r="AY592" s="27"/>
      <c r="AZ592" s="27"/>
      <c r="BA592" s="27"/>
      <c r="BB592" s="27"/>
      <c r="BC592" s="97"/>
      <c r="BD592" s="27"/>
      <c r="BE592" s="16"/>
      <c r="BF592" s="28">
        <f t="shared" si="255"/>
        <v>0</v>
      </c>
      <c r="BG592" s="29"/>
      <c r="BH592" s="27"/>
      <c r="BI592" s="30">
        <f t="shared" si="256"/>
        <v>315</v>
      </c>
      <c r="BJ592" s="31">
        <f t="shared" si="257"/>
        <v>45656</v>
      </c>
      <c r="BK592" s="27"/>
      <c r="BL592" s="16"/>
      <c r="BM592" s="27"/>
      <c r="BN592" s="16"/>
      <c r="BO592" s="27"/>
      <c r="BP592" s="16"/>
      <c r="BQ592" s="27"/>
      <c r="BR592" s="24"/>
      <c r="BS592" s="24"/>
      <c r="BT592" s="32"/>
      <c r="BU592" s="27"/>
      <c r="BV592" s="24"/>
      <c r="BW592" s="24"/>
      <c r="BX592" s="16"/>
      <c r="BY592" s="27"/>
      <c r="BZ592" s="24"/>
      <c r="CA592" s="24"/>
      <c r="CB592" s="16"/>
      <c r="CC592" s="49">
        <f t="shared" si="258"/>
        <v>0</v>
      </c>
      <c r="CD592" s="24"/>
      <c r="CE592" s="49">
        <f t="shared" si="259"/>
        <v>84533333</v>
      </c>
      <c r="CF592" s="50"/>
      <c r="CG592" s="49">
        <f t="shared" ca="1" si="260"/>
        <v>84533333</v>
      </c>
      <c r="CH592" s="33">
        <f t="shared" ca="1" si="261"/>
        <v>1</v>
      </c>
      <c r="CI592" s="33">
        <f t="shared" ca="1" si="262"/>
        <v>1</v>
      </c>
      <c r="CJ592" s="36">
        <f t="shared" ca="1" si="263"/>
        <v>100</v>
      </c>
      <c r="CK592" s="34">
        <f t="shared" si="264"/>
        <v>0</v>
      </c>
      <c r="CL592" s="21"/>
      <c r="CM592" s="35" t="str">
        <f t="shared" ca="1" si="265"/>
        <v>TERMINADO</v>
      </c>
      <c r="CN592" s="82"/>
      <c r="CO592" s="145" t="s">
        <v>4815</v>
      </c>
      <c r="CP592" s="26" t="s">
        <v>123</v>
      </c>
    </row>
    <row r="593" spans="1:94" ht="24.75" customHeight="1">
      <c r="A593" s="109" t="s">
        <v>4816</v>
      </c>
      <c r="B593" s="77" t="s">
        <v>4817</v>
      </c>
      <c r="C593" s="17" t="s">
        <v>104</v>
      </c>
      <c r="D593" s="18" t="s">
        <v>4818</v>
      </c>
      <c r="E593" s="17" t="s">
        <v>106</v>
      </c>
      <c r="F593" s="17" t="s">
        <v>107</v>
      </c>
      <c r="G593" s="17" t="s">
        <v>108</v>
      </c>
      <c r="H593" s="78">
        <v>7172891</v>
      </c>
      <c r="I593" s="74" t="s">
        <v>4819</v>
      </c>
      <c r="J593" s="16"/>
      <c r="K593" s="16"/>
      <c r="L593" s="20" t="s">
        <v>4820</v>
      </c>
      <c r="M593" s="16" t="s">
        <v>111</v>
      </c>
      <c r="N593" s="115">
        <v>45337</v>
      </c>
      <c r="O593" s="22">
        <v>45341</v>
      </c>
      <c r="P593" s="115">
        <v>45656</v>
      </c>
      <c r="Q593" s="23">
        <f t="shared" si="253"/>
        <v>315</v>
      </c>
      <c r="R593" s="17" t="s">
        <v>242</v>
      </c>
      <c r="S593" s="117" t="s">
        <v>4821</v>
      </c>
      <c r="T593" s="16" t="s">
        <v>997</v>
      </c>
      <c r="U593" s="24">
        <v>97386667</v>
      </c>
      <c r="V593" s="16" t="s">
        <v>3421</v>
      </c>
      <c r="W593" s="227">
        <v>97386667</v>
      </c>
      <c r="X593" s="24">
        <v>8800000</v>
      </c>
      <c r="Y593" s="24"/>
      <c r="Z593" s="24"/>
      <c r="AA593" s="17" t="s">
        <v>116</v>
      </c>
      <c r="AB593" s="23" t="str">
        <f>IFERROR(VLOOKUP(AA593,Listas!$A$1:$C$14,2,FALSE),"")</f>
        <v>FREDY CÉSPEDES VILLA</v>
      </c>
      <c r="AC593" s="23">
        <f>IFERROR(VLOOKUP(AA593,Listas!$A$1:$C$14,3,FALSE),"")</f>
        <v>93363483</v>
      </c>
      <c r="AD593" s="17" t="s">
        <v>816</v>
      </c>
      <c r="AE593" s="17" t="s">
        <v>2835</v>
      </c>
      <c r="AF593" s="23" t="str">
        <f>IFERROR(VLOOKUP(AE593,Listas!$AD$1:$AF$65,2,FALSE),"")</f>
        <v>GUILLERMO ANDRES CARDONA HERRERA</v>
      </c>
      <c r="AG593" s="23">
        <f>IFERROR(VLOOKUP(AE593,Listas!$AD$1:$AF$65,3,FALSE),"")</f>
        <v>80018909</v>
      </c>
      <c r="AH593" s="17" t="s">
        <v>118</v>
      </c>
      <c r="AI593" s="65" t="s">
        <v>4822</v>
      </c>
      <c r="AJ593" s="25" t="s">
        <v>119</v>
      </c>
      <c r="AK593" s="26" t="s">
        <v>120</v>
      </c>
      <c r="AL593" s="26" t="s">
        <v>120</v>
      </c>
      <c r="AM593" s="90" t="s">
        <v>119</v>
      </c>
      <c r="AN593" s="105">
        <v>28266</v>
      </c>
      <c r="AO593" s="91">
        <f t="shared" ca="1" si="254"/>
        <v>48</v>
      </c>
      <c r="AP593" s="26" t="s">
        <v>121</v>
      </c>
      <c r="AQ593" s="26" t="s">
        <v>1641</v>
      </c>
      <c r="AR593" s="89"/>
      <c r="AS593" s="27"/>
      <c r="AT593" s="16"/>
      <c r="AU593" s="27"/>
      <c r="AV593" s="86"/>
      <c r="AW593" s="27"/>
      <c r="AX593" s="27"/>
      <c r="AY593" s="27"/>
      <c r="AZ593" s="27"/>
      <c r="BA593" s="27"/>
      <c r="BB593" s="27"/>
      <c r="BC593" s="97"/>
      <c r="BD593" s="27"/>
      <c r="BE593" s="16"/>
      <c r="BF593" s="28">
        <f t="shared" si="255"/>
        <v>0</v>
      </c>
      <c r="BG593" s="29"/>
      <c r="BH593" s="27"/>
      <c r="BI593" s="30">
        <f t="shared" si="256"/>
        <v>315</v>
      </c>
      <c r="BJ593" s="31">
        <f t="shared" si="257"/>
        <v>45656</v>
      </c>
      <c r="BK593" s="27"/>
      <c r="BL593" s="16"/>
      <c r="BM593" s="27"/>
      <c r="BN593" s="16"/>
      <c r="BO593" s="27"/>
      <c r="BP593" s="16"/>
      <c r="BQ593" s="27"/>
      <c r="BR593" s="24"/>
      <c r="BS593" s="24"/>
      <c r="BT593" s="32"/>
      <c r="BU593" s="27"/>
      <c r="BV593" s="24"/>
      <c r="BW593" s="24"/>
      <c r="BX593" s="16"/>
      <c r="BY593" s="27"/>
      <c r="BZ593" s="24"/>
      <c r="CA593" s="24"/>
      <c r="CB593" s="16"/>
      <c r="CC593" s="49">
        <f t="shared" si="258"/>
        <v>0</v>
      </c>
      <c r="CD593" s="24"/>
      <c r="CE593" s="49">
        <f t="shared" si="259"/>
        <v>97386667</v>
      </c>
      <c r="CF593" s="50"/>
      <c r="CG593" s="49">
        <f t="shared" ca="1" si="260"/>
        <v>97386667</v>
      </c>
      <c r="CH593" s="33">
        <f t="shared" ca="1" si="261"/>
        <v>1</v>
      </c>
      <c r="CI593" s="33">
        <f t="shared" ca="1" si="262"/>
        <v>1</v>
      </c>
      <c r="CJ593" s="36">
        <f t="shared" ca="1" si="263"/>
        <v>100</v>
      </c>
      <c r="CK593" s="34">
        <f t="shared" si="264"/>
        <v>0</v>
      </c>
      <c r="CL593" s="21"/>
      <c r="CM593" s="35" t="str">
        <f t="shared" ca="1" si="265"/>
        <v>TERMINADO</v>
      </c>
      <c r="CN593" s="82"/>
      <c r="CO593" s="145" t="s">
        <v>4823</v>
      </c>
      <c r="CP593" s="26" t="s">
        <v>142</v>
      </c>
    </row>
    <row r="594" spans="1:94" ht="24.75" customHeight="1">
      <c r="A594" s="48" t="s">
        <v>4824</v>
      </c>
      <c r="B594" s="150" t="s">
        <v>4825</v>
      </c>
      <c r="C594" s="17" t="s">
        <v>104</v>
      </c>
      <c r="D594" s="18" t="s">
        <v>4826</v>
      </c>
      <c r="E594" s="17" t="s">
        <v>1425</v>
      </c>
      <c r="F594" s="17" t="s">
        <v>1426</v>
      </c>
      <c r="G594" s="17" t="s">
        <v>1427</v>
      </c>
      <c r="H594" s="78" t="s">
        <v>4827</v>
      </c>
      <c r="I594" s="74" t="s">
        <v>4828</v>
      </c>
      <c r="J594" s="16" t="s">
        <v>4829</v>
      </c>
      <c r="K594" s="16">
        <v>19371661</v>
      </c>
      <c r="L594" s="20" t="s">
        <v>4830</v>
      </c>
      <c r="M594" s="16" t="s">
        <v>111</v>
      </c>
      <c r="N594" s="115">
        <v>45337</v>
      </c>
      <c r="O594" s="22">
        <v>45341</v>
      </c>
      <c r="P594" s="115">
        <v>45657</v>
      </c>
      <c r="Q594" s="23">
        <f t="shared" si="253"/>
        <v>316</v>
      </c>
      <c r="R594" s="17" t="s">
        <v>242</v>
      </c>
      <c r="S594" s="117" t="s">
        <v>4831</v>
      </c>
      <c r="T594" s="16" t="s">
        <v>4832</v>
      </c>
      <c r="U594" s="24">
        <v>1260000000</v>
      </c>
      <c r="V594" s="16" t="s">
        <v>4833</v>
      </c>
      <c r="W594" s="227">
        <v>1260000000</v>
      </c>
      <c r="X594" s="24"/>
      <c r="Y594" s="24"/>
      <c r="Z594" s="24"/>
      <c r="AA594" s="17" t="s">
        <v>116</v>
      </c>
      <c r="AB594" s="23" t="str">
        <f>IFERROR(VLOOKUP(AA594,Listas!$A$1:$C$14,2,FALSE),"")</f>
        <v>FREDY CÉSPEDES VILLA</v>
      </c>
      <c r="AC594" s="23">
        <f>IFERROR(VLOOKUP(AA594,Listas!$A$1:$C$14,3,FALSE),"")</f>
        <v>93363483</v>
      </c>
      <c r="AD594" s="17" t="s">
        <v>607</v>
      </c>
      <c r="AE594" s="17" t="s">
        <v>1155</v>
      </c>
      <c r="AF594" s="23" t="str">
        <f>IFERROR(VLOOKUP(AE594,Listas!$AD$1:$AF$65,2,FALSE),"")</f>
        <v>MARÍA FRANCISCA CEPEDA QUINTERO</v>
      </c>
      <c r="AG594" s="23">
        <f>IFERROR(VLOOKUP(AE594,Listas!$AD$1:$AF$65,3,FALSE),"")</f>
        <v>53062608</v>
      </c>
      <c r="AH594" s="17" t="s">
        <v>118</v>
      </c>
      <c r="AI594" s="65" t="s">
        <v>4834</v>
      </c>
      <c r="AJ594" s="25" t="s">
        <v>1435</v>
      </c>
      <c r="AK594" s="26" t="s">
        <v>2071</v>
      </c>
      <c r="AL594" s="26" t="s">
        <v>2071</v>
      </c>
      <c r="AM594" s="90" t="s">
        <v>1435</v>
      </c>
      <c r="AN594" s="105"/>
      <c r="AO594" s="91" t="str">
        <f t="shared" ca="1" si="254"/>
        <v xml:space="preserve"> </v>
      </c>
      <c r="AP594" s="26" t="s">
        <v>121</v>
      </c>
      <c r="AQ594" s="26" t="s">
        <v>486</v>
      </c>
      <c r="AR594" s="89"/>
      <c r="AS594" s="27"/>
      <c r="AT594" s="16"/>
      <c r="AU594" s="27"/>
      <c r="AV594" s="86"/>
      <c r="AW594" s="27"/>
      <c r="AX594" s="27"/>
      <c r="AY594" s="27"/>
      <c r="AZ594" s="27"/>
      <c r="BA594" s="27"/>
      <c r="BB594" s="27">
        <v>45657</v>
      </c>
      <c r="BC594" s="97">
        <v>89</v>
      </c>
      <c r="BD594" s="27"/>
      <c r="BE594" s="16"/>
      <c r="BF594" s="28">
        <f t="shared" si="255"/>
        <v>89</v>
      </c>
      <c r="BG594" s="29"/>
      <c r="BH594" s="27"/>
      <c r="BI594" s="30">
        <f t="shared" si="256"/>
        <v>405</v>
      </c>
      <c r="BJ594" s="31">
        <f t="shared" si="257"/>
        <v>45746</v>
      </c>
      <c r="BK594" s="27"/>
      <c r="BL594" s="16"/>
      <c r="BM594" s="27"/>
      <c r="BN594" s="16"/>
      <c r="BO594" s="27"/>
      <c r="BP594" s="16"/>
      <c r="BQ594" s="27">
        <v>45657</v>
      </c>
      <c r="BR594" s="24">
        <v>161556513</v>
      </c>
      <c r="BS594" s="24"/>
      <c r="BT594" s="32"/>
      <c r="BU594" s="27"/>
      <c r="BV594" s="24"/>
      <c r="BW594" s="24"/>
      <c r="BX594" s="16"/>
      <c r="BY594" s="27"/>
      <c r="BZ594" s="24"/>
      <c r="CA594" s="24"/>
      <c r="CB594" s="16"/>
      <c r="CC594" s="49">
        <f>BR594+BV594+BZ594</f>
        <v>161556513</v>
      </c>
      <c r="CD594" s="24"/>
      <c r="CE594" s="49">
        <f>IFERROR(IF(Y594=0,(W594+CC594)-CD594,IF(Y594&gt;0,(Y594+CC594)-CD594)),"")</f>
        <v>1421556513</v>
      </c>
      <c r="CF594" s="50"/>
      <c r="CG594" s="49">
        <f t="shared" ca="1" si="260"/>
        <v>1421556513</v>
      </c>
      <c r="CH594" s="33">
        <f t="shared" ca="1" si="261"/>
        <v>1</v>
      </c>
      <c r="CI594" s="33">
        <f t="shared" ca="1" si="262"/>
        <v>1</v>
      </c>
      <c r="CJ594" s="36">
        <f t="shared" ca="1" si="263"/>
        <v>100</v>
      </c>
      <c r="CK594" s="34">
        <f t="shared" si="264"/>
        <v>0</v>
      </c>
      <c r="CL594" s="21"/>
      <c r="CM594" s="35" t="str">
        <f t="shared" ca="1" si="265"/>
        <v>TERMINADO</v>
      </c>
      <c r="CN594" s="82"/>
      <c r="CP594" s="83" t="s">
        <v>1424</v>
      </c>
    </row>
    <row r="595" spans="1:94" ht="24.75" customHeight="1">
      <c r="A595" s="48" t="s">
        <v>1424</v>
      </c>
      <c r="B595" s="77" t="s">
        <v>4835</v>
      </c>
      <c r="C595" s="17" t="s">
        <v>2927</v>
      </c>
      <c r="D595" s="18" t="s">
        <v>4836</v>
      </c>
      <c r="E595" s="17" t="s">
        <v>2929</v>
      </c>
      <c r="F595" s="17" t="s">
        <v>1426</v>
      </c>
      <c r="G595" s="17" t="s">
        <v>1427</v>
      </c>
      <c r="H595" s="78" t="s">
        <v>4837</v>
      </c>
      <c r="I595" s="74" t="s">
        <v>4838</v>
      </c>
      <c r="J595" s="16" t="s">
        <v>4839</v>
      </c>
      <c r="K595" s="16">
        <v>91476891</v>
      </c>
      <c r="L595" s="20" t="s">
        <v>2933</v>
      </c>
      <c r="M595" s="16"/>
      <c r="N595" s="115">
        <v>45338</v>
      </c>
      <c r="O595" s="22">
        <v>45338</v>
      </c>
      <c r="P595" s="115">
        <v>45704</v>
      </c>
      <c r="Q595" s="23">
        <f t="shared" si="253"/>
        <v>366</v>
      </c>
      <c r="R595" s="17" t="s">
        <v>2934</v>
      </c>
      <c r="S595" s="117" t="s">
        <v>1424</v>
      </c>
      <c r="T595" s="16" t="s">
        <v>1424</v>
      </c>
      <c r="U595" s="24" t="s">
        <v>1424</v>
      </c>
      <c r="V595" s="16" t="s">
        <v>1424</v>
      </c>
      <c r="W595" s="227">
        <v>0</v>
      </c>
      <c r="X595" s="24"/>
      <c r="Y595" s="24" t="s">
        <v>2935</v>
      </c>
      <c r="Z595" s="24"/>
      <c r="AA595" s="17" t="s">
        <v>406</v>
      </c>
      <c r="AB595" s="23" t="str">
        <f>IFERROR(VLOOKUP(AA595,Listas!$A$1:$C$14,2,FALSE),"")</f>
        <v>EDUARDO ELÍAS BARCHA BOLÍVAR</v>
      </c>
      <c r="AC595" s="23">
        <f>IFERROR(VLOOKUP(AA595,Listas!$A$1:$C$14,3,FALSE),"")</f>
        <v>72133921</v>
      </c>
      <c r="AD595" s="17" t="s">
        <v>1523</v>
      </c>
      <c r="AE595" s="17" t="s">
        <v>1524</v>
      </c>
      <c r="AF595" s="23" t="str">
        <f>IFERROR(VLOOKUP(AE595,Listas!$AD$1:$AF$65,2,FALSE),"")</f>
        <v>IVETTE FRASSER SÁNCHEZ</v>
      </c>
      <c r="AG595" s="23">
        <f>IFERROR(VLOOKUP(AE595,Listas!$AD$1:$AF$65,3,FALSE),"")</f>
        <v>38285903</v>
      </c>
      <c r="AH595" s="17" t="s">
        <v>2936</v>
      </c>
      <c r="AI595" s="65"/>
      <c r="AJ595" s="25" t="s">
        <v>1435</v>
      </c>
      <c r="AK595" s="26" t="s">
        <v>2071</v>
      </c>
      <c r="AL595" s="26" t="s">
        <v>2071</v>
      </c>
      <c r="AM595" s="90" t="s">
        <v>1435</v>
      </c>
      <c r="AN595" s="105"/>
      <c r="AO595" s="91" t="str">
        <f t="shared" ca="1" si="254"/>
        <v xml:space="preserve"> </v>
      </c>
      <c r="AP595" s="26" t="s">
        <v>2937</v>
      </c>
      <c r="AQ595" s="26" t="s">
        <v>4526</v>
      </c>
      <c r="AR595" s="89"/>
      <c r="AS595" s="27"/>
      <c r="AT595" s="16"/>
      <c r="AU595" s="27"/>
      <c r="AV595" s="86"/>
      <c r="AW595" s="27"/>
      <c r="AX595" s="27"/>
      <c r="AY595" s="27"/>
      <c r="AZ595" s="27"/>
      <c r="BA595" s="27"/>
      <c r="BB595" s="27">
        <v>45702</v>
      </c>
      <c r="BC595" s="97">
        <v>318</v>
      </c>
      <c r="BD595" s="27"/>
      <c r="BE595" s="16"/>
      <c r="BF595" s="28">
        <f t="shared" si="255"/>
        <v>318</v>
      </c>
      <c r="BG595" s="29"/>
      <c r="BH595" s="27"/>
      <c r="BI595" s="30">
        <f t="shared" si="256"/>
        <v>684</v>
      </c>
      <c r="BJ595" s="31">
        <f t="shared" si="257"/>
        <v>46022</v>
      </c>
      <c r="BK595" s="27">
        <v>45702</v>
      </c>
      <c r="BL595" s="16" t="s">
        <v>4840</v>
      </c>
      <c r="BM595" s="27"/>
      <c r="BN595" s="16"/>
      <c r="BO595" s="27"/>
      <c r="BP595" s="16"/>
      <c r="BQ595" s="27"/>
      <c r="BR595" s="24"/>
      <c r="BS595" s="24"/>
      <c r="BT595" s="32"/>
      <c r="BU595" s="27"/>
      <c r="BV595" s="24"/>
      <c r="BW595" s="24"/>
      <c r="BX595" s="16"/>
      <c r="BY595" s="27"/>
      <c r="BZ595" s="24"/>
      <c r="CA595" s="24"/>
      <c r="CB595" s="16"/>
      <c r="CC595" s="49">
        <f t="shared" si="258"/>
        <v>0</v>
      </c>
      <c r="CD595" s="24"/>
      <c r="CE595" s="49" t="str">
        <f>IFERROR(IF(Y595=0,(W595+CC595)-CD595,IF(Y595&gt;0,(Y595+CC595)-CD595)),"")</f>
        <v/>
      </c>
      <c r="CF595" s="50">
        <v>1372011452.6800001</v>
      </c>
      <c r="CG595" s="49" t="str">
        <f t="shared" ca="1" si="260"/>
        <v/>
      </c>
      <c r="CH595" s="33">
        <f t="shared" ca="1" si="261"/>
        <v>0.89481481481481484</v>
      </c>
      <c r="CI595" s="33">
        <f t="shared" ca="1" si="262"/>
        <v>0.89481481481481484</v>
      </c>
      <c r="CJ595" s="36" t="str">
        <f t="shared" ca="1" si="263"/>
        <v/>
      </c>
      <c r="CK595" s="34" t="str">
        <f t="shared" si="264"/>
        <v/>
      </c>
      <c r="CL595" s="21"/>
      <c r="CM595" s="35" t="str">
        <f t="shared" ca="1" si="265"/>
        <v>VIGENTE</v>
      </c>
      <c r="CN595" s="82"/>
      <c r="CP595" s="83" t="s">
        <v>1424</v>
      </c>
    </row>
    <row r="596" spans="1:94" ht="24.75" customHeight="1">
      <c r="A596" s="48" t="s">
        <v>1424</v>
      </c>
      <c r="B596" s="77" t="s">
        <v>4841</v>
      </c>
      <c r="C596" s="17" t="s">
        <v>2927</v>
      </c>
      <c r="D596" s="18" t="s">
        <v>4842</v>
      </c>
      <c r="E596" s="17" t="s">
        <v>2929</v>
      </c>
      <c r="F596" s="17" t="s">
        <v>1426</v>
      </c>
      <c r="G596" s="17" t="s">
        <v>1427</v>
      </c>
      <c r="H596" s="78" t="s">
        <v>4843</v>
      </c>
      <c r="I596" s="74" t="s">
        <v>4844</v>
      </c>
      <c r="J596" s="16" t="s">
        <v>4845</v>
      </c>
      <c r="K596" s="16">
        <v>7532728</v>
      </c>
      <c r="L596" s="20" t="s">
        <v>2933</v>
      </c>
      <c r="M596" s="16"/>
      <c r="N596" s="115">
        <v>45338</v>
      </c>
      <c r="O596" s="22">
        <v>45338</v>
      </c>
      <c r="P596" s="115">
        <v>45704</v>
      </c>
      <c r="Q596" s="23">
        <f t="shared" si="253"/>
        <v>366</v>
      </c>
      <c r="R596" s="17" t="s">
        <v>2934</v>
      </c>
      <c r="S596" s="117" t="s">
        <v>1424</v>
      </c>
      <c r="T596" s="16" t="s">
        <v>1424</v>
      </c>
      <c r="U596" s="24" t="s">
        <v>1424</v>
      </c>
      <c r="V596" s="16" t="s">
        <v>1424</v>
      </c>
      <c r="W596" s="227">
        <v>0</v>
      </c>
      <c r="X596" s="24"/>
      <c r="Y596" s="24" t="s">
        <v>2935</v>
      </c>
      <c r="Z596" s="24"/>
      <c r="AA596" s="17" t="s">
        <v>406</v>
      </c>
      <c r="AB596" s="23" t="str">
        <f>IFERROR(VLOOKUP(AA596,Listas!$A$1:$C$14,2,FALSE),"")</f>
        <v>EDUARDO ELÍAS BARCHA BOLÍVAR</v>
      </c>
      <c r="AC596" s="23">
        <f>IFERROR(VLOOKUP(AA596,Listas!$A$1:$C$14,3,FALSE),"")</f>
        <v>72133921</v>
      </c>
      <c r="AD596" s="17" t="s">
        <v>4846</v>
      </c>
      <c r="AE596" s="17" t="s">
        <v>4847</v>
      </c>
      <c r="AF596" s="23" t="s">
        <v>4848</v>
      </c>
      <c r="AG596" s="23" t="s">
        <v>4849</v>
      </c>
      <c r="AH596" s="17" t="s">
        <v>2936</v>
      </c>
      <c r="AI596" s="65"/>
      <c r="AJ596" s="25" t="s">
        <v>1435</v>
      </c>
      <c r="AK596" s="26" t="s">
        <v>2071</v>
      </c>
      <c r="AL596" s="26" t="s">
        <v>2071</v>
      </c>
      <c r="AM596" s="90" t="s">
        <v>1435</v>
      </c>
      <c r="AN596" s="105"/>
      <c r="AO596" s="91" t="str">
        <f t="shared" ca="1" si="254"/>
        <v xml:space="preserve"> </v>
      </c>
      <c r="AP596" s="26" t="s">
        <v>2937</v>
      </c>
      <c r="AQ596" s="26" t="s">
        <v>4526</v>
      </c>
      <c r="AR596" s="89"/>
      <c r="AS596" s="27"/>
      <c r="AT596" s="16"/>
      <c r="AU596" s="27"/>
      <c r="AV596" s="86"/>
      <c r="AW596" s="27"/>
      <c r="AX596" s="27"/>
      <c r="AY596" s="27"/>
      <c r="AZ596" s="27"/>
      <c r="BA596" s="27"/>
      <c r="BB596" s="27">
        <v>45680</v>
      </c>
      <c r="BC596" s="97">
        <v>318</v>
      </c>
      <c r="BD596" s="27"/>
      <c r="BE596" s="16"/>
      <c r="BF596" s="28">
        <f t="shared" si="255"/>
        <v>318</v>
      </c>
      <c r="BG596" s="29"/>
      <c r="BH596" s="27"/>
      <c r="BI596" s="30">
        <f t="shared" si="256"/>
        <v>684</v>
      </c>
      <c r="BJ596" s="31">
        <f t="shared" si="257"/>
        <v>46022</v>
      </c>
      <c r="BK596" s="27">
        <v>45680</v>
      </c>
      <c r="BL596" s="16" t="s">
        <v>4850</v>
      </c>
      <c r="BM596" s="27"/>
      <c r="BN596" s="16"/>
      <c r="BO596" s="27"/>
      <c r="BP596" s="16"/>
      <c r="BQ596" s="27"/>
      <c r="BR596" s="24"/>
      <c r="BS596" s="24"/>
      <c r="BT596" s="32"/>
      <c r="BU596" s="27"/>
      <c r="BV596" s="24"/>
      <c r="BW596" s="24"/>
      <c r="BX596" s="16"/>
      <c r="BY596" s="27"/>
      <c r="BZ596" s="24"/>
      <c r="CA596" s="24"/>
      <c r="CB596" s="16"/>
      <c r="CC596" s="49">
        <f t="shared" si="258"/>
        <v>0</v>
      </c>
      <c r="CD596" s="24"/>
      <c r="CE596" s="49" t="str">
        <f>IFERROR(IF(Y596=0,(W596+CC596)-CD596,IF(Y596&gt;0,(Y596+CC596)-CD596)),"")</f>
        <v/>
      </c>
      <c r="CF596" s="50">
        <v>1451921084.5699999</v>
      </c>
      <c r="CG596" s="49" t="str">
        <f t="shared" ca="1" si="260"/>
        <v/>
      </c>
      <c r="CH596" s="33">
        <f t="shared" ca="1" si="261"/>
        <v>0.89481481481481484</v>
      </c>
      <c r="CI596" s="33">
        <f t="shared" ca="1" si="262"/>
        <v>0.89481481481481484</v>
      </c>
      <c r="CJ596" s="36" t="str">
        <f t="shared" ca="1" si="263"/>
        <v/>
      </c>
      <c r="CK596" s="34" t="str">
        <f t="shared" si="264"/>
        <v/>
      </c>
      <c r="CL596" s="21"/>
      <c r="CM596" s="35" t="str">
        <f t="shared" ca="1" si="265"/>
        <v>VIGENTE</v>
      </c>
      <c r="CN596" s="82"/>
      <c r="CP596" s="83" t="s">
        <v>1424</v>
      </c>
    </row>
    <row r="597" spans="1:94" ht="24.75" customHeight="1">
      <c r="A597" s="48" t="s">
        <v>4851</v>
      </c>
      <c r="B597" s="77" t="s">
        <v>4852</v>
      </c>
      <c r="C597" s="17" t="s">
        <v>104</v>
      </c>
      <c r="D597" s="18" t="s">
        <v>4853</v>
      </c>
      <c r="E597" s="17" t="s">
        <v>106</v>
      </c>
      <c r="F597" s="17" t="s">
        <v>107</v>
      </c>
      <c r="G597" s="17" t="s">
        <v>108</v>
      </c>
      <c r="H597" s="78">
        <v>1001204005</v>
      </c>
      <c r="I597" s="74" t="s">
        <v>4854</v>
      </c>
      <c r="J597" s="16"/>
      <c r="K597" s="16"/>
      <c r="L597" s="20" t="s">
        <v>4855</v>
      </c>
      <c r="M597" s="16" t="s">
        <v>111</v>
      </c>
      <c r="N597" s="115">
        <v>45338</v>
      </c>
      <c r="O597" s="22">
        <v>45350</v>
      </c>
      <c r="P597" s="115">
        <v>45656</v>
      </c>
      <c r="Q597" s="23">
        <f t="shared" si="253"/>
        <v>306</v>
      </c>
      <c r="R597" s="17" t="s">
        <v>242</v>
      </c>
      <c r="S597" s="117" t="s">
        <v>4856</v>
      </c>
      <c r="T597" s="16" t="s">
        <v>2689</v>
      </c>
      <c r="U597" s="24">
        <v>41195712</v>
      </c>
      <c r="V597" s="16" t="s">
        <v>4857</v>
      </c>
      <c r="W597" s="227">
        <v>37762736</v>
      </c>
      <c r="X597" s="24">
        <v>3432976</v>
      </c>
      <c r="Y597" s="24"/>
      <c r="Z597" s="24"/>
      <c r="AA597" s="17" t="s">
        <v>116</v>
      </c>
      <c r="AB597" s="23" t="str">
        <f>IFERROR(VLOOKUP(AA597,Listas!$A$1:$C$14,2,FALSE),"")</f>
        <v>FREDY CÉSPEDES VILLA</v>
      </c>
      <c r="AC597" s="23">
        <f>IFERROR(VLOOKUP(AA597,Listas!$A$1:$C$14,3,FALSE),"")</f>
        <v>93363483</v>
      </c>
      <c r="AD597" s="17" t="s">
        <v>951</v>
      </c>
      <c r="AE597" s="17" t="s">
        <v>952</v>
      </c>
      <c r="AF597" s="23" t="str">
        <f>IFERROR(VLOOKUP(AE597,Listas!$AD$1:$AF$65,2,FALSE),"")</f>
        <v>ANDRES MAURICIO LUQUE AYALA</v>
      </c>
      <c r="AG597" s="23">
        <f>IFERROR(VLOOKUP(AE597,Listas!$AD$1:$AF$65,3,FALSE),"")</f>
        <v>11443937</v>
      </c>
      <c r="AH597" s="17" t="s">
        <v>118</v>
      </c>
      <c r="AI597" s="65" t="s">
        <v>4858</v>
      </c>
      <c r="AJ597" s="25" t="s">
        <v>119</v>
      </c>
      <c r="AK597" s="26" t="s">
        <v>120</v>
      </c>
      <c r="AL597" s="26" t="s">
        <v>120</v>
      </c>
      <c r="AM597" s="90" t="s">
        <v>119</v>
      </c>
      <c r="AN597" s="105">
        <v>37839</v>
      </c>
      <c r="AO597" s="91">
        <f t="shared" ca="1" si="254"/>
        <v>22</v>
      </c>
      <c r="AP597" s="26" t="s">
        <v>121</v>
      </c>
      <c r="AQ597" s="26" t="s">
        <v>886</v>
      </c>
      <c r="AR597" s="89"/>
      <c r="AS597" s="27"/>
      <c r="AT597" s="16"/>
      <c r="AU597" s="27"/>
      <c r="AV597" s="86"/>
      <c r="AW597" s="27"/>
      <c r="AX597" s="27"/>
      <c r="AY597" s="27"/>
      <c r="AZ597" s="27"/>
      <c r="BA597" s="27"/>
      <c r="BB597" s="27"/>
      <c r="BC597" s="97"/>
      <c r="BD597" s="27"/>
      <c r="BE597" s="16"/>
      <c r="BF597" s="28">
        <f t="shared" si="255"/>
        <v>0</v>
      </c>
      <c r="BG597" s="29"/>
      <c r="BH597" s="27"/>
      <c r="BI597" s="30">
        <f t="shared" si="256"/>
        <v>306</v>
      </c>
      <c r="BJ597" s="31">
        <f t="shared" si="257"/>
        <v>45656</v>
      </c>
      <c r="BK597" s="27"/>
      <c r="BL597" s="16"/>
      <c r="BM597" s="27"/>
      <c r="BN597" s="16"/>
      <c r="BO597" s="27"/>
      <c r="BP597" s="16"/>
      <c r="BQ597" s="27"/>
      <c r="BR597" s="24"/>
      <c r="BS597" s="24"/>
      <c r="BT597" s="32"/>
      <c r="BU597" s="27"/>
      <c r="BV597" s="24"/>
      <c r="BW597" s="24"/>
      <c r="BX597" s="16"/>
      <c r="BY597" s="27"/>
      <c r="BZ597" s="24"/>
      <c r="CA597" s="24"/>
      <c r="CB597" s="16"/>
      <c r="CC597" s="49">
        <f t="shared" si="258"/>
        <v>0</v>
      </c>
      <c r="CD597" s="24"/>
      <c r="CE597" s="49">
        <f t="shared" si="259"/>
        <v>37762736</v>
      </c>
      <c r="CF597" s="50"/>
      <c r="CG597" s="49">
        <f t="shared" ca="1" si="260"/>
        <v>37762736</v>
      </c>
      <c r="CH597" s="33">
        <f t="shared" ca="1" si="261"/>
        <v>1</v>
      </c>
      <c r="CI597" s="33">
        <f t="shared" ca="1" si="262"/>
        <v>1</v>
      </c>
      <c r="CJ597" s="36">
        <f t="shared" ca="1" si="263"/>
        <v>100</v>
      </c>
      <c r="CK597" s="34">
        <f t="shared" si="264"/>
        <v>0</v>
      </c>
      <c r="CL597" s="21"/>
      <c r="CM597" s="35" t="str">
        <f t="shared" ca="1" si="265"/>
        <v>TERMINADO</v>
      </c>
      <c r="CN597" s="82"/>
      <c r="CO597" s="145" t="s">
        <v>4859</v>
      </c>
      <c r="CP597" s="26" t="s">
        <v>142</v>
      </c>
    </row>
    <row r="598" spans="1:94" ht="24.75" customHeight="1">
      <c r="A598" s="109" t="s">
        <v>4860</v>
      </c>
      <c r="B598" s="77" t="s">
        <v>4861</v>
      </c>
      <c r="C598" s="17" t="s">
        <v>104</v>
      </c>
      <c r="D598" s="18" t="s">
        <v>4862</v>
      </c>
      <c r="E598" s="17" t="s">
        <v>106</v>
      </c>
      <c r="F598" s="17" t="s">
        <v>107</v>
      </c>
      <c r="G598" s="17" t="s">
        <v>108</v>
      </c>
      <c r="H598" s="78">
        <v>6014249</v>
      </c>
      <c r="I598" s="74" t="s">
        <v>4863</v>
      </c>
      <c r="J598" s="16"/>
      <c r="K598" s="16"/>
      <c r="L598" s="20" t="s">
        <v>3477</v>
      </c>
      <c r="M598" s="16" t="s">
        <v>111</v>
      </c>
      <c r="N598" s="115">
        <v>45338</v>
      </c>
      <c r="O598" s="22">
        <v>45344</v>
      </c>
      <c r="P598" s="115">
        <v>45656</v>
      </c>
      <c r="Q598" s="23">
        <f t="shared" si="253"/>
        <v>312</v>
      </c>
      <c r="R598" s="17" t="s">
        <v>112</v>
      </c>
      <c r="S598" s="117" t="s">
        <v>4864</v>
      </c>
      <c r="T598" s="16" t="s">
        <v>4865</v>
      </c>
      <c r="U598" s="67">
        <v>64057620</v>
      </c>
      <c r="V598" s="16" t="s">
        <v>216</v>
      </c>
      <c r="W598" s="224">
        <v>64057620</v>
      </c>
      <c r="X598" s="24">
        <v>5338135</v>
      </c>
      <c r="Y598" s="24"/>
      <c r="Z598" s="24"/>
      <c r="AA598" s="17" t="s">
        <v>116</v>
      </c>
      <c r="AB598" s="23" t="str">
        <f>IFERROR(VLOOKUP(AA598,Listas!$A$1:$C$14,2,FALSE),"")</f>
        <v>FREDY CÉSPEDES VILLA</v>
      </c>
      <c r="AC598" s="23">
        <f>IFERROR(VLOOKUP(AA598,Listas!$A$1:$C$14,3,FALSE),"")</f>
        <v>93363483</v>
      </c>
      <c r="AD598" s="17" t="s">
        <v>217</v>
      </c>
      <c r="AE598" s="17" t="s">
        <v>381</v>
      </c>
      <c r="AF598" s="23" t="str">
        <f>IFERROR(VLOOKUP(AE598,Listas!$AD$1:$AF$65,2,FALSE),"")</f>
        <v>MARINA AZUCENA MEDINA SANDOVAL</v>
      </c>
      <c r="AG598" s="23">
        <f>IFERROR(VLOOKUP(AE598,Listas!$AD$1:$AF$65,3,FALSE),"")</f>
        <v>51842510</v>
      </c>
      <c r="AH598" s="17" t="s">
        <v>118</v>
      </c>
      <c r="AI598" s="65" t="s">
        <v>4866</v>
      </c>
      <c r="AJ598" s="25" t="s">
        <v>119</v>
      </c>
      <c r="AK598" s="26" t="s">
        <v>120</v>
      </c>
      <c r="AL598" s="26" t="s">
        <v>120</v>
      </c>
      <c r="AM598" s="90" t="s">
        <v>119</v>
      </c>
      <c r="AN598" s="105">
        <v>27423</v>
      </c>
      <c r="AO598" s="91">
        <f t="shared" ca="1" si="254"/>
        <v>50</v>
      </c>
      <c r="AP598" s="26" t="s">
        <v>121</v>
      </c>
      <c r="AQ598" s="26" t="s">
        <v>220</v>
      </c>
      <c r="AR598" s="89">
        <v>45470</v>
      </c>
      <c r="AS598" s="27" t="s">
        <v>4867</v>
      </c>
      <c r="AT598" s="16">
        <v>46678909</v>
      </c>
      <c r="AU598" s="27" t="s">
        <v>4868</v>
      </c>
      <c r="AV598" s="86">
        <v>36477255</v>
      </c>
      <c r="AW598" s="27"/>
      <c r="AX598" s="27"/>
      <c r="AY598" s="27"/>
      <c r="AZ598" s="27"/>
      <c r="BA598" s="27"/>
      <c r="BB598" s="27"/>
      <c r="BC598" s="97"/>
      <c r="BD598" s="27"/>
      <c r="BE598" s="16"/>
      <c r="BF598" s="28">
        <f t="shared" si="255"/>
        <v>0</v>
      </c>
      <c r="BG598" s="29"/>
      <c r="BH598" s="27"/>
      <c r="BI598" s="30">
        <f t="shared" si="256"/>
        <v>312</v>
      </c>
      <c r="BJ598" s="31">
        <f t="shared" si="257"/>
        <v>45656</v>
      </c>
      <c r="BK598" s="27"/>
      <c r="BL598" s="16"/>
      <c r="BM598" s="27"/>
      <c r="BN598" s="16"/>
      <c r="BO598" s="27"/>
      <c r="BP598" s="16"/>
      <c r="BQ598" s="27"/>
      <c r="BR598" s="24"/>
      <c r="BS598" s="24"/>
      <c r="BT598" s="32"/>
      <c r="BU598" s="27"/>
      <c r="BV598" s="24"/>
      <c r="BW598" s="24"/>
      <c r="BX598" s="16"/>
      <c r="BY598" s="27"/>
      <c r="BZ598" s="24"/>
      <c r="CA598" s="24"/>
      <c r="CB598" s="16"/>
      <c r="CC598" s="49">
        <f t="shared" si="258"/>
        <v>0</v>
      </c>
      <c r="CD598" s="24"/>
      <c r="CE598" s="49">
        <f t="shared" si="259"/>
        <v>64057620</v>
      </c>
      <c r="CF598" s="50"/>
      <c r="CG598" s="49">
        <f t="shared" ca="1" si="260"/>
        <v>64057620</v>
      </c>
      <c r="CH598" s="33">
        <f t="shared" ca="1" si="261"/>
        <v>1</v>
      </c>
      <c r="CI598" s="33">
        <f t="shared" ca="1" si="262"/>
        <v>1</v>
      </c>
      <c r="CJ598" s="36">
        <f t="shared" ca="1" si="263"/>
        <v>100</v>
      </c>
      <c r="CK598" s="34">
        <f t="shared" si="264"/>
        <v>0</v>
      </c>
      <c r="CL598" s="21"/>
      <c r="CM598" s="35" t="str">
        <f t="shared" ca="1" si="265"/>
        <v>TERMINADO</v>
      </c>
      <c r="CN598" s="82"/>
      <c r="CO598" s="145" t="s">
        <v>4869</v>
      </c>
      <c r="CP598" s="26" t="s">
        <v>142</v>
      </c>
    </row>
    <row r="599" spans="1:94" ht="24.75" customHeight="1">
      <c r="A599" s="48" t="s">
        <v>1424</v>
      </c>
      <c r="B599" s="77" t="s">
        <v>4870</v>
      </c>
      <c r="C599" s="17" t="s">
        <v>2927</v>
      </c>
      <c r="D599" s="18" t="s">
        <v>4871</v>
      </c>
      <c r="E599" s="17" t="s">
        <v>2929</v>
      </c>
      <c r="F599" s="17" t="s">
        <v>1426</v>
      </c>
      <c r="G599" s="17" t="s">
        <v>1427</v>
      </c>
      <c r="H599" s="78" t="s">
        <v>4872</v>
      </c>
      <c r="I599" s="74" t="s">
        <v>4873</v>
      </c>
      <c r="J599" s="16" t="s">
        <v>4874</v>
      </c>
      <c r="K599" s="104">
        <v>35497790</v>
      </c>
      <c r="L599" s="20" t="s">
        <v>2933</v>
      </c>
      <c r="M599" s="16"/>
      <c r="N599" s="115">
        <v>45338</v>
      </c>
      <c r="O599" s="22">
        <v>45338</v>
      </c>
      <c r="P599" s="115">
        <v>45704</v>
      </c>
      <c r="Q599" s="23">
        <f t="shared" si="253"/>
        <v>366</v>
      </c>
      <c r="R599" s="17" t="s">
        <v>2934</v>
      </c>
      <c r="S599" s="117" t="s">
        <v>1424</v>
      </c>
      <c r="T599" s="16" t="s">
        <v>1424</v>
      </c>
      <c r="U599" s="67" t="s">
        <v>1424</v>
      </c>
      <c r="V599" s="16" t="s">
        <v>1424</v>
      </c>
      <c r="W599" s="224">
        <v>0</v>
      </c>
      <c r="X599" s="24"/>
      <c r="Y599" s="24" t="s">
        <v>2935</v>
      </c>
      <c r="Z599" s="24"/>
      <c r="AA599" s="17" t="s">
        <v>406</v>
      </c>
      <c r="AB599" s="23" t="str">
        <f>IFERROR(VLOOKUP(AA599,Listas!$A$1:$C$14,2,FALSE),"")</f>
        <v>EDUARDO ELÍAS BARCHA BOLÍVAR</v>
      </c>
      <c r="AC599" s="23">
        <f>IFERROR(VLOOKUP(AA599,Listas!$A$1:$C$14,3,FALSE),"")</f>
        <v>72133921</v>
      </c>
      <c r="AD599" s="17" t="s">
        <v>1533</v>
      </c>
      <c r="AE599" s="17" t="s">
        <v>1534</v>
      </c>
      <c r="AF599" s="23" t="str">
        <f>IFERROR(VLOOKUP(AE599,Listas!$AD$1:$AF$65,2,FALSE),"")</f>
        <v>ESTEBAN GUERRERO ALVAREZ</v>
      </c>
      <c r="AG599" s="23">
        <f>IFERROR(VLOOKUP(AE599,Listas!$AD$1:$AF$65,3,FALSE),"")</f>
        <v>1032460552</v>
      </c>
      <c r="AH599" s="17" t="s">
        <v>2936</v>
      </c>
      <c r="AI599" s="65"/>
      <c r="AJ599" s="25" t="s">
        <v>1435</v>
      </c>
      <c r="AK599" s="26" t="s">
        <v>2071</v>
      </c>
      <c r="AL599" s="26" t="s">
        <v>2071</v>
      </c>
      <c r="AM599" s="90" t="s">
        <v>1435</v>
      </c>
      <c r="AN599" s="105"/>
      <c r="AO599" s="91" t="str">
        <f t="shared" ca="1" si="254"/>
        <v xml:space="preserve"> </v>
      </c>
      <c r="AP599" s="26" t="s">
        <v>2937</v>
      </c>
      <c r="AQ599" s="26" t="s">
        <v>3067</v>
      </c>
      <c r="AR599" s="89"/>
      <c r="AS599" s="27"/>
      <c r="AT599" s="16"/>
      <c r="AU599" s="27"/>
      <c r="AV599" s="86"/>
      <c r="AW599" s="27"/>
      <c r="AX599" s="27"/>
      <c r="AY599" s="27"/>
      <c r="AZ599" s="27"/>
      <c r="BA599" s="27"/>
      <c r="BB599" s="27">
        <v>45702</v>
      </c>
      <c r="BC599" s="97">
        <v>318</v>
      </c>
      <c r="BD599" s="27"/>
      <c r="BE599" s="16"/>
      <c r="BF599" s="28">
        <f t="shared" si="255"/>
        <v>318</v>
      </c>
      <c r="BG599" s="29"/>
      <c r="BH599" s="27"/>
      <c r="BI599" s="30">
        <f t="shared" si="256"/>
        <v>684</v>
      </c>
      <c r="BJ599" s="31">
        <f t="shared" si="257"/>
        <v>46022</v>
      </c>
      <c r="BK599" s="27">
        <v>45702</v>
      </c>
      <c r="BL599" s="16" t="s">
        <v>4875</v>
      </c>
      <c r="BM599" s="27"/>
      <c r="BN599" s="16"/>
      <c r="BO599" s="27"/>
      <c r="BP599" s="16"/>
      <c r="BQ599" s="27"/>
      <c r="BR599" s="24"/>
      <c r="BS599" s="24"/>
      <c r="BT599" s="32"/>
      <c r="BU599" s="27"/>
      <c r="BV599" s="24"/>
      <c r="BW599" s="24"/>
      <c r="BX599" s="16"/>
      <c r="BY599" s="27"/>
      <c r="BZ599" s="24"/>
      <c r="CA599" s="24"/>
      <c r="CB599" s="16"/>
      <c r="CC599" s="49">
        <f t="shared" si="258"/>
        <v>0</v>
      </c>
      <c r="CD599" s="24"/>
      <c r="CE599" s="49" t="str">
        <f>IFERROR(IF(Y599=0,(W599+CC599)-CD599,IF(Y599&gt;0,(Y599+CC599)-CD599)),"")</f>
        <v/>
      </c>
      <c r="CF599" s="50">
        <v>3662710842.25001</v>
      </c>
      <c r="CG599" s="49" t="str">
        <f t="shared" ca="1" si="260"/>
        <v/>
      </c>
      <c r="CH599" s="33">
        <f t="shared" ca="1" si="261"/>
        <v>0.89481481481481484</v>
      </c>
      <c r="CI599" s="33">
        <f t="shared" ca="1" si="262"/>
        <v>0.89481481481481484</v>
      </c>
      <c r="CJ599" s="36" t="str">
        <f t="shared" ca="1" si="263"/>
        <v/>
      </c>
      <c r="CK599" s="34" t="str">
        <f t="shared" si="264"/>
        <v/>
      </c>
      <c r="CL599" s="21"/>
      <c r="CM599" s="35" t="str">
        <f t="shared" ca="1" si="265"/>
        <v>VIGENTE</v>
      </c>
      <c r="CN599" s="82"/>
      <c r="CP599" s="83" t="s">
        <v>1424</v>
      </c>
    </row>
    <row r="600" spans="1:94" ht="24.75" customHeight="1">
      <c r="A600" s="48" t="s">
        <v>1424</v>
      </c>
      <c r="B600" s="77" t="s">
        <v>4876</v>
      </c>
      <c r="C600" s="17" t="s">
        <v>2927</v>
      </c>
      <c r="D600" s="18" t="s">
        <v>4877</v>
      </c>
      <c r="E600" s="17" t="s">
        <v>2929</v>
      </c>
      <c r="F600" s="17" t="s">
        <v>1426</v>
      </c>
      <c r="G600" s="17" t="s">
        <v>1427</v>
      </c>
      <c r="H600" s="78" t="s">
        <v>4878</v>
      </c>
      <c r="I600" s="74" t="s">
        <v>4879</v>
      </c>
      <c r="J600" s="16" t="s">
        <v>4880</v>
      </c>
      <c r="K600" s="104">
        <v>9063970</v>
      </c>
      <c r="L600" s="20" t="s">
        <v>2933</v>
      </c>
      <c r="M600" s="16"/>
      <c r="N600" s="115">
        <v>45338</v>
      </c>
      <c r="O600" s="22">
        <v>45338</v>
      </c>
      <c r="P600" s="115">
        <v>45704</v>
      </c>
      <c r="Q600" s="23">
        <f t="shared" si="253"/>
        <v>366</v>
      </c>
      <c r="R600" s="17" t="s">
        <v>2934</v>
      </c>
      <c r="S600" s="117" t="s">
        <v>1424</v>
      </c>
      <c r="T600" s="16" t="s">
        <v>1424</v>
      </c>
      <c r="U600" s="67" t="s">
        <v>1424</v>
      </c>
      <c r="V600" s="16" t="s">
        <v>1424</v>
      </c>
      <c r="W600" s="224">
        <v>0</v>
      </c>
      <c r="X600" s="24"/>
      <c r="Y600" s="24" t="s">
        <v>2935</v>
      </c>
      <c r="Z600" s="24"/>
      <c r="AA600" s="17" t="s">
        <v>406</v>
      </c>
      <c r="AB600" s="23" t="str">
        <f>IFERROR(VLOOKUP(AA600,Listas!$A$1:$C$14,2,FALSE),"")</f>
        <v>EDUARDO ELÍAS BARCHA BOLÍVAR</v>
      </c>
      <c r="AC600" s="23">
        <f>IFERROR(VLOOKUP(AA600,Listas!$A$1:$C$14,3,FALSE),"")</f>
        <v>72133921</v>
      </c>
      <c r="AD600" s="17" t="s">
        <v>903</v>
      </c>
      <c r="AE600" s="17" t="s">
        <v>904</v>
      </c>
      <c r="AF600" s="23" t="str">
        <f>IFERROR(VLOOKUP(AE600,Listas!$AD$1:$AF$65,2,FALSE),"")</f>
        <v>VIVIANA MARGARITA ROMERO</v>
      </c>
      <c r="AG600" s="23">
        <f>IFERROR(VLOOKUP(AE600,Listas!$AD$1:$AF$65,3,FALSE),"")</f>
        <v>32794946</v>
      </c>
      <c r="AH600" s="17" t="s">
        <v>2936</v>
      </c>
      <c r="AI600" s="65"/>
      <c r="AJ600" s="25" t="s">
        <v>1435</v>
      </c>
      <c r="AK600" s="26" t="s">
        <v>2071</v>
      </c>
      <c r="AL600" s="26" t="s">
        <v>2071</v>
      </c>
      <c r="AM600" s="90" t="s">
        <v>1435</v>
      </c>
      <c r="AN600" s="105"/>
      <c r="AO600" s="91" t="str">
        <f t="shared" ca="1" si="254"/>
        <v xml:space="preserve"> </v>
      </c>
      <c r="AP600" s="26" t="s">
        <v>2937</v>
      </c>
      <c r="AQ600" s="26" t="s">
        <v>3437</v>
      </c>
      <c r="AR600" s="89"/>
      <c r="AS600" s="27"/>
      <c r="AT600" s="16"/>
      <c r="AU600" s="27"/>
      <c r="AV600" s="86"/>
      <c r="AW600" s="27"/>
      <c r="AX600" s="27"/>
      <c r="AY600" s="27"/>
      <c r="AZ600" s="27"/>
      <c r="BA600" s="27"/>
      <c r="BB600" s="27">
        <v>45702</v>
      </c>
      <c r="BC600" s="97">
        <v>318</v>
      </c>
      <c r="BD600" s="27"/>
      <c r="BE600" s="16"/>
      <c r="BF600" s="28">
        <f t="shared" si="255"/>
        <v>318</v>
      </c>
      <c r="BG600" s="29"/>
      <c r="BH600" s="27"/>
      <c r="BI600" s="30">
        <f t="shared" si="256"/>
        <v>684</v>
      </c>
      <c r="BJ600" s="31">
        <f t="shared" si="257"/>
        <v>46022</v>
      </c>
      <c r="BK600" s="27">
        <v>45702</v>
      </c>
      <c r="BL600" s="16" t="s">
        <v>4881</v>
      </c>
      <c r="BM600" s="27"/>
      <c r="BN600" s="16"/>
      <c r="BO600" s="27"/>
      <c r="BP600" s="16"/>
      <c r="BQ600" s="27"/>
      <c r="BR600" s="24"/>
      <c r="BS600" s="24"/>
      <c r="BT600" s="32"/>
      <c r="BU600" s="27"/>
      <c r="BV600" s="24"/>
      <c r="BW600" s="24"/>
      <c r="BX600" s="16"/>
      <c r="BY600" s="27"/>
      <c r="BZ600" s="24"/>
      <c r="CA600" s="24"/>
      <c r="CB600" s="16"/>
      <c r="CC600" s="49">
        <f t="shared" si="258"/>
        <v>0</v>
      </c>
      <c r="CD600" s="24"/>
      <c r="CE600" s="49" t="str">
        <f>IFERROR(IF(Y600=0,(W600+CC600)-CD600,IF(Y600&gt;0,(Y600+CC600)-CD600)),"")</f>
        <v/>
      </c>
      <c r="CF600" s="50">
        <v>293505184</v>
      </c>
      <c r="CG600" s="49" t="str">
        <f t="shared" ca="1" si="260"/>
        <v/>
      </c>
      <c r="CH600" s="33">
        <f t="shared" ca="1" si="261"/>
        <v>0.89481481481481484</v>
      </c>
      <c r="CI600" s="33">
        <f t="shared" ca="1" si="262"/>
        <v>0.89481481481481484</v>
      </c>
      <c r="CJ600" s="36" t="str">
        <f t="shared" ca="1" si="263"/>
        <v/>
      </c>
      <c r="CK600" s="34" t="str">
        <f t="shared" si="264"/>
        <v/>
      </c>
      <c r="CL600" s="21"/>
      <c r="CM600" s="35" t="str">
        <f t="shared" ca="1" si="265"/>
        <v>VIGENTE</v>
      </c>
      <c r="CN600" s="82"/>
      <c r="CP600" s="83" t="s">
        <v>1424</v>
      </c>
    </row>
    <row r="601" spans="1:94" ht="24.75" customHeight="1">
      <c r="A601" s="48" t="s">
        <v>4882</v>
      </c>
      <c r="B601" s="77" t="s">
        <v>4883</v>
      </c>
      <c r="C601" s="17" t="s">
        <v>104</v>
      </c>
      <c r="D601" s="18" t="s">
        <v>4884</v>
      </c>
      <c r="E601" s="17" t="s">
        <v>106</v>
      </c>
      <c r="F601" s="17" t="s">
        <v>107</v>
      </c>
      <c r="G601" s="17" t="s">
        <v>108</v>
      </c>
      <c r="H601" s="78">
        <v>63552439</v>
      </c>
      <c r="I601" s="74" t="s">
        <v>4885</v>
      </c>
      <c r="J601" s="16"/>
      <c r="K601" s="16"/>
      <c r="L601" s="20" t="s">
        <v>4886</v>
      </c>
      <c r="M601" s="16" t="s">
        <v>111</v>
      </c>
      <c r="N601" s="115">
        <v>45338</v>
      </c>
      <c r="O601" s="22">
        <v>45343</v>
      </c>
      <c r="P601" s="115">
        <v>45627</v>
      </c>
      <c r="Q601" s="23">
        <f t="shared" si="253"/>
        <v>284</v>
      </c>
      <c r="R601" s="17" t="s">
        <v>242</v>
      </c>
      <c r="S601" s="117" t="s">
        <v>4887</v>
      </c>
      <c r="T601" s="16" t="s">
        <v>1345</v>
      </c>
      <c r="U601" s="67">
        <v>73550400</v>
      </c>
      <c r="V601" s="16" t="s">
        <v>344</v>
      </c>
      <c r="W601" s="224">
        <v>73550400</v>
      </c>
      <c r="X601" s="24">
        <v>7335040</v>
      </c>
      <c r="Y601" s="24"/>
      <c r="Z601" s="24"/>
      <c r="AA601" s="17" t="s">
        <v>116</v>
      </c>
      <c r="AB601" s="23" t="str">
        <f>IFERROR(VLOOKUP(AA601,Listas!$A$1:$C$14,2,FALSE),"")</f>
        <v>FREDY CÉSPEDES VILLA</v>
      </c>
      <c r="AC601" s="23">
        <f>IFERROR(VLOOKUP(AA601,Listas!$A$1:$C$14,3,FALSE),"")</f>
        <v>93363483</v>
      </c>
      <c r="AD601" s="17" t="s">
        <v>345</v>
      </c>
      <c r="AE601" s="17" t="s">
        <v>1062</v>
      </c>
      <c r="AF601" s="23" t="str">
        <f>IFERROR(VLOOKUP(AE601,Listas!$AD$1:$AF$65,2,FALSE),"")</f>
        <v>LIBIA ESPERANZA FONSECA MARÍN</v>
      </c>
      <c r="AG601" s="23">
        <f>IFERROR(VLOOKUP(AE601,Listas!$AD$1:$AF$65,3,FALSE),"")</f>
        <v>52207089</v>
      </c>
      <c r="AH601" s="17" t="s">
        <v>118</v>
      </c>
      <c r="AI601" s="65" t="s">
        <v>4888</v>
      </c>
      <c r="AJ601" s="25" t="s">
        <v>119</v>
      </c>
      <c r="AK601" s="26" t="s">
        <v>120</v>
      </c>
      <c r="AL601" s="26" t="s">
        <v>120</v>
      </c>
      <c r="AM601" s="90" t="s">
        <v>119</v>
      </c>
      <c r="AN601" s="105">
        <v>30916</v>
      </c>
      <c r="AO601" s="91">
        <f t="shared" ca="1" si="254"/>
        <v>41</v>
      </c>
      <c r="AP601" s="26" t="s">
        <v>121</v>
      </c>
      <c r="AQ601" s="26" t="s">
        <v>367</v>
      </c>
      <c r="AR601" s="89"/>
      <c r="AS601" s="27"/>
      <c r="AT601" s="16"/>
      <c r="AU601" s="27"/>
      <c r="AV601" s="86"/>
      <c r="AW601" s="27"/>
      <c r="AX601" s="27"/>
      <c r="AY601" s="27"/>
      <c r="AZ601" s="27"/>
      <c r="BA601" s="27"/>
      <c r="BB601" s="27"/>
      <c r="BC601" s="97"/>
      <c r="BD601" s="27"/>
      <c r="BE601" s="16"/>
      <c r="BF601" s="28">
        <f t="shared" si="255"/>
        <v>0</v>
      </c>
      <c r="BG601" s="29"/>
      <c r="BH601" s="27"/>
      <c r="BI601" s="30">
        <f t="shared" si="256"/>
        <v>284</v>
      </c>
      <c r="BJ601" s="31">
        <f t="shared" si="257"/>
        <v>45627</v>
      </c>
      <c r="BK601" s="27"/>
      <c r="BL601" s="16"/>
      <c r="BM601" s="27"/>
      <c r="BN601" s="16"/>
      <c r="BO601" s="27"/>
      <c r="BP601" s="16"/>
      <c r="BQ601" s="27"/>
      <c r="BR601" s="24"/>
      <c r="BS601" s="24"/>
      <c r="BT601" s="32"/>
      <c r="BU601" s="27"/>
      <c r="BV601" s="24"/>
      <c r="BW601" s="24"/>
      <c r="BX601" s="16"/>
      <c r="BY601" s="27"/>
      <c r="BZ601" s="24"/>
      <c r="CA601" s="24"/>
      <c r="CB601" s="16"/>
      <c r="CC601" s="49">
        <f t="shared" si="258"/>
        <v>0</v>
      </c>
      <c r="CD601" s="24"/>
      <c r="CE601" s="49">
        <f t="shared" si="259"/>
        <v>73550400</v>
      </c>
      <c r="CF601" s="50"/>
      <c r="CG601" s="49">
        <f t="shared" ca="1" si="260"/>
        <v>73550400</v>
      </c>
      <c r="CH601" s="33">
        <f t="shared" ca="1" si="261"/>
        <v>1</v>
      </c>
      <c r="CI601" s="33">
        <f t="shared" ca="1" si="262"/>
        <v>1</v>
      </c>
      <c r="CJ601" s="36">
        <f t="shared" ca="1" si="263"/>
        <v>100</v>
      </c>
      <c r="CK601" s="34">
        <f t="shared" si="264"/>
        <v>0</v>
      </c>
      <c r="CL601" s="21"/>
      <c r="CM601" s="35" t="str">
        <f t="shared" ca="1" si="265"/>
        <v>TERMINADO</v>
      </c>
      <c r="CN601" s="82"/>
      <c r="CO601" s="145" t="s">
        <v>4889</v>
      </c>
      <c r="CP601" s="26" t="s">
        <v>123</v>
      </c>
    </row>
    <row r="602" spans="1:94" ht="24.75" customHeight="1">
      <c r="A602" s="48" t="s">
        <v>4890</v>
      </c>
      <c r="B602" s="77" t="s">
        <v>4891</v>
      </c>
      <c r="C602" s="17" t="s">
        <v>104</v>
      </c>
      <c r="D602" s="18" t="s">
        <v>4892</v>
      </c>
      <c r="E602" s="17" t="s">
        <v>106</v>
      </c>
      <c r="F602" s="17" t="s">
        <v>107</v>
      </c>
      <c r="G602" s="17" t="s">
        <v>108</v>
      </c>
      <c r="H602" s="78">
        <v>39627133</v>
      </c>
      <c r="I602" s="74" t="s">
        <v>4893</v>
      </c>
      <c r="J602" s="16"/>
      <c r="K602" s="16"/>
      <c r="L602" s="20" t="s">
        <v>3258</v>
      </c>
      <c r="M602" s="16" t="s">
        <v>111</v>
      </c>
      <c r="N602" s="115">
        <v>45338</v>
      </c>
      <c r="O602" s="22">
        <v>45344</v>
      </c>
      <c r="P602" s="115">
        <v>45656</v>
      </c>
      <c r="Q602" s="23">
        <f t="shared" si="253"/>
        <v>312</v>
      </c>
      <c r="R602" s="17" t="s">
        <v>242</v>
      </c>
      <c r="S602" s="117" t="s">
        <v>4894</v>
      </c>
      <c r="T602" s="16" t="s">
        <v>425</v>
      </c>
      <c r="U602" s="67">
        <v>71534167</v>
      </c>
      <c r="V602" s="16" t="s">
        <v>426</v>
      </c>
      <c r="W602" s="224">
        <v>64585134</v>
      </c>
      <c r="X602" s="24">
        <v>6131500</v>
      </c>
      <c r="Y602" s="24"/>
      <c r="Z602" s="24"/>
      <c r="AA602" s="17" t="s">
        <v>116</v>
      </c>
      <c r="AB602" s="23" t="str">
        <f>IFERROR(VLOOKUP(AA602,Listas!$A$1:$C$14,2,FALSE),"")</f>
        <v>FREDY CÉSPEDES VILLA</v>
      </c>
      <c r="AC602" s="23">
        <f>IFERROR(VLOOKUP(AA602,Listas!$A$1:$C$14,3,FALSE),"")</f>
        <v>93363483</v>
      </c>
      <c r="AD602" s="17" t="s">
        <v>427</v>
      </c>
      <c r="AE602" s="17" t="s">
        <v>428</v>
      </c>
      <c r="AF602" s="23" t="str">
        <f>IFERROR(VLOOKUP(AE602,Listas!$AD$1:$AF$65,2,FALSE),"")</f>
        <v>DINORAH PATRICIA ABADIA MURILLO</v>
      </c>
      <c r="AG602" s="23">
        <f>IFERROR(VLOOKUP(AE602,Listas!$AD$1:$AF$65,3,FALSE),"")</f>
        <v>52220857</v>
      </c>
      <c r="AH602" s="17" t="s">
        <v>118</v>
      </c>
      <c r="AI602" s="65" t="s">
        <v>4895</v>
      </c>
      <c r="AJ602" s="25" t="s">
        <v>119</v>
      </c>
      <c r="AK602" s="26" t="s">
        <v>120</v>
      </c>
      <c r="AL602" s="26" t="s">
        <v>120</v>
      </c>
      <c r="AM602" s="90" t="s">
        <v>119</v>
      </c>
      <c r="AN602" s="105">
        <v>28256</v>
      </c>
      <c r="AO602" s="91">
        <f t="shared" ca="1" si="254"/>
        <v>48</v>
      </c>
      <c r="AP602" s="26" t="s">
        <v>121</v>
      </c>
      <c r="AQ602" s="26" t="s">
        <v>1272</v>
      </c>
      <c r="AR602" s="89"/>
      <c r="AS602" s="27"/>
      <c r="AT602" s="16"/>
      <c r="AU602" s="27"/>
      <c r="AV602" s="86"/>
      <c r="AW602" s="27"/>
      <c r="AX602" s="27"/>
      <c r="AY602" s="27"/>
      <c r="AZ602" s="27"/>
      <c r="BA602" s="27"/>
      <c r="BB602" s="27"/>
      <c r="BC602" s="97"/>
      <c r="BD602" s="27"/>
      <c r="BE602" s="16"/>
      <c r="BF602" s="28">
        <f t="shared" si="255"/>
        <v>0</v>
      </c>
      <c r="BG602" s="29"/>
      <c r="BH602" s="27"/>
      <c r="BI602" s="30">
        <f t="shared" si="256"/>
        <v>312</v>
      </c>
      <c r="BJ602" s="31">
        <f t="shared" si="257"/>
        <v>45656</v>
      </c>
      <c r="BK602" s="27"/>
      <c r="BL602" s="16"/>
      <c r="BM602" s="27"/>
      <c r="BN602" s="16"/>
      <c r="BO602" s="27"/>
      <c r="BP602" s="16"/>
      <c r="BQ602" s="27"/>
      <c r="BR602" s="24"/>
      <c r="BS602" s="24"/>
      <c r="BT602" s="32"/>
      <c r="BU602" s="27"/>
      <c r="BV602" s="24"/>
      <c r="BW602" s="24"/>
      <c r="BX602" s="16"/>
      <c r="BY602" s="27"/>
      <c r="BZ602" s="24"/>
      <c r="CA602" s="24"/>
      <c r="CB602" s="16"/>
      <c r="CC602" s="49">
        <f t="shared" si="258"/>
        <v>0</v>
      </c>
      <c r="CD602" s="24"/>
      <c r="CE602" s="49">
        <f t="shared" si="259"/>
        <v>64585134</v>
      </c>
      <c r="CF602" s="50"/>
      <c r="CG602" s="49">
        <f t="shared" ca="1" si="260"/>
        <v>64585134</v>
      </c>
      <c r="CH602" s="33">
        <f t="shared" ca="1" si="261"/>
        <v>1</v>
      </c>
      <c r="CI602" s="33">
        <f t="shared" ca="1" si="262"/>
        <v>1</v>
      </c>
      <c r="CJ602" s="36">
        <f t="shared" ca="1" si="263"/>
        <v>100</v>
      </c>
      <c r="CK602" s="34">
        <f t="shared" si="264"/>
        <v>0</v>
      </c>
      <c r="CL602" s="21"/>
      <c r="CM602" s="35" t="str">
        <f t="shared" ca="1" si="265"/>
        <v>TERMINADO</v>
      </c>
      <c r="CN602" s="82"/>
      <c r="CO602" s="145" t="s">
        <v>4896</v>
      </c>
      <c r="CP602" s="26" t="s">
        <v>123</v>
      </c>
    </row>
    <row r="603" spans="1:94" ht="24.75" customHeight="1">
      <c r="A603" s="48" t="s">
        <v>4897</v>
      </c>
      <c r="B603" s="77" t="s">
        <v>4898</v>
      </c>
      <c r="C603" s="17" t="s">
        <v>104</v>
      </c>
      <c r="D603" s="18" t="s">
        <v>4899</v>
      </c>
      <c r="E603" s="17" t="s">
        <v>106</v>
      </c>
      <c r="F603" s="17" t="s">
        <v>107</v>
      </c>
      <c r="G603" s="17" t="s">
        <v>108</v>
      </c>
      <c r="H603" s="78">
        <v>80853568</v>
      </c>
      <c r="I603" s="74" t="s">
        <v>4900</v>
      </c>
      <c r="J603" s="16"/>
      <c r="K603" s="16"/>
      <c r="L603" s="20" t="s">
        <v>4901</v>
      </c>
      <c r="M603" s="16" t="s">
        <v>111</v>
      </c>
      <c r="N603" s="115">
        <v>45338</v>
      </c>
      <c r="O603" s="22">
        <v>45342</v>
      </c>
      <c r="P603" s="115">
        <v>45656</v>
      </c>
      <c r="Q603" s="23">
        <f t="shared" si="253"/>
        <v>314</v>
      </c>
      <c r="R603" s="17" t="s">
        <v>242</v>
      </c>
      <c r="S603" s="117" t="s">
        <v>4902</v>
      </c>
      <c r="T603" s="16" t="s">
        <v>997</v>
      </c>
      <c r="U603" s="67">
        <v>124583333</v>
      </c>
      <c r="V603" s="16" t="s">
        <v>3421</v>
      </c>
      <c r="W603" s="224">
        <v>124583333</v>
      </c>
      <c r="X603" s="24">
        <v>11500000</v>
      </c>
      <c r="Y603" s="24"/>
      <c r="Z603" s="24"/>
      <c r="AA603" s="17" t="s">
        <v>116</v>
      </c>
      <c r="AB603" s="23" t="str">
        <f>IFERROR(VLOOKUP(AA603,Listas!$A$1:$C$14,2,FALSE),"")</f>
        <v>FREDY CÉSPEDES VILLA</v>
      </c>
      <c r="AC603" s="23">
        <f>IFERROR(VLOOKUP(AA603,Listas!$A$1:$C$14,3,FALSE),"")</f>
        <v>93363483</v>
      </c>
      <c r="AD603" s="17" t="s">
        <v>816</v>
      </c>
      <c r="AE603" s="17" t="s">
        <v>1450</v>
      </c>
      <c r="AF603" s="23" t="str">
        <f>IFERROR(VLOOKUP(AE603,Listas!$AD$1:$AF$65,2,FALSE),"")</f>
        <v>LINA MARIA CRUZ SILVA</v>
      </c>
      <c r="AG603" s="23">
        <f>IFERROR(VLOOKUP(AE603,Listas!$AD$1:$AF$65,3,FALSE),"")</f>
        <v>52423537</v>
      </c>
      <c r="AH603" s="17" t="s">
        <v>118</v>
      </c>
      <c r="AI603" s="65" t="s">
        <v>4903</v>
      </c>
      <c r="AJ603" s="25" t="s">
        <v>119</v>
      </c>
      <c r="AK603" s="26" t="s">
        <v>120</v>
      </c>
      <c r="AL603" s="26" t="s">
        <v>120</v>
      </c>
      <c r="AM603" s="90" t="s">
        <v>119</v>
      </c>
      <c r="AN603" s="105">
        <v>31140</v>
      </c>
      <c r="AO603" s="91">
        <f t="shared" ca="1" si="254"/>
        <v>40</v>
      </c>
      <c r="AP603" s="26" t="s">
        <v>121</v>
      </c>
      <c r="AQ603" s="26" t="s">
        <v>515</v>
      </c>
      <c r="AR603" s="89">
        <v>45443</v>
      </c>
      <c r="AS603" s="176" t="s">
        <v>4904</v>
      </c>
      <c r="AT603" s="176">
        <v>52740564</v>
      </c>
      <c r="AU603" s="20" t="s">
        <v>4901</v>
      </c>
      <c r="AV603" s="86">
        <v>86250000</v>
      </c>
      <c r="AW603" s="27"/>
      <c r="AX603" s="27"/>
      <c r="AY603" s="27"/>
      <c r="AZ603" s="27"/>
      <c r="BA603" s="27"/>
      <c r="BB603" s="27"/>
      <c r="BC603" s="97"/>
      <c r="BD603" s="27"/>
      <c r="BE603" s="16"/>
      <c r="BF603" s="28">
        <f t="shared" si="255"/>
        <v>0</v>
      </c>
      <c r="BG603" s="29"/>
      <c r="BH603" s="27"/>
      <c r="BI603" s="30">
        <f t="shared" si="256"/>
        <v>314</v>
      </c>
      <c r="BJ603" s="31">
        <f t="shared" si="257"/>
        <v>45656</v>
      </c>
      <c r="BK603" s="27"/>
      <c r="BL603" s="16"/>
      <c r="BM603" s="27"/>
      <c r="BN603" s="16"/>
      <c r="BO603" s="27"/>
      <c r="BP603" s="16"/>
      <c r="BQ603" s="27"/>
      <c r="BR603" s="24"/>
      <c r="BS603" s="24"/>
      <c r="BT603" s="32"/>
      <c r="BU603" s="27"/>
      <c r="BV603" s="24"/>
      <c r="BW603" s="24"/>
      <c r="BX603" s="16"/>
      <c r="BY603" s="27"/>
      <c r="BZ603" s="24"/>
      <c r="CA603" s="24"/>
      <c r="CB603" s="16"/>
      <c r="CC603" s="49">
        <f t="shared" si="258"/>
        <v>0</v>
      </c>
      <c r="CD603" s="24"/>
      <c r="CE603" s="49">
        <f t="shared" si="259"/>
        <v>124583333</v>
      </c>
      <c r="CF603" s="50"/>
      <c r="CG603" s="49">
        <f t="shared" ca="1" si="260"/>
        <v>124583333</v>
      </c>
      <c r="CH603" s="33">
        <f t="shared" ca="1" si="261"/>
        <v>1</v>
      </c>
      <c r="CI603" s="33">
        <f t="shared" ca="1" si="262"/>
        <v>1</v>
      </c>
      <c r="CJ603" s="36">
        <f t="shared" ca="1" si="263"/>
        <v>100</v>
      </c>
      <c r="CK603" s="34">
        <f t="shared" si="264"/>
        <v>0</v>
      </c>
      <c r="CL603" s="21"/>
      <c r="CM603" s="35" t="str">
        <f t="shared" ca="1" si="265"/>
        <v>TERMINADO</v>
      </c>
      <c r="CN603" s="82"/>
      <c r="CO603" s="145" t="s">
        <v>4905</v>
      </c>
      <c r="CP603" s="26" t="s">
        <v>142</v>
      </c>
    </row>
    <row r="604" spans="1:94" ht="24.75" customHeight="1">
      <c r="A604" s="48" t="s">
        <v>4906</v>
      </c>
      <c r="B604" s="77" t="s">
        <v>4907</v>
      </c>
      <c r="C604" s="17" t="s">
        <v>104</v>
      </c>
      <c r="D604" s="18" t="s">
        <v>4908</v>
      </c>
      <c r="E604" s="17" t="s">
        <v>106</v>
      </c>
      <c r="F604" s="17" t="s">
        <v>107</v>
      </c>
      <c r="G604" s="17" t="s">
        <v>108</v>
      </c>
      <c r="H604" s="78">
        <v>79686723</v>
      </c>
      <c r="I604" s="74" t="s">
        <v>4909</v>
      </c>
      <c r="J604" s="16"/>
      <c r="K604" s="16"/>
      <c r="L604" s="20" t="s">
        <v>3867</v>
      </c>
      <c r="M604" s="16" t="s">
        <v>111</v>
      </c>
      <c r="N604" s="115">
        <v>45341</v>
      </c>
      <c r="O604" s="22">
        <v>45345</v>
      </c>
      <c r="P604" s="115">
        <v>45656</v>
      </c>
      <c r="Q604" s="23">
        <f t="shared" si="253"/>
        <v>311</v>
      </c>
      <c r="R604" s="17" t="s">
        <v>242</v>
      </c>
      <c r="S604" s="117" t="s">
        <v>4910</v>
      </c>
      <c r="T604" s="16" t="s">
        <v>1345</v>
      </c>
      <c r="U604" s="67">
        <v>63387456</v>
      </c>
      <c r="V604" s="16" t="s">
        <v>344</v>
      </c>
      <c r="W604" s="224">
        <v>63387456</v>
      </c>
      <c r="X604" s="24">
        <v>5762496</v>
      </c>
      <c r="Y604" s="24"/>
      <c r="Z604" s="24"/>
      <c r="AA604" s="17" t="s">
        <v>116</v>
      </c>
      <c r="AB604" s="23" t="str">
        <f>IFERROR(VLOOKUP(AA604,Listas!$A$1:$C$14,2,FALSE),"")</f>
        <v>FREDY CÉSPEDES VILLA</v>
      </c>
      <c r="AC604" s="23">
        <f>IFERROR(VLOOKUP(AA604,Listas!$A$1:$C$14,3,FALSE),"")</f>
        <v>93363483</v>
      </c>
      <c r="AD604" s="17" t="s">
        <v>1533</v>
      </c>
      <c r="AE604" s="17" t="s">
        <v>1534</v>
      </c>
      <c r="AF604" s="23" t="str">
        <f>IFERROR(VLOOKUP(AE604,Listas!$AD$1:$AF$65,2,FALSE),"")</f>
        <v>ESTEBAN GUERRERO ALVAREZ</v>
      </c>
      <c r="AG604" s="23">
        <f>IFERROR(VLOOKUP(AE604,Listas!$AD$1:$AF$65,3,FALSE),"")</f>
        <v>1032460552</v>
      </c>
      <c r="AH604" s="17" t="s">
        <v>118</v>
      </c>
      <c r="AI604" s="65" t="s">
        <v>2158</v>
      </c>
      <c r="AJ604" s="25" t="s">
        <v>119</v>
      </c>
      <c r="AK604" s="26" t="s">
        <v>120</v>
      </c>
      <c r="AL604" s="26" t="s">
        <v>120</v>
      </c>
      <c r="AM604" s="90" t="s">
        <v>119</v>
      </c>
      <c r="AN604" s="105">
        <v>27450</v>
      </c>
      <c r="AO604" s="91">
        <f t="shared" ca="1" si="254"/>
        <v>50</v>
      </c>
      <c r="AP604" s="26" t="s">
        <v>121</v>
      </c>
      <c r="AQ604" s="26" t="s">
        <v>327</v>
      </c>
      <c r="AR604" s="89"/>
      <c r="AS604" s="27"/>
      <c r="AT604" s="16"/>
      <c r="AU604" s="27"/>
      <c r="AV604" s="86"/>
      <c r="AW604" s="27"/>
      <c r="AX604" s="27"/>
      <c r="AY604" s="27"/>
      <c r="AZ604" s="27"/>
      <c r="BA604" s="27"/>
      <c r="BB604" s="27"/>
      <c r="BC604" s="97"/>
      <c r="BD604" s="27"/>
      <c r="BE604" s="16"/>
      <c r="BF604" s="28">
        <f t="shared" si="255"/>
        <v>0</v>
      </c>
      <c r="BG604" s="29"/>
      <c r="BH604" s="27"/>
      <c r="BI604" s="30">
        <f t="shared" si="256"/>
        <v>311</v>
      </c>
      <c r="BJ604" s="31">
        <f t="shared" si="257"/>
        <v>45656</v>
      </c>
      <c r="BK604" s="27"/>
      <c r="BL604" s="16"/>
      <c r="BM604" s="27"/>
      <c r="BN604" s="16"/>
      <c r="BO604" s="27"/>
      <c r="BP604" s="16"/>
      <c r="BQ604" s="27"/>
      <c r="BR604" s="24"/>
      <c r="BS604" s="24"/>
      <c r="BT604" s="32"/>
      <c r="BU604" s="27"/>
      <c r="BV604" s="24"/>
      <c r="BW604" s="24"/>
      <c r="BX604" s="16"/>
      <c r="BY604" s="27"/>
      <c r="BZ604" s="24"/>
      <c r="CA604" s="24"/>
      <c r="CB604" s="16"/>
      <c r="CC604" s="49">
        <f t="shared" si="258"/>
        <v>0</v>
      </c>
      <c r="CD604" s="24"/>
      <c r="CE604" s="49">
        <f t="shared" si="259"/>
        <v>63387456</v>
      </c>
      <c r="CF604" s="50"/>
      <c r="CG604" s="49">
        <f t="shared" ca="1" si="260"/>
        <v>63387456</v>
      </c>
      <c r="CH604" s="33">
        <f t="shared" ca="1" si="261"/>
        <v>1</v>
      </c>
      <c r="CI604" s="33">
        <f t="shared" ca="1" si="262"/>
        <v>1</v>
      </c>
      <c r="CJ604" s="36">
        <f t="shared" ca="1" si="263"/>
        <v>100</v>
      </c>
      <c r="CK604" s="34">
        <f t="shared" si="264"/>
        <v>0</v>
      </c>
      <c r="CL604" s="21"/>
      <c r="CM604" s="35" t="str">
        <f t="shared" ca="1" si="265"/>
        <v>TERMINADO</v>
      </c>
      <c r="CN604" s="82"/>
      <c r="CO604" s="145" t="s">
        <v>4911</v>
      </c>
      <c r="CP604" s="26" t="s">
        <v>142</v>
      </c>
    </row>
    <row r="605" spans="1:94" ht="24.75" customHeight="1">
      <c r="A605" s="48" t="s">
        <v>4912</v>
      </c>
      <c r="B605" s="77" t="s">
        <v>4913</v>
      </c>
      <c r="C605" s="17" t="s">
        <v>104</v>
      </c>
      <c r="D605" s="18" t="s">
        <v>4914</v>
      </c>
      <c r="E605" s="17" t="s">
        <v>106</v>
      </c>
      <c r="F605" s="17" t="s">
        <v>107</v>
      </c>
      <c r="G605" s="17" t="s">
        <v>108</v>
      </c>
      <c r="H605" s="78">
        <v>1032498455</v>
      </c>
      <c r="I605" s="74" t="s">
        <v>4915</v>
      </c>
      <c r="J605" s="16"/>
      <c r="K605" s="16"/>
      <c r="L605" s="20" t="s">
        <v>4916</v>
      </c>
      <c r="M605" s="16" t="s">
        <v>111</v>
      </c>
      <c r="N605" s="115">
        <v>45341</v>
      </c>
      <c r="O605" s="22">
        <v>45343</v>
      </c>
      <c r="P605" s="115">
        <v>45656</v>
      </c>
      <c r="Q605" s="23">
        <f t="shared" si="253"/>
        <v>313</v>
      </c>
      <c r="R605" s="17" t="s">
        <v>242</v>
      </c>
      <c r="S605" s="117" t="s">
        <v>4917</v>
      </c>
      <c r="T605" s="16" t="s">
        <v>1345</v>
      </c>
      <c r="U605" s="67">
        <v>38365625</v>
      </c>
      <c r="V605" s="16" t="s">
        <v>344</v>
      </c>
      <c r="W605" s="224">
        <v>38365625</v>
      </c>
      <c r="X605" s="24">
        <v>3650774</v>
      </c>
      <c r="Y605" s="24"/>
      <c r="Z605" s="24"/>
      <c r="AA605" s="17" t="s">
        <v>116</v>
      </c>
      <c r="AB605" s="23" t="str">
        <f>IFERROR(VLOOKUP(AA605,Listas!$A$1:$C$14,2,FALSE),"")</f>
        <v>FREDY CÉSPEDES VILLA</v>
      </c>
      <c r="AC605" s="23">
        <f>IFERROR(VLOOKUP(AA605,Listas!$A$1:$C$14,3,FALSE),"")</f>
        <v>93363483</v>
      </c>
      <c r="AD605" s="17" t="s">
        <v>345</v>
      </c>
      <c r="AE605" s="17" t="s">
        <v>346</v>
      </c>
      <c r="AF605" s="23" t="str">
        <f>IFERROR(VLOOKUP(AE605,Listas!$AD$1:$AF$65,2,FALSE),"")</f>
        <v>RODOLFO GIOVANNI CANCHILA SUÁREZ</v>
      </c>
      <c r="AG605" s="23">
        <f>IFERROR(VLOOKUP(AE605,Listas!$AD$1:$AF$65,3,FALSE),"")</f>
        <v>79672493</v>
      </c>
      <c r="AH605" s="17" t="s">
        <v>118</v>
      </c>
      <c r="AI605" s="65" t="s">
        <v>4918</v>
      </c>
      <c r="AJ605" s="25" t="s">
        <v>119</v>
      </c>
      <c r="AK605" s="26" t="s">
        <v>120</v>
      </c>
      <c r="AL605" s="26" t="s">
        <v>120</v>
      </c>
      <c r="AM605" s="90" t="s">
        <v>119</v>
      </c>
      <c r="AN605" s="105">
        <v>35953</v>
      </c>
      <c r="AO605" s="91">
        <f t="shared" ca="1" si="254"/>
        <v>27</v>
      </c>
      <c r="AP605" s="26" t="s">
        <v>121</v>
      </c>
      <c r="AQ605" s="26" t="s">
        <v>347</v>
      </c>
      <c r="AR605" s="89"/>
      <c r="AS605" s="27"/>
      <c r="AT605" s="16"/>
      <c r="AU605" s="27"/>
      <c r="AV605" s="86"/>
      <c r="AW605" s="27"/>
      <c r="AX605" s="27"/>
      <c r="AY605" s="27"/>
      <c r="AZ605" s="27"/>
      <c r="BA605" s="27"/>
      <c r="BB605" s="27"/>
      <c r="BC605" s="97"/>
      <c r="BD605" s="27"/>
      <c r="BE605" s="16"/>
      <c r="BF605" s="28">
        <f t="shared" si="255"/>
        <v>0</v>
      </c>
      <c r="BG605" s="29"/>
      <c r="BH605" s="27"/>
      <c r="BI605" s="30">
        <f t="shared" si="256"/>
        <v>313</v>
      </c>
      <c r="BJ605" s="31">
        <f t="shared" si="257"/>
        <v>45656</v>
      </c>
      <c r="BK605" s="27"/>
      <c r="BL605" s="16"/>
      <c r="BM605" s="27"/>
      <c r="BN605" s="16"/>
      <c r="BO605" s="27"/>
      <c r="BP605" s="16"/>
      <c r="BQ605" s="27"/>
      <c r="BR605" s="24"/>
      <c r="BS605" s="24"/>
      <c r="BT605" s="32"/>
      <c r="BU605" s="27"/>
      <c r="BV605" s="24"/>
      <c r="BW605" s="24"/>
      <c r="BX605" s="16"/>
      <c r="BY605" s="27"/>
      <c r="BZ605" s="24"/>
      <c r="CA605" s="24"/>
      <c r="CB605" s="16"/>
      <c r="CC605" s="49">
        <f t="shared" si="258"/>
        <v>0</v>
      </c>
      <c r="CD605" s="24"/>
      <c r="CE605" s="49">
        <f t="shared" si="259"/>
        <v>38365625</v>
      </c>
      <c r="CF605" s="50"/>
      <c r="CG605" s="49">
        <f t="shared" ca="1" si="260"/>
        <v>38365625</v>
      </c>
      <c r="CH605" s="33">
        <f t="shared" ca="1" si="261"/>
        <v>1</v>
      </c>
      <c r="CI605" s="33">
        <f t="shared" ca="1" si="262"/>
        <v>1</v>
      </c>
      <c r="CJ605" s="36">
        <f t="shared" ca="1" si="263"/>
        <v>100</v>
      </c>
      <c r="CK605" s="34">
        <f t="shared" si="264"/>
        <v>0</v>
      </c>
      <c r="CL605" s="21"/>
      <c r="CM605" s="35" t="str">
        <f t="shared" ca="1" si="265"/>
        <v>TERMINADO</v>
      </c>
      <c r="CN605" s="82"/>
      <c r="CO605" s="145" t="s">
        <v>4919</v>
      </c>
      <c r="CP605" s="26" t="s">
        <v>142</v>
      </c>
    </row>
    <row r="606" spans="1:94" ht="24.75" customHeight="1">
      <c r="A606" s="48" t="s">
        <v>1424</v>
      </c>
      <c r="B606" s="77" t="s">
        <v>4920</v>
      </c>
      <c r="C606" s="17" t="s">
        <v>2927</v>
      </c>
      <c r="D606" s="18" t="s">
        <v>4921</v>
      </c>
      <c r="E606" s="17" t="s">
        <v>2929</v>
      </c>
      <c r="F606" s="17" t="s">
        <v>1426</v>
      </c>
      <c r="G606" s="17" t="s">
        <v>1427</v>
      </c>
      <c r="H606" s="78" t="s">
        <v>4922</v>
      </c>
      <c r="I606" s="74" t="s">
        <v>4923</v>
      </c>
      <c r="J606" s="16" t="s">
        <v>4924</v>
      </c>
      <c r="K606" s="104">
        <v>98546417</v>
      </c>
      <c r="L606" s="20" t="s">
        <v>2933</v>
      </c>
      <c r="M606" s="16"/>
      <c r="N606" s="115">
        <v>45341</v>
      </c>
      <c r="O606" s="22">
        <v>45341</v>
      </c>
      <c r="P606" s="115">
        <v>45707</v>
      </c>
      <c r="Q606" s="23">
        <f t="shared" si="253"/>
        <v>366</v>
      </c>
      <c r="R606" s="17" t="s">
        <v>2934</v>
      </c>
      <c r="S606" s="117" t="s">
        <v>1424</v>
      </c>
      <c r="T606" s="16" t="s">
        <v>1424</v>
      </c>
      <c r="U606" s="67" t="s">
        <v>1424</v>
      </c>
      <c r="V606" s="16" t="s">
        <v>1424</v>
      </c>
      <c r="W606" s="224">
        <v>0</v>
      </c>
      <c r="X606" s="24"/>
      <c r="Y606" s="24" t="s">
        <v>2935</v>
      </c>
      <c r="Z606" s="24"/>
      <c r="AA606" s="17" t="s">
        <v>406</v>
      </c>
      <c r="AB606" s="23" t="str">
        <f>IFERROR(VLOOKUP(AA606,Listas!$A$1:$C$14,2,FALSE),"")</f>
        <v>EDUARDO ELÍAS BARCHA BOLÍVAR</v>
      </c>
      <c r="AC606" s="23">
        <f>IFERROR(VLOOKUP(AA606,Listas!$A$1:$C$14,3,FALSE),"")</f>
        <v>72133921</v>
      </c>
      <c r="AD606" s="17" t="s">
        <v>1533</v>
      </c>
      <c r="AE606" s="17" t="s">
        <v>1534</v>
      </c>
      <c r="AF606" s="23" t="str">
        <f>IFERROR(VLOOKUP(AE606,Listas!$AD$1:$AF$65,2,FALSE),"")</f>
        <v>ESTEBAN GUERRERO ALVAREZ</v>
      </c>
      <c r="AG606" s="23">
        <f>IFERROR(VLOOKUP(AE606,Listas!$AD$1:$AF$65,3,FALSE),"")</f>
        <v>1032460552</v>
      </c>
      <c r="AH606" s="17" t="s">
        <v>2936</v>
      </c>
      <c r="AI606" s="65"/>
      <c r="AJ606" s="25" t="s">
        <v>1435</v>
      </c>
      <c r="AK606" s="26" t="s">
        <v>2071</v>
      </c>
      <c r="AL606" s="26" t="s">
        <v>2071</v>
      </c>
      <c r="AM606" s="90" t="s">
        <v>1435</v>
      </c>
      <c r="AN606" s="105"/>
      <c r="AO606" s="91" t="str">
        <f t="shared" ca="1" si="254"/>
        <v xml:space="preserve"> </v>
      </c>
      <c r="AP606" s="26" t="s">
        <v>2937</v>
      </c>
      <c r="AQ606" s="26" t="s">
        <v>3133</v>
      </c>
      <c r="AR606" s="89"/>
      <c r="AS606" s="27"/>
      <c r="AT606" s="16"/>
      <c r="AU606" s="27"/>
      <c r="AV606" s="86"/>
      <c r="AW606" s="27"/>
      <c r="AX606" s="27"/>
      <c r="AY606" s="27"/>
      <c r="AZ606" s="27"/>
      <c r="BA606" s="27"/>
      <c r="BB606" s="27">
        <v>45636</v>
      </c>
      <c r="BC606" s="97">
        <v>315</v>
      </c>
      <c r="BD606" s="27"/>
      <c r="BE606" s="16"/>
      <c r="BF606" s="28">
        <f t="shared" si="255"/>
        <v>315</v>
      </c>
      <c r="BG606" s="29"/>
      <c r="BH606" s="27"/>
      <c r="BI606" s="30">
        <f t="shared" si="256"/>
        <v>681</v>
      </c>
      <c r="BJ606" s="31">
        <f t="shared" si="257"/>
        <v>46022</v>
      </c>
      <c r="BK606" s="27">
        <v>45636</v>
      </c>
      <c r="BL606" s="16" t="s">
        <v>4925</v>
      </c>
      <c r="BM606" s="27"/>
      <c r="BN606" s="16"/>
      <c r="BO606" s="27"/>
      <c r="BP606" s="16"/>
      <c r="BQ606" s="27"/>
      <c r="BR606" s="24"/>
      <c r="BS606" s="24"/>
      <c r="BT606" s="32"/>
      <c r="BU606" s="27"/>
      <c r="BV606" s="24"/>
      <c r="BW606" s="24"/>
      <c r="BX606" s="16"/>
      <c r="BY606" s="27"/>
      <c r="BZ606" s="24"/>
      <c r="CA606" s="24"/>
      <c r="CB606" s="16"/>
      <c r="CC606" s="49">
        <f t="shared" si="258"/>
        <v>0</v>
      </c>
      <c r="CD606" s="24"/>
      <c r="CE606" s="49" t="str">
        <f>IFERROR(IF(Y606=0,(W606+CC606)-CD606,IF(Y606&gt;0,(Y606+CC606)-CD606)),"")</f>
        <v/>
      </c>
      <c r="CF606" s="50">
        <v>4807934025.08002</v>
      </c>
      <c r="CG606" s="49" t="str">
        <f t="shared" ca="1" si="260"/>
        <v/>
      </c>
      <c r="CH606" s="33">
        <f t="shared" ca="1" si="261"/>
        <v>0.89434523809523814</v>
      </c>
      <c r="CI606" s="33">
        <f t="shared" ca="1" si="262"/>
        <v>0.89434523809523814</v>
      </c>
      <c r="CJ606" s="36" t="str">
        <f t="shared" ca="1" si="263"/>
        <v/>
      </c>
      <c r="CK606" s="34" t="str">
        <f t="shared" si="264"/>
        <v/>
      </c>
      <c r="CL606" s="21"/>
      <c r="CM606" s="35" t="str">
        <f t="shared" ca="1" si="265"/>
        <v>VIGENTE</v>
      </c>
      <c r="CN606" s="82"/>
      <c r="CP606" s="83" t="s">
        <v>1424</v>
      </c>
    </row>
    <row r="607" spans="1:94" ht="24.75" customHeight="1">
      <c r="A607" s="48" t="s">
        <v>4926</v>
      </c>
      <c r="B607" s="77" t="s">
        <v>4927</v>
      </c>
      <c r="C607" s="17" t="s">
        <v>104</v>
      </c>
      <c r="D607" s="18" t="s">
        <v>4928</v>
      </c>
      <c r="E607" s="17" t="s">
        <v>106</v>
      </c>
      <c r="F607" s="17" t="s">
        <v>107</v>
      </c>
      <c r="G607" s="17" t="s">
        <v>108</v>
      </c>
      <c r="H607" s="78">
        <v>13490781</v>
      </c>
      <c r="I607" s="74" t="s">
        <v>4929</v>
      </c>
      <c r="J607" s="16"/>
      <c r="K607" s="16"/>
      <c r="L607" s="20" t="s">
        <v>4930</v>
      </c>
      <c r="M607" s="16" t="s">
        <v>111</v>
      </c>
      <c r="N607" s="115">
        <v>45341</v>
      </c>
      <c r="O607" s="22">
        <v>45345</v>
      </c>
      <c r="P607" s="115">
        <v>45656</v>
      </c>
      <c r="Q607" s="23">
        <f t="shared" si="253"/>
        <v>311</v>
      </c>
      <c r="R607" s="17" t="s">
        <v>242</v>
      </c>
      <c r="S607" s="117" t="s">
        <v>4931</v>
      </c>
      <c r="T607" s="16" t="s">
        <v>668</v>
      </c>
      <c r="U607" s="67">
        <v>89012165</v>
      </c>
      <c r="V607" s="16" t="s">
        <v>4932</v>
      </c>
      <c r="W607" s="224">
        <v>89012165</v>
      </c>
      <c r="X607" s="24">
        <v>8092015</v>
      </c>
      <c r="Y607" s="24"/>
      <c r="Z607" s="24"/>
      <c r="AA607" s="17" t="s">
        <v>116</v>
      </c>
      <c r="AB607" s="23" t="str">
        <f>IFERROR(VLOOKUP(AA607,Listas!$A$1:$C$14,2,FALSE),"")</f>
        <v>FREDY CÉSPEDES VILLA</v>
      </c>
      <c r="AC607" s="23">
        <f>IFERROR(VLOOKUP(AA607,Listas!$A$1:$C$14,3,FALSE),"")</f>
        <v>93363483</v>
      </c>
      <c r="AD607" s="17" t="s">
        <v>282</v>
      </c>
      <c r="AE607" s="17" t="s">
        <v>293</v>
      </c>
      <c r="AF607" s="23" t="str">
        <f>IFERROR(VLOOKUP(AE607,Listas!$AD$1:$AF$65,2,FALSE),"")</f>
        <v>MÓNICA PINTO GARCÍA</v>
      </c>
      <c r="AG607" s="23">
        <f>IFERROR(VLOOKUP(AE607,Listas!$AD$1:$AF$65,3,FALSE),"")</f>
        <v>52867207</v>
      </c>
      <c r="AH607" s="17" t="s">
        <v>118</v>
      </c>
      <c r="AI607" s="65" t="s">
        <v>4933</v>
      </c>
      <c r="AJ607" s="25" t="s">
        <v>119</v>
      </c>
      <c r="AK607" s="26" t="s">
        <v>120</v>
      </c>
      <c r="AL607" s="26" t="s">
        <v>120</v>
      </c>
      <c r="AM607" s="90" t="s">
        <v>119</v>
      </c>
      <c r="AN607" s="105">
        <v>24933</v>
      </c>
      <c r="AO607" s="91">
        <f t="shared" ca="1" si="254"/>
        <v>57</v>
      </c>
      <c r="AP607" s="26" t="s">
        <v>121</v>
      </c>
      <c r="AQ607" s="26" t="s">
        <v>285</v>
      </c>
      <c r="AR607" s="89"/>
      <c r="AS607" s="27"/>
      <c r="AT607" s="16"/>
      <c r="AU607" s="27"/>
      <c r="AV607" s="86"/>
      <c r="AW607" s="27"/>
      <c r="AX607" s="27"/>
      <c r="AY607" s="27"/>
      <c r="AZ607" s="27"/>
      <c r="BA607" s="27"/>
      <c r="BB607" s="27"/>
      <c r="BC607" s="97"/>
      <c r="BD607" s="27"/>
      <c r="BE607" s="16"/>
      <c r="BF607" s="28">
        <f t="shared" si="255"/>
        <v>0</v>
      </c>
      <c r="BG607" s="29"/>
      <c r="BH607" s="27"/>
      <c r="BI607" s="30">
        <f t="shared" si="256"/>
        <v>311</v>
      </c>
      <c r="BJ607" s="31">
        <f t="shared" si="257"/>
        <v>45656</v>
      </c>
      <c r="BK607" s="27"/>
      <c r="BL607" s="16"/>
      <c r="BM607" s="27"/>
      <c r="BN607" s="16"/>
      <c r="BO607" s="27"/>
      <c r="BP607" s="16"/>
      <c r="BQ607" s="27"/>
      <c r="BR607" s="24"/>
      <c r="BS607" s="24"/>
      <c r="BT607" s="32"/>
      <c r="BU607" s="27"/>
      <c r="BV607" s="24"/>
      <c r="BW607" s="24"/>
      <c r="BX607" s="16"/>
      <c r="BY607" s="27"/>
      <c r="BZ607" s="24"/>
      <c r="CA607" s="24"/>
      <c r="CB607" s="16"/>
      <c r="CC607" s="49">
        <f t="shared" si="258"/>
        <v>0</v>
      </c>
      <c r="CD607" s="24"/>
      <c r="CE607" s="49">
        <f t="shared" si="259"/>
        <v>89012165</v>
      </c>
      <c r="CF607" s="50"/>
      <c r="CG607" s="49">
        <f t="shared" ca="1" si="260"/>
        <v>89012165</v>
      </c>
      <c r="CH607" s="33">
        <f t="shared" ca="1" si="261"/>
        <v>1</v>
      </c>
      <c r="CI607" s="33">
        <f t="shared" ca="1" si="262"/>
        <v>1</v>
      </c>
      <c r="CJ607" s="36">
        <f t="shared" ca="1" si="263"/>
        <v>100</v>
      </c>
      <c r="CK607" s="34">
        <f t="shared" si="264"/>
        <v>0</v>
      </c>
      <c r="CL607" s="21"/>
      <c r="CM607" s="35" t="str">
        <f t="shared" ca="1" si="265"/>
        <v>TERMINADO</v>
      </c>
      <c r="CN607" s="82"/>
      <c r="CO607" s="145" t="s">
        <v>4934</v>
      </c>
      <c r="CP607" s="26" t="s">
        <v>142</v>
      </c>
    </row>
    <row r="608" spans="1:94" ht="24.75" customHeight="1">
      <c r="A608" s="109" t="s">
        <v>4935</v>
      </c>
      <c r="B608" s="77" t="s">
        <v>4936</v>
      </c>
      <c r="C608" s="17" t="s">
        <v>104</v>
      </c>
      <c r="D608" s="18" t="s">
        <v>4937</v>
      </c>
      <c r="E608" s="17" t="s">
        <v>106</v>
      </c>
      <c r="F608" s="17" t="s">
        <v>107</v>
      </c>
      <c r="G608" s="17" t="s">
        <v>108</v>
      </c>
      <c r="H608" s="78">
        <v>1081788672</v>
      </c>
      <c r="I608" s="74" t="s">
        <v>4938</v>
      </c>
      <c r="J608" s="16"/>
      <c r="K608" s="16"/>
      <c r="L608" s="20" t="s">
        <v>4939</v>
      </c>
      <c r="M608" s="16" t="s">
        <v>111</v>
      </c>
      <c r="N608" s="115">
        <v>45342</v>
      </c>
      <c r="O608" s="22">
        <v>45343</v>
      </c>
      <c r="P608" s="115">
        <v>45656</v>
      </c>
      <c r="Q608" s="23">
        <f t="shared" si="253"/>
        <v>313</v>
      </c>
      <c r="R608" s="17" t="s">
        <v>242</v>
      </c>
      <c r="S608" s="117" t="s">
        <v>4940</v>
      </c>
      <c r="T608" s="16" t="s">
        <v>997</v>
      </c>
      <c r="U608" s="67">
        <v>81876667</v>
      </c>
      <c r="V608" s="16" t="s">
        <v>3421</v>
      </c>
      <c r="W608" s="224">
        <v>81876667</v>
      </c>
      <c r="X608" s="24">
        <v>7700000</v>
      </c>
      <c r="Y608" s="24"/>
      <c r="Z608" s="24"/>
      <c r="AA608" s="17" t="s">
        <v>116</v>
      </c>
      <c r="AB608" s="23" t="str">
        <f>IFERROR(VLOOKUP(AA608,Listas!$A$1:$C$14,2,FALSE),"")</f>
        <v>FREDY CÉSPEDES VILLA</v>
      </c>
      <c r="AC608" s="23">
        <f>IFERROR(VLOOKUP(AA608,Listas!$A$1:$C$14,3,FALSE),"")</f>
        <v>93363483</v>
      </c>
      <c r="AD608" s="17" t="s">
        <v>816</v>
      </c>
      <c r="AE608" s="17" t="s">
        <v>2835</v>
      </c>
      <c r="AF608" s="23" t="str">
        <f>IFERROR(VLOOKUP(AE608,Listas!$AD$1:$AF$65,2,FALSE),"")</f>
        <v>GUILLERMO ANDRES CARDONA HERRERA</v>
      </c>
      <c r="AG608" s="23">
        <f>IFERROR(VLOOKUP(AE608,Listas!$AD$1:$AF$65,3,FALSE),"")</f>
        <v>80018909</v>
      </c>
      <c r="AH608" s="17" t="s">
        <v>118</v>
      </c>
      <c r="AI608" s="65" t="s">
        <v>4941</v>
      </c>
      <c r="AJ608" s="25" t="s">
        <v>119</v>
      </c>
      <c r="AK608" s="26" t="s">
        <v>120</v>
      </c>
      <c r="AL608" s="26" t="s">
        <v>120</v>
      </c>
      <c r="AM608" s="90" t="s">
        <v>119</v>
      </c>
      <c r="AN608" s="105">
        <v>31784</v>
      </c>
      <c r="AO608" s="91">
        <f t="shared" ca="1" si="254"/>
        <v>38</v>
      </c>
      <c r="AP608" s="26" t="s">
        <v>121</v>
      </c>
      <c r="AQ608" s="26" t="s">
        <v>1641</v>
      </c>
      <c r="AR608" s="89"/>
      <c r="AS608" s="27"/>
      <c r="AT608" s="16"/>
      <c r="AU608" s="27"/>
      <c r="AV608" s="86"/>
      <c r="AW608" s="27"/>
      <c r="AX608" s="27"/>
      <c r="AY608" s="27"/>
      <c r="AZ608" s="27"/>
      <c r="BA608" s="27"/>
      <c r="BB608" s="27"/>
      <c r="BC608" s="97"/>
      <c r="BD608" s="27"/>
      <c r="BE608" s="16"/>
      <c r="BF608" s="28">
        <f t="shared" si="255"/>
        <v>0</v>
      </c>
      <c r="BG608" s="29"/>
      <c r="BH608" s="27"/>
      <c r="BI608" s="30">
        <f t="shared" si="256"/>
        <v>313</v>
      </c>
      <c r="BJ608" s="31">
        <f t="shared" si="257"/>
        <v>45656</v>
      </c>
      <c r="BK608" s="27"/>
      <c r="BL608" s="16"/>
      <c r="BM608" s="27"/>
      <c r="BN608" s="16"/>
      <c r="BO608" s="27"/>
      <c r="BP608" s="16"/>
      <c r="BQ608" s="27"/>
      <c r="BR608" s="24"/>
      <c r="BS608" s="24"/>
      <c r="BT608" s="32"/>
      <c r="BU608" s="27"/>
      <c r="BV608" s="24"/>
      <c r="BW608" s="24"/>
      <c r="BX608" s="16"/>
      <c r="BY608" s="27"/>
      <c r="BZ608" s="24"/>
      <c r="CA608" s="24"/>
      <c r="CB608" s="16"/>
      <c r="CC608" s="49">
        <f t="shared" si="258"/>
        <v>0</v>
      </c>
      <c r="CD608" s="24"/>
      <c r="CE608" s="49">
        <f t="shared" si="259"/>
        <v>81876667</v>
      </c>
      <c r="CF608" s="50"/>
      <c r="CG608" s="49">
        <f t="shared" ca="1" si="260"/>
        <v>81876667</v>
      </c>
      <c r="CH608" s="33">
        <f t="shared" ca="1" si="261"/>
        <v>1</v>
      </c>
      <c r="CI608" s="33">
        <f t="shared" ca="1" si="262"/>
        <v>1</v>
      </c>
      <c r="CJ608" s="36">
        <f t="shared" ca="1" si="263"/>
        <v>100</v>
      </c>
      <c r="CK608" s="34">
        <f t="shared" si="264"/>
        <v>0</v>
      </c>
      <c r="CL608" s="21"/>
      <c r="CM608" s="35" t="str">
        <f t="shared" ca="1" si="265"/>
        <v>TERMINADO</v>
      </c>
      <c r="CN608" s="82"/>
      <c r="CO608" s="145" t="s">
        <v>4942</v>
      </c>
      <c r="CP608" s="26" t="s">
        <v>142</v>
      </c>
    </row>
    <row r="609" spans="1:94" ht="24.75" customHeight="1">
      <c r="A609" s="48" t="s">
        <v>4943</v>
      </c>
      <c r="B609" s="77" t="s">
        <v>4944</v>
      </c>
      <c r="C609" s="17" t="s">
        <v>104</v>
      </c>
      <c r="D609" s="18" t="s">
        <v>4945</v>
      </c>
      <c r="E609" s="17" t="s">
        <v>106</v>
      </c>
      <c r="F609" s="17" t="s">
        <v>107</v>
      </c>
      <c r="G609" s="17" t="s">
        <v>108</v>
      </c>
      <c r="H609" s="78">
        <v>52102818</v>
      </c>
      <c r="I609" s="74" t="s">
        <v>4946</v>
      </c>
      <c r="J609" s="16"/>
      <c r="K609" s="16"/>
      <c r="L609" s="20" t="s">
        <v>4947</v>
      </c>
      <c r="M609" s="16" t="s">
        <v>111</v>
      </c>
      <c r="N609" s="115">
        <v>45342</v>
      </c>
      <c r="O609" s="22">
        <v>45344</v>
      </c>
      <c r="P609" s="115">
        <v>45656</v>
      </c>
      <c r="Q609" s="23">
        <f t="shared" si="253"/>
        <v>312</v>
      </c>
      <c r="R609" s="17" t="s">
        <v>112</v>
      </c>
      <c r="S609" s="117" t="s">
        <v>4948</v>
      </c>
      <c r="T609" s="16" t="s">
        <v>4378</v>
      </c>
      <c r="U609" s="67">
        <v>84533333</v>
      </c>
      <c r="V609" s="16" t="s">
        <v>3099</v>
      </c>
      <c r="W609" s="224">
        <v>84533333</v>
      </c>
      <c r="X609" s="24">
        <v>8000000</v>
      </c>
      <c r="Y609" s="24"/>
      <c r="Z609" s="24"/>
      <c r="AA609" s="17" t="s">
        <v>116</v>
      </c>
      <c r="AB609" s="23" t="str">
        <f>IFERROR(VLOOKUP(AA609,Listas!$A$1:$C$14,2,FALSE),"")</f>
        <v>FREDY CÉSPEDES VILLA</v>
      </c>
      <c r="AC609" s="23">
        <f>IFERROR(VLOOKUP(AA609,Listas!$A$1:$C$14,3,FALSE),"")</f>
        <v>93363483</v>
      </c>
      <c r="AD609" s="17" t="s">
        <v>816</v>
      </c>
      <c r="AE609" s="17" t="s">
        <v>3578</v>
      </c>
      <c r="AF609" s="23" t="str">
        <f>IFERROR(VLOOKUP(AE609,Listas!$AD$1:$AF$65,2,FALSE),"")</f>
        <v>MARTHA RUTH ROBAYO LÓPEZ</v>
      </c>
      <c r="AG609" s="23">
        <f>IFERROR(VLOOKUP(AE609,Listas!$AD$1:$AF$65,3,FALSE),"")</f>
        <v>52193887</v>
      </c>
      <c r="AH609" s="17" t="s">
        <v>118</v>
      </c>
      <c r="AI609" s="65" t="s">
        <v>4949</v>
      </c>
      <c r="AJ609" s="25" t="s">
        <v>119</v>
      </c>
      <c r="AK609" s="26" t="s">
        <v>120</v>
      </c>
      <c r="AL609" s="26" t="s">
        <v>120</v>
      </c>
      <c r="AM609" s="90" t="s">
        <v>119</v>
      </c>
      <c r="AN609" s="105">
        <v>26554</v>
      </c>
      <c r="AO609" s="91">
        <f t="shared" ca="1" si="254"/>
        <v>53</v>
      </c>
      <c r="AP609" s="26" t="s">
        <v>121</v>
      </c>
      <c r="AQ609" s="26" t="s">
        <v>515</v>
      </c>
      <c r="AR609" s="89"/>
      <c r="AS609" s="27"/>
      <c r="AT609" s="16"/>
      <c r="AU609" s="27"/>
      <c r="AV609" s="86"/>
      <c r="AW609" s="27"/>
      <c r="AX609" s="27"/>
      <c r="AY609" s="27"/>
      <c r="AZ609" s="27"/>
      <c r="BA609" s="27"/>
      <c r="BB609" s="27"/>
      <c r="BC609" s="97"/>
      <c r="BD609" s="27"/>
      <c r="BE609" s="16"/>
      <c r="BF609" s="28">
        <f t="shared" si="255"/>
        <v>0</v>
      </c>
      <c r="BG609" s="29"/>
      <c r="BH609" s="27"/>
      <c r="BI609" s="30">
        <f t="shared" si="256"/>
        <v>312</v>
      </c>
      <c r="BJ609" s="31">
        <f t="shared" si="257"/>
        <v>45656</v>
      </c>
      <c r="BK609" s="27"/>
      <c r="BL609" s="16"/>
      <c r="BM609" s="27"/>
      <c r="BN609" s="16"/>
      <c r="BO609" s="27"/>
      <c r="BP609" s="16"/>
      <c r="BQ609" s="27"/>
      <c r="BR609" s="24"/>
      <c r="BS609" s="24"/>
      <c r="BT609" s="32"/>
      <c r="BU609" s="27"/>
      <c r="BV609" s="24"/>
      <c r="BW609" s="24"/>
      <c r="BX609" s="16"/>
      <c r="BY609" s="27"/>
      <c r="BZ609" s="24"/>
      <c r="CA609" s="24"/>
      <c r="CB609" s="16"/>
      <c r="CC609" s="49">
        <f t="shared" si="258"/>
        <v>0</v>
      </c>
      <c r="CD609" s="24"/>
      <c r="CE609" s="49">
        <f t="shared" si="259"/>
        <v>84533333</v>
      </c>
      <c r="CF609" s="50"/>
      <c r="CG609" s="49">
        <f t="shared" ca="1" si="260"/>
        <v>84533333</v>
      </c>
      <c r="CH609" s="33">
        <f t="shared" ca="1" si="261"/>
        <v>1</v>
      </c>
      <c r="CI609" s="33">
        <f t="shared" ca="1" si="262"/>
        <v>1</v>
      </c>
      <c r="CJ609" s="36">
        <f t="shared" ca="1" si="263"/>
        <v>100</v>
      </c>
      <c r="CK609" s="34">
        <f t="shared" si="264"/>
        <v>0</v>
      </c>
      <c r="CL609" s="21"/>
      <c r="CM609" s="35" t="str">
        <f t="shared" ca="1" si="265"/>
        <v>TERMINADO</v>
      </c>
      <c r="CN609" s="82"/>
      <c r="CO609" s="145" t="s">
        <v>4950</v>
      </c>
      <c r="CP609" s="26" t="s">
        <v>123</v>
      </c>
    </row>
    <row r="610" spans="1:94" ht="24.75" customHeight="1">
      <c r="A610" s="48" t="s">
        <v>4951</v>
      </c>
      <c r="B610" s="77" t="s">
        <v>4952</v>
      </c>
      <c r="C610" s="17" t="s">
        <v>104</v>
      </c>
      <c r="D610" s="18" t="s">
        <v>4953</v>
      </c>
      <c r="E610" s="17" t="s">
        <v>106</v>
      </c>
      <c r="F610" s="17" t="s">
        <v>107</v>
      </c>
      <c r="G610" s="17" t="s">
        <v>108</v>
      </c>
      <c r="H610" s="78">
        <v>11813732</v>
      </c>
      <c r="I610" s="74" t="s">
        <v>4954</v>
      </c>
      <c r="J610" s="16"/>
      <c r="K610" s="16"/>
      <c r="L610" s="20" t="s">
        <v>3902</v>
      </c>
      <c r="M610" s="16" t="s">
        <v>111</v>
      </c>
      <c r="N610" s="115">
        <v>45342</v>
      </c>
      <c r="O610" s="22">
        <v>45343</v>
      </c>
      <c r="P610" s="115">
        <v>45656</v>
      </c>
      <c r="Q610" s="23">
        <f t="shared" si="253"/>
        <v>313</v>
      </c>
      <c r="R610" s="17" t="s">
        <v>112</v>
      </c>
      <c r="S610" s="117" t="s">
        <v>4955</v>
      </c>
      <c r="T610" s="16" t="s">
        <v>4378</v>
      </c>
      <c r="U610" s="67">
        <v>85866667</v>
      </c>
      <c r="V610" s="16" t="s">
        <v>3099</v>
      </c>
      <c r="W610" s="224">
        <v>85866667</v>
      </c>
      <c r="X610" s="24">
        <v>8000000</v>
      </c>
      <c r="Y610" s="24"/>
      <c r="Z610" s="24"/>
      <c r="AA610" s="17" t="s">
        <v>116</v>
      </c>
      <c r="AB610" s="23" t="str">
        <f>IFERROR(VLOOKUP(AA610,Listas!$A$1:$C$14,2,FALSE),"")</f>
        <v>FREDY CÉSPEDES VILLA</v>
      </c>
      <c r="AC610" s="23">
        <f>IFERROR(VLOOKUP(AA610,Listas!$A$1:$C$14,3,FALSE),"")</f>
        <v>93363483</v>
      </c>
      <c r="AD610" s="17" t="s">
        <v>816</v>
      </c>
      <c r="AE610" s="17" t="s">
        <v>2835</v>
      </c>
      <c r="AF610" s="23" t="str">
        <f>IFERROR(VLOOKUP(AE610,Listas!$AD$1:$AF$65,2,FALSE),"")</f>
        <v>GUILLERMO ANDRES CARDONA HERRERA</v>
      </c>
      <c r="AG610" s="23">
        <f>IFERROR(VLOOKUP(AE610,Listas!$AD$1:$AF$65,3,FALSE),"")</f>
        <v>80018909</v>
      </c>
      <c r="AH610" s="17" t="s">
        <v>118</v>
      </c>
      <c r="AI610" s="65" t="s">
        <v>4956</v>
      </c>
      <c r="AJ610" s="25" t="s">
        <v>119</v>
      </c>
      <c r="AK610" s="26" t="s">
        <v>120</v>
      </c>
      <c r="AL610" s="26" t="s">
        <v>120</v>
      </c>
      <c r="AM610" s="90" t="s">
        <v>119</v>
      </c>
      <c r="AN610" s="105">
        <v>29836</v>
      </c>
      <c r="AO610" s="91">
        <f t="shared" ca="1" si="254"/>
        <v>44</v>
      </c>
      <c r="AP610" s="26" t="s">
        <v>121</v>
      </c>
      <c r="AQ610" s="26" t="s">
        <v>515</v>
      </c>
      <c r="AR610" s="89"/>
      <c r="AS610" s="27"/>
      <c r="AT610" s="16"/>
      <c r="AU610" s="27"/>
      <c r="AV610" s="86"/>
      <c r="AW610" s="27"/>
      <c r="AX610" s="27"/>
      <c r="AY610" s="27"/>
      <c r="AZ610" s="27"/>
      <c r="BA610" s="27"/>
      <c r="BB610" s="27"/>
      <c r="BC610" s="97"/>
      <c r="BD610" s="27"/>
      <c r="BE610" s="16"/>
      <c r="BF610" s="28">
        <f t="shared" si="255"/>
        <v>0</v>
      </c>
      <c r="BG610" s="29"/>
      <c r="BH610" s="27"/>
      <c r="BI610" s="30">
        <f t="shared" si="256"/>
        <v>313</v>
      </c>
      <c r="BJ610" s="31">
        <f t="shared" si="257"/>
        <v>45656</v>
      </c>
      <c r="BK610" s="27"/>
      <c r="BL610" s="16"/>
      <c r="BM610" s="27"/>
      <c r="BN610" s="16"/>
      <c r="BO610" s="27"/>
      <c r="BP610" s="16"/>
      <c r="BQ610" s="27"/>
      <c r="BR610" s="24"/>
      <c r="BS610" s="24"/>
      <c r="BT610" s="32"/>
      <c r="BU610" s="27"/>
      <c r="BV610" s="24"/>
      <c r="BW610" s="24"/>
      <c r="BX610" s="16"/>
      <c r="BY610" s="27"/>
      <c r="BZ610" s="24"/>
      <c r="CA610" s="24"/>
      <c r="CB610" s="16"/>
      <c r="CC610" s="49">
        <f t="shared" si="258"/>
        <v>0</v>
      </c>
      <c r="CD610" s="24"/>
      <c r="CE610" s="49">
        <f t="shared" si="259"/>
        <v>85866667</v>
      </c>
      <c r="CF610" s="50"/>
      <c r="CG610" s="49">
        <f t="shared" ca="1" si="260"/>
        <v>85866667</v>
      </c>
      <c r="CH610" s="33">
        <f t="shared" ca="1" si="261"/>
        <v>1</v>
      </c>
      <c r="CI610" s="33">
        <f t="shared" ca="1" si="262"/>
        <v>1</v>
      </c>
      <c r="CJ610" s="36">
        <f t="shared" ca="1" si="263"/>
        <v>100</v>
      </c>
      <c r="CK610" s="34">
        <f t="shared" si="264"/>
        <v>0</v>
      </c>
      <c r="CL610" s="21"/>
      <c r="CM610" s="35" t="str">
        <f t="shared" ca="1" si="265"/>
        <v>TERMINADO</v>
      </c>
      <c r="CN610" s="82"/>
      <c r="CO610" s="145" t="s">
        <v>4957</v>
      </c>
      <c r="CP610" s="26" t="s">
        <v>142</v>
      </c>
    </row>
    <row r="611" spans="1:94" ht="24.75" customHeight="1">
      <c r="A611" s="109" t="s">
        <v>4958</v>
      </c>
      <c r="B611" s="77" t="s">
        <v>4959</v>
      </c>
      <c r="C611" s="17" t="s">
        <v>104</v>
      </c>
      <c r="D611" s="18" t="s">
        <v>4960</v>
      </c>
      <c r="E611" s="17" t="s">
        <v>106</v>
      </c>
      <c r="F611" s="17" t="s">
        <v>107</v>
      </c>
      <c r="G611" s="17" t="s">
        <v>108</v>
      </c>
      <c r="H611" s="78">
        <v>1022958733</v>
      </c>
      <c r="I611" s="74" t="s">
        <v>4961</v>
      </c>
      <c r="J611" s="16"/>
      <c r="K611" s="16"/>
      <c r="L611" s="20" t="s">
        <v>4132</v>
      </c>
      <c r="M611" s="16" t="s">
        <v>111</v>
      </c>
      <c r="N611" s="115">
        <v>45342</v>
      </c>
      <c r="O611" s="22">
        <v>45343</v>
      </c>
      <c r="P611" s="115">
        <v>45656</v>
      </c>
      <c r="Q611" s="23">
        <f t="shared" si="253"/>
        <v>313</v>
      </c>
      <c r="R611" s="17" t="s">
        <v>242</v>
      </c>
      <c r="S611" s="117" t="s">
        <v>4962</v>
      </c>
      <c r="T611" s="16" t="s">
        <v>997</v>
      </c>
      <c r="U611" s="67">
        <v>81876667</v>
      </c>
      <c r="V611" s="16" t="s">
        <v>3421</v>
      </c>
      <c r="W611" s="224">
        <v>81876667</v>
      </c>
      <c r="X611" s="24">
        <v>7700000</v>
      </c>
      <c r="Y611" s="24"/>
      <c r="Z611" s="24"/>
      <c r="AA611" s="17" t="s">
        <v>116</v>
      </c>
      <c r="AB611" s="23" t="str">
        <f>IFERROR(VLOOKUP(AA611,Listas!$A$1:$C$14,2,FALSE),"")</f>
        <v>FREDY CÉSPEDES VILLA</v>
      </c>
      <c r="AC611" s="23">
        <f>IFERROR(VLOOKUP(AA611,Listas!$A$1:$C$14,3,FALSE),"")</f>
        <v>93363483</v>
      </c>
      <c r="AD611" s="17" t="s">
        <v>816</v>
      </c>
      <c r="AE611" s="17" t="s">
        <v>2835</v>
      </c>
      <c r="AF611" s="23" t="str">
        <f>IFERROR(VLOOKUP(AE611,Listas!$AD$1:$AF$65,2,FALSE),"")</f>
        <v>GUILLERMO ANDRES CARDONA HERRERA</v>
      </c>
      <c r="AG611" s="23">
        <f>IFERROR(VLOOKUP(AE611,Listas!$AD$1:$AF$65,3,FALSE),"")</f>
        <v>80018909</v>
      </c>
      <c r="AH611" s="17" t="s">
        <v>118</v>
      </c>
      <c r="AI611" s="65" t="s">
        <v>4963</v>
      </c>
      <c r="AJ611" s="25" t="s">
        <v>119</v>
      </c>
      <c r="AK611" s="26" t="s">
        <v>120</v>
      </c>
      <c r="AL611" s="26" t="s">
        <v>120</v>
      </c>
      <c r="AM611" s="90" t="s">
        <v>119</v>
      </c>
      <c r="AN611" s="105">
        <v>32961</v>
      </c>
      <c r="AO611" s="91">
        <f t="shared" ca="1" si="254"/>
        <v>35</v>
      </c>
      <c r="AP611" s="26" t="s">
        <v>121</v>
      </c>
      <c r="AQ611" s="26" t="s">
        <v>1641</v>
      </c>
      <c r="AR611" s="89"/>
      <c r="AS611" s="27"/>
      <c r="AT611" s="16"/>
      <c r="AU611" s="27"/>
      <c r="AV611" s="86"/>
      <c r="AW611" s="27"/>
      <c r="AX611" s="27"/>
      <c r="AY611" s="27"/>
      <c r="AZ611" s="27"/>
      <c r="BA611" s="27"/>
      <c r="BB611" s="27"/>
      <c r="BC611" s="97"/>
      <c r="BD611" s="27"/>
      <c r="BE611" s="16"/>
      <c r="BF611" s="28">
        <f t="shared" si="255"/>
        <v>0</v>
      </c>
      <c r="BG611" s="29"/>
      <c r="BH611" s="27"/>
      <c r="BI611" s="30">
        <f t="shared" si="256"/>
        <v>313</v>
      </c>
      <c r="BJ611" s="31">
        <f t="shared" si="257"/>
        <v>45656</v>
      </c>
      <c r="BK611" s="27"/>
      <c r="BL611" s="16"/>
      <c r="BM611" s="27"/>
      <c r="BN611" s="16"/>
      <c r="BO611" s="27"/>
      <c r="BP611" s="16"/>
      <c r="BQ611" s="27"/>
      <c r="BR611" s="24"/>
      <c r="BS611" s="24"/>
      <c r="BT611" s="32"/>
      <c r="BU611" s="27"/>
      <c r="BV611" s="24"/>
      <c r="BW611" s="24"/>
      <c r="BX611" s="16"/>
      <c r="BY611" s="27"/>
      <c r="BZ611" s="24"/>
      <c r="CA611" s="24"/>
      <c r="CB611" s="16"/>
      <c r="CC611" s="49">
        <f t="shared" si="258"/>
        <v>0</v>
      </c>
      <c r="CD611" s="24"/>
      <c r="CE611" s="49">
        <f t="shared" si="259"/>
        <v>81876667</v>
      </c>
      <c r="CF611" s="50"/>
      <c r="CG611" s="49">
        <f t="shared" ca="1" si="260"/>
        <v>81876667</v>
      </c>
      <c r="CH611" s="33">
        <f t="shared" ca="1" si="261"/>
        <v>1</v>
      </c>
      <c r="CI611" s="33">
        <f t="shared" ca="1" si="262"/>
        <v>1</v>
      </c>
      <c r="CJ611" s="36">
        <f t="shared" ca="1" si="263"/>
        <v>100</v>
      </c>
      <c r="CK611" s="34">
        <f t="shared" si="264"/>
        <v>0</v>
      </c>
      <c r="CL611" s="21"/>
      <c r="CM611" s="35" t="str">
        <f t="shared" ca="1" si="265"/>
        <v>TERMINADO</v>
      </c>
      <c r="CN611" s="82"/>
      <c r="CO611" s="145" t="s">
        <v>4964</v>
      </c>
      <c r="CP611" s="26" t="s">
        <v>123</v>
      </c>
    </row>
    <row r="612" spans="1:94" ht="24.75" customHeight="1">
      <c r="A612" s="109" t="s">
        <v>4965</v>
      </c>
      <c r="B612" s="77" t="s">
        <v>4966</v>
      </c>
      <c r="C612" s="17" t="s">
        <v>104</v>
      </c>
      <c r="D612" s="18" t="s">
        <v>4967</v>
      </c>
      <c r="E612" s="17" t="s">
        <v>106</v>
      </c>
      <c r="F612" s="17" t="s">
        <v>107</v>
      </c>
      <c r="G612" s="17" t="s">
        <v>108</v>
      </c>
      <c r="H612" s="78">
        <v>50882932</v>
      </c>
      <c r="I612" s="74" t="s">
        <v>4968</v>
      </c>
      <c r="J612" s="16"/>
      <c r="K612" s="16"/>
      <c r="L612" s="20" t="s">
        <v>4140</v>
      </c>
      <c r="M612" s="16" t="s">
        <v>111</v>
      </c>
      <c r="N612" s="115">
        <v>45342</v>
      </c>
      <c r="O612" s="22">
        <v>45343</v>
      </c>
      <c r="P612" s="115">
        <v>45656</v>
      </c>
      <c r="Q612" s="23">
        <f t="shared" si="253"/>
        <v>313</v>
      </c>
      <c r="R612" s="17" t="s">
        <v>242</v>
      </c>
      <c r="S612" s="117" t="s">
        <v>4969</v>
      </c>
      <c r="T612" s="16" t="s">
        <v>997</v>
      </c>
      <c r="U612" s="67">
        <v>83160000</v>
      </c>
      <c r="V612" s="16" t="s">
        <v>3421</v>
      </c>
      <c r="W612" s="224">
        <v>83160000</v>
      </c>
      <c r="X612" s="24">
        <v>7700000</v>
      </c>
      <c r="Y612" s="24"/>
      <c r="Z612" s="24"/>
      <c r="AA612" s="17" t="s">
        <v>116</v>
      </c>
      <c r="AB612" s="23" t="str">
        <f>IFERROR(VLOOKUP(AA612,Listas!$A$1:$C$14,2,FALSE),"")</f>
        <v>FREDY CÉSPEDES VILLA</v>
      </c>
      <c r="AC612" s="23">
        <f>IFERROR(VLOOKUP(AA612,Listas!$A$1:$C$14,3,FALSE),"")</f>
        <v>93363483</v>
      </c>
      <c r="AD612" s="17" t="s">
        <v>816</v>
      </c>
      <c r="AE612" s="17" t="s">
        <v>2835</v>
      </c>
      <c r="AF612" s="23" t="str">
        <f>IFERROR(VLOOKUP(AE612,Listas!$AD$1:$AF$65,2,FALSE),"")</f>
        <v>GUILLERMO ANDRES CARDONA HERRERA</v>
      </c>
      <c r="AG612" s="23">
        <f>IFERROR(VLOOKUP(AE612,Listas!$AD$1:$AF$65,3,FALSE),"")</f>
        <v>80018909</v>
      </c>
      <c r="AH612" s="17" t="s">
        <v>118</v>
      </c>
      <c r="AI612" s="65" t="s">
        <v>4970</v>
      </c>
      <c r="AJ612" s="25" t="s">
        <v>119</v>
      </c>
      <c r="AK612" s="26" t="s">
        <v>120</v>
      </c>
      <c r="AL612" s="26" t="s">
        <v>120</v>
      </c>
      <c r="AM612" s="90" t="s">
        <v>119</v>
      </c>
      <c r="AN612" s="105">
        <v>30257</v>
      </c>
      <c r="AO612" s="91">
        <f t="shared" ca="1" si="254"/>
        <v>43</v>
      </c>
      <c r="AP612" s="26" t="s">
        <v>121</v>
      </c>
      <c r="AQ612" s="26" t="s">
        <v>1641</v>
      </c>
      <c r="AR612" s="89"/>
      <c r="AS612" s="27"/>
      <c r="AT612" s="16"/>
      <c r="AU612" s="27"/>
      <c r="AV612" s="86"/>
      <c r="AW612" s="27"/>
      <c r="AX612" s="27"/>
      <c r="AY612" s="27"/>
      <c r="AZ612" s="27"/>
      <c r="BA612" s="27"/>
      <c r="BB612" s="27"/>
      <c r="BC612" s="97"/>
      <c r="BD612" s="27"/>
      <c r="BE612" s="16"/>
      <c r="BF612" s="28">
        <f t="shared" si="255"/>
        <v>0</v>
      </c>
      <c r="BG612" s="29"/>
      <c r="BH612" s="27"/>
      <c r="BI612" s="30">
        <f t="shared" si="256"/>
        <v>313</v>
      </c>
      <c r="BJ612" s="31">
        <f t="shared" si="257"/>
        <v>45656</v>
      </c>
      <c r="BK612" s="27"/>
      <c r="BL612" s="16"/>
      <c r="BM612" s="27"/>
      <c r="BN612" s="16"/>
      <c r="BO612" s="27"/>
      <c r="BP612" s="16"/>
      <c r="BQ612" s="27"/>
      <c r="BR612" s="24"/>
      <c r="BS612" s="24"/>
      <c r="BT612" s="32"/>
      <c r="BU612" s="27"/>
      <c r="BV612" s="24"/>
      <c r="BW612" s="24"/>
      <c r="BX612" s="16"/>
      <c r="BY612" s="27"/>
      <c r="BZ612" s="24"/>
      <c r="CA612" s="24"/>
      <c r="CB612" s="16"/>
      <c r="CC612" s="49">
        <f t="shared" si="258"/>
        <v>0</v>
      </c>
      <c r="CD612" s="24"/>
      <c r="CE612" s="49">
        <f t="shared" si="259"/>
        <v>83160000</v>
      </c>
      <c r="CF612" s="50"/>
      <c r="CG612" s="49">
        <f t="shared" ca="1" si="260"/>
        <v>83160000</v>
      </c>
      <c r="CH612" s="33">
        <f t="shared" ca="1" si="261"/>
        <v>1</v>
      </c>
      <c r="CI612" s="33">
        <f t="shared" ca="1" si="262"/>
        <v>1</v>
      </c>
      <c r="CJ612" s="36">
        <f t="shared" ca="1" si="263"/>
        <v>100</v>
      </c>
      <c r="CK612" s="34">
        <f t="shared" si="264"/>
        <v>0</v>
      </c>
      <c r="CL612" s="21"/>
      <c r="CM612" s="35" t="str">
        <f t="shared" ca="1" si="265"/>
        <v>TERMINADO</v>
      </c>
      <c r="CN612" s="82"/>
      <c r="CO612" s="145" t="s">
        <v>4971</v>
      </c>
      <c r="CP612" s="26" t="s">
        <v>123</v>
      </c>
    </row>
    <row r="613" spans="1:94" ht="24.75" customHeight="1">
      <c r="A613" s="48" t="s">
        <v>1424</v>
      </c>
      <c r="B613" s="77" t="s">
        <v>4972</v>
      </c>
      <c r="C613" s="17" t="s">
        <v>2927</v>
      </c>
      <c r="D613" s="18" t="s">
        <v>4973</v>
      </c>
      <c r="E613" s="17" t="s">
        <v>2929</v>
      </c>
      <c r="F613" s="17" t="s">
        <v>1426</v>
      </c>
      <c r="G613" s="17" t="s">
        <v>1427</v>
      </c>
      <c r="H613" s="78" t="s">
        <v>4974</v>
      </c>
      <c r="I613" s="74" t="s">
        <v>4975</v>
      </c>
      <c r="J613" s="16" t="s">
        <v>4976</v>
      </c>
      <c r="K613" s="16">
        <v>37219308</v>
      </c>
      <c r="L613" s="20" t="s">
        <v>2933</v>
      </c>
      <c r="M613" s="16"/>
      <c r="N613" s="115">
        <v>45342</v>
      </c>
      <c r="O613" s="22">
        <v>45342</v>
      </c>
      <c r="P613" s="115">
        <v>45708</v>
      </c>
      <c r="Q613" s="23">
        <f t="shared" si="253"/>
        <v>366</v>
      </c>
      <c r="R613" s="17" t="s">
        <v>2934</v>
      </c>
      <c r="S613" s="117" t="s">
        <v>1424</v>
      </c>
      <c r="T613" s="16" t="s">
        <v>1424</v>
      </c>
      <c r="U613" s="24" t="s">
        <v>1424</v>
      </c>
      <c r="V613" s="16" t="s">
        <v>1424</v>
      </c>
      <c r="W613" s="227">
        <v>0</v>
      </c>
      <c r="X613" s="24"/>
      <c r="Y613" s="24" t="s">
        <v>2935</v>
      </c>
      <c r="Z613" s="24"/>
      <c r="AA613" s="17" t="s">
        <v>406</v>
      </c>
      <c r="AB613" s="23" t="str">
        <f>IFERROR(VLOOKUP(AA613,Listas!$A$1:$C$14,2,FALSE),"")</f>
        <v>EDUARDO ELÍAS BARCHA BOLÍVAR</v>
      </c>
      <c r="AC613" s="23">
        <f>IFERROR(VLOOKUP(AA613,Listas!$A$1:$C$14,3,FALSE),"")</f>
        <v>72133921</v>
      </c>
      <c r="AD613" s="17" t="s">
        <v>1523</v>
      </c>
      <c r="AE613" s="17" t="s">
        <v>1524</v>
      </c>
      <c r="AF613" s="23" t="str">
        <f>IFERROR(VLOOKUP(AE613,Listas!$AD$1:$AF$65,2,FALSE),"")</f>
        <v>IVETTE FRASSER SÁNCHEZ</v>
      </c>
      <c r="AG613" s="23">
        <f>IFERROR(VLOOKUP(AE613,Listas!$AD$1:$AF$65,3,FALSE),"")</f>
        <v>38285903</v>
      </c>
      <c r="AH613" s="17" t="s">
        <v>2936</v>
      </c>
      <c r="AI613" s="65"/>
      <c r="AJ613" s="25" t="s">
        <v>1435</v>
      </c>
      <c r="AK613" s="26" t="s">
        <v>2071</v>
      </c>
      <c r="AL613" s="26" t="s">
        <v>2071</v>
      </c>
      <c r="AM613" s="90" t="s">
        <v>1435</v>
      </c>
      <c r="AN613" s="105"/>
      <c r="AO613" s="91" t="str">
        <f t="shared" ca="1" si="254"/>
        <v xml:space="preserve"> </v>
      </c>
      <c r="AP613" s="26" t="s">
        <v>2937</v>
      </c>
      <c r="AQ613" s="26" t="s">
        <v>4526</v>
      </c>
      <c r="AR613" s="89"/>
      <c r="AS613" s="27"/>
      <c r="AT613" s="16"/>
      <c r="AU613" s="27"/>
      <c r="AV613" s="86"/>
      <c r="AW613" s="27"/>
      <c r="AX613" s="27"/>
      <c r="AY613" s="27"/>
      <c r="AZ613" s="27"/>
      <c r="BA613" s="27"/>
      <c r="BB613" s="27">
        <v>45694</v>
      </c>
      <c r="BC613" s="97">
        <v>314</v>
      </c>
      <c r="BD613" s="27"/>
      <c r="BE613" s="16"/>
      <c r="BF613" s="28">
        <f t="shared" si="255"/>
        <v>314</v>
      </c>
      <c r="BG613" s="29"/>
      <c r="BH613" s="27"/>
      <c r="BI613" s="30">
        <f t="shared" si="256"/>
        <v>680</v>
      </c>
      <c r="BJ613" s="31">
        <f t="shared" si="257"/>
        <v>46022</v>
      </c>
      <c r="BK613" s="27">
        <v>45694</v>
      </c>
      <c r="BL613" s="16" t="s">
        <v>4977</v>
      </c>
      <c r="BM613" s="27"/>
      <c r="BN613" s="16"/>
      <c r="BO613" s="27"/>
      <c r="BP613" s="16"/>
      <c r="BQ613" s="27"/>
      <c r="BR613" s="24"/>
      <c r="BS613" s="24"/>
      <c r="BT613" s="32"/>
      <c r="BU613" s="27"/>
      <c r="BV613" s="24"/>
      <c r="BW613" s="24"/>
      <c r="BX613" s="16"/>
      <c r="BY613" s="27"/>
      <c r="BZ613" s="24"/>
      <c r="CA613" s="24"/>
      <c r="CB613" s="16"/>
      <c r="CC613" s="49">
        <f t="shared" si="258"/>
        <v>0</v>
      </c>
      <c r="CD613" s="24"/>
      <c r="CE613" s="49" t="str">
        <f>IFERROR(IF(Y613=0,(W613+CC613)-CD613,IF(Y613&gt;0,(Y613+CC613)-CD613)),"")</f>
        <v/>
      </c>
      <c r="CF613" s="50">
        <v>20533848</v>
      </c>
      <c r="CG613" s="49" t="str">
        <f t="shared" ca="1" si="260"/>
        <v/>
      </c>
      <c r="CH613" s="33">
        <f t="shared" ca="1" si="261"/>
        <v>0.89418777943368111</v>
      </c>
      <c r="CI613" s="33">
        <f t="shared" ca="1" si="262"/>
        <v>0.89418777943368111</v>
      </c>
      <c r="CJ613" s="36" t="str">
        <f t="shared" ca="1" si="263"/>
        <v/>
      </c>
      <c r="CK613" s="34" t="str">
        <f t="shared" si="264"/>
        <v/>
      </c>
      <c r="CL613" s="21"/>
      <c r="CM613" s="35" t="str">
        <f t="shared" ca="1" si="265"/>
        <v>VIGENTE</v>
      </c>
      <c r="CN613" s="82"/>
      <c r="CP613" s="83" t="s">
        <v>1424</v>
      </c>
    </row>
    <row r="614" spans="1:94" ht="24.75" customHeight="1">
      <c r="A614" s="48" t="s">
        <v>4978</v>
      </c>
      <c r="B614" s="77" t="s">
        <v>4979</v>
      </c>
      <c r="C614" s="17" t="s">
        <v>104</v>
      </c>
      <c r="D614" s="18" t="s">
        <v>4980</v>
      </c>
      <c r="E614" s="17" t="s">
        <v>106</v>
      </c>
      <c r="F614" s="17" t="s">
        <v>107</v>
      </c>
      <c r="G614" s="17" t="s">
        <v>108</v>
      </c>
      <c r="H614" s="78">
        <v>33367511</v>
      </c>
      <c r="I614" s="74" t="s">
        <v>4981</v>
      </c>
      <c r="J614" s="16"/>
      <c r="K614" s="16"/>
      <c r="L614" s="20" t="s">
        <v>4982</v>
      </c>
      <c r="M614" s="16" t="s">
        <v>111</v>
      </c>
      <c r="N614" s="115">
        <v>45342</v>
      </c>
      <c r="O614" s="22">
        <v>45345</v>
      </c>
      <c r="P614" s="115">
        <v>45656</v>
      </c>
      <c r="Q614" s="23">
        <f t="shared" si="253"/>
        <v>311</v>
      </c>
      <c r="R614" s="17" t="s">
        <v>242</v>
      </c>
      <c r="S614" s="117" t="s">
        <v>4983</v>
      </c>
      <c r="T614" s="16" t="s">
        <v>732</v>
      </c>
      <c r="U614" s="24">
        <v>55908467</v>
      </c>
      <c r="V614" s="16" t="s">
        <v>894</v>
      </c>
      <c r="W614" s="227">
        <v>51249418</v>
      </c>
      <c r="X614" s="24">
        <v>4659038</v>
      </c>
      <c r="Y614" s="24"/>
      <c r="Z614" s="24"/>
      <c r="AA614" s="17" t="s">
        <v>116</v>
      </c>
      <c r="AB614" s="23" t="str">
        <f>IFERROR(VLOOKUP(AA614,Listas!$A$1:$C$14,2,FALSE),"")</f>
        <v>FREDY CÉSPEDES VILLA</v>
      </c>
      <c r="AC614" s="23">
        <f>IFERROR(VLOOKUP(AA614,Listas!$A$1:$C$14,3,FALSE),"")</f>
        <v>93363483</v>
      </c>
      <c r="AD614" s="17" t="s">
        <v>588</v>
      </c>
      <c r="AE614" s="17" t="s">
        <v>589</v>
      </c>
      <c r="AF614" s="23" t="str">
        <f>IFERROR(VLOOKUP(AE614,Listas!$AD$1:$AF$65,2,FALSE),"")</f>
        <v>ANA LUCY CASTRO CASTRO</v>
      </c>
      <c r="AG614" s="23">
        <f>IFERROR(VLOOKUP(AE614,Listas!$AD$1:$AF$65,3,FALSE),"")</f>
        <v>51743499</v>
      </c>
      <c r="AH614" s="17" t="s">
        <v>118</v>
      </c>
      <c r="AI614" s="65" t="s">
        <v>4984</v>
      </c>
      <c r="AJ614" s="25" t="s">
        <v>119</v>
      </c>
      <c r="AK614" s="26" t="s">
        <v>120</v>
      </c>
      <c r="AL614" s="26" t="s">
        <v>120</v>
      </c>
      <c r="AM614" s="90" t="s">
        <v>119</v>
      </c>
      <c r="AN614" s="105">
        <v>30283</v>
      </c>
      <c r="AO614" s="91">
        <f t="shared" ca="1" si="254"/>
        <v>43</v>
      </c>
      <c r="AP614" s="26" t="s">
        <v>121</v>
      </c>
      <c r="AQ614" s="26" t="s">
        <v>486</v>
      </c>
      <c r="AR614" s="89"/>
      <c r="AS614" s="27"/>
      <c r="AT614" s="16"/>
      <c r="AU614" s="27"/>
      <c r="AV614" s="86"/>
      <c r="AW614" s="27"/>
      <c r="AX614" s="27"/>
      <c r="AY614" s="27"/>
      <c r="AZ614" s="27"/>
      <c r="BA614" s="27"/>
      <c r="BB614" s="27"/>
      <c r="BC614" s="97"/>
      <c r="BD614" s="27"/>
      <c r="BE614" s="16"/>
      <c r="BF614" s="28">
        <f t="shared" si="255"/>
        <v>0</v>
      </c>
      <c r="BG614" s="29"/>
      <c r="BH614" s="27"/>
      <c r="BI614" s="30">
        <f t="shared" si="256"/>
        <v>311</v>
      </c>
      <c r="BJ614" s="31">
        <f t="shared" si="257"/>
        <v>45656</v>
      </c>
      <c r="BK614" s="27"/>
      <c r="BL614" s="16"/>
      <c r="BM614" s="27"/>
      <c r="BN614" s="16"/>
      <c r="BO614" s="27"/>
      <c r="BP614" s="16"/>
      <c r="BQ614" s="27"/>
      <c r="BR614" s="24"/>
      <c r="BS614" s="24"/>
      <c r="BT614" s="32"/>
      <c r="BU614" s="27"/>
      <c r="BV614" s="24"/>
      <c r="BW614" s="24"/>
      <c r="BX614" s="16"/>
      <c r="BY614" s="27"/>
      <c r="BZ614" s="24"/>
      <c r="CA614" s="24"/>
      <c r="CB614" s="16"/>
      <c r="CC614" s="49">
        <f t="shared" si="258"/>
        <v>0</v>
      </c>
      <c r="CD614" s="24"/>
      <c r="CE614" s="49">
        <f t="shared" si="259"/>
        <v>51249418</v>
      </c>
      <c r="CF614" s="50"/>
      <c r="CG614" s="49">
        <f t="shared" ca="1" si="260"/>
        <v>51249418</v>
      </c>
      <c r="CH614" s="33">
        <f t="shared" ca="1" si="261"/>
        <v>1</v>
      </c>
      <c r="CI614" s="33">
        <f t="shared" ca="1" si="262"/>
        <v>1</v>
      </c>
      <c r="CJ614" s="36">
        <f t="shared" ca="1" si="263"/>
        <v>100</v>
      </c>
      <c r="CK614" s="34">
        <f t="shared" si="264"/>
        <v>0</v>
      </c>
      <c r="CL614" s="21"/>
      <c r="CM614" s="35" t="str">
        <f t="shared" ca="1" si="265"/>
        <v>TERMINADO</v>
      </c>
      <c r="CN614" s="82"/>
      <c r="CO614" s="145" t="s">
        <v>4985</v>
      </c>
      <c r="CP614" s="26" t="s">
        <v>123</v>
      </c>
    </row>
    <row r="615" spans="1:94" ht="24.75" customHeight="1">
      <c r="A615" s="48" t="s">
        <v>1424</v>
      </c>
      <c r="B615" s="77" t="s">
        <v>4986</v>
      </c>
      <c r="C615" s="17" t="s">
        <v>2927</v>
      </c>
      <c r="D615" s="18" t="s">
        <v>4987</v>
      </c>
      <c r="E615" s="17" t="s">
        <v>2929</v>
      </c>
      <c r="F615" s="17" t="s">
        <v>1426</v>
      </c>
      <c r="G615" s="17" t="s">
        <v>1427</v>
      </c>
      <c r="H615" s="78" t="s">
        <v>4988</v>
      </c>
      <c r="I615" s="74" t="s">
        <v>4989</v>
      </c>
      <c r="J615" s="16" t="s">
        <v>4990</v>
      </c>
      <c r="K615" s="16">
        <v>71755391</v>
      </c>
      <c r="L615" s="20" t="s">
        <v>2933</v>
      </c>
      <c r="M615" s="16"/>
      <c r="N615" s="115">
        <v>45342</v>
      </c>
      <c r="O615" s="22">
        <v>45342</v>
      </c>
      <c r="P615" s="115">
        <v>45708</v>
      </c>
      <c r="Q615" s="23">
        <f t="shared" si="253"/>
        <v>366</v>
      </c>
      <c r="R615" s="17" t="s">
        <v>2934</v>
      </c>
      <c r="S615" s="117" t="s">
        <v>1424</v>
      </c>
      <c r="T615" s="16" t="s">
        <v>1424</v>
      </c>
      <c r="U615" s="24" t="s">
        <v>1424</v>
      </c>
      <c r="V615" s="16" t="s">
        <v>1424</v>
      </c>
      <c r="W615" s="227">
        <v>0</v>
      </c>
      <c r="X615" s="24"/>
      <c r="Y615" s="24" t="s">
        <v>2935</v>
      </c>
      <c r="Z615" s="24"/>
      <c r="AA615" s="17" t="s">
        <v>406</v>
      </c>
      <c r="AB615" s="23" t="str">
        <f>IFERROR(VLOOKUP(AA615,Listas!$A$1:$C$14,2,FALSE),"")</f>
        <v>EDUARDO ELÍAS BARCHA BOLÍVAR</v>
      </c>
      <c r="AC615" s="23">
        <f>IFERROR(VLOOKUP(AA615,Listas!$A$1:$C$14,3,FALSE),"")</f>
        <v>72133921</v>
      </c>
      <c r="AD615" s="17" t="s">
        <v>472</v>
      </c>
      <c r="AE615" s="17" t="s">
        <v>473</v>
      </c>
      <c r="AF615" s="23" t="str">
        <f>IFERROR(VLOOKUP(AE615,Listas!$AD$1:$AF$65,2,FALSE),"")</f>
        <v>DANIEL ALBERTO CASTAÑO LOPEZ</v>
      </c>
      <c r="AG615" s="23">
        <f>IFERROR(VLOOKUP(AE615,Listas!$AD$1:$AF$65,3,FALSE),"")</f>
        <v>7544385</v>
      </c>
      <c r="AH615" s="17" t="s">
        <v>2936</v>
      </c>
      <c r="AI615" s="65"/>
      <c r="AJ615" s="25" t="s">
        <v>1435</v>
      </c>
      <c r="AK615" s="26" t="s">
        <v>2071</v>
      </c>
      <c r="AL615" s="26" t="s">
        <v>2071</v>
      </c>
      <c r="AM615" s="90" t="s">
        <v>1435</v>
      </c>
      <c r="AN615" s="105"/>
      <c r="AO615" s="91" t="str">
        <f t="shared" ca="1" si="254"/>
        <v xml:space="preserve"> </v>
      </c>
      <c r="AP615" s="26" t="s">
        <v>2937</v>
      </c>
      <c r="AQ615" s="26" t="s">
        <v>3437</v>
      </c>
      <c r="AR615" s="89"/>
      <c r="AS615" s="27"/>
      <c r="AT615" s="16"/>
      <c r="AU615" s="27"/>
      <c r="AV615" s="86"/>
      <c r="AW615" s="27"/>
      <c r="AX615" s="27"/>
      <c r="AY615" s="27"/>
      <c r="AZ615" s="27"/>
      <c r="BA615" s="27"/>
      <c r="BB615" s="27">
        <v>45707</v>
      </c>
      <c r="BC615" s="97">
        <v>314</v>
      </c>
      <c r="BD615" s="27"/>
      <c r="BE615" s="16"/>
      <c r="BF615" s="28">
        <f t="shared" si="255"/>
        <v>314</v>
      </c>
      <c r="BG615" s="29"/>
      <c r="BH615" s="27"/>
      <c r="BI615" s="30">
        <f t="shared" si="256"/>
        <v>680</v>
      </c>
      <c r="BJ615" s="31">
        <f t="shared" si="257"/>
        <v>46022</v>
      </c>
      <c r="BK615" s="27">
        <v>45707</v>
      </c>
      <c r="BL615" s="16" t="s">
        <v>4991</v>
      </c>
      <c r="BM615" s="27"/>
      <c r="BN615" s="16"/>
      <c r="BO615" s="27"/>
      <c r="BP615" s="16"/>
      <c r="BQ615" s="27"/>
      <c r="BR615" s="24"/>
      <c r="BS615" s="24"/>
      <c r="BT615" s="32"/>
      <c r="BU615" s="27"/>
      <c r="BV615" s="24"/>
      <c r="BW615" s="24"/>
      <c r="BX615" s="16"/>
      <c r="BY615" s="27"/>
      <c r="BZ615" s="24"/>
      <c r="CA615" s="24"/>
      <c r="CB615" s="16"/>
      <c r="CC615" s="49">
        <f t="shared" si="258"/>
        <v>0</v>
      </c>
      <c r="CD615" s="24"/>
      <c r="CE615" s="49" t="str">
        <f>IFERROR(IF(Y615=0,(W615+CC615)-CD615,IF(Y615&gt;0,(Y615+CC615)-CD615)),"")</f>
        <v/>
      </c>
      <c r="CF615" s="50">
        <v>1316727029.0799999</v>
      </c>
      <c r="CG615" s="49" t="str">
        <f t="shared" ca="1" si="260"/>
        <v/>
      </c>
      <c r="CH615" s="33">
        <f t="shared" ca="1" si="261"/>
        <v>0.89418777943368111</v>
      </c>
      <c r="CI615" s="33">
        <f t="shared" ca="1" si="262"/>
        <v>0.89418777943368111</v>
      </c>
      <c r="CJ615" s="36" t="str">
        <f t="shared" ca="1" si="263"/>
        <v/>
      </c>
      <c r="CK615" s="34" t="str">
        <f t="shared" si="264"/>
        <v/>
      </c>
      <c r="CL615" s="21"/>
      <c r="CM615" s="35" t="str">
        <f t="shared" ca="1" si="265"/>
        <v>VIGENTE</v>
      </c>
      <c r="CN615" s="82"/>
      <c r="CP615" s="83" t="s">
        <v>1424</v>
      </c>
    </row>
    <row r="616" spans="1:94" ht="24.75" customHeight="1">
      <c r="A616" s="48" t="s">
        <v>1424</v>
      </c>
      <c r="B616" s="77" t="s">
        <v>4992</v>
      </c>
      <c r="C616" s="17" t="s">
        <v>2927</v>
      </c>
      <c r="D616" s="18" t="s">
        <v>4993</v>
      </c>
      <c r="E616" s="17" t="s">
        <v>2929</v>
      </c>
      <c r="F616" s="17" t="s">
        <v>1426</v>
      </c>
      <c r="G616" s="17" t="s">
        <v>1427</v>
      </c>
      <c r="H616" s="78" t="s">
        <v>4994</v>
      </c>
      <c r="I616" s="74" t="s">
        <v>4995</v>
      </c>
      <c r="J616" s="16" t="s">
        <v>4996</v>
      </c>
      <c r="K616" s="16">
        <v>51883809</v>
      </c>
      <c r="L616" s="20" t="s">
        <v>2933</v>
      </c>
      <c r="M616" s="16"/>
      <c r="N616" s="115">
        <v>45342</v>
      </c>
      <c r="O616" s="22">
        <v>45342</v>
      </c>
      <c r="P616" s="115">
        <v>45708</v>
      </c>
      <c r="Q616" s="23">
        <f t="shared" ref="Q616:Q647" si="266">P616-O616</f>
        <v>366</v>
      </c>
      <c r="R616" s="17" t="s">
        <v>2934</v>
      </c>
      <c r="S616" s="117" t="s">
        <v>1424</v>
      </c>
      <c r="T616" s="16" t="s">
        <v>1424</v>
      </c>
      <c r="U616" s="24" t="s">
        <v>1424</v>
      </c>
      <c r="V616" s="16" t="s">
        <v>1424</v>
      </c>
      <c r="W616" s="227">
        <v>0</v>
      </c>
      <c r="X616" s="24"/>
      <c r="Y616" s="24" t="s">
        <v>2935</v>
      </c>
      <c r="Z616" s="24"/>
      <c r="AA616" s="17" t="s">
        <v>406</v>
      </c>
      <c r="AB616" s="23" t="str">
        <f>IFERROR(VLOOKUP(AA616,Listas!$A$1:$C$14,2,FALSE),"")</f>
        <v>EDUARDO ELÍAS BARCHA BOLÍVAR</v>
      </c>
      <c r="AC616" s="23">
        <f>IFERROR(VLOOKUP(AA616,Listas!$A$1:$C$14,3,FALSE),"")</f>
        <v>72133921</v>
      </c>
      <c r="AD616" s="17" t="s">
        <v>1533</v>
      </c>
      <c r="AE616" s="17" t="s">
        <v>1534</v>
      </c>
      <c r="AF616" s="23" t="str">
        <f>IFERROR(VLOOKUP(AE616,Listas!$AD$1:$AF$65,2,FALSE),"")</f>
        <v>ESTEBAN GUERRERO ALVAREZ</v>
      </c>
      <c r="AG616" s="23">
        <f>IFERROR(VLOOKUP(AE616,Listas!$AD$1:$AF$65,3,FALSE),"")</f>
        <v>1032460552</v>
      </c>
      <c r="AH616" s="17" t="s">
        <v>2936</v>
      </c>
      <c r="AI616" s="65"/>
      <c r="AJ616" s="25" t="s">
        <v>1435</v>
      </c>
      <c r="AK616" s="26" t="s">
        <v>2071</v>
      </c>
      <c r="AL616" s="26" t="s">
        <v>2071</v>
      </c>
      <c r="AM616" s="90" t="s">
        <v>1435</v>
      </c>
      <c r="AN616" s="105"/>
      <c r="AO616" s="91" t="str">
        <f t="shared" ref="AO616:AO647" ca="1" si="267">IF(YEAR(TODAY())-YEAR(AN616)&gt;100," ",YEAR(TODAY())-YEAR(AN616))</f>
        <v xml:space="preserve"> </v>
      </c>
      <c r="AP616" s="26" t="s">
        <v>2937</v>
      </c>
      <c r="AQ616" s="26" t="s">
        <v>3067</v>
      </c>
      <c r="AR616" s="89"/>
      <c r="AS616" s="27"/>
      <c r="AT616" s="16"/>
      <c r="AU616" s="27"/>
      <c r="AV616" s="86"/>
      <c r="AW616" s="27"/>
      <c r="AX616" s="27"/>
      <c r="AY616" s="27"/>
      <c r="AZ616" s="27"/>
      <c r="BA616" s="27"/>
      <c r="BB616" s="27">
        <v>45707</v>
      </c>
      <c r="BC616" s="97">
        <v>314</v>
      </c>
      <c r="BD616" s="27"/>
      <c r="BE616" s="16"/>
      <c r="BF616" s="28">
        <f t="shared" ref="BF616:BF647" si="268">BC616+BE616</f>
        <v>314</v>
      </c>
      <c r="BG616" s="29"/>
      <c r="BH616" s="27"/>
      <c r="BI616" s="30">
        <f t="shared" ref="BI616:BI647" si="269">BF616+Q616</f>
        <v>680</v>
      </c>
      <c r="BJ616" s="31">
        <f t="shared" ref="BJ616:BJ647" si="270">IF(BH616="",P616+BF616,BH616)</f>
        <v>46022</v>
      </c>
      <c r="BK616" s="27">
        <v>45707</v>
      </c>
      <c r="BL616" s="16" t="s">
        <v>4997</v>
      </c>
      <c r="BM616" s="27"/>
      <c r="BN616" s="16"/>
      <c r="BO616" s="27"/>
      <c r="BP616" s="16"/>
      <c r="BQ616" s="27"/>
      <c r="BR616" s="24"/>
      <c r="BS616" s="24"/>
      <c r="BT616" s="32"/>
      <c r="BU616" s="27"/>
      <c r="BV616" s="24"/>
      <c r="BW616" s="24"/>
      <c r="BX616" s="16"/>
      <c r="BY616" s="27"/>
      <c r="BZ616" s="24"/>
      <c r="CA616" s="24"/>
      <c r="CB616" s="16"/>
      <c r="CC616" s="49">
        <f t="shared" ref="CC616:CC647" si="271">BR616+BV616+BZ616</f>
        <v>0</v>
      </c>
      <c r="CD616" s="24"/>
      <c r="CE616" s="49" t="str">
        <f>IFERROR(IF(Y616=0,(W616+CC616)-CD616,IF(Y616&gt;0,(Y616+CC616)-CD616)),"")</f>
        <v/>
      </c>
      <c r="CF616" s="50">
        <v>201397435.06</v>
      </c>
      <c r="CG616" s="49" t="str">
        <f t="shared" ca="1" si="260"/>
        <v/>
      </c>
      <c r="CH616" s="33">
        <f t="shared" ref="CH616:CH647" ca="1" si="272">IF(TODAY()&gt;BJ616,1,+(DAYS360(O616,TODAY())/DAYS360(O616,BJ616)))</f>
        <v>0.89418777943368111</v>
      </c>
      <c r="CI616" s="33">
        <f t="shared" ref="CI616:CI647" ca="1" si="273">+IF(CL616&gt;0,DAYS360(O616,CL616)/DAYS360(O616,BJ616),CH616)</f>
        <v>0.89418777943368111</v>
      </c>
      <c r="CJ616" s="36" t="str">
        <f t="shared" ca="1" si="263"/>
        <v/>
      </c>
      <c r="CK616" s="34" t="str">
        <f t="shared" si="264"/>
        <v/>
      </c>
      <c r="CL616" s="21"/>
      <c r="CM616" s="35" t="str">
        <f t="shared" ref="CM616:CM647" ca="1" si="274">IF(CL616&gt;1/1/6,"LIQUIDADO",IF(BJ616=$BE$20003,"",IF(BJ616&gt;=TODAY(),"VIGENTE",IF(BJ616&lt;TODAY(),"TERMINADO",))))</f>
        <v>VIGENTE</v>
      </c>
      <c r="CN616" s="82"/>
      <c r="CP616" s="83" t="s">
        <v>1424</v>
      </c>
    </row>
    <row r="617" spans="1:94" ht="24.75" customHeight="1">
      <c r="A617" s="48" t="s">
        <v>1424</v>
      </c>
      <c r="B617" s="77" t="s">
        <v>4998</v>
      </c>
      <c r="C617" s="17" t="s">
        <v>2927</v>
      </c>
      <c r="D617" s="18" t="s">
        <v>4999</v>
      </c>
      <c r="E617" s="17" t="s">
        <v>2929</v>
      </c>
      <c r="F617" s="17" t="s">
        <v>1426</v>
      </c>
      <c r="G617" s="17" t="s">
        <v>1427</v>
      </c>
      <c r="H617" s="78" t="s">
        <v>5000</v>
      </c>
      <c r="I617" s="74" t="s">
        <v>5001</v>
      </c>
      <c r="J617" s="16" t="s">
        <v>2932</v>
      </c>
      <c r="K617" s="16">
        <v>32786957</v>
      </c>
      <c r="L617" s="20" t="s">
        <v>2933</v>
      </c>
      <c r="M617" s="16"/>
      <c r="N617" s="115">
        <v>45342</v>
      </c>
      <c r="O617" s="22">
        <v>45342</v>
      </c>
      <c r="P617" s="115">
        <v>45708</v>
      </c>
      <c r="Q617" s="23">
        <f t="shared" si="266"/>
        <v>366</v>
      </c>
      <c r="R617" s="17" t="s">
        <v>2934</v>
      </c>
      <c r="S617" s="117" t="s">
        <v>1424</v>
      </c>
      <c r="T617" s="16" t="s">
        <v>1424</v>
      </c>
      <c r="U617" s="24" t="s">
        <v>1424</v>
      </c>
      <c r="V617" s="16" t="s">
        <v>1424</v>
      </c>
      <c r="W617" s="227">
        <v>0</v>
      </c>
      <c r="X617" s="24"/>
      <c r="Y617" s="24" t="s">
        <v>2935</v>
      </c>
      <c r="Z617" s="24"/>
      <c r="AA617" s="17" t="s">
        <v>406</v>
      </c>
      <c r="AB617" s="23" t="str">
        <f>IFERROR(VLOOKUP(AA617,Listas!$A$1:$C$14,2,FALSE),"")</f>
        <v>EDUARDO ELÍAS BARCHA BOLÍVAR</v>
      </c>
      <c r="AC617" s="23">
        <f>IFERROR(VLOOKUP(AA617,Listas!$A$1:$C$14,3,FALSE),"")</f>
        <v>72133921</v>
      </c>
      <c r="AD617" s="17" t="s">
        <v>903</v>
      </c>
      <c r="AE617" s="17" t="s">
        <v>904</v>
      </c>
      <c r="AF617" s="23" t="str">
        <f>IFERROR(VLOOKUP(AE617,Listas!$AD$1:$AF$65,2,FALSE),"")</f>
        <v>VIVIANA MARGARITA ROMERO</v>
      </c>
      <c r="AG617" s="23">
        <f>IFERROR(VLOOKUP(AE617,Listas!$AD$1:$AF$65,3,FALSE),"")</f>
        <v>32794946</v>
      </c>
      <c r="AH617" s="17" t="s">
        <v>2936</v>
      </c>
      <c r="AI617" s="65"/>
      <c r="AJ617" s="25" t="s">
        <v>1435</v>
      </c>
      <c r="AK617" s="26" t="s">
        <v>2071</v>
      </c>
      <c r="AL617" s="26" t="s">
        <v>2071</v>
      </c>
      <c r="AM617" s="90" t="s">
        <v>1435</v>
      </c>
      <c r="AN617" s="105"/>
      <c r="AO617" s="91" t="str">
        <f t="shared" ca="1" si="267"/>
        <v xml:space="preserve"> </v>
      </c>
      <c r="AP617" s="26" t="s">
        <v>2937</v>
      </c>
      <c r="AQ617" s="26" t="s">
        <v>3067</v>
      </c>
      <c r="AR617" s="89"/>
      <c r="AS617" s="27"/>
      <c r="AT617" s="16"/>
      <c r="AU617" s="27"/>
      <c r="AV617" s="86"/>
      <c r="AW617" s="27"/>
      <c r="AX617" s="27"/>
      <c r="AY617" s="27"/>
      <c r="AZ617" s="27"/>
      <c r="BA617" s="27"/>
      <c r="BB617" s="27">
        <v>45686</v>
      </c>
      <c r="BC617" s="97">
        <v>314</v>
      </c>
      <c r="BD617" s="27"/>
      <c r="BE617" s="16"/>
      <c r="BF617" s="28">
        <f t="shared" si="268"/>
        <v>314</v>
      </c>
      <c r="BG617" s="29"/>
      <c r="BH617" s="27"/>
      <c r="BI617" s="30">
        <f t="shared" si="269"/>
        <v>680</v>
      </c>
      <c r="BJ617" s="31">
        <f t="shared" si="270"/>
        <v>46022</v>
      </c>
      <c r="BK617" s="27">
        <v>45686</v>
      </c>
      <c r="BL617" s="16" t="s">
        <v>5002</v>
      </c>
      <c r="BM617" s="27"/>
      <c r="BN617" s="16"/>
      <c r="BO617" s="27"/>
      <c r="BP617" s="16"/>
      <c r="BQ617" s="27"/>
      <c r="BR617" s="24"/>
      <c r="BS617" s="24"/>
      <c r="BT617" s="32"/>
      <c r="BU617" s="27"/>
      <c r="BV617" s="24"/>
      <c r="BW617" s="24"/>
      <c r="BX617" s="16"/>
      <c r="BY617" s="27"/>
      <c r="BZ617" s="24"/>
      <c r="CA617" s="24"/>
      <c r="CB617" s="16"/>
      <c r="CC617" s="49">
        <f t="shared" si="271"/>
        <v>0</v>
      </c>
      <c r="CD617" s="24"/>
      <c r="CE617" s="49" t="str">
        <f>IFERROR(IF(Y617=0,(W617+CC617)-CD617,IF(Y617&gt;0,(Y617+CC617)-CD617)),"")</f>
        <v/>
      </c>
      <c r="CF617" s="50">
        <v>2127679</v>
      </c>
      <c r="CG617" s="49" t="str">
        <f ca="1">IFERROR(IF(((CE617/BI617)*(TODAY()-N618))&gt;CE617,CE617,((CE617/BI617)*(TODAY()-N618))),"")</f>
        <v/>
      </c>
      <c r="CH617" s="33">
        <f t="shared" ca="1" si="272"/>
        <v>0.89418777943368111</v>
      </c>
      <c r="CI617" s="33">
        <f t="shared" ca="1" si="273"/>
        <v>0.89418777943368111</v>
      </c>
      <c r="CJ617" s="36" t="str">
        <f t="shared" ca="1" si="263"/>
        <v/>
      </c>
      <c r="CK617" s="34" t="str">
        <f t="shared" si="264"/>
        <v/>
      </c>
      <c r="CL617" s="21"/>
      <c r="CM617" s="35" t="str">
        <f t="shared" ca="1" si="274"/>
        <v>VIGENTE</v>
      </c>
      <c r="CN617" s="82"/>
      <c r="CP617" s="83" t="s">
        <v>1424</v>
      </c>
    </row>
    <row r="618" spans="1:94" ht="24.75" customHeight="1">
      <c r="A618" s="48" t="s">
        <v>5003</v>
      </c>
      <c r="B618" s="77" t="s">
        <v>5004</v>
      </c>
      <c r="C618" s="17" t="s">
        <v>104</v>
      </c>
      <c r="D618" s="18" t="s">
        <v>5005</v>
      </c>
      <c r="E618" s="17" t="s">
        <v>106</v>
      </c>
      <c r="F618" s="17" t="s">
        <v>107</v>
      </c>
      <c r="G618" s="17" t="s">
        <v>108</v>
      </c>
      <c r="H618" s="78">
        <v>1020800410</v>
      </c>
      <c r="I618" s="74" t="s">
        <v>5006</v>
      </c>
      <c r="J618" s="16"/>
      <c r="K618" s="16"/>
      <c r="L618" s="20" t="s">
        <v>2479</v>
      </c>
      <c r="M618" s="16" t="s">
        <v>111</v>
      </c>
      <c r="N618" s="115">
        <v>45342</v>
      </c>
      <c r="O618" s="22">
        <v>45343</v>
      </c>
      <c r="P618" s="115">
        <v>45656</v>
      </c>
      <c r="Q618" s="23">
        <f t="shared" si="266"/>
        <v>313</v>
      </c>
      <c r="R618" s="17" t="s">
        <v>242</v>
      </c>
      <c r="S618" s="117" t="s">
        <v>5007</v>
      </c>
      <c r="T618" s="16" t="s">
        <v>2751</v>
      </c>
      <c r="U618" s="24">
        <v>61086713</v>
      </c>
      <c r="V618" s="16" t="s">
        <v>344</v>
      </c>
      <c r="W618" s="227">
        <v>59351600</v>
      </c>
      <c r="X618" s="24">
        <v>5395600</v>
      </c>
      <c r="Y618" s="24"/>
      <c r="Z618" s="24"/>
      <c r="AA618" s="17" t="s">
        <v>116</v>
      </c>
      <c r="AB618" s="23" t="str">
        <f>IFERROR(VLOOKUP(AA618,Listas!$A$1:$C$14,2,FALSE),"")</f>
        <v>FREDY CÉSPEDES VILLA</v>
      </c>
      <c r="AC618" s="23">
        <f>IFERROR(VLOOKUP(AA618,Listas!$A$1:$C$14,3,FALSE),"")</f>
        <v>93363483</v>
      </c>
      <c r="AD618" s="17" t="s">
        <v>345</v>
      </c>
      <c r="AE618" s="17" t="s">
        <v>1062</v>
      </c>
      <c r="AF618" s="23" t="str">
        <f>IFERROR(VLOOKUP(AE618,Listas!$AD$1:$AF$65,2,FALSE),"")</f>
        <v>LIBIA ESPERANZA FONSECA MARÍN</v>
      </c>
      <c r="AG618" s="23">
        <f>IFERROR(VLOOKUP(AE618,Listas!$AD$1:$AF$65,3,FALSE),"")</f>
        <v>52207089</v>
      </c>
      <c r="AH618" s="17" t="s">
        <v>118</v>
      </c>
      <c r="AI618" s="65" t="s">
        <v>5008</v>
      </c>
      <c r="AJ618" s="25" t="s">
        <v>119</v>
      </c>
      <c r="AK618" s="26" t="s">
        <v>120</v>
      </c>
      <c r="AL618" s="26" t="s">
        <v>120</v>
      </c>
      <c r="AM618" s="90" t="s">
        <v>119</v>
      </c>
      <c r="AN618" s="105">
        <v>34694</v>
      </c>
      <c r="AO618" s="91">
        <f t="shared" ca="1" si="267"/>
        <v>31</v>
      </c>
      <c r="AP618" s="26" t="s">
        <v>121</v>
      </c>
      <c r="AQ618" s="26" t="s">
        <v>367</v>
      </c>
      <c r="AR618" s="89"/>
      <c r="AS618" s="27"/>
      <c r="AT618" s="16"/>
      <c r="AU618" s="27"/>
      <c r="AV618" s="86"/>
      <c r="AW618" s="27"/>
      <c r="AX618" s="27"/>
      <c r="AY618" s="27"/>
      <c r="AZ618" s="27"/>
      <c r="BA618" s="27"/>
      <c r="BB618" s="27"/>
      <c r="BC618" s="97"/>
      <c r="BD618" s="27"/>
      <c r="BE618" s="16"/>
      <c r="BF618" s="28">
        <f t="shared" si="268"/>
        <v>0</v>
      </c>
      <c r="BG618" s="29"/>
      <c r="BH618" s="27"/>
      <c r="BI618" s="30">
        <f t="shared" si="269"/>
        <v>313</v>
      </c>
      <c r="BJ618" s="31">
        <f t="shared" si="270"/>
        <v>45656</v>
      </c>
      <c r="BK618" s="27"/>
      <c r="BL618" s="16"/>
      <c r="BM618" s="27"/>
      <c r="BN618" s="16"/>
      <c r="BO618" s="27"/>
      <c r="BP618" s="16"/>
      <c r="BQ618" s="27"/>
      <c r="BR618" s="24"/>
      <c r="BS618" s="24"/>
      <c r="BT618" s="32"/>
      <c r="BU618" s="27"/>
      <c r="BV618" s="24"/>
      <c r="BW618" s="24"/>
      <c r="BX618" s="16"/>
      <c r="BY618" s="27"/>
      <c r="BZ618" s="24"/>
      <c r="CA618" s="24"/>
      <c r="CB618" s="16"/>
      <c r="CC618" s="49">
        <f t="shared" si="271"/>
        <v>0</v>
      </c>
      <c r="CD618" s="24"/>
      <c r="CE618" s="49">
        <f t="shared" ref="CE618:CE643" si="275">IF(Y618=0,(W618+CC618)-CD618,IF(Y618&gt;0,(Y618+CC618)-CD618))</f>
        <v>59351600</v>
      </c>
      <c r="CF618" s="50"/>
      <c r="CG618" s="49">
        <f ca="1">IFERROR(IF(((CE618/BI618)*(TODAY()-N619))&gt;CE618,CE618,((CE618/BI618)*(TODAY()-N619))),"")</f>
        <v>59351600</v>
      </c>
      <c r="CH618" s="33">
        <f t="shared" ca="1" si="272"/>
        <v>1</v>
      </c>
      <c r="CI618" s="33">
        <f t="shared" ca="1" si="273"/>
        <v>1</v>
      </c>
      <c r="CJ618" s="36">
        <f t="shared" ca="1" si="263"/>
        <v>100</v>
      </c>
      <c r="CK618" s="34">
        <f t="shared" si="264"/>
        <v>0</v>
      </c>
      <c r="CL618" s="21"/>
      <c r="CM618" s="35" t="str">
        <f t="shared" ca="1" si="274"/>
        <v>TERMINADO</v>
      </c>
      <c r="CN618" s="82"/>
      <c r="CO618" s="145" t="s">
        <v>5009</v>
      </c>
      <c r="CP618" s="26" t="s">
        <v>123</v>
      </c>
    </row>
    <row r="619" spans="1:94" ht="24.75" customHeight="1">
      <c r="A619" s="48" t="s">
        <v>5010</v>
      </c>
      <c r="B619" s="77" t="s">
        <v>5011</v>
      </c>
      <c r="C619" s="17" t="s">
        <v>104</v>
      </c>
      <c r="D619" s="18" t="s">
        <v>5012</v>
      </c>
      <c r="E619" s="17" t="s">
        <v>106</v>
      </c>
      <c r="F619" s="17" t="s">
        <v>107</v>
      </c>
      <c r="G619" s="17" t="s">
        <v>108</v>
      </c>
      <c r="H619" s="78">
        <v>1019048892</v>
      </c>
      <c r="I619" s="74" t="s">
        <v>5013</v>
      </c>
      <c r="J619" s="16"/>
      <c r="K619" s="16"/>
      <c r="L619" s="20" t="s">
        <v>5014</v>
      </c>
      <c r="M619" s="16" t="s">
        <v>111</v>
      </c>
      <c r="N619" s="115">
        <v>45342</v>
      </c>
      <c r="O619" s="22">
        <v>45344</v>
      </c>
      <c r="P619" s="115">
        <v>45656</v>
      </c>
      <c r="Q619" s="23">
        <f t="shared" si="266"/>
        <v>312</v>
      </c>
      <c r="R619" s="17" t="s">
        <v>242</v>
      </c>
      <c r="S619" s="117" t="s">
        <v>4969</v>
      </c>
      <c r="T619" s="16" t="s">
        <v>114</v>
      </c>
      <c r="U619" s="24">
        <v>86112000</v>
      </c>
      <c r="V619" s="16" t="s">
        <v>324</v>
      </c>
      <c r="W619" s="227">
        <v>51258900</v>
      </c>
      <c r="X619" s="24">
        <v>4659900</v>
      </c>
      <c r="Y619" s="24"/>
      <c r="Z619" s="24"/>
      <c r="AA619" s="17" t="s">
        <v>116</v>
      </c>
      <c r="AB619" s="23" t="str">
        <f>IFERROR(VLOOKUP(AA619,Listas!$A$1:$C$14,2,FALSE),"")</f>
        <v>FREDY CÉSPEDES VILLA</v>
      </c>
      <c r="AC619" s="23">
        <f>IFERROR(VLOOKUP(AA619,Listas!$A$1:$C$14,3,FALSE),"")</f>
        <v>93363483</v>
      </c>
      <c r="AD619" s="17" t="s">
        <v>116</v>
      </c>
      <c r="AE619" s="17" t="s">
        <v>484</v>
      </c>
      <c r="AF619" s="23" t="str">
        <f>IFERROR(VLOOKUP(AE619,Listas!$AD$1:$AF$65,2,FALSE),"")</f>
        <v>JAIME ANDRES GIL ACOSTA</v>
      </c>
      <c r="AG619" s="23">
        <f>IFERROR(VLOOKUP(AE619,Listas!$AD$1:$AF$65,3,FALSE),"")</f>
        <v>98622827</v>
      </c>
      <c r="AH619" s="17" t="s">
        <v>118</v>
      </c>
      <c r="AI619" s="65" t="s">
        <v>5015</v>
      </c>
      <c r="AJ619" s="25" t="s">
        <v>119</v>
      </c>
      <c r="AK619" s="26" t="s">
        <v>120</v>
      </c>
      <c r="AL619" s="26" t="s">
        <v>120</v>
      </c>
      <c r="AM619" s="90" t="s">
        <v>119</v>
      </c>
      <c r="AN619" s="105">
        <v>33080</v>
      </c>
      <c r="AO619" s="91">
        <f t="shared" ca="1" si="267"/>
        <v>35</v>
      </c>
      <c r="AP619" s="26" t="s">
        <v>121</v>
      </c>
      <c r="AQ619" s="26" t="s">
        <v>486</v>
      </c>
      <c r="AR619" s="89"/>
      <c r="AS619" s="27"/>
      <c r="AT619" s="16"/>
      <c r="AU619" s="27"/>
      <c r="AV619" s="86"/>
      <c r="AW619" s="27"/>
      <c r="AX619" s="27"/>
      <c r="AY619" s="27"/>
      <c r="AZ619" s="27"/>
      <c r="BA619" s="27"/>
      <c r="BB619" s="27"/>
      <c r="BC619" s="97"/>
      <c r="BD619" s="27"/>
      <c r="BE619" s="16"/>
      <c r="BF619" s="28">
        <f t="shared" si="268"/>
        <v>0</v>
      </c>
      <c r="BG619" s="29"/>
      <c r="BH619" s="27"/>
      <c r="BI619" s="30">
        <f t="shared" si="269"/>
        <v>312</v>
      </c>
      <c r="BJ619" s="31">
        <f t="shared" si="270"/>
        <v>45656</v>
      </c>
      <c r="BK619" s="27"/>
      <c r="BL619" s="16"/>
      <c r="BM619" s="27"/>
      <c r="BN619" s="16"/>
      <c r="BO619" s="27"/>
      <c r="BP619" s="16"/>
      <c r="BQ619" s="27"/>
      <c r="BR619" s="24"/>
      <c r="BS619" s="24"/>
      <c r="BT619" s="32"/>
      <c r="BU619" s="27"/>
      <c r="BV619" s="24"/>
      <c r="BW619" s="24"/>
      <c r="BX619" s="16"/>
      <c r="BY619" s="27"/>
      <c r="BZ619" s="24"/>
      <c r="CA619" s="24"/>
      <c r="CB619" s="16"/>
      <c r="CC619" s="49">
        <f t="shared" si="271"/>
        <v>0</v>
      </c>
      <c r="CD619" s="24"/>
      <c r="CE619" s="49">
        <f t="shared" si="275"/>
        <v>51258900</v>
      </c>
      <c r="CF619" s="50">
        <v>51258000</v>
      </c>
      <c r="CG619" s="49">
        <f t="shared" ref="CG619" ca="1" si="276">IFERROR(IF(((CE619/BI619)*(TODAY()-N619))&gt;CE619,CE619,((CE619/BI619)*(TODAY()-N619))),"")</f>
        <v>51258900</v>
      </c>
      <c r="CH619" s="33">
        <f t="shared" ca="1" si="272"/>
        <v>1</v>
      </c>
      <c r="CI619" s="33">
        <f t="shared" ca="1" si="273"/>
        <v>1</v>
      </c>
      <c r="CJ619" s="36">
        <f t="shared" ca="1" si="263"/>
        <v>100</v>
      </c>
      <c r="CK619" s="34">
        <f t="shared" si="264"/>
        <v>99.998244207347412</v>
      </c>
      <c r="CL619" s="21"/>
      <c r="CM619" s="35" t="str">
        <f t="shared" ca="1" si="274"/>
        <v>TERMINADO</v>
      </c>
      <c r="CN619" s="82"/>
      <c r="CO619" s="145" t="s">
        <v>5016</v>
      </c>
      <c r="CP619" s="26" t="s">
        <v>123</v>
      </c>
    </row>
    <row r="620" spans="1:94" ht="24.75" customHeight="1">
      <c r="A620" s="48" t="s">
        <v>5017</v>
      </c>
      <c r="B620" s="77" t="s">
        <v>5018</v>
      </c>
      <c r="C620" s="17" t="s">
        <v>104</v>
      </c>
      <c r="D620" s="18" t="s">
        <v>5019</v>
      </c>
      <c r="E620" s="17" t="s">
        <v>106</v>
      </c>
      <c r="F620" s="17" t="s">
        <v>107</v>
      </c>
      <c r="G620" s="17" t="s">
        <v>108</v>
      </c>
      <c r="H620" s="78">
        <v>11365680</v>
      </c>
      <c r="I620" s="74" t="s">
        <v>5020</v>
      </c>
      <c r="J620" s="16"/>
      <c r="K620" s="16"/>
      <c r="L620" s="20" t="s">
        <v>5021</v>
      </c>
      <c r="M620" s="16" t="s">
        <v>111</v>
      </c>
      <c r="N620" s="115">
        <v>45342</v>
      </c>
      <c r="O620" s="22">
        <v>45345</v>
      </c>
      <c r="P620" s="115">
        <v>45656</v>
      </c>
      <c r="Q620" s="23">
        <f t="shared" si="266"/>
        <v>311</v>
      </c>
      <c r="R620" s="17" t="s">
        <v>242</v>
      </c>
      <c r="S620" s="117" t="s">
        <v>5022</v>
      </c>
      <c r="T620" s="16" t="s">
        <v>970</v>
      </c>
      <c r="U620" s="67">
        <v>53578948</v>
      </c>
      <c r="V620" s="16" t="s">
        <v>2165</v>
      </c>
      <c r="W620" s="224">
        <v>48928950</v>
      </c>
      <c r="X620" s="24">
        <v>4659600</v>
      </c>
      <c r="Y620" s="24"/>
      <c r="Z620" s="24"/>
      <c r="AA620" s="17" t="s">
        <v>116</v>
      </c>
      <c r="AB620" s="23" t="str">
        <f>IFERROR(VLOOKUP(AA620,Listas!$A$1:$C$14,2,FALSE),"")</f>
        <v>FREDY CÉSPEDES VILLA</v>
      </c>
      <c r="AC620" s="23">
        <f>IFERROR(VLOOKUP(AA620,Listas!$A$1:$C$14,3,FALSE),"")</f>
        <v>93363483</v>
      </c>
      <c r="AD620" s="17" t="s">
        <v>116</v>
      </c>
      <c r="AE620" s="17" t="s">
        <v>972</v>
      </c>
      <c r="AF620" s="23" t="str">
        <f>IFERROR(VLOOKUP(AE620,Listas!$AD$1:$AF$65,2,FALSE),"")</f>
        <v>LUZ MARIELLY MORALES MARTÍNEZ</v>
      </c>
      <c r="AG620" s="23">
        <f>IFERROR(VLOOKUP(AE620,Listas!$AD$1:$AF$65,3,FALSE),"")</f>
        <v>24497384</v>
      </c>
      <c r="AH620" s="17" t="s">
        <v>118</v>
      </c>
      <c r="AI620" s="65" t="s">
        <v>5023</v>
      </c>
      <c r="AJ620" s="25" t="s">
        <v>119</v>
      </c>
      <c r="AK620" s="26" t="s">
        <v>120</v>
      </c>
      <c r="AL620" s="26" t="s">
        <v>120</v>
      </c>
      <c r="AM620" s="90" t="s">
        <v>119</v>
      </c>
      <c r="AN620" s="105">
        <v>30007</v>
      </c>
      <c r="AO620" s="91">
        <f t="shared" ca="1" si="267"/>
        <v>43</v>
      </c>
      <c r="AP620" s="26" t="s">
        <v>121</v>
      </c>
      <c r="AQ620" s="26" t="s">
        <v>285</v>
      </c>
      <c r="AR620" s="89"/>
      <c r="AS620" s="27"/>
      <c r="AT620" s="16"/>
      <c r="AU620" s="27"/>
      <c r="AV620" s="86"/>
      <c r="AW620" s="27"/>
      <c r="AX620" s="27"/>
      <c r="AY620" s="27"/>
      <c r="AZ620" s="27"/>
      <c r="BA620" s="27"/>
      <c r="BB620" s="27"/>
      <c r="BC620" s="97"/>
      <c r="BD620" s="27"/>
      <c r="BE620" s="16"/>
      <c r="BF620" s="28">
        <f t="shared" si="268"/>
        <v>0</v>
      </c>
      <c r="BG620" s="29"/>
      <c r="BH620" s="27"/>
      <c r="BI620" s="30">
        <f t="shared" si="269"/>
        <v>311</v>
      </c>
      <c r="BJ620" s="31">
        <f t="shared" si="270"/>
        <v>45656</v>
      </c>
      <c r="BK620" s="27"/>
      <c r="BL620" s="16"/>
      <c r="BM620" s="27"/>
      <c r="BN620" s="16"/>
      <c r="BO620" s="27"/>
      <c r="BP620" s="16"/>
      <c r="BQ620" s="27"/>
      <c r="BR620" s="24"/>
      <c r="BS620" s="24"/>
      <c r="BT620" s="32"/>
      <c r="BU620" s="27"/>
      <c r="BV620" s="24"/>
      <c r="BW620" s="24"/>
      <c r="BX620" s="16"/>
      <c r="BY620" s="27"/>
      <c r="BZ620" s="24"/>
      <c r="CA620" s="24"/>
      <c r="CB620" s="16"/>
      <c r="CC620" s="49">
        <f t="shared" si="271"/>
        <v>0</v>
      </c>
      <c r="CD620" s="24"/>
      <c r="CE620" s="49">
        <f t="shared" si="275"/>
        <v>48928950</v>
      </c>
      <c r="CF620" s="50"/>
      <c r="CG620" s="49">
        <f t="shared" ref="CG620:CG683" ca="1" si="277">IFERROR(IF(((CE620/BI620)*(TODAY()-N620))&gt;CE620,CE620,((CE620/BI620)*(TODAY()-N620))),"")</f>
        <v>48928950</v>
      </c>
      <c r="CH620" s="33">
        <f t="shared" ca="1" si="272"/>
        <v>1</v>
      </c>
      <c r="CI620" s="33">
        <f t="shared" ca="1" si="273"/>
        <v>1</v>
      </c>
      <c r="CJ620" s="36">
        <f t="shared" ca="1" si="263"/>
        <v>100</v>
      </c>
      <c r="CK620" s="34">
        <f t="shared" si="264"/>
        <v>0</v>
      </c>
      <c r="CL620" s="21"/>
      <c r="CM620" s="35" t="str">
        <f t="shared" ca="1" si="274"/>
        <v>TERMINADO</v>
      </c>
      <c r="CN620" s="82"/>
      <c r="CO620" s="145" t="s">
        <v>5024</v>
      </c>
      <c r="CP620" s="26" t="s">
        <v>142</v>
      </c>
    </row>
    <row r="621" spans="1:94" ht="24.75" customHeight="1">
      <c r="A621" s="109" t="s">
        <v>5025</v>
      </c>
      <c r="B621" s="77" t="s">
        <v>5026</v>
      </c>
      <c r="C621" s="17" t="s">
        <v>104</v>
      </c>
      <c r="D621" s="18" t="s">
        <v>5027</v>
      </c>
      <c r="E621" s="17" t="s">
        <v>106</v>
      </c>
      <c r="F621" s="17" t="s">
        <v>107</v>
      </c>
      <c r="G621" s="17" t="s">
        <v>108</v>
      </c>
      <c r="H621" s="78">
        <v>1050037517</v>
      </c>
      <c r="I621" s="74" t="s">
        <v>5028</v>
      </c>
      <c r="J621" s="16"/>
      <c r="K621" s="16"/>
      <c r="L621" s="20" t="s">
        <v>5029</v>
      </c>
      <c r="M621" s="16" t="s">
        <v>111</v>
      </c>
      <c r="N621" s="115">
        <v>45343</v>
      </c>
      <c r="O621" s="22">
        <v>45345</v>
      </c>
      <c r="P621" s="115">
        <v>45656</v>
      </c>
      <c r="Q621" s="23">
        <f t="shared" si="266"/>
        <v>311</v>
      </c>
      <c r="R621" s="17" t="s">
        <v>242</v>
      </c>
      <c r="S621" s="117" t="s">
        <v>5030</v>
      </c>
      <c r="T621" s="16" t="s">
        <v>2801</v>
      </c>
      <c r="U621" s="67">
        <v>98814608</v>
      </c>
      <c r="V621" s="16" t="s">
        <v>2802</v>
      </c>
      <c r="W621" s="224">
        <v>98814608</v>
      </c>
      <c r="X621" s="24">
        <v>9410915</v>
      </c>
      <c r="Y621" s="24"/>
      <c r="Z621" s="24"/>
      <c r="AA621" s="17" t="s">
        <v>116</v>
      </c>
      <c r="AB621" s="23" t="str">
        <f>IFERROR(VLOOKUP(AA621,Listas!$A$1:$C$14,2,FALSE),"")</f>
        <v>FREDY CÉSPEDES VILLA</v>
      </c>
      <c r="AC621" s="23">
        <f>IFERROR(VLOOKUP(AA621,Listas!$A$1:$C$14,3,FALSE),"")</f>
        <v>93363483</v>
      </c>
      <c r="AD621" s="17" t="s">
        <v>217</v>
      </c>
      <c r="AE621" s="17" t="s">
        <v>265</v>
      </c>
      <c r="AF621" s="23" t="str">
        <f>IFERROR(VLOOKUP(AE621,Listas!$AD$1:$AF$65,2,FALSE),"")</f>
        <v>EDGAR ANTONIO GÓMEZ ÁLVAREZ</v>
      </c>
      <c r="AG621" s="23">
        <f>IFERROR(VLOOKUP(AE621,Listas!$AD$1:$AF$65,3,FALSE),"")</f>
        <v>2231755</v>
      </c>
      <c r="AH621" s="17" t="s">
        <v>118</v>
      </c>
      <c r="AI621" s="65" t="s">
        <v>5031</v>
      </c>
      <c r="AJ621" s="25" t="s">
        <v>119</v>
      </c>
      <c r="AK621" s="26" t="s">
        <v>120</v>
      </c>
      <c r="AL621" s="26" t="s">
        <v>120</v>
      </c>
      <c r="AM621" s="90" t="s">
        <v>119</v>
      </c>
      <c r="AN621" s="105">
        <v>33506</v>
      </c>
      <c r="AO621" s="91">
        <f t="shared" ca="1" si="267"/>
        <v>34</v>
      </c>
      <c r="AP621" s="26" t="s">
        <v>121</v>
      </c>
      <c r="AQ621" s="26" t="s">
        <v>220</v>
      </c>
      <c r="AR621" s="89">
        <v>45505</v>
      </c>
      <c r="AS621" s="27" t="s">
        <v>5032</v>
      </c>
      <c r="AT621" s="104">
        <v>52818413</v>
      </c>
      <c r="AU621" s="27" t="s">
        <v>5033</v>
      </c>
      <c r="AV621" s="86">
        <v>47368273</v>
      </c>
      <c r="AW621" s="27"/>
      <c r="AX621" s="27"/>
      <c r="AY621" s="27"/>
      <c r="AZ621" s="27"/>
      <c r="BA621" s="27"/>
      <c r="BB621" s="27"/>
      <c r="BC621" s="97"/>
      <c r="BD621" s="27"/>
      <c r="BE621" s="16"/>
      <c r="BF621" s="28">
        <f t="shared" si="268"/>
        <v>0</v>
      </c>
      <c r="BG621" s="29"/>
      <c r="BH621" s="27"/>
      <c r="BI621" s="30">
        <f t="shared" si="269"/>
        <v>311</v>
      </c>
      <c r="BJ621" s="31">
        <f t="shared" si="270"/>
        <v>45656</v>
      </c>
      <c r="BK621" s="27"/>
      <c r="BL621" s="16"/>
      <c r="BM621" s="27"/>
      <c r="BN621" s="16"/>
      <c r="BO621" s="27"/>
      <c r="BP621" s="16"/>
      <c r="BQ621" s="27"/>
      <c r="BR621" s="24"/>
      <c r="BS621" s="24"/>
      <c r="BT621" s="32"/>
      <c r="BU621" s="27"/>
      <c r="BV621" s="24"/>
      <c r="BW621" s="24"/>
      <c r="BX621" s="16"/>
      <c r="BY621" s="27"/>
      <c r="BZ621" s="24"/>
      <c r="CA621" s="24"/>
      <c r="CB621" s="16"/>
      <c r="CC621" s="49">
        <f t="shared" si="271"/>
        <v>0</v>
      </c>
      <c r="CD621" s="24"/>
      <c r="CE621" s="49">
        <f t="shared" si="275"/>
        <v>98814608</v>
      </c>
      <c r="CF621" s="50"/>
      <c r="CG621" s="49">
        <f t="shared" ca="1" si="277"/>
        <v>98814608</v>
      </c>
      <c r="CH621" s="33">
        <f t="shared" ca="1" si="272"/>
        <v>1</v>
      </c>
      <c r="CI621" s="33">
        <f t="shared" ca="1" si="273"/>
        <v>1</v>
      </c>
      <c r="CJ621" s="36">
        <f t="shared" ca="1" si="263"/>
        <v>100</v>
      </c>
      <c r="CK621" s="34">
        <f t="shared" si="264"/>
        <v>0</v>
      </c>
      <c r="CL621" s="21"/>
      <c r="CM621" s="35" t="str">
        <f t="shared" ca="1" si="274"/>
        <v>TERMINADO</v>
      </c>
      <c r="CN621" s="82"/>
      <c r="CO621" s="145" t="s">
        <v>5034</v>
      </c>
      <c r="CP621" s="26" t="s">
        <v>123</v>
      </c>
    </row>
    <row r="622" spans="1:94" ht="24.75" customHeight="1">
      <c r="A622" s="48" t="s">
        <v>5035</v>
      </c>
      <c r="B622" s="77" t="s">
        <v>5036</v>
      </c>
      <c r="C622" s="17" t="s">
        <v>104</v>
      </c>
      <c r="D622" s="18" t="s">
        <v>5037</v>
      </c>
      <c r="E622" s="17" t="s">
        <v>106</v>
      </c>
      <c r="F622" s="17" t="s">
        <v>107</v>
      </c>
      <c r="G622" s="17" t="s">
        <v>108</v>
      </c>
      <c r="H622" s="78">
        <v>1065630709</v>
      </c>
      <c r="I622" s="74" t="s">
        <v>5038</v>
      </c>
      <c r="J622" s="16"/>
      <c r="K622" s="16"/>
      <c r="L622" s="20" t="s">
        <v>5039</v>
      </c>
      <c r="M622" s="16" t="s">
        <v>111</v>
      </c>
      <c r="N622" s="115">
        <v>45343</v>
      </c>
      <c r="O622" s="22">
        <v>45350</v>
      </c>
      <c r="P622" s="115">
        <v>45656</v>
      </c>
      <c r="Q622" s="23">
        <f t="shared" si="266"/>
        <v>306</v>
      </c>
      <c r="R622" s="17" t="s">
        <v>112</v>
      </c>
      <c r="S622" s="117" t="s">
        <v>5040</v>
      </c>
      <c r="T622" s="16" t="s">
        <v>3098</v>
      </c>
      <c r="U622" s="67">
        <v>84533333</v>
      </c>
      <c r="V622" s="16" t="s">
        <v>4379</v>
      </c>
      <c r="W622" s="224">
        <v>84533333</v>
      </c>
      <c r="X622" s="24">
        <v>8000000</v>
      </c>
      <c r="Y622" s="24"/>
      <c r="Z622" s="24"/>
      <c r="AA622" s="17" t="s">
        <v>116</v>
      </c>
      <c r="AB622" s="23" t="str">
        <f>IFERROR(VLOOKUP(AA622,Listas!$A$1:$C$14,2,FALSE),"")</f>
        <v>FREDY CÉSPEDES VILLA</v>
      </c>
      <c r="AC622" s="23">
        <f>IFERROR(VLOOKUP(AA622,Listas!$A$1:$C$14,3,FALSE),"")</f>
        <v>93363483</v>
      </c>
      <c r="AD622" s="17" t="s">
        <v>816</v>
      </c>
      <c r="AE622" s="17" t="s">
        <v>2835</v>
      </c>
      <c r="AF622" s="23" t="str">
        <f>IFERROR(VLOOKUP(AE622,Listas!$AD$1:$AF$65,2,FALSE),"")</f>
        <v>GUILLERMO ANDRES CARDONA HERRERA</v>
      </c>
      <c r="AG622" s="23">
        <f>IFERROR(VLOOKUP(AE622,Listas!$AD$1:$AF$65,3,FALSE),"")</f>
        <v>80018909</v>
      </c>
      <c r="AH622" s="17" t="s">
        <v>118</v>
      </c>
      <c r="AI622" s="65" t="s">
        <v>5041</v>
      </c>
      <c r="AJ622" s="25" t="s">
        <v>119</v>
      </c>
      <c r="AK622" s="26" t="s">
        <v>120</v>
      </c>
      <c r="AL622" s="26" t="s">
        <v>120</v>
      </c>
      <c r="AM622" s="90" t="s">
        <v>119</v>
      </c>
      <c r="AN622" s="105">
        <v>33376</v>
      </c>
      <c r="AO622" s="91">
        <f t="shared" ca="1" si="267"/>
        <v>34</v>
      </c>
      <c r="AP622" s="26" t="s">
        <v>121</v>
      </c>
      <c r="AQ622" s="26" t="s">
        <v>515</v>
      </c>
      <c r="AR622" s="89"/>
      <c r="AS622" s="27"/>
      <c r="AT622" s="16"/>
      <c r="AU622" s="27"/>
      <c r="AV622" s="86"/>
      <c r="AW622" s="27"/>
      <c r="AX622" s="27"/>
      <c r="AY622" s="27"/>
      <c r="AZ622" s="27"/>
      <c r="BA622" s="27"/>
      <c r="BB622" s="27"/>
      <c r="BC622" s="97"/>
      <c r="BD622" s="27"/>
      <c r="BE622" s="16"/>
      <c r="BF622" s="28">
        <f t="shared" si="268"/>
        <v>0</v>
      </c>
      <c r="BG622" s="29"/>
      <c r="BH622" s="27"/>
      <c r="BI622" s="30">
        <f t="shared" si="269"/>
        <v>306</v>
      </c>
      <c r="BJ622" s="31">
        <f t="shared" si="270"/>
        <v>45656</v>
      </c>
      <c r="BK622" s="27"/>
      <c r="BL622" s="16"/>
      <c r="BM622" s="27"/>
      <c r="BN622" s="16"/>
      <c r="BO622" s="27"/>
      <c r="BP622" s="16"/>
      <c r="BQ622" s="27"/>
      <c r="BR622" s="24"/>
      <c r="BS622" s="24"/>
      <c r="BT622" s="32"/>
      <c r="BU622" s="27"/>
      <c r="BV622" s="24"/>
      <c r="BW622" s="24"/>
      <c r="BX622" s="16"/>
      <c r="BY622" s="27"/>
      <c r="BZ622" s="24"/>
      <c r="CA622" s="24"/>
      <c r="CB622" s="16"/>
      <c r="CC622" s="49">
        <f t="shared" si="271"/>
        <v>0</v>
      </c>
      <c r="CD622" s="24"/>
      <c r="CE622" s="49">
        <f t="shared" si="275"/>
        <v>84533333</v>
      </c>
      <c r="CF622" s="50"/>
      <c r="CG622" s="49">
        <f t="shared" ca="1" si="277"/>
        <v>84533333</v>
      </c>
      <c r="CH622" s="33">
        <f t="shared" ca="1" si="272"/>
        <v>1</v>
      </c>
      <c r="CI622" s="33">
        <f t="shared" ca="1" si="273"/>
        <v>1</v>
      </c>
      <c r="CJ622" s="36">
        <f t="shared" ca="1" si="263"/>
        <v>100</v>
      </c>
      <c r="CK622" s="34">
        <f t="shared" si="264"/>
        <v>0</v>
      </c>
      <c r="CL622" s="21"/>
      <c r="CM622" s="35" t="str">
        <f t="shared" ca="1" si="274"/>
        <v>TERMINADO</v>
      </c>
      <c r="CN622" s="82"/>
      <c r="CO622" s="145" t="s">
        <v>5042</v>
      </c>
      <c r="CP622" s="26" t="s">
        <v>142</v>
      </c>
    </row>
    <row r="623" spans="1:94" ht="24.75" customHeight="1">
      <c r="A623" s="48" t="s">
        <v>5043</v>
      </c>
      <c r="B623" s="77" t="s">
        <v>5044</v>
      </c>
      <c r="C623" s="17" t="s">
        <v>104</v>
      </c>
      <c r="D623" s="18" t="s">
        <v>5045</v>
      </c>
      <c r="E623" s="17" t="s">
        <v>106</v>
      </c>
      <c r="F623" s="17" t="s">
        <v>107</v>
      </c>
      <c r="G623" s="17" t="s">
        <v>108</v>
      </c>
      <c r="H623" s="78">
        <v>1024535493</v>
      </c>
      <c r="I623" s="74" t="s">
        <v>5046</v>
      </c>
      <c r="J623" s="16"/>
      <c r="K623" s="16"/>
      <c r="L623" s="20" t="s">
        <v>1866</v>
      </c>
      <c r="M623" s="16" t="s">
        <v>111</v>
      </c>
      <c r="N623" s="115">
        <v>45343</v>
      </c>
      <c r="O623" s="22">
        <v>45345</v>
      </c>
      <c r="P623" s="115">
        <v>45656</v>
      </c>
      <c r="Q623" s="23">
        <f t="shared" si="266"/>
        <v>311</v>
      </c>
      <c r="R623" s="17" t="s">
        <v>242</v>
      </c>
      <c r="S623" s="117" t="s">
        <v>5047</v>
      </c>
      <c r="T623" s="16" t="s">
        <v>425</v>
      </c>
      <c r="U623" s="67">
        <v>63767600</v>
      </c>
      <c r="V623" s="16" t="s">
        <v>426</v>
      </c>
      <c r="W623" s="224">
        <v>63767600</v>
      </c>
      <c r="X623" s="24">
        <v>6131500</v>
      </c>
      <c r="Y623" s="24"/>
      <c r="Z623" s="24"/>
      <c r="AA623" s="17" t="s">
        <v>116</v>
      </c>
      <c r="AB623" s="23" t="str">
        <f>IFERROR(VLOOKUP(AA623,Listas!$A$1:$C$14,2,FALSE),"")</f>
        <v>FREDY CÉSPEDES VILLA</v>
      </c>
      <c r="AC623" s="23">
        <f>IFERROR(VLOOKUP(AA623,Listas!$A$1:$C$14,3,FALSE),"")</f>
        <v>93363483</v>
      </c>
      <c r="AD623" s="17" t="s">
        <v>427</v>
      </c>
      <c r="AE623" s="17" t="s">
        <v>2341</v>
      </c>
      <c r="AF623" s="23" t="str">
        <f>IFERROR(VLOOKUP(AE623,Listas!$AD$1:$AF$65,2,FALSE),"")</f>
        <v>LUIS ALFONSO NIÑO MANCILLA</v>
      </c>
      <c r="AG623" s="23">
        <f>IFERROR(VLOOKUP(AE623,Listas!$AD$1:$AF$65,3,FALSE),"")</f>
        <v>79719453</v>
      </c>
      <c r="AH623" s="17" t="s">
        <v>118</v>
      </c>
      <c r="AI623" s="65" t="s">
        <v>5048</v>
      </c>
      <c r="AJ623" s="25" t="s">
        <v>119</v>
      </c>
      <c r="AK623" s="26" t="s">
        <v>120</v>
      </c>
      <c r="AL623" s="26" t="s">
        <v>120</v>
      </c>
      <c r="AM623" s="90" t="s">
        <v>119</v>
      </c>
      <c r="AN623" s="105">
        <v>33953</v>
      </c>
      <c r="AO623" s="91">
        <f t="shared" ca="1" si="267"/>
        <v>33</v>
      </c>
      <c r="AP623" s="26" t="s">
        <v>121</v>
      </c>
      <c r="AQ623" s="26" t="s">
        <v>122</v>
      </c>
      <c r="AR623" s="89"/>
      <c r="AS623" s="27"/>
      <c r="AT623" s="16"/>
      <c r="AU623" s="27"/>
      <c r="AV623" s="86"/>
      <c r="AW623" s="27"/>
      <c r="AX623" s="27"/>
      <c r="AY623" s="27"/>
      <c r="AZ623" s="27"/>
      <c r="BA623" s="27"/>
      <c r="BB623" s="27"/>
      <c r="BC623" s="97"/>
      <c r="BD623" s="27"/>
      <c r="BE623" s="16"/>
      <c r="BF623" s="28">
        <f t="shared" si="268"/>
        <v>0</v>
      </c>
      <c r="BG623" s="29"/>
      <c r="BH623" s="27"/>
      <c r="BI623" s="30">
        <f t="shared" si="269"/>
        <v>311</v>
      </c>
      <c r="BJ623" s="31">
        <f t="shared" si="270"/>
        <v>45656</v>
      </c>
      <c r="BK623" s="27"/>
      <c r="BL623" s="16"/>
      <c r="BM623" s="27"/>
      <c r="BN623" s="16"/>
      <c r="BO623" s="27"/>
      <c r="BP623" s="16"/>
      <c r="BQ623" s="27"/>
      <c r="BR623" s="24"/>
      <c r="BS623" s="24"/>
      <c r="BT623" s="32"/>
      <c r="BU623" s="27"/>
      <c r="BV623" s="24"/>
      <c r="BW623" s="24"/>
      <c r="BX623" s="16"/>
      <c r="BY623" s="27"/>
      <c r="BZ623" s="24"/>
      <c r="CA623" s="24"/>
      <c r="CB623" s="16"/>
      <c r="CC623" s="49">
        <f t="shared" si="271"/>
        <v>0</v>
      </c>
      <c r="CD623" s="24"/>
      <c r="CE623" s="49">
        <f t="shared" si="275"/>
        <v>63767600</v>
      </c>
      <c r="CF623" s="50"/>
      <c r="CG623" s="49">
        <f t="shared" ca="1" si="277"/>
        <v>63767600</v>
      </c>
      <c r="CH623" s="33">
        <f t="shared" ca="1" si="272"/>
        <v>1</v>
      </c>
      <c r="CI623" s="33">
        <f t="shared" ca="1" si="273"/>
        <v>1</v>
      </c>
      <c r="CJ623" s="36">
        <f t="shared" ca="1" si="263"/>
        <v>100</v>
      </c>
      <c r="CK623" s="34">
        <f t="shared" si="264"/>
        <v>0</v>
      </c>
      <c r="CL623" s="21"/>
      <c r="CM623" s="35" t="str">
        <f t="shared" ca="1" si="274"/>
        <v>TERMINADO</v>
      </c>
      <c r="CN623" s="82"/>
      <c r="CO623" s="145" t="s">
        <v>5049</v>
      </c>
      <c r="CP623" s="26" t="s">
        <v>123</v>
      </c>
    </row>
    <row r="624" spans="1:94" ht="24.75" customHeight="1">
      <c r="A624" s="48" t="s">
        <v>5050</v>
      </c>
      <c r="B624" s="77" t="s">
        <v>5051</v>
      </c>
      <c r="C624" s="17" t="s">
        <v>104</v>
      </c>
      <c r="D624" s="18" t="s">
        <v>5052</v>
      </c>
      <c r="E624" s="17" t="s">
        <v>106</v>
      </c>
      <c r="F624" s="17" t="s">
        <v>107</v>
      </c>
      <c r="G624" s="17" t="s">
        <v>108</v>
      </c>
      <c r="H624" s="78">
        <v>16077967</v>
      </c>
      <c r="I624" s="74" t="s">
        <v>5053</v>
      </c>
      <c r="J624" s="16"/>
      <c r="K624" s="16"/>
      <c r="L624" s="20" t="s">
        <v>5054</v>
      </c>
      <c r="M624" s="16" t="s">
        <v>111</v>
      </c>
      <c r="N624" s="115">
        <v>45343</v>
      </c>
      <c r="O624" s="22">
        <v>45345</v>
      </c>
      <c r="P624" s="115">
        <v>45526</v>
      </c>
      <c r="Q624" s="23">
        <f t="shared" si="266"/>
        <v>181</v>
      </c>
      <c r="R624" s="17" t="s">
        <v>242</v>
      </c>
      <c r="S624" s="117" t="s">
        <v>5055</v>
      </c>
      <c r="T624" s="16" t="s">
        <v>997</v>
      </c>
      <c r="U624" s="67">
        <v>69000000</v>
      </c>
      <c r="V624" s="16" t="s">
        <v>3421</v>
      </c>
      <c r="W624" s="224">
        <v>69000000</v>
      </c>
      <c r="X624" s="24">
        <v>11500000</v>
      </c>
      <c r="Y624" s="24"/>
      <c r="Z624" s="24"/>
      <c r="AA624" s="17" t="s">
        <v>116</v>
      </c>
      <c r="AB624" s="23" t="str">
        <f>IFERROR(VLOOKUP(AA624,Listas!$A$1:$C$14,2,FALSE),"")</f>
        <v>FREDY CÉSPEDES VILLA</v>
      </c>
      <c r="AC624" s="23">
        <f>IFERROR(VLOOKUP(AA624,Listas!$A$1:$C$14,3,FALSE),"")</f>
        <v>93363483</v>
      </c>
      <c r="AD624" s="17" t="s">
        <v>816</v>
      </c>
      <c r="AE624" s="17" t="s">
        <v>2450</v>
      </c>
      <c r="AF624" s="23" t="str">
        <f>IFERROR(VLOOKUP(AE624,Listas!$AD$1:$AF$65,2,FALSE),"")</f>
        <v>VICTOR MANUEL MONDRAGÓN MACA</v>
      </c>
      <c r="AG624" s="23">
        <f>IFERROR(VLOOKUP(AE624,Listas!$AD$1:$AF$65,3,FALSE),"")</f>
        <v>76322322</v>
      </c>
      <c r="AH624" s="17" t="s">
        <v>118</v>
      </c>
      <c r="AI624" s="65" t="s">
        <v>5056</v>
      </c>
      <c r="AJ624" s="25" t="s">
        <v>119</v>
      </c>
      <c r="AK624" s="26" t="s">
        <v>120</v>
      </c>
      <c r="AL624" s="26" t="s">
        <v>120</v>
      </c>
      <c r="AM624" s="90" t="s">
        <v>119</v>
      </c>
      <c r="AN624" s="105">
        <v>30633</v>
      </c>
      <c r="AO624" s="91">
        <f t="shared" ca="1" si="267"/>
        <v>42</v>
      </c>
      <c r="AP624" s="26" t="s">
        <v>121</v>
      </c>
      <c r="AQ624" s="26" t="s">
        <v>515</v>
      </c>
      <c r="AR624" s="89"/>
      <c r="AS624" s="27"/>
      <c r="AT624" s="16"/>
      <c r="AU624" s="27"/>
      <c r="AV624" s="86"/>
      <c r="AW624" s="27"/>
      <c r="AX624" s="27"/>
      <c r="AY624" s="27"/>
      <c r="AZ624" s="27"/>
      <c r="BA624" s="27"/>
      <c r="BB624" s="27">
        <v>45526</v>
      </c>
      <c r="BC624" s="97">
        <v>92</v>
      </c>
      <c r="BD624" s="27"/>
      <c r="BE624" s="16"/>
      <c r="BF624" s="28">
        <f t="shared" si="268"/>
        <v>92</v>
      </c>
      <c r="BG624" s="29"/>
      <c r="BH624" s="27"/>
      <c r="BI624" s="30">
        <f t="shared" si="269"/>
        <v>273</v>
      </c>
      <c r="BJ624" s="31">
        <f t="shared" si="270"/>
        <v>45618</v>
      </c>
      <c r="BK624" s="27"/>
      <c r="BL624" s="16"/>
      <c r="BM624" s="27"/>
      <c r="BN624" s="16"/>
      <c r="BO624" s="27"/>
      <c r="BP624" s="16"/>
      <c r="BQ624" s="27">
        <v>45526</v>
      </c>
      <c r="BR624" s="24">
        <v>34500000</v>
      </c>
      <c r="BS624" s="24" t="s">
        <v>5057</v>
      </c>
      <c r="BT624" s="32" t="s">
        <v>5058</v>
      </c>
      <c r="BU624" s="27"/>
      <c r="BV624" s="24"/>
      <c r="BW624" s="24"/>
      <c r="BX624" s="16"/>
      <c r="BY624" s="27"/>
      <c r="BZ624" s="24"/>
      <c r="CA624" s="24"/>
      <c r="CB624" s="16"/>
      <c r="CC624" s="49">
        <f t="shared" si="271"/>
        <v>34500000</v>
      </c>
      <c r="CD624" s="24"/>
      <c r="CE624" s="49">
        <f t="shared" si="275"/>
        <v>103500000</v>
      </c>
      <c r="CF624" s="50">
        <v>58266666</v>
      </c>
      <c r="CG624" s="49">
        <f t="shared" ca="1" si="277"/>
        <v>103500000</v>
      </c>
      <c r="CH624" s="33">
        <f t="shared" ca="1" si="272"/>
        <v>1</v>
      </c>
      <c r="CI624" s="33">
        <f t="shared" ca="1" si="273"/>
        <v>1</v>
      </c>
      <c r="CJ624" s="36">
        <f t="shared" ca="1" si="263"/>
        <v>100</v>
      </c>
      <c r="CK624" s="34">
        <f t="shared" si="264"/>
        <v>56.29629565217391</v>
      </c>
      <c r="CL624" s="21"/>
      <c r="CM624" s="35" t="str">
        <f t="shared" ca="1" si="274"/>
        <v>TERMINADO</v>
      </c>
      <c r="CN624" s="82"/>
      <c r="CO624" s="145" t="s">
        <v>5059</v>
      </c>
      <c r="CP624" s="26" t="s">
        <v>142</v>
      </c>
    </row>
    <row r="625" spans="1:94" ht="24.75" customHeight="1">
      <c r="A625" s="48" t="s">
        <v>5060</v>
      </c>
      <c r="B625" s="77" t="s">
        <v>5061</v>
      </c>
      <c r="C625" s="17" t="s">
        <v>104</v>
      </c>
      <c r="D625" s="18" t="s">
        <v>5062</v>
      </c>
      <c r="E625" s="17" t="s">
        <v>106</v>
      </c>
      <c r="F625" s="17" t="s">
        <v>107</v>
      </c>
      <c r="G625" s="17" t="s">
        <v>108</v>
      </c>
      <c r="H625" s="78">
        <v>53176808</v>
      </c>
      <c r="I625" s="74" t="s">
        <v>5063</v>
      </c>
      <c r="J625" s="16"/>
      <c r="K625" s="16"/>
      <c r="L625" s="20" t="s">
        <v>5064</v>
      </c>
      <c r="M625" s="16" t="s">
        <v>111</v>
      </c>
      <c r="N625" s="115">
        <v>45343</v>
      </c>
      <c r="O625" s="22">
        <v>45345</v>
      </c>
      <c r="P625" s="115">
        <v>45656</v>
      </c>
      <c r="Q625" s="23">
        <f t="shared" si="266"/>
        <v>311</v>
      </c>
      <c r="R625" s="17" t="s">
        <v>112</v>
      </c>
      <c r="S625" s="117" t="s">
        <v>5065</v>
      </c>
      <c r="T625" s="16" t="s">
        <v>364</v>
      </c>
      <c r="U625" s="67">
        <v>55462998</v>
      </c>
      <c r="V625" s="16" t="s">
        <v>1903</v>
      </c>
      <c r="W625" s="224">
        <v>55462998</v>
      </c>
      <c r="X625" s="24">
        <v>5026858</v>
      </c>
      <c r="Y625" s="24"/>
      <c r="Z625" s="24"/>
      <c r="AA625" s="17" t="s">
        <v>116</v>
      </c>
      <c r="AB625" s="23" t="str">
        <f>IFERROR(VLOOKUP(AA625,Listas!$A$1:$C$14,2,FALSE),"")</f>
        <v>FREDY CÉSPEDES VILLA</v>
      </c>
      <c r="AC625" s="23">
        <f>IFERROR(VLOOKUP(AA625,Listas!$A$1:$C$14,3,FALSE),"")</f>
        <v>93363483</v>
      </c>
      <c r="AD625" s="17" t="s">
        <v>345</v>
      </c>
      <c r="AE625" s="17" t="s">
        <v>346</v>
      </c>
      <c r="AF625" s="23" t="str">
        <f>IFERROR(VLOOKUP(AE625,Listas!$AD$1:$AF$65,2,FALSE),"")</f>
        <v>RODOLFO GIOVANNI CANCHILA SUÁREZ</v>
      </c>
      <c r="AG625" s="23">
        <f>IFERROR(VLOOKUP(AE625,Listas!$AD$1:$AF$65,3,FALSE),"")</f>
        <v>79672493</v>
      </c>
      <c r="AH625" s="17" t="s">
        <v>118</v>
      </c>
      <c r="AI625" s="65" t="s">
        <v>5066</v>
      </c>
      <c r="AJ625" s="25" t="s">
        <v>119</v>
      </c>
      <c r="AK625" s="26" t="s">
        <v>120</v>
      </c>
      <c r="AL625" s="26" t="s">
        <v>120</v>
      </c>
      <c r="AM625" s="90" t="s">
        <v>119</v>
      </c>
      <c r="AN625" s="105">
        <v>31234</v>
      </c>
      <c r="AO625" s="91">
        <f t="shared" ca="1" si="267"/>
        <v>40</v>
      </c>
      <c r="AP625" s="26" t="s">
        <v>121</v>
      </c>
      <c r="AQ625" s="26" t="s">
        <v>367</v>
      </c>
      <c r="AR625" s="89"/>
      <c r="AS625" s="27"/>
      <c r="AT625" s="16"/>
      <c r="AU625" s="27"/>
      <c r="AV625" s="86"/>
      <c r="AW625" s="27"/>
      <c r="AX625" s="27"/>
      <c r="AY625" s="27"/>
      <c r="AZ625" s="27"/>
      <c r="BA625" s="27"/>
      <c r="BB625" s="27"/>
      <c r="BC625" s="97"/>
      <c r="BD625" s="27"/>
      <c r="BE625" s="16"/>
      <c r="BF625" s="28">
        <f t="shared" si="268"/>
        <v>0</v>
      </c>
      <c r="BG625" s="29"/>
      <c r="BH625" s="27"/>
      <c r="BI625" s="30">
        <f t="shared" si="269"/>
        <v>311</v>
      </c>
      <c r="BJ625" s="31">
        <f t="shared" si="270"/>
        <v>45656</v>
      </c>
      <c r="BK625" s="27"/>
      <c r="BL625" s="16"/>
      <c r="BM625" s="27"/>
      <c r="BN625" s="16"/>
      <c r="BO625" s="27"/>
      <c r="BP625" s="16"/>
      <c r="BQ625" s="27"/>
      <c r="BR625" s="24"/>
      <c r="BS625" s="24"/>
      <c r="BT625" s="32"/>
      <c r="BU625" s="27"/>
      <c r="BV625" s="24"/>
      <c r="BW625" s="24"/>
      <c r="BX625" s="16"/>
      <c r="BY625" s="27"/>
      <c r="BZ625" s="24"/>
      <c r="CA625" s="24"/>
      <c r="CB625" s="16"/>
      <c r="CC625" s="49">
        <f t="shared" si="271"/>
        <v>0</v>
      </c>
      <c r="CD625" s="24"/>
      <c r="CE625" s="49">
        <f t="shared" si="275"/>
        <v>55462998</v>
      </c>
      <c r="CF625" s="50"/>
      <c r="CG625" s="49">
        <f t="shared" ca="1" si="277"/>
        <v>55462998</v>
      </c>
      <c r="CH625" s="33">
        <f t="shared" ca="1" si="272"/>
        <v>1</v>
      </c>
      <c r="CI625" s="33">
        <f t="shared" ca="1" si="273"/>
        <v>1</v>
      </c>
      <c r="CJ625" s="36">
        <f t="shared" ca="1" si="263"/>
        <v>100</v>
      </c>
      <c r="CK625" s="34">
        <f t="shared" si="264"/>
        <v>0</v>
      </c>
      <c r="CL625" s="21"/>
      <c r="CM625" s="35" t="str">
        <f t="shared" ca="1" si="274"/>
        <v>TERMINADO</v>
      </c>
      <c r="CN625" s="82"/>
      <c r="CO625" s="145" t="s">
        <v>5067</v>
      </c>
      <c r="CP625" s="26" t="s">
        <v>123</v>
      </c>
    </row>
    <row r="626" spans="1:94" ht="24.75" customHeight="1">
      <c r="A626" s="48" t="s">
        <v>5068</v>
      </c>
      <c r="B626" s="77" t="s">
        <v>5069</v>
      </c>
      <c r="C626" s="17" t="s">
        <v>104</v>
      </c>
      <c r="D626" s="18" t="s">
        <v>5070</v>
      </c>
      <c r="E626" s="17" t="s">
        <v>106</v>
      </c>
      <c r="F626" s="17" t="s">
        <v>107</v>
      </c>
      <c r="G626" s="17" t="s">
        <v>108</v>
      </c>
      <c r="H626" s="78">
        <v>1013659492</v>
      </c>
      <c r="I626" s="74" t="s">
        <v>5071</v>
      </c>
      <c r="J626" s="16"/>
      <c r="K626" s="16"/>
      <c r="L626" s="20" t="s">
        <v>5072</v>
      </c>
      <c r="M626" s="16" t="s">
        <v>111</v>
      </c>
      <c r="N626" s="115">
        <v>45343</v>
      </c>
      <c r="O626" s="22">
        <v>45345</v>
      </c>
      <c r="P626" s="115">
        <v>45656</v>
      </c>
      <c r="Q626" s="23">
        <f t="shared" si="266"/>
        <v>311</v>
      </c>
      <c r="R626" s="17" t="s">
        <v>242</v>
      </c>
      <c r="S626" s="117" t="s">
        <v>5073</v>
      </c>
      <c r="T626" s="16" t="s">
        <v>2751</v>
      </c>
      <c r="U626" s="67">
        <v>89281899</v>
      </c>
      <c r="V626" s="16" t="s">
        <v>344</v>
      </c>
      <c r="W626" s="224">
        <v>89281899</v>
      </c>
      <c r="X626" s="24">
        <v>8092015</v>
      </c>
      <c r="Y626" s="24"/>
      <c r="Z626" s="24"/>
      <c r="AA626" s="17" t="s">
        <v>116</v>
      </c>
      <c r="AB626" s="23" t="str">
        <f>IFERROR(VLOOKUP(AA626,Listas!$A$1:$C$14,2,FALSE),"")</f>
        <v>FREDY CÉSPEDES VILLA</v>
      </c>
      <c r="AC626" s="23">
        <f>IFERROR(VLOOKUP(AA626,Listas!$A$1:$C$14,3,FALSE),"")</f>
        <v>93363483</v>
      </c>
      <c r="AD626" s="17" t="s">
        <v>345</v>
      </c>
      <c r="AE626" s="17" t="s">
        <v>1062</v>
      </c>
      <c r="AF626" s="23" t="str">
        <f>IFERROR(VLOOKUP(AE626,Listas!$AD$1:$AF$65,2,FALSE),"")</f>
        <v>LIBIA ESPERANZA FONSECA MARÍN</v>
      </c>
      <c r="AG626" s="23">
        <f>IFERROR(VLOOKUP(AE626,Listas!$AD$1:$AF$65,3,FALSE),"")</f>
        <v>52207089</v>
      </c>
      <c r="AH626" s="17" t="s">
        <v>118</v>
      </c>
      <c r="AI626" s="65" t="s">
        <v>5074</v>
      </c>
      <c r="AJ626" s="25" t="s">
        <v>119</v>
      </c>
      <c r="AK626" s="26" t="s">
        <v>120</v>
      </c>
      <c r="AL626" s="26" t="s">
        <v>120</v>
      </c>
      <c r="AM626" s="90" t="s">
        <v>119</v>
      </c>
      <c r="AN626" s="105">
        <v>34872</v>
      </c>
      <c r="AO626" s="91">
        <f t="shared" ca="1" si="267"/>
        <v>30</v>
      </c>
      <c r="AP626" s="26" t="s">
        <v>121</v>
      </c>
      <c r="AQ626" s="26" t="s">
        <v>367</v>
      </c>
      <c r="AR626" s="89"/>
      <c r="AS626" s="27"/>
      <c r="AT626" s="16"/>
      <c r="AU626" s="27"/>
      <c r="AV626" s="86"/>
      <c r="AW626" s="27"/>
      <c r="AX626" s="27"/>
      <c r="AY626" s="27"/>
      <c r="AZ626" s="27"/>
      <c r="BA626" s="27"/>
      <c r="BB626" s="27"/>
      <c r="BC626" s="97"/>
      <c r="BD626" s="27"/>
      <c r="BE626" s="16"/>
      <c r="BF626" s="28">
        <f t="shared" si="268"/>
        <v>0</v>
      </c>
      <c r="BG626" s="29"/>
      <c r="BH626" s="27"/>
      <c r="BI626" s="30">
        <f t="shared" si="269"/>
        <v>311</v>
      </c>
      <c r="BJ626" s="31">
        <f t="shared" si="270"/>
        <v>45656</v>
      </c>
      <c r="BK626" s="27"/>
      <c r="BL626" s="16"/>
      <c r="BM626" s="27"/>
      <c r="BN626" s="16"/>
      <c r="BO626" s="27"/>
      <c r="BP626" s="16"/>
      <c r="BQ626" s="27"/>
      <c r="BR626" s="24"/>
      <c r="BS626" s="24"/>
      <c r="BT626" s="32"/>
      <c r="BU626" s="27"/>
      <c r="BV626" s="24"/>
      <c r="BW626" s="24"/>
      <c r="BX626" s="16"/>
      <c r="BY626" s="27"/>
      <c r="BZ626" s="24"/>
      <c r="CA626" s="24"/>
      <c r="CB626" s="16"/>
      <c r="CC626" s="49">
        <f t="shared" si="271"/>
        <v>0</v>
      </c>
      <c r="CD626" s="24"/>
      <c r="CE626" s="49">
        <f t="shared" si="275"/>
        <v>89281899</v>
      </c>
      <c r="CF626" s="50"/>
      <c r="CG626" s="49">
        <f t="shared" ca="1" si="277"/>
        <v>89281899</v>
      </c>
      <c r="CH626" s="33">
        <f t="shared" ca="1" si="272"/>
        <v>1</v>
      </c>
      <c r="CI626" s="33">
        <f t="shared" ca="1" si="273"/>
        <v>1</v>
      </c>
      <c r="CJ626" s="36">
        <f t="shared" ca="1" si="263"/>
        <v>100</v>
      </c>
      <c r="CK626" s="34">
        <f t="shared" si="264"/>
        <v>0</v>
      </c>
      <c r="CL626" s="21"/>
      <c r="CM626" s="35" t="str">
        <f t="shared" ca="1" si="274"/>
        <v>TERMINADO</v>
      </c>
      <c r="CN626" s="82"/>
      <c r="CO626" s="145" t="s">
        <v>5075</v>
      </c>
      <c r="CP626" s="26" t="s">
        <v>123</v>
      </c>
    </row>
    <row r="627" spans="1:94" ht="24.75" customHeight="1">
      <c r="A627" s="48" t="s">
        <v>5076</v>
      </c>
      <c r="B627" s="77" t="s">
        <v>5077</v>
      </c>
      <c r="C627" s="17" t="s">
        <v>104</v>
      </c>
      <c r="D627" s="18" t="s">
        <v>5078</v>
      </c>
      <c r="E627" s="17" t="s">
        <v>106</v>
      </c>
      <c r="F627" s="17" t="s">
        <v>107</v>
      </c>
      <c r="G627" s="17" t="s">
        <v>108</v>
      </c>
      <c r="H627" s="78">
        <v>79485379</v>
      </c>
      <c r="I627" s="74" t="s">
        <v>5079</v>
      </c>
      <c r="J627" s="16"/>
      <c r="K627" s="16"/>
      <c r="L627" s="20" t="s">
        <v>5080</v>
      </c>
      <c r="M627" s="16" t="s">
        <v>111</v>
      </c>
      <c r="N627" s="115">
        <v>45343</v>
      </c>
      <c r="O627" s="22">
        <v>45345</v>
      </c>
      <c r="P627" s="115">
        <v>45656</v>
      </c>
      <c r="Q627" s="23">
        <f t="shared" si="266"/>
        <v>311</v>
      </c>
      <c r="R627" s="17" t="s">
        <v>242</v>
      </c>
      <c r="S627" s="117" t="s">
        <v>5081</v>
      </c>
      <c r="T627" s="16" t="s">
        <v>732</v>
      </c>
      <c r="U627" s="67">
        <v>132414791</v>
      </c>
      <c r="V627" s="16" t="s">
        <v>894</v>
      </c>
      <c r="W627" s="224">
        <v>121381216</v>
      </c>
      <c r="X627" s="24">
        <v>8937998</v>
      </c>
      <c r="Y627" s="24"/>
      <c r="Z627" s="24"/>
      <c r="AA627" s="17" t="s">
        <v>116</v>
      </c>
      <c r="AB627" s="23" t="str">
        <f>IFERROR(VLOOKUP(AA627,Listas!$A$1:$C$14,2,FALSE),"")</f>
        <v>FREDY CÉSPEDES VILLA</v>
      </c>
      <c r="AC627" s="23">
        <f>IFERROR(VLOOKUP(AA627,Listas!$A$1:$C$14,3,FALSE),"")</f>
        <v>93363483</v>
      </c>
      <c r="AD627" s="17" t="s">
        <v>588</v>
      </c>
      <c r="AE627" s="17" t="s">
        <v>589</v>
      </c>
      <c r="AF627" s="23" t="str">
        <f>IFERROR(VLOOKUP(AE627,Listas!$AD$1:$AF$65,2,FALSE),"")</f>
        <v>ANA LUCY CASTRO CASTRO</v>
      </c>
      <c r="AG627" s="23">
        <f>IFERROR(VLOOKUP(AE627,Listas!$AD$1:$AF$65,3,FALSE),"")</f>
        <v>51743499</v>
      </c>
      <c r="AH627" s="17" t="s">
        <v>118</v>
      </c>
      <c r="AI627" s="65"/>
      <c r="AJ627" s="25" t="s">
        <v>119</v>
      </c>
      <c r="AK627" s="26" t="s">
        <v>120</v>
      </c>
      <c r="AL627" s="26" t="s">
        <v>120</v>
      </c>
      <c r="AM627" s="90" t="s">
        <v>119</v>
      </c>
      <c r="AN627" s="105"/>
      <c r="AO627" s="91" t="str">
        <f t="shared" ca="1" si="267"/>
        <v xml:space="preserve"> </v>
      </c>
      <c r="AP627" s="26" t="s">
        <v>121</v>
      </c>
      <c r="AQ627" s="26" t="s">
        <v>486</v>
      </c>
      <c r="AR627" s="89"/>
      <c r="AS627" s="27"/>
      <c r="AT627" s="16"/>
      <c r="AU627" s="27"/>
      <c r="AV627" s="86"/>
      <c r="AW627" s="27"/>
      <c r="AX627" s="27"/>
      <c r="AY627" s="27"/>
      <c r="AZ627" s="27"/>
      <c r="BA627" s="27"/>
      <c r="BB627" s="27"/>
      <c r="BC627" s="97"/>
      <c r="BD627" s="27"/>
      <c r="BE627" s="16"/>
      <c r="BF627" s="28">
        <f t="shared" si="268"/>
        <v>0</v>
      </c>
      <c r="BG627" s="29"/>
      <c r="BH627" s="27"/>
      <c r="BI627" s="30">
        <f t="shared" si="269"/>
        <v>311</v>
      </c>
      <c r="BJ627" s="31">
        <f t="shared" si="270"/>
        <v>45656</v>
      </c>
      <c r="BK627" s="27"/>
      <c r="BL627" s="16"/>
      <c r="BM627" s="27"/>
      <c r="BN627" s="16"/>
      <c r="BO627" s="27"/>
      <c r="BP627" s="16"/>
      <c r="BQ627" s="27"/>
      <c r="BR627" s="24"/>
      <c r="BS627" s="24"/>
      <c r="BT627" s="32"/>
      <c r="BU627" s="27"/>
      <c r="BV627" s="24"/>
      <c r="BW627" s="24"/>
      <c r="BX627" s="16"/>
      <c r="BY627" s="27"/>
      <c r="BZ627" s="24"/>
      <c r="CA627" s="24"/>
      <c r="CB627" s="16"/>
      <c r="CC627" s="49">
        <f t="shared" si="271"/>
        <v>0</v>
      </c>
      <c r="CD627" s="24"/>
      <c r="CE627" s="49">
        <f t="shared" si="275"/>
        <v>121381216</v>
      </c>
      <c r="CF627" s="50"/>
      <c r="CG627" s="49">
        <f t="shared" ca="1" si="277"/>
        <v>121381216</v>
      </c>
      <c r="CH627" s="33">
        <f t="shared" ca="1" si="272"/>
        <v>1</v>
      </c>
      <c r="CI627" s="33">
        <f t="shared" ca="1" si="273"/>
        <v>1</v>
      </c>
      <c r="CJ627" s="36">
        <f t="shared" ca="1" si="263"/>
        <v>100</v>
      </c>
      <c r="CK627" s="34">
        <f t="shared" si="264"/>
        <v>0</v>
      </c>
      <c r="CL627" s="21"/>
      <c r="CM627" s="35" t="str">
        <f t="shared" ca="1" si="274"/>
        <v>TERMINADO</v>
      </c>
      <c r="CN627" s="82"/>
      <c r="CP627" s="26" t="s">
        <v>142</v>
      </c>
    </row>
    <row r="628" spans="1:94" ht="24.75" customHeight="1">
      <c r="A628" s="148" t="s">
        <v>5082</v>
      </c>
      <c r="B628" s="77" t="s">
        <v>5083</v>
      </c>
      <c r="C628" s="17" t="s">
        <v>104</v>
      </c>
      <c r="D628" s="18" t="s">
        <v>5084</v>
      </c>
      <c r="E628" s="17" t="s">
        <v>106</v>
      </c>
      <c r="F628" s="17" t="s">
        <v>107</v>
      </c>
      <c r="G628" s="17" t="s">
        <v>108</v>
      </c>
      <c r="H628" s="78">
        <v>66998443</v>
      </c>
      <c r="I628" s="74" t="s">
        <v>5085</v>
      </c>
      <c r="J628" s="16"/>
      <c r="K628" s="16"/>
      <c r="L628" s="20" t="s">
        <v>647</v>
      </c>
      <c r="M628" s="16" t="s">
        <v>557</v>
      </c>
      <c r="N628" s="115">
        <v>45344</v>
      </c>
      <c r="O628" s="22">
        <v>45345</v>
      </c>
      <c r="P628" s="115">
        <v>45656</v>
      </c>
      <c r="Q628" s="23">
        <f t="shared" si="266"/>
        <v>311</v>
      </c>
      <c r="R628" s="17" t="s">
        <v>242</v>
      </c>
      <c r="S628" s="117" t="s">
        <v>5086</v>
      </c>
      <c r="T628" s="16" t="s">
        <v>2751</v>
      </c>
      <c r="U628" s="67">
        <v>60506203</v>
      </c>
      <c r="V628" s="16" t="s">
        <v>344</v>
      </c>
      <c r="W628" s="224">
        <v>60506203</v>
      </c>
      <c r="X628" s="24">
        <v>5762496</v>
      </c>
      <c r="Y628" s="24"/>
      <c r="Z628" s="24"/>
      <c r="AA628" s="17" t="s">
        <v>116</v>
      </c>
      <c r="AB628" s="23" t="str">
        <f>IFERROR(VLOOKUP(AA628,Listas!$A$1:$C$14,2,FALSE),"")</f>
        <v>FREDY CÉSPEDES VILLA</v>
      </c>
      <c r="AC628" s="23">
        <f>IFERROR(VLOOKUP(AA628,Listas!$A$1:$C$14,3,FALSE),"")</f>
        <v>93363483</v>
      </c>
      <c r="AD628" s="17" t="s">
        <v>559</v>
      </c>
      <c r="AE628" s="17" t="s">
        <v>560</v>
      </c>
      <c r="AF628" s="23" t="str">
        <f>IFERROR(VLOOKUP(AE628,Listas!$AD$1:$AF$65,2,FALSE),"")</f>
        <v>CESAR AUGUSTO LÓPEZ LÓPEZ</v>
      </c>
      <c r="AG628" s="23">
        <f>IFERROR(VLOOKUP(AE628,Listas!$AD$1:$AF$65,3,FALSE),"")</f>
        <v>6103856</v>
      </c>
      <c r="AH628" s="17" t="s">
        <v>118</v>
      </c>
      <c r="AI628" s="65" t="s">
        <v>1657</v>
      </c>
      <c r="AJ628" s="25" t="s">
        <v>119</v>
      </c>
      <c r="AK628" s="26" t="s">
        <v>120</v>
      </c>
      <c r="AL628" s="26" t="s">
        <v>120</v>
      </c>
      <c r="AM628" s="90" t="s">
        <v>119</v>
      </c>
      <c r="AN628" s="105">
        <v>28415</v>
      </c>
      <c r="AO628" s="91">
        <f t="shared" ca="1" si="267"/>
        <v>48</v>
      </c>
      <c r="AP628" s="26" t="s">
        <v>121</v>
      </c>
      <c r="AQ628" s="26" t="s">
        <v>327</v>
      </c>
      <c r="AR628" s="89"/>
      <c r="AS628" s="27"/>
      <c r="AT628" s="16"/>
      <c r="AU628" s="27"/>
      <c r="AV628" s="86"/>
      <c r="AW628" s="27"/>
      <c r="AX628" s="27"/>
      <c r="AY628" s="27"/>
      <c r="AZ628" s="27"/>
      <c r="BA628" s="27"/>
      <c r="BB628" s="27"/>
      <c r="BC628" s="97"/>
      <c r="BD628" s="27"/>
      <c r="BE628" s="16"/>
      <c r="BF628" s="28">
        <f t="shared" si="268"/>
        <v>0</v>
      </c>
      <c r="BG628" s="29"/>
      <c r="BH628" s="27"/>
      <c r="BI628" s="30">
        <f t="shared" si="269"/>
        <v>311</v>
      </c>
      <c r="BJ628" s="31">
        <f t="shared" si="270"/>
        <v>45656</v>
      </c>
      <c r="BK628" s="27"/>
      <c r="BL628" s="16"/>
      <c r="BM628" s="27"/>
      <c r="BN628" s="16"/>
      <c r="BO628" s="27"/>
      <c r="BP628" s="16"/>
      <c r="BQ628" s="27"/>
      <c r="BR628" s="24"/>
      <c r="BS628" s="24"/>
      <c r="BT628" s="32"/>
      <c r="BU628" s="27"/>
      <c r="BV628" s="24"/>
      <c r="BW628" s="24"/>
      <c r="BX628" s="16"/>
      <c r="BY628" s="27"/>
      <c r="BZ628" s="24"/>
      <c r="CA628" s="24"/>
      <c r="CB628" s="16"/>
      <c r="CC628" s="49">
        <f t="shared" si="271"/>
        <v>0</v>
      </c>
      <c r="CD628" s="24"/>
      <c r="CE628" s="49">
        <f t="shared" si="275"/>
        <v>60506203</v>
      </c>
      <c r="CF628" s="50"/>
      <c r="CG628" s="49">
        <f t="shared" ca="1" si="277"/>
        <v>60506203</v>
      </c>
      <c r="CH628" s="33">
        <f t="shared" ca="1" si="272"/>
        <v>1</v>
      </c>
      <c r="CI628" s="33">
        <f t="shared" ca="1" si="273"/>
        <v>1</v>
      </c>
      <c r="CJ628" s="36">
        <f t="shared" ca="1" si="263"/>
        <v>100</v>
      </c>
      <c r="CK628" s="34">
        <f t="shared" si="264"/>
        <v>0</v>
      </c>
      <c r="CL628" s="21"/>
      <c r="CM628" s="35" t="str">
        <f t="shared" ca="1" si="274"/>
        <v>TERMINADO</v>
      </c>
      <c r="CN628" s="82"/>
      <c r="CO628" s="145" t="s">
        <v>4625</v>
      </c>
      <c r="CP628" s="26" t="s">
        <v>123</v>
      </c>
    </row>
    <row r="629" spans="1:94" ht="24.75" customHeight="1">
      <c r="A629" s="48" t="s">
        <v>5087</v>
      </c>
      <c r="B629" s="77" t="s">
        <v>5088</v>
      </c>
      <c r="C629" s="17" t="s">
        <v>104</v>
      </c>
      <c r="D629" s="18" t="s">
        <v>5089</v>
      </c>
      <c r="E629" s="17" t="s">
        <v>106</v>
      </c>
      <c r="F629" s="17" t="s">
        <v>107</v>
      </c>
      <c r="G629" s="17" t="s">
        <v>108</v>
      </c>
      <c r="H629" s="78">
        <v>1010237086</v>
      </c>
      <c r="I629" s="74" t="s">
        <v>5090</v>
      </c>
      <c r="J629" s="16"/>
      <c r="K629" s="16"/>
      <c r="L629" s="20" t="s">
        <v>5091</v>
      </c>
      <c r="M629" s="16" t="s">
        <v>111</v>
      </c>
      <c r="N629" s="115">
        <v>45344</v>
      </c>
      <c r="O629" s="22">
        <v>45345</v>
      </c>
      <c r="P629" s="115">
        <v>45656</v>
      </c>
      <c r="Q629" s="23">
        <f t="shared" si="266"/>
        <v>311</v>
      </c>
      <c r="R629" s="17" t="s">
        <v>112</v>
      </c>
      <c r="S629" s="117" t="s">
        <v>5092</v>
      </c>
      <c r="T629" s="16" t="s">
        <v>114</v>
      </c>
      <c r="U629" s="67">
        <v>51258900</v>
      </c>
      <c r="V629" s="16" t="s">
        <v>1938</v>
      </c>
      <c r="W629" s="224">
        <v>51258900</v>
      </c>
      <c r="X629" s="24">
        <v>4659900</v>
      </c>
      <c r="Y629" s="24"/>
      <c r="Z629" s="24"/>
      <c r="AA629" s="17" t="s">
        <v>116</v>
      </c>
      <c r="AB629" s="23" t="str">
        <f>IFERROR(VLOOKUP(AA629,Listas!$A$1:$C$14,2,FALSE),"")</f>
        <v>FREDY CÉSPEDES VILLA</v>
      </c>
      <c r="AC629" s="23">
        <f>IFERROR(VLOOKUP(AA629,Listas!$A$1:$C$14,3,FALSE),"")</f>
        <v>93363483</v>
      </c>
      <c r="AD629" s="17" t="s">
        <v>116</v>
      </c>
      <c r="AE629" s="17" t="s">
        <v>743</v>
      </c>
      <c r="AF629" s="23" t="str">
        <f>IFERROR(VLOOKUP(AE629,Listas!$AD$1:$AF$65,2,FALSE),"")</f>
        <v>FREDY CÉSPEDES VILLA</v>
      </c>
      <c r="AG629" s="23">
        <f>IFERROR(VLOOKUP(AE629,Listas!$AD$1:$AF$65,3,FALSE),"")</f>
        <v>93363483</v>
      </c>
      <c r="AH629" s="17" t="s">
        <v>118</v>
      </c>
      <c r="AI629" s="65" t="s">
        <v>5093</v>
      </c>
      <c r="AJ629" s="25" t="s">
        <v>119</v>
      </c>
      <c r="AK629" s="26" t="s">
        <v>120</v>
      </c>
      <c r="AL629" s="26" t="s">
        <v>120</v>
      </c>
      <c r="AM629" s="90" t="s">
        <v>119</v>
      </c>
      <c r="AN629" s="105">
        <v>35769</v>
      </c>
      <c r="AO629" s="91">
        <f t="shared" ca="1" si="267"/>
        <v>28</v>
      </c>
      <c r="AP629" s="26" t="s">
        <v>121</v>
      </c>
      <c r="AQ629" s="26" t="s">
        <v>122</v>
      </c>
      <c r="AR629" s="89">
        <v>45492</v>
      </c>
      <c r="AS629" s="220" t="s">
        <v>5094</v>
      </c>
      <c r="AT629" s="16">
        <v>10014310011</v>
      </c>
      <c r="AU629" s="20" t="s">
        <v>5091</v>
      </c>
      <c r="AV629" s="86">
        <v>25163460</v>
      </c>
      <c r="AW629" s="27"/>
      <c r="AX629" s="27"/>
      <c r="AY629" s="27"/>
      <c r="AZ629" s="27"/>
      <c r="BA629" s="27"/>
      <c r="BB629" s="27"/>
      <c r="BC629" s="97"/>
      <c r="BD629" s="27"/>
      <c r="BE629" s="16"/>
      <c r="BF629" s="28">
        <f t="shared" si="268"/>
        <v>0</v>
      </c>
      <c r="BG629" s="29"/>
      <c r="BH629" s="27"/>
      <c r="BI629" s="30">
        <f t="shared" si="269"/>
        <v>311</v>
      </c>
      <c r="BJ629" s="31">
        <f t="shared" si="270"/>
        <v>45656</v>
      </c>
      <c r="BK629" s="27"/>
      <c r="BL629" s="16"/>
      <c r="BM629" s="27"/>
      <c r="BN629" s="16"/>
      <c r="BO629" s="27"/>
      <c r="BP629" s="16"/>
      <c r="BQ629" s="27"/>
      <c r="BR629" s="24"/>
      <c r="BS629" s="24"/>
      <c r="BT629" s="32"/>
      <c r="BU629" s="27"/>
      <c r="BV629" s="24"/>
      <c r="BW629" s="24"/>
      <c r="BX629" s="16"/>
      <c r="BY629" s="27"/>
      <c r="BZ629" s="24"/>
      <c r="CA629" s="24"/>
      <c r="CB629" s="16"/>
      <c r="CC629" s="49">
        <f t="shared" si="271"/>
        <v>0</v>
      </c>
      <c r="CD629" s="24"/>
      <c r="CE629" s="49">
        <f t="shared" si="275"/>
        <v>51258900</v>
      </c>
      <c r="CF629" s="50"/>
      <c r="CG629" s="49">
        <f t="shared" ca="1" si="277"/>
        <v>51258900</v>
      </c>
      <c r="CH629" s="33">
        <f t="shared" ca="1" si="272"/>
        <v>1</v>
      </c>
      <c r="CI629" s="33">
        <f t="shared" ca="1" si="273"/>
        <v>1</v>
      </c>
      <c r="CJ629" s="36">
        <f t="shared" ca="1" si="263"/>
        <v>100</v>
      </c>
      <c r="CK629" s="34">
        <f t="shared" si="264"/>
        <v>0</v>
      </c>
      <c r="CL629" s="21"/>
      <c r="CM629" s="35" t="str">
        <f t="shared" ca="1" si="274"/>
        <v>TERMINADO</v>
      </c>
      <c r="CN629" s="82"/>
      <c r="CO629" s="145" t="s">
        <v>5095</v>
      </c>
      <c r="CP629" s="26" t="s">
        <v>123</v>
      </c>
    </row>
    <row r="630" spans="1:94" ht="24.75" customHeight="1">
      <c r="A630" s="48" t="s">
        <v>5096</v>
      </c>
      <c r="B630" s="77" t="s">
        <v>5097</v>
      </c>
      <c r="C630" s="17" t="s">
        <v>104</v>
      </c>
      <c r="D630" s="18" t="s">
        <v>5098</v>
      </c>
      <c r="E630" s="17" t="s">
        <v>106</v>
      </c>
      <c r="F630" s="17" t="s">
        <v>107</v>
      </c>
      <c r="G630" s="17" t="s">
        <v>108</v>
      </c>
      <c r="H630" s="78">
        <v>52913331</v>
      </c>
      <c r="I630" s="74" t="s">
        <v>5099</v>
      </c>
      <c r="J630" s="16"/>
      <c r="K630" s="16"/>
      <c r="L630" s="20" t="s">
        <v>5100</v>
      </c>
      <c r="M630" s="16" t="s">
        <v>111</v>
      </c>
      <c r="N630" s="115">
        <v>45344</v>
      </c>
      <c r="O630" s="22">
        <v>45348</v>
      </c>
      <c r="P630" s="115">
        <v>45656</v>
      </c>
      <c r="Q630" s="23">
        <f t="shared" si="266"/>
        <v>308</v>
      </c>
      <c r="R630" s="17" t="s">
        <v>242</v>
      </c>
      <c r="S630" s="117" t="s">
        <v>5101</v>
      </c>
      <c r="T630" s="16" t="s">
        <v>5102</v>
      </c>
      <c r="U630" s="67">
        <v>46529092</v>
      </c>
      <c r="V630" s="16" t="s">
        <v>2165</v>
      </c>
      <c r="W630" s="224">
        <v>36052800</v>
      </c>
      <c r="X630" s="24">
        <v>3433600</v>
      </c>
      <c r="Y630" s="24"/>
      <c r="Z630" s="24"/>
      <c r="AA630" s="17" t="s">
        <v>116</v>
      </c>
      <c r="AB630" s="23" t="str">
        <f>IFERROR(VLOOKUP(AA630,Listas!$A$1:$C$14,2,FALSE),"")</f>
        <v>FREDY CÉSPEDES VILLA</v>
      </c>
      <c r="AC630" s="23">
        <f>IFERROR(VLOOKUP(AA630,Listas!$A$1:$C$14,3,FALSE),"")</f>
        <v>93363483</v>
      </c>
      <c r="AD630" s="17" t="s">
        <v>116</v>
      </c>
      <c r="AE630" s="17" t="s">
        <v>972</v>
      </c>
      <c r="AF630" s="23" t="str">
        <f>IFERROR(VLOOKUP(AE630,Listas!$AD$1:$AF$65,2,FALSE),"")</f>
        <v>LUZ MARIELLY MORALES MARTÍNEZ</v>
      </c>
      <c r="AG630" s="23">
        <f>IFERROR(VLOOKUP(AE630,Listas!$AD$1:$AF$65,3,FALSE),"")</f>
        <v>24497384</v>
      </c>
      <c r="AH630" s="17" t="s">
        <v>118</v>
      </c>
      <c r="AI630" s="65" t="s">
        <v>5103</v>
      </c>
      <c r="AJ630" s="25" t="s">
        <v>119</v>
      </c>
      <c r="AK630" s="26" t="s">
        <v>120</v>
      </c>
      <c r="AL630" s="26" t="s">
        <v>120</v>
      </c>
      <c r="AM630" s="90" t="s">
        <v>119</v>
      </c>
      <c r="AN630" s="105"/>
      <c r="AO630" s="91" t="str">
        <f t="shared" ca="1" si="267"/>
        <v xml:space="preserve"> </v>
      </c>
      <c r="AP630" s="26" t="s">
        <v>121</v>
      </c>
      <c r="AQ630" s="26" t="s">
        <v>285</v>
      </c>
      <c r="AR630" s="89"/>
      <c r="AS630" s="27"/>
      <c r="AT630" s="16"/>
      <c r="AU630" s="27"/>
      <c r="AV630" s="86"/>
      <c r="AW630" s="27"/>
      <c r="AX630" s="27"/>
      <c r="AY630" s="27"/>
      <c r="AZ630" s="27"/>
      <c r="BA630" s="27"/>
      <c r="BB630" s="27"/>
      <c r="BC630" s="97"/>
      <c r="BD630" s="27"/>
      <c r="BE630" s="16"/>
      <c r="BF630" s="28">
        <f t="shared" si="268"/>
        <v>0</v>
      </c>
      <c r="BG630" s="29"/>
      <c r="BH630" s="27"/>
      <c r="BI630" s="30">
        <f t="shared" si="269"/>
        <v>308</v>
      </c>
      <c r="BJ630" s="31">
        <f t="shared" si="270"/>
        <v>45656</v>
      </c>
      <c r="BK630" s="27"/>
      <c r="BL630" s="16"/>
      <c r="BM630" s="27"/>
      <c r="BN630" s="16"/>
      <c r="BO630" s="27"/>
      <c r="BP630" s="16"/>
      <c r="BQ630" s="27"/>
      <c r="BR630" s="24"/>
      <c r="BS630" s="24"/>
      <c r="BT630" s="32"/>
      <c r="BU630" s="27"/>
      <c r="BV630" s="24"/>
      <c r="BW630" s="24"/>
      <c r="BX630" s="16"/>
      <c r="BY630" s="27"/>
      <c r="BZ630" s="24"/>
      <c r="CA630" s="24"/>
      <c r="CB630" s="16"/>
      <c r="CC630" s="49">
        <f t="shared" si="271"/>
        <v>0</v>
      </c>
      <c r="CD630" s="24"/>
      <c r="CE630" s="49">
        <f t="shared" si="275"/>
        <v>36052800</v>
      </c>
      <c r="CF630" s="50"/>
      <c r="CG630" s="49">
        <f t="shared" ca="1" si="277"/>
        <v>36052800</v>
      </c>
      <c r="CH630" s="33">
        <f t="shared" ca="1" si="272"/>
        <v>1</v>
      </c>
      <c r="CI630" s="33">
        <f t="shared" ca="1" si="273"/>
        <v>1</v>
      </c>
      <c r="CJ630" s="36">
        <f t="shared" ca="1" si="263"/>
        <v>100</v>
      </c>
      <c r="CK630" s="34">
        <f t="shared" si="264"/>
        <v>0</v>
      </c>
      <c r="CL630" s="21"/>
      <c r="CM630" s="35" t="str">
        <f t="shared" ca="1" si="274"/>
        <v>TERMINADO</v>
      </c>
      <c r="CN630" s="82"/>
      <c r="CO630" s="145" t="s">
        <v>5104</v>
      </c>
      <c r="CP630" s="26" t="s">
        <v>123</v>
      </c>
    </row>
    <row r="631" spans="1:94" ht="24.75" customHeight="1">
      <c r="A631" s="109" t="s">
        <v>5105</v>
      </c>
      <c r="B631" s="77" t="s">
        <v>5106</v>
      </c>
      <c r="C631" s="17" t="s">
        <v>104</v>
      </c>
      <c r="D631" s="18" t="s">
        <v>5107</v>
      </c>
      <c r="E631" s="17" t="s">
        <v>106</v>
      </c>
      <c r="F631" s="17" t="s">
        <v>107</v>
      </c>
      <c r="G631" s="17" t="s">
        <v>108</v>
      </c>
      <c r="H631" s="78">
        <v>80100002</v>
      </c>
      <c r="I631" s="74" t="s">
        <v>5108</v>
      </c>
      <c r="J631" s="16"/>
      <c r="K631" s="16"/>
      <c r="L631" s="20" t="s">
        <v>5109</v>
      </c>
      <c r="M631" s="16" t="s">
        <v>111</v>
      </c>
      <c r="N631" s="115">
        <v>45344</v>
      </c>
      <c r="O631" s="22">
        <v>45351</v>
      </c>
      <c r="P631" s="115">
        <v>45656</v>
      </c>
      <c r="Q631" s="23">
        <f t="shared" si="266"/>
        <v>305</v>
      </c>
      <c r="R631" s="17" t="s">
        <v>242</v>
      </c>
      <c r="S631" s="117" t="s">
        <v>5110</v>
      </c>
      <c r="T631" s="16" t="s">
        <v>997</v>
      </c>
      <c r="U631" s="67">
        <v>96763333</v>
      </c>
      <c r="V631" s="16" t="s">
        <v>3421</v>
      </c>
      <c r="W631" s="224">
        <v>96763333</v>
      </c>
      <c r="X631" s="24">
        <v>9100000</v>
      </c>
      <c r="Y631" s="24"/>
      <c r="Z631" s="24"/>
      <c r="AA631" s="17" t="s">
        <v>116</v>
      </c>
      <c r="AB631" s="23" t="str">
        <f>IFERROR(VLOOKUP(AA631,Listas!$A$1:$C$14,2,FALSE),"")</f>
        <v>FREDY CÉSPEDES VILLA</v>
      </c>
      <c r="AC631" s="23">
        <f>IFERROR(VLOOKUP(AA631,Listas!$A$1:$C$14,3,FALSE),"")</f>
        <v>93363483</v>
      </c>
      <c r="AD631" s="17" t="s">
        <v>116</v>
      </c>
      <c r="AE631" s="17" t="s">
        <v>972</v>
      </c>
      <c r="AF631" s="23" t="str">
        <f>IFERROR(VLOOKUP(AE631,Listas!$AD$1:$AF$65,2,FALSE),"")</f>
        <v>LUZ MARIELLY MORALES MARTÍNEZ</v>
      </c>
      <c r="AG631" s="23">
        <f>IFERROR(VLOOKUP(AE631,Listas!$AD$1:$AF$65,3,FALSE),"")</f>
        <v>24497384</v>
      </c>
      <c r="AH631" s="17" t="s">
        <v>118</v>
      </c>
      <c r="AI631" s="65" t="s">
        <v>5111</v>
      </c>
      <c r="AJ631" s="25" t="s">
        <v>119</v>
      </c>
      <c r="AK631" s="26" t="s">
        <v>120</v>
      </c>
      <c r="AL631" s="26" t="s">
        <v>120</v>
      </c>
      <c r="AM631" s="90" t="s">
        <v>119</v>
      </c>
      <c r="AN631" s="105">
        <v>30582</v>
      </c>
      <c r="AO631" s="91">
        <f t="shared" ca="1" si="267"/>
        <v>42</v>
      </c>
      <c r="AP631" s="26" t="s">
        <v>121</v>
      </c>
      <c r="AQ631" s="26" t="s">
        <v>515</v>
      </c>
      <c r="AR631" s="89"/>
      <c r="AS631" s="27"/>
      <c r="AT631" s="16"/>
      <c r="AU631" s="27"/>
      <c r="AV631" s="86"/>
      <c r="AW631" s="27"/>
      <c r="AX631" s="27"/>
      <c r="AY631" s="27"/>
      <c r="AZ631" s="27"/>
      <c r="BA631" s="27"/>
      <c r="BB631" s="27"/>
      <c r="BC631" s="97"/>
      <c r="BD631" s="27"/>
      <c r="BE631" s="16"/>
      <c r="BF631" s="28">
        <f t="shared" si="268"/>
        <v>0</v>
      </c>
      <c r="BG631" s="29"/>
      <c r="BH631" s="27"/>
      <c r="BI631" s="30">
        <f t="shared" si="269"/>
        <v>305</v>
      </c>
      <c r="BJ631" s="31">
        <f t="shared" si="270"/>
        <v>45656</v>
      </c>
      <c r="BK631" s="27"/>
      <c r="BL631" s="16"/>
      <c r="BM631" s="27"/>
      <c r="BN631" s="16"/>
      <c r="BO631" s="27"/>
      <c r="BP631" s="16"/>
      <c r="BQ631" s="27"/>
      <c r="BR631" s="24"/>
      <c r="BS631" s="24"/>
      <c r="BT631" s="32"/>
      <c r="BU631" s="27"/>
      <c r="BV631" s="24"/>
      <c r="BW631" s="24"/>
      <c r="BX631" s="16"/>
      <c r="BY631" s="27"/>
      <c r="BZ631" s="24"/>
      <c r="CA631" s="24"/>
      <c r="CB631" s="16"/>
      <c r="CC631" s="49">
        <f t="shared" si="271"/>
        <v>0</v>
      </c>
      <c r="CD631" s="24"/>
      <c r="CE631" s="49">
        <f t="shared" si="275"/>
        <v>96763333</v>
      </c>
      <c r="CF631" s="50"/>
      <c r="CG631" s="49">
        <f t="shared" ca="1" si="277"/>
        <v>96763333</v>
      </c>
      <c r="CH631" s="33">
        <f t="shared" ca="1" si="272"/>
        <v>1</v>
      </c>
      <c r="CI631" s="33">
        <f t="shared" ca="1" si="273"/>
        <v>1</v>
      </c>
      <c r="CJ631" s="36">
        <f t="shared" ca="1" si="263"/>
        <v>100</v>
      </c>
      <c r="CK631" s="34">
        <f t="shared" si="264"/>
        <v>0</v>
      </c>
      <c r="CL631" s="21"/>
      <c r="CM631" s="35" t="str">
        <f t="shared" ca="1" si="274"/>
        <v>TERMINADO</v>
      </c>
      <c r="CN631" s="82"/>
      <c r="CO631" s="145" t="s">
        <v>5112</v>
      </c>
      <c r="CP631" s="26" t="s">
        <v>142</v>
      </c>
    </row>
    <row r="632" spans="1:94" ht="24.75" customHeight="1">
      <c r="A632" s="109" t="s">
        <v>5113</v>
      </c>
      <c r="B632" s="77" t="s">
        <v>5114</v>
      </c>
      <c r="C632" s="17" t="s">
        <v>104</v>
      </c>
      <c r="D632" s="18" t="s">
        <v>5115</v>
      </c>
      <c r="E632" s="17" t="s">
        <v>106</v>
      </c>
      <c r="F632" s="17" t="s">
        <v>107</v>
      </c>
      <c r="G632" s="17" t="s">
        <v>108</v>
      </c>
      <c r="H632" s="78">
        <v>1073158615</v>
      </c>
      <c r="I632" s="74" t="s">
        <v>5116</v>
      </c>
      <c r="J632" s="16"/>
      <c r="K632" s="16"/>
      <c r="L632" s="20" t="s">
        <v>5117</v>
      </c>
      <c r="M632" s="16" t="s">
        <v>111</v>
      </c>
      <c r="N632" s="115">
        <v>45344</v>
      </c>
      <c r="O632" s="22">
        <v>45348</v>
      </c>
      <c r="P632" s="115">
        <v>45656</v>
      </c>
      <c r="Q632" s="23">
        <f t="shared" si="266"/>
        <v>308</v>
      </c>
      <c r="R632" s="17" t="s">
        <v>242</v>
      </c>
      <c r="S632" s="117" t="s">
        <v>5118</v>
      </c>
      <c r="T632" s="16" t="s">
        <v>997</v>
      </c>
      <c r="U632" s="67">
        <v>95373333</v>
      </c>
      <c r="V632" s="16" t="s">
        <v>3421</v>
      </c>
      <c r="W632" s="224">
        <v>95373333</v>
      </c>
      <c r="X632" s="24">
        <v>8000000</v>
      </c>
      <c r="Y632" s="24"/>
      <c r="Z632" s="24"/>
      <c r="AA632" s="17" t="s">
        <v>116</v>
      </c>
      <c r="AB632" s="23" t="str">
        <f>IFERROR(VLOOKUP(AA632,Listas!$A$1:$C$14,2,FALSE),"")</f>
        <v>FREDY CÉSPEDES VILLA</v>
      </c>
      <c r="AC632" s="23">
        <f>IFERROR(VLOOKUP(AA632,Listas!$A$1:$C$14,3,FALSE),"")</f>
        <v>93363483</v>
      </c>
      <c r="AD632" s="17" t="s">
        <v>816</v>
      </c>
      <c r="AE632" s="17" t="s">
        <v>2577</v>
      </c>
      <c r="AF632" s="23" t="str">
        <f>IFERROR(VLOOKUP(AE632,Listas!$AD$1:$AF$65,2,FALSE),"")</f>
        <v>VICTOR RAUL BAUTISTA GALINDO</v>
      </c>
      <c r="AG632" s="23">
        <f>IFERROR(VLOOKUP(AE632,Listas!$AD$1:$AF$65,3,FALSE),"")</f>
        <v>79352968</v>
      </c>
      <c r="AH632" s="17" t="s">
        <v>118</v>
      </c>
      <c r="AI632" s="65" t="s">
        <v>5119</v>
      </c>
      <c r="AJ632" s="25" t="s">
        <v>119</v>
      </c>
      <c r="AK632" s="26" t="s">
        <v>120</v>
      </c>
      <c r="AL632" s="26" t="s">
        <v>120</v>
      </c>
      <c r="AM632" s="90" t="s">
        <v>119</v>
      </c>
      <c r="AN632" s="105"/>
      <c r="AO632" s="91" t="str">
        <f t="shared" ca="1" si="267"/>
        <v xml:space="preserve"> </v>
      </c>
      <c r="AP632" s="26" t="s">
        <v>121</v>
      </c>
      <c r="AQ632" s="26" t="s">
        <v>1641</v>
      </c>
      <c r="AR632" s="89"/>
      <c r="AS632" s="27"/>
      <c r="AT632" s="16"/>
      <c r="AU632" s="27"/>
      <c r="AV632" s="86"/>
      <c r="AW632" s="27"/>
      <c r="AX632" s="27"/>
      <c r="AY632" s="27"/>
      <c r="AZ632" s="27"/>
      <c r="BA632" s="27"/>
      <c r="BB632" s="27"/>
      <c r="BC632" s="97"/>
      <c r="BD632" s="27"/>
      <c r="BE632" s="16"/>
      <c r="BF632" s="28">
        <f t="shared" si="268"/>
        <v>0</v>
      </c>
      <c r="BG632" s="29"/>
      <c r="BH632" s="27"/>
      <c r="BI632" s="30">
        <f t="shared" si="269"/>
        <v>308</v>
      </c>
      <c r="BJ632" s="31">
        <f t="shared" si="270"/>
        <v>45656</v>
      </c>
      <c r="BK632" s="27"/>
      <c r="BL632" s="16"/>
      <c r="BM632" s="27"/>
      <c r="BN632" s="16"/>
      <c r="BO632" s="27"/>
      <c r="BP632" s="16"/>
      <c r="BQ632" s="27"/>
      <c r="BR632" s="24"/>
      <c r="BS632" s="24"/>
      <c r="BT632" s="32"/>
      <c r="BU632" s="27"/>
      <c r="BV632" s="24"/>
      <c r="BW632" s="24"/>
      <c r="BX632" s="16"/>
      <c r="BY632" s="27"/>
      <c r="BZ632" s="24"/>
      <c r="CA632" s="24"/>
      <c r="CB632" s="16"/>
      <c r="CC632" s="49">
        <f t="shared" si="271"/>
        <v>0</v>
      </c>
      <c r="CD632" s="24"/>
      <c r="CE632" s="49">
        <f t="shared" si="275"/>
        <v>95373333</v>
      </c>
      <c r="CF632" s="50">
        <v>0</v>
      </c>
      <c r="CG632" s="49">
        <f t="shared" ca="1" si="277"/>
        <v>95373333</v>
      </c>
      <c r="CH632" s="33">
        <f t="shared" ca="1" si="272"/>
        <v>1</v>
      </c>
      <c r="CI632" s="33">
        <f t="shared" ca="1" si="273"/>
        <v>1</v>
      </c>
      <c r="CJ632" s="36">
        <f t="shared" ca="1" si="263"/>
        <v>100</v>
      </c>
      <c r="CK632" s="34">
        <f t="shared" si="264"/>
        <v>0</v>
      </c>
      <c r="CL632" s="21"/>
      <c r="CM632" s="35" t="str">
        <f t="shared" ca="1" si="274"/>
        <v>TERMINADO</v>
      </c>
      <c r="CN632" s="82"/>
      <c r="CP632" s="26" t="s">
        <v>142</v>
      </c>
    </row>
    <row r="633" spans="1:94" ht="24.75" customHeight="1">
      <c r="A633" s="48" t="s">
        <v>1424</v>
      </c>
      <c r="B633" s="77" t="s">
        <v>5120</v>
      </c>
      <c r="C633" s="17" t="s">
        <v>2927</v>
      </c>
      <c r="D633" s="18" t="s">
        <v>5121</v>
      </c>
      <c r="E633" s="17" t="s">
        <v>2929</v>
      </c>
      <c r="F633" s="17" t="s">
        <v>1426</v>
      </c>
      <c r="G633" s="17" t="s">
        <v>1427</v>
      </c>
      <c r="H633" s="78" t="s">
        <v>5122</v>
      </c>
      <c r="I633" s="74" t="s">
        <v>5123</v>
      </c>
      <c r="J633" s="16" t="s">
        <v>5124</v>
      </c>
      <c r="K633" s="16">
        <v>10260086</v>
      </c>
      <c r="L633" s="20" t="s">
        <v>2933</v>
      </c>
      <c r="M633" s="16"/>
      <c r="N633" s="115">
        <v>45345</v>
      </c>
      <c r="O633" s="22">
        <v>45345</v>
      </c>
      <c r="P633" s="115">
        <v>45711</v>
      </c>
      <c r="Q633" s="23">
        <f t="shared" si="266"/>
        <v>366</v>
      </c>
      <c r="R633" s="17" t="s">
        <v>2934</v>
      </c>
      <c r="S633" s="117" t="s">
        <v>1424</v>
      </c>
      <c r="T633" s="16" t="s">
        <v>1424</v>
      </c>
      <c r="U633" s="24" t="s">
        <v>1424</v>
      </c>
      <c r="V633" s="16" t="s">
        <v>1424</v>
      </c>
      <c r="W633" s="227">
        <v>0</v>
      </c>
      <c r="X633" s="24"/>
      <c r="Y633" s="24" t="s">
        <v>2935</v>
      </c>
      <c r="Z633" s="24"/>
      <c r="AA633" s="17" t="s">
        <v>406</v>
      </c>
      <c r="AB633" s="23" t="str">
        <f>IFERROR(VLOOKUP(AA633,Listas!$A$1:$C$14,2,FALSE),"")</f>
        <v>EDUARDO ELÍAS BARCHA BOLÍVAR</v>
      </c>
      <c r="AC633" s="23">
        <f>IFERROR(VLOOKUP(AA633,Listas!$A$1:$C$14,3,FALSE),"")</f>
        <v>72133921</v>
      </c>
      <c r="AD633" s="17" t="s">
        <v>472</v>
      </c>
      <c r="AE633" s="17" t="s">
        <v>473</v>
      </c>
      <c r="AF633" s="23" t="str">
        <f>IFERROR(VLOOKUP(AE633,Listas!$AD$1:$AF$65,2,FALSE),"")</f>
        <v>DANIEL ALBERTO CASTAÑO LOPEZ</v>
      </c>
      <c r="AG633" s="23">
        <f>IFERROR(VLOOKUP(AE633,Listas!$AD$1:$AF$65,3,FALSE),"")</f>
        <v>7544385</v>
      </c>
      <c r="AH633" s="17" t="s">
        <v>2936</v>
      </c>
      <c r="AI633" s="65"/>
      <c r="AJ633" s="25" t="s">
        <v>1435</v>
      </c>
      <c r="AK633" s="26" t="s">
        <v>2071</v>
      </c>
      <c r="AL633" s="26" t="s">
        <v>2071</v>
      </c>
      <c r="AM633" s="90" t="s">
        <v>1435</v>
      </c>
      <c r="AN633" s="105"/>
      <c r="AO633" s="91" t="str">
        <f t="shared" ca="1" si="267"/>
        <v xml:space="preserve"> </v>
      </c>
      <c r="AP633" s="26" t="s">
        <v>2937</v>
      </c>
      <c r="AQ633" s="26" t="s">
        <v>3501</v>
      </c>
      <c r="AR633" s="89"/>
      <c r="AS633" s="27"/>
      <c r="AT633" s="16"/>
      <c r="AU633" s="27"/>
      <c r="AV633" s="86"/>
      <c r="AW633" s="27"/>
      <c r="AX633" s="27"/>
      <c r="AY633" s="27"/>
      <c r="AZ633" s="27"/>
      <c r="BA633" s="27"/>
      <c r="BB633" s="27">
        <v>45709</v>
      </c>
      <c r="BC633" s="97">
        <v>311</v>
      </c>
      <c r="BD633" s="27"/>
      <c r="BE633" s="16"/>
      <c r="BF633" s="28">
        <f t="shared" si="268"/>
        <v>311</v>
      </c>
      <c r="BG633" s="29"/>
      <c r="BH633" s="27"/>
      <c r="BI633" s="30">
        <f t="shared" si="269"/>
        <v>677</v>
      </c>
      <c r="BJ633" s="31">
        <f t="shared" si="270"/>
        <v>46022</v>
      </c>
      <c r="BK633" s="27">
        <v>45709</v>
      </c>
      <c r="BL633" s="16" t="s">
        <v>5125</v>
      </c>
      <c r="BM633" s="27"/>
      <c r="BN633" s="16"/>
      <c r="BO633" s="27"/>
      <c r="BP633" s="16"/>
      <c r="BQ633" s="27"/>
      <c r="BR633" s="24"/>
      <c r="BS633" s="24"/>
      <c r="BT633" s="32"/>
      <c r="BU633" s="27"/>
      <c r="BV633" s="24"/>
      <c r="BW633" s="24"/>
      <c r="BX633" s="16"/>
      <c r="BY633" s="27"/>
      <c r="BZ633" s="24"/>
      <c r="CA633" s="24"/>
      <c r="CB633" s="16"/>
      <c r="CC633" s="49">
        <f t="shared" si="271"/>
        <v>0</v>
      </c>
      <c r="CD633" s="24"/>
      <c r="CE633" s="49" t="str">
        <f>IFERROR(IF(Y633=0,(W633+CC633)-CD633,IF(Y633&gt;0,(Y633+CC633)-CD633)),"")</f>
        <v/>
      </c>
      <c r="CF633" s="50">
        <v>340358487.06</v>
      </c>
      <c r="CG633" s="49" t="str">
        <f t="shared" ca="1" si="277"/>
        <v/>
      </c>
      <c r="CH633" s="33">
        <f t="shared" ca="1" si="272"/>
        <v>0.89371257485029942</v>
      </c>
      <c r="CI633" s="33">
        <f t="shared" ca="1" si="273"/>
        <v>0.89371257485029942</v>
      </c>
      <c r="CJ633" s="36" t="str">
        <f t="shared" ca="1" si="263"/>
        <v/>
      </c>
      <c r="CK633" s="34" t="str">
        <f t="shared" si="264"/>
        <v/>
      </c>
      <c r="CL633" s="21"/>
      <c r="CM633" s="35" t="str">
        <f t="shared" ca="1" si="274"/>
        <v>VIGENTE</v>
      </c>
      <c r="CN633" s="145"/>
      <c r="CO633" s="26"/>
      <c r="CP633" s="83" t="s">
        <v>1424</v>
      </c>
    </row>
    <row r="634" spans="1:94" ht="24.75" customHeight="1">
      <c r="A634" s="48" t="s">
        <v>1424</v>
      </c>
      <c r="B634" s="77" t="s">
        <v>5126</v>
      </c>
      <c r="C634" s="17" t="s">
        <v>2927</v>
      </c>
      <c r="D634" s="18" t="s">
        <v>5127</v>
      </c>
      <c r="E634" s="17" t="s">
        <v>2929</v>
      </c>
      <c r="F634" s="17" t="s">
        <v>1426</v>
      </c>
      <c r="G634" s="17" t="s">
        <v>1427</v>
      </c>
      <c r="H634" s="78" t="s">
        <v>5128</v>
      </c>
      <c r="I634" s="74" t="s">
        <v>5129</v>
      </c>
      <c r="J634" s="16" t="s">
        <v>5130</v>
      </c>
      <c r="K634" s="16">
        <v>13490478</v>
      </c>
      <c r="L634" s="20" t="s">
        <v>2933</v>
      </c>
      <c r="M634" s="16"/>
      <c r="N634" s="115">
        <v>45345</v>
      </c>
      <c r="O634" s="22">
        <v>45345</v>
      </c>
      <c r="P634" s="115">
        <v>45711</v>
      </c>
      <c r="Q634" s="23">
        <f t="shared" si="266"/>
        <v>366</v>
      </c>
      <c r="R634" s="17" t="s">
        <v>2934</v>
      </c>
      <c r="S634" s="117" t="s">
        <v>1424</v>
      </c>
      <c r="T634" s="16" t="s">
        <v>1424</v>
      </c>
      <c r="U634" s="24" t="s">
        <v>1424</v>
      </c>
      <c r="V634" s="16" t="s">
        <v>1424</v>
      </c>
      <c r="W634" s="227">
        <v>0</v>
      </c>
      <c r="X634" s="24"/>
      <c r="Y634" s="24" t="s">
        <v>2935</v>
      </c>
      <c r="Z634" s="24"/>
      <c r="AA634" s="17" t="s">
        <v>406</v>
      </c>
      <c r="AB634" s="23" t="str">
        <f>IFERROR(VLOOKUP(AA634,Listas!$A$1:$C$14,2,FALSE),"")</f>
        <v>EDUARDO ELÍAS BARCHA BOLÍVAR</v>
      </c>
      <c r="AC634" s="23">
        <f>IFERROR(VLOOKUP(AA634,Listas!$A$1:$C$14,3,FALSE),"")</f>
        <v>72133921</v>
      </c>
      <c r="AD634" s="17" t="s">
        <v>1533</v>
      </c>
      <c r="AE634" s="17" t="s">
        <v>1534</v>
      </c>
      <c r="AF634" s="23" t="str">
        <f>IFERROR(VLOOKUP(AE634,Listas!$AD$1:$AF$65,2,FALSE),"")</f>
        <v>ESTEBAN GUERRERO ALVAREZ</v>
      </c>
      <c r="AG634" s="23">
        <f>IFERROR(VLOOKUP(AE634,Listas!$AD$1:$AF$65,3,FALSE),"")</f>
        <v>1032460552</v>
      </c>
      <c r="AH634" s="17" t="s">
        <v>2936</v>
      </c>
      <c r="AI634" s="65"/>
      <c r="AJ634" s="25" t="s">
        <v>1435</v>
      </c>
      <c r="AK634" s="26" t="s">
        <v>2071</v>
      </c>
      <c r="AL634" s="26" t="s">
        <v>2071</v>
      </c>
      <c r="AM634" s="90" t="s">
        <v>1435</v>
      </c>
      <c r="AN634" s="105"/>
      <c r="AO634" s="91" t="str">
        <f t="shared" ca="1" si="267"/>
        <v xml:space="preserve"> </v>
      </c>
      <c r="AP634" s="26" t="s">
        <v>2937</v>
      </c>
      <c r="AQ634" s="26" t="s">
        <v>3133</v>
      </c>
      <c r="AR634" s="89"/>
      <c r="AS634" s="27"/>
      <c r="AT634" s="16"/>
      <c r="AU634" s="27"/>
      <c r="AV634" s="86"/>
      <c r="AW634" s="27"/>
      <c r="AX634" s="27"/>
      <c r="AY634" s="27"/>
      <c r="AZ634" s="27"/>
      <c r="BA634" s="27"/>
      <c r="BB634" s="27">
        <v>45653</v>
      </c>
      <c r="BC634" s="97">
        <v>311</v>
      </c>
      <c r="BD634" s="27"/>
      <c r="BE634" s="16"/>
      <c r="BF634" s="28">
        <f t="shared" si="268"/>
        <v>311</v>
      </c>
      <c r="BG634" s="29"/>
      <c r="BH634" s="27"/>
      <c r="BI634" s="30">
        <f t="shared" si="269"/>
        <v>677</v>
      </c>
      <c r="BJ634" s="31">
        <f t="shared" si="270"/>
        <v>46022</v>
      </c>
      <c r="BK634" s="27">
        <v>45653</v>
      </c>
      <c r="BL634" s="16" t="s">
        <v>5131</v>
      </c>
      <c r="BM634" s="27"/>
      <c r="BN634" s="16"/>
      <c r="BO634" s="27"/>
      <c r="BP634" s="16"/>
      <c r="BQ634" s="27"/>
      <c r="BR634" s="24"/>
      <c r="BS634" s="24"/>
      <c r="BT634" s="32"/>
      <c r="BU634" s="27"/>
      <c r="BV634" s="24"/>
      <c r="BW634" s="24"/>
      <c r="BX634" s="16"/>
      <c r="BY634" s="27"/>
      <c r="BZ634" s="24"/>
      <c r="CA634" s="24"/>
      <c r="CB634" s="16"/>
      <c r="CC634" s="49">
        <f t="shared" si="271"/>
        <v>0</v>
      </c>
      <c r="CD634" s="24"/>
      <c r="CE634" s="49" t="str">
        <f>IFERROR(IF(Y634=0,(W634+CC634)-CD634,IF(Y634&gt;0,(Y634+CC634)-CD634)),"")</f>
        <v/>
      </c>
      <c r="CF634" s="50">
        <v>34482637.670000002</v>
      </c>
      <c r="CG634" s="49" t="str">
        <f t="shared" ca="1" si="277"/>
        <v/>
      </c>
      <c r="CH634" s="33">
        <f t="shared" ca="1" si="272"/>
        <v>0.89371257485029942</v>
      </c>
      <c r="CI634" s="33">
        <f t="shared" ca="1" si="273"/>
        <v>0.89371257485029942</v>
      </c>
      <c r="CJ634" s="36" t="str">
        <f t="shared" ca="1" si="263"/>
        <v/>
      </c>
      <c r="CK634" s="34" t="str">
        <f t="shared" si="264"/>
        <v/>
      </c>
      <c r="CL634" s="21"/>
      <c r="CM634" s="35" t="str">
        <f t="shared" ca="1" si="274"/>
        <v>VIGENTE</v>
      </c>
      <c r="CN634" s="145"/>
      <c r="CO634" s="26"/>
      <c r="CP634" s="83" t="s">
        <v>1424</v>
      </c>
    </row>
    <row r="635" spans="1:94" ht="24.75" customHeight="1">
      <c r="A635" s="48" t="s">
        <v>5132</v>
      </c>
      <c r="B635" s="77" t="s">
        <v>5133</v>
      </c>
      <c r="C635" s="17" t="s">
        <v>104</v>
      </c>
      <c r="D635" s="18" t="s">
        <v>5134</v>
      </c>
      <c r="E635" s="17" t="s">
        <v>106</v>
      </c>
      <c r="F635" s="17" t="s">
        <v>107</v>
      </c>
      <c r="G635" s="17" t="s">
        <v>108</v>
      </c>
      <c r="H635" s="78">
        <v>52988143</v>
      </c>
      <c r="I635" s="74" t="s">
        <v>5135</v>
      </c>
      <c r="J635" s="16"/>
      <c r="K635" s="16"/>
      <c r="L635" s="20" t="s">
        <v>5136</v>
      </c>
      <c r="M635" s="16" t="s">
        <v>111</v>
      </c>
      <c r="N635" s="115">
        <v>45345</v>
      </c>
      <c r="O635" s="22">
        <v>45348</v>
      </c>
      <c r="P635" s="115">
        <v>45656</v>
      </c>
      <c r="Q635" s="23">
        <f t="shared" si="266"/>
        <v>308</v>
      </c>
      <c r="R635" s="17" t="s">
        <v>242</v>
      </c>
      <c r="S635" s="117" t="s">
        <v>5137</v>
      </c>
      <c r="T635" s="16" t="s">
        <v>970</v>
      </c>
      <c r="U635" s="67">
        <v>35862336</v>
      </c>
      <c r="V635" s="16" t="s">
        <v>2165</v>
      </c>
      <c r="W635" s="224">
        <v>35862336</v>
      </c>
      <c r="X635" s="24">
        <v>3065157</v>
      </c>
      <c r="Y635" s="24"/>
      <c r="Z635" s="24"/>
      <c r="AA635" s="17" t="s">
        <v>116</v>
      </c>
      <c r="AB635" s="23" t="str">
        <f>IFERROR(VLOOKUP(AA635,Listas!$A$1:$C$14,2,FALSE),"")</f>
        <v>FREDY CÉSPEDES VILLA</v>
      </c>
      <c r="AC635" s="23">
        <f>IFERROR(VLOOKUP(AA635,Listas!$A$1:$C$14,3,FALSE),"")</f>
        <v>93363483</v>
      </c>
      <c r="AD635" s="17" t="s">
        <v>116</v>
      </c>
      <c r="AE635" s="17" t="s">
        <v>972</v>
      </c>
      <c r="AF635" s="23" t="str">
        <f>IFERROR(VLOOKUP(AE635,Listas!$AD$1:$AF$65,2,FALSE),"")</f>
        <v>LUZ MARIELLY MORALES MARTÍNEZ</v>
      </c>
      <c r="AG635" s="23">
        <f>IFERROR(VLOOKUP(AE635,Listas!$AD$1:$AF$65,3,FALSE),"")</f>
        <v>24497384</v>
      </c>
      <c r="AH635" s="17" t="s">
        <v>118</v>
      </c>
      <c r="AI635" s="65" t="s">
        <v>5138</v>
      </c>
      <c r="AJ635" s="25" t="s">
        <v>119</v>
      </c>
      <c r="AK635" s="26" t="s">
        <v>120</v>
      </c>
      <c r="AL635" s="26" t="s">
        <v>120</v>
      </c>
      <c r="AM635" s="90" t="s">
        <v>119</v>
      </c>
      <c r="AN635" s="105">
        <v>30480</v>
      </c>
      <c r="AO635" s="91">
        <f t="shared" ca="1" si="267"/>
        <v>42</v>
      </c>
      <c r="AP635" s="26" t="s">
        <v>121</v>
      </c>
      <c r="AQ635" s="26" t="s">
        <v>122</v>
      </c>
      <c r="AR635" s="89"/>
      <c r="AS635" s="27"/>
      <c r="AT635" s="16"/>
      <c r="AU635" s="27"/>
      <c r="AV635" s="86"/>
      <c r="AW635" s="27"/>
      <c r="AX635" s="27"/>
      <c r="AY635" s="27"/>
      <c r="AZ635" s="27"/>
      <c r="BA635" s="27"/>
      <c r="BB635" s="27"/>
      <c r="BC635" s="97"/>
      <c r="BD635" s="27"/>
      <c r="BE635" s="16"/>
      <c r="BF635" s="28">
        <f t="shared" si="268"/>
        <v>0</v>
      </c>
      <c r="BG635" s="29"/>
      <c r="BH635" s="27"/>
      <c r="BI635" s="30">
        <f t="shared" si="269"/>
        <v>308</v>
      </c>
      <c r="BJ635" s="31">
        <f t="shared" si="270"/>
        <v>45656</v>
      </c>
      <c r="BK635" s="27"/>
      <c r="BL635" s="16"/>
      <c r="BM635" s="27"/>
      <c r="BN635" s="16"/>
      <c r="BO635" s="27"/>
      <c r="BP635" s="16"/>
      <c r="BQ635" s="27"/>
      <c r="BR635" s="24"/>
      <c r="BS635" s="24"/>
      <c r="BT635" s="32"/>
      <c r="BU635" s="27"/>
      <c r="BV635" s="24"/>
      <c r="BW635" s="24"/>
      <c r="BX635" s="16"/>
      <c r="BY635" s="27"/>
      <c r="BZ635" s="24"/>
      <c r="CA635" s="24"/>
      <c r="CB635" s="16"/>
      <c r="CC635" s="49">
        <f t="shared" si="271"/>
        <v>0</v>
      </c>
      <c r="CD635" s="24"/>
      <c r="CE635" s="49">
        <f t="shared" si="275"/>
        <v>35862336</v>
      </c>
      <c r="CF635" s="50"/>
      <c r="CG635" s="49">
        <f t="shared" ca="1" si="277"/>
        <v>35862336</v>
      </c>
      <c r="CH635" s="33">
        <f t="shared" ca="1" si="272"/>
        <v>1</v>
      </c>
      <c r="CI635" s="33">
        <f t="shared" ca="1" si="273"/>
        <v>1</v>
      </c>
      <c r="CJ635" s="36">
        <f t="shared" ca="1" si="263"/>
        <v>100</v>
      </c>
      <c r="CK635" s="34">
        <f t="shared" si="264"/>
        <v>0</v>
      </c>
      <c r="CL635" s="21"/>
      <c r="CM635" s="35" t="str">
        <f t="shared" ca="1" si="274"/>
        <v>TERMINADO</v>
      </c>
      <c r="CN635" s="82"/>
      <c r="CO635" s="145" t="s">
        <v>5139</v>
      </c>
      <c r="CP635" s="26" t="s">
        <v>123</v>
      </c>
    </row>
    <row r="636" spans="1:94" ht="24.75" customHeight="1">
      <c r="A636" s="48" t="s">
        <v>5140</v>
      </c>
      <c r="B636" s="77" t="s">
        <v>5141</v>
      </c>
      <c r="C636" s="17" t="s">
        <v>104</v>
      </c>
      <c r="D636" s="18" t="s">
        <v>5142</v>
      </c>
      <c r="E636" s="17" t="s">
        <v>106</v>
      </c>
      <c r="F636" s="17" t="s">
        <v>107</v>
      </c>
      <c r="G636" s="17" t="s">
        <v>108</v>
      </c>
      <c r="H636" s="78">
        <v>52252552</v>
      </c>
      <c r="I636" s="74" t="s">
        <v>5143</v>
      </c>
      <c r="J636" s="16"/>
      <c r="K636" s="16"/>
      <c r="L636" s="20" t="s">
        <v>5144</v>
      </c>
      <c r="M636" s="16" t="s">
        <v>111</v>
      </c>
      <c r="N636" s="115">
        <v>45345</v>
      </c>
      <c r="O636" s="22">
        <v>45355</v>
      </c>
      <c r="P636" s="115">
        <v>45656</v>
      </c>
      <c r="Q636" s="23">
        <f t="shared" si="266"/>
        <v>301</v>
      </c>
      <c r="R636" s="17" t="s">
        <v>242</v>
      </c>
      <c r="S636" s="117" t="s">
        <v>5145</v>
      </c>
      <c r="T636" s="16" t="s">
        <v>997</v>
      </c>
      <c r="U636" s="67">
        <v>83160000</v>
      </c>
      <c r="V636" s="16" t="s">
        <v>3421</v>
      </c>
      <c r="W636" s="224">
        <v>83160000</v>
      </c>
      <c r="X636" s="24">
        <v>7700000</v>
      </c>
      <c r="Y636" s="24"/>
      <c r="Z636" s="24"/>
      <c r="AA636" s="17" t="s">
        <v>116</v>
      </c>
      <c r="AB636" s="23" t="str">
        <f>IFERROR(VLOOKUP(AA636,Listas!$A$1:$C$14,2,FALSE),"")</f>
        <v>FREDY CÉSPEDES VILLA</v>
      </c>
      <c r="AC636" s="23">
        <f>IFERROR(VLOOKUP(AA636,Listas!$A$1:$C$14,3,FALSE),"")</f>
        <v>93363483</v>
      </c>
      <c r="AD636" s="17" t="s">
        <v>816</v>
      </c>
      <c r="AE636" s="17" t="s">
        <v>2835</v>
      </c>
      <c r="AF636" s="23" t="str">
        <f>IFERROR(VLOOKUP(AE636,Listas!$AD$1:$AF$65,2,FALSE),"")</f>
        <v>GUILLERMO ANDRES CARDONA HERRERA</v>
      </c>
      <c r="AG636" s="23">
        <f>IFERROR(VLOOKUP(AE636,Listas!$AD$1:$AF$65,3,FALSE),"")</f>
        <v>80018909</v>
      </c>
      <c r="AH636" s="17" t="s">
        <v>118</v>
      </c>
      <c r="AI636" s="65" t="s">
        <v>5146</v>
      </c>
      <c r="AJ636" s="25" t="s">
        <v>119</v>
      </c>
      <c r="AK636" s="26" t="s">
        <v>120</v>
      </c>
      <c r="AL636" s="26" t="s">
        <v>120</v>
      </c>
      <c r="AM636" s="90" t="s">
        <v>119</v>
      </c>
      <c r="AN636" s="105">
        <v>27388</v>
      </c>
      <c r="AO636" s="91">
        <f t="shared" ca="1" si="267"/>
        <v>51</v>
      </c>
      <c r="AP636" s="26" t="s">
        <v>121</v>
      </c>
      <c r="AQ636" s="26" t="s">
        <v>1641</v>
      </c>
      <c r="AR636" s="89"/>
      <c r="AS636" s="27"/>
      <c r="AT636" s="16"/>
      <c r="AU636" s="27"/>
      <c r="AV636" s="86"/>
      <c r="AW636" s="27"/>
      <c r="AX636" s="27"/>
      <c r="AY636" s="27"/>
      <c r="AZ636" s="27"/>
      <c r="BA636" s="27"/>
      <c r="BB636" s="27"/>
      <c r="BC636" s="97"/>
      <c r="BD636" s="27"/>
      <c r="BE636" s="16"/>
      <c r="BF636" s="28">
        <f t="shared" si="268"/>
        <v>0</v>
      </c>
      <c r="BG636" s="29"/>
      <c r="BH636" s="27"/>
      <c r="BI636" s="30">
        <f t="shared" si="269"/>
        <v>301</v>
      </c>
      <c r="BJ636" s="31">
        <f t="shared" si="270"/>
        <v>45656</v>
      </c>
      <c r="BK636" s="27"/>
      <c r="BL636" s="16"/>
      <c r="BM636" s="27"/>
      <c r="BN636" s="16"/>
      <c r="BO636" s="27"/>
      <c r="BP636" s="16"/>
      <c r="BQ636" s="27"/>
      <c r="BR636" s="24"/>
      <c r="BS636" s="24"/>
      <c r="BT636" s="32"/>
      <c r="BU636" s="27"/>
      <c r="BV636" s="24"/>
      <c r="BW636" s="24"/>
      <c r="BX636" s="16"/>
      <c r="BY636" s="27"/>
      <c r="BZ636" s="24"/>
      <c r="CA636" s="24"/>
      <c r="CB636" s="16"/>
      <c r="CC636" s="49">
        <f t="shared" si="271"/>
        <v>0</v>
      </c>
      <c r="CD636" s="24"/>
      <c r="CE636" s="49">
        <f t="shared" si="275"/>
        <v>83160000</v>
      </c>
      <c r="CF636" s="50"/>
      <c r="CG636" s="49">
        <f t="shared" ca="1" si="277"/>
        <v>83160000</v>
      </c>
      <c r="CH636" s="33">
        <f t="shared" ca="1" si="272"/>
        <v>1</v>
      </c>
      <c r="CI636" s="33">
        <f t="shared" ca="1" si="273"/>
        <v>1</v>
      </c>
      <c r="CJ636" s="36">
        <f t="shared" ca="1" si="263"/>
        <v>100</v>
      </c>
      <c r="CK636" s="34">
        <f t="shared" si="264"/>
        <v>0</v>
      </c>
      <c r="CL636" s="21"/>
      <c r="CM636" s="35" t="str">
        <f t="shared" ca="1" si="274"/>
        <v>TERMINADO</v>
      </c>
      <c r="CN636" s="82"/>
      <c r="CO636" s="145" t="s">
        <v>5147</v>
      </c>
      <c r="CP636" s="26" t="s">
        <v>123</v>
      </c>
    </row>
    <row r="637" spans="1:94" ht="24.75" customHeight="1">
      <c r="A637" s="48" t="s">
        <v>5148</v>
      </c>
      <c r="B637" s="77" t="s">
        <v>5149</v>
      </c>
      <c r="C637" s="17" t="s">
        <v>104</v>
      </c>
      <c r="D637" s="18" t="s">
        <v>5150</v>
      </c>
      <c r="E637" s="17" t="s">
        <v>106</v>
      </c>
      <c r="F637" s="17" t="s">
        <v>107</v>
      </c>
      <c r="G637" s="17" t="s">
        <v>108</v>
      </c>
      <c r="H637" s="78">
        <v>1033716128</v>
      </c>
      <c r="I637" s="74" t="s">
        <v>5151</v>
      </c>
      <c r="J637" s="16"/>
      <c r="K637" s="16"/>
      <c r="L637" s="20" t="s">
        <v>5152</v>
      </c>
      <c r="M637" s="16" t="s">
        <v>111</v>
      </c>
      <c r="N637" s="115">
        <v>45345</v>
      </c>
      <c r="O637" s="22">
        <v>45348</v>
      </c>
      <c r="P637" s="115">
        <v>45656</v>
      </c>
      <c r="Q637" s="23">
        <f t="shared" si="266"/>
        <v>308</v>
      </c>
      <c r="R637" s="17" t="s">
        <v>242</v>
      </c>
      <c r="S637" s="117" t="s">
        <v>5153</v>
      </c>
      <c r="T637" s="16" t="s">
        <v>668</v>
      </c>
      <c r="U637" s="67">
        <v>89012165</v>
      </c>
      <c r="V637" s="16" t="s">
        <v>5154</v>
      </c>
      <c r="W637" s="224">
        <v>89012165</v>
      </c>
      <c r="X637" s="24">
        <v>8092015</v>
      </c>
      <c r="Y637" s="24"/>
      <c r="Z637" s="24"/>
      <c r="AA637" s="17" t="s">
        <v>116</v>
      </c>
      <c r="AB637" s="23" t="str">
        <f>IFERROR(VLOOKUP(AA637,Listas!$A$1:$C$14,2,FALSE),"")</f>
        <v>FREDY CÉSPEDES VILLA</v>
      </c>
      <c r="AC637" s="23">
        <f>IFERROR(VLOOKUP(AA637,Listas!$A$1:$C$14,3,FALSE),"")</f>
        <v>93363483</v>
      </c>
      <c r="AD637" s="17" t="s">
        <v>282</v>
      </c>
      <c r="AE637" s="17" t="s">
        <v>293</v>
      </c>
      <c r="AF637" s="23" t="str">
        <f>IFERROR(VLOOKUP(AE637,Listas!$AD$1:$AF$65,2,FALSE),"")</f>
        <v>MÓNICA PINTO GARCÍA</v>
      </c>
      <c r="AG637" s="23">
        <f>IFERROR(VLOOKUP(AE637,Listas!$AD$1:$AF$65,3,FALSE),"")</f>
        <v>52867207</v>
      </c>
      <c r="AH637" s="17" t="s">
        <v>118</v>
      </c>
      <c r="AI637" s="65" t="s">
        <v>5155</v>
      </c>
      <c r="AJ637" s="25" t="s">
        <v>119</v>
      </c>
      <c r="AK637" s="26" t="s">
        <v>120</v>
      </c>
      <c r="AL637" s="26" t="s">
        <v>120</v>
      </c>
      <c r="AM637" s="90" t="s">
        <v>119</v>
      </c>
      <c r="AN637" s="105">
        <v>32829</v>
      </c>
      <c r="AO637" s="91">
        <f t="shared" ca="1" si="267"/>
        <v>36</v>
      </c>
      <c r="AP637" s="26" t="s">
        <v>121</v>
      </c>
      <c r="AQ637" s="26" t="s">
        <v>285</v>
      </c>
      <c r="AR637" s="89"/>
      <c r="AS637" s="27"/>
      <c r="AT637" s="16"/>
      <c r="AU637" s="27"/>
      <c r="AV637" s="86"/>
      <c r="AW637" s="27"/>
      <c r="AX637" s="27"/>
      <c r="AY637" s="27"/>
      <c r="AZ637" s="27"/>
      <c r="BA637" s="27"/>
      <c r="BB637" s="27"/>
      <c r="BC637" s="97"/>
      <c r="BD637" s="27"/>
      <c r="BE637" s="16"/>
      <c r="BF637" s="28">
        <f t="shared" si="268"/>
        <v>0</v>
      </c>
      <c r="BG637" s="29"/>
      <c r="BH637" s="27"/>
      <c r="BI637" s="30">
        <f t="shared" si="269"/>
        <v>308</v>
      </c>
      <c r="BJ637" s="31">
        <f t="shared" si="270"/>
        <v>45656</v>
      </c>
      <c r="BK637" s="27"/>
      <c r="BL637" s="16"/>
      <c r="BM637" s="27"/>
      <c r="BN637" s="16"/>
      <c r="BO637" s="27"/>
      <c r="BP637" s="16"/>
      <c r="BQ637" s="27"/>
      <c r="BR637" s="24"/>
      <c r="BS637" s="24"/>
      <c r="BT637" s="32"/>
      <c r="BU637" s="27"/>
      <c r="BV637" s="24"/>
      <c r="BW637" s="24"/>
      <c r="BX637" s="16"/>
      <c r="BY637" s="27"/>
      <c r="BZ637" s="24"/>
      <c r="CA637" s="24"/>
      <c r="CB637" s="16"/>
      <c r="CC637" s="49">
        <f t="shared" si="271"/>
        <v>0</v>
      </c>
      <c r="CD637" s="24"/>
      <c r="CE637" s="49">
        <f t="shared" si="275"/>
        <v>89012165</v>
      </c>
      <c r="CF637" s="50"/>
      <c r="CG637" s="49">
        <f t="shared" ca="1" si="277"/>
        <v>89012165</v>
      </c>
      <c r="CH637" s="33">
        <f t="shared" ca="1" si="272"/>
        <v>1</v>
      </c>
      <c r="CI637" s="33">
        <f t="shared" ca="1" si="273"/>
        <v>1</v>
      </c>
      <c r="CJ637" s="36">
        <f t="shared" ca="1" si="263"/>
        <v>100</v>
      </c>
      <c r="CK637" s="34">
        <f t="shared" si="264"/>
        <v>0</v>
      </c>
      <c r="CL637" s="21"/>
      <c r="CM637" s="35" t="str">
        <f t="shared" ca="1" si="274"/>
        <v>TERMINADO</v>
      </c>
      <c r="CN637" s="82"/>
      <c r="CO637" s="145" t="s">
        <v>5156</v>
      </c>
      <c r="CP637" s="26" t="s">
        <v>142</v>
      </c>
    </row>
    <row r="638" spans="1:94" ht="24.75" customHeight="1">
      <c r="A638" s="48" t="s">
        <v>5157</v>
      </c>
      <c r="B638" s="77" t="s">
        <v>5158</v>
      </c>
      <c r="C638" s="17" t="s">
        <v>104</v>
      </c>
      <c r="D638" s="18" t="s">
        <v>5159</v>
      </c>
      <c r="E638" s="17" t="s">
        <v>106</v>
      </c>
      <c r="F638" s="17" t="s">
        <v>107</v>
      </c>
      <c r="G638" s="17" t="s">
        <v>108</v>
      </c>
      <c r="H638" s="78">
        <v>1052378967</v>
      </c>
      <c r="I638" s="74" t="s">
        <v>5160</v>
      </c>
      <c r="J638" s="16"/>
      <c r="K638" s="16"/>
      <c r="L638" s="20" t="s">
        <v>5161</v>
      </c>
      <c r="M638" s="16" t="s">
        <v>111</v>
      </c>
      <c r="N638" s="115">
        <v>45345</v>
      </c>
      <c r="O638" s="22">
        <v>45348</v>
      </c>
      <c r="P638" s="115">
        <v>45656</v>
      </c>
      <c r="Q638" s="23">
        <f t="shared" si="266"/>
        <v>308</v>
      </c>
      <c r="R638" s="17" t="s">
        <v>242</v>
      </c>
      <c r="S638" s="117" t="s">
        <v>5162</v>
      </c>
      <c r="T638" s="16" t="s">
        <v>425</v>
      </c>
      <c r="U638" s="67">
        <v>73563768</v>
      </c>
      <c r="V638" s="16" t="s">
        <v>426</v>
      </c>
      <c r="W638" s="224">
        <v>63563217</v>
      </c>
      <c r="X638" s="24">
        <v>6131500</v>
      </c>
      <c r="Y638" s="24"/>
      <c r="Z638" s="24"/>
      <c r="AA638" s="17" t="s">
        <v>116</v>
      </c>
      <c r="AB638" s="23" t="str">
        <f>IFERROR(VLOOKUP(AA638,Listas!$A$1:$C$14,2,FALSE),"")</f>
        <v>FREDY CÉSPEDES VILLA</v>
      </c>
      <c r="AC638" s="23">
        <f>IFERROR(VLOOKUP(AA638,Listas!$A$1:$C$14,3,FALSE),"")</f>
        <v>93363483</v>
      </c>
      <c r="AD638" s="17" t="s">
        <v>427</v>
      </c>
      <c r="AE638" s="17" t="s">
        <v>1390</v>
      </c>
      <c r="AF638" s="23" t="str">
        <f>IFERROR(VLOOKUP(AE638,Listas!$AD$1:$AF$65,2,FALSE),"")</f>
        <v>BLANCA FLOR AMÉZQUITA RODRÍGUEZ</v>
      </c>
      <c r="AG638" s="23">
        <f>IFERROR(VLOOKUP(AE638,Listas!$AD$1:$AF$65,3,FALSE),"")</f>
        <v>51613966</v>
      </c>
      <c r="AH638" s="17" t="s">
        <v>118</v>
      </c>
      <c r="AI638" s="65" t="s">
        <v>5163</v>
      </c>
      <c r="AJ638" s="25" t="s">
        <v>119</v>
      </c>
      <c r="AK638" s="26" t="s">
        <v>120</v>
      </c>
      <c r="AL638" s="26" t="s">
        <v>120</v>
      </c>
      <c r="AM638" s="90" t="s">
        <v>119</v>
      </c>
      <c r="AN638" s="105">
        <v>31543</v>
      </c>
      <c r="AO638" s="91">
        <f t="shared" ca="1" si="267"/>
        <v>39</v>
      </c>
      <c r="AP638" s="26" t="s">
        <v>121</v>
      </c>
      <c r="AQ638" s="26" t="s">
        <v>122</v>
      </c>
      <c r="AR638" s="89"/>
      <c r="AS638" s="27"/>
      <c r="AT638" s="16"/>
      <c r="AU638" s="27"/>
      <c r="AV638" s="86"/>
      <c r="AW638" s="27"/>
      <c r="AX638" s="27"/>
      <c r="AY638" s="27"/>
      <c r="AZ638" s="27"/>
      <c r="BA638" s="27"/>
      <c r="BB638" s="27"/>
      <c r="BC638" s="97"/>
      <c r="BD638" s="27"/>
      <c r="BE638" s="16"/>
      <c r="BF638" s="28">
        <f t="shared" si="268"/>
        <v>0</v>
      </c>
      <c r="BG638" s="29"/>
      <c r="BH638" s="27"/>
      <c r="BI638" s="30">
        <f t="shared" si="269"/>
        <v>308</v>
      </c>
      <c r="BJ638" s="31">
        <f t="shared" si="270"/>
        <v>45656</v>
      </c>
      <c r="BK638" s="27"/>
      <c r="BL638" s="16"/>
      <c r="BM638" s="27"/>
      <c r="BN638" s="16"/>
      <c r="BO638" s="27"/>
      <c r="BP638" s="16"/>
      <c r="BQ638" s="27"/>
      <c r="BR638" s="24"/>
      <c r="BS638" s="24"/>
      <c r="BT638" s="32"/>
      <c r="BU638" s="27"/>
      <c r="BV638" s="24"/>
      <c r="BW638" s="24"/>
      <c r="BX638" s="16"/>
      <c r="BY638" s="27"/>
      <c r="BZ638" s="24"/>
      <c r="CA638" s="24"/>
      <c r="CB638" s="16"/>
      <c r="CC638" s="49">
        <f t="shared" si="271"/>
        <v>0</v>
      </c>
      <c r="CD638" s="24"/>
      <c r="CE638" s="49">
        <f t="shared" si="275"/>
        <v>63563217</v>
      </c>
      <c r="CF638" s="50"/>
      <c r="CG638" s="49">
        <f t="shared" ca="1" si="277"/>
        <v>63563217</v>
      </c>
      <c r="CH638" s="33">
        <f t="shared" ca="1" si="272"/>
        <v>1</v>
      </c>
      <c r="CI638" s="33">
        <f t="shared" ca="1" si="273"/>
        <v>1</v>
      </c>
      <c r="CJ638" s="36">
        <f t="shared" ca="1" si="263"/>
        <v>100</v>
      </c>
      <c r="CK638" s="34">
        <f t="shared" si="264"/>
        <v>0</v>
      </c>
      <c r="CL638" s="21"/>
      <c r="CM638" s="35" t="str">
        <f t="shared" ca="1" si="274"/>
        <v>TERMINADO</v>
      </c>
      <c r="CN638" s="82"/>
      <c r="CO638" s="145" t="s">
        <v>5164</v>
      </c>
      <c r="CP638" s="26" t="s">
        <v>142</v>
      </c>
    </row>
    <row r="639" spans="1:94" ht="24.75" customHeight="1">
      <c r="A639" s="48" t="s">
        <v>5165</v>
      </c>
      <c r="B639" s="77" t="s">
        <v>5166</v>
      </c>
      <c r="C639" s="17" t="s">
        <v>104</v>
      </c>
      <c r="D639" s="18" t="s">
        <v>5167</v>
      </c>
      <c r="E639" s="17" t="s">
        <v>106</v>
      </c>
      <c r="F639" s="17" t="s">
        <v>107</v>
      </c>
      <c r="G639" s="17" t="s">
        <v>108</v>
      </c>
      <c r="H639" s="78">
        <v>1001295689</v>
      </c>
      <c r="I639" s="74" t="s">
        <v>5168</v>
      </c>
      <c r="J639" s="16"/>
      <c r="K639" s="16"/>
      <c r="L639" s="20" t="s">
        <v>5169</v>
      </c>
      <c r="M639" s="16" t="s">
        <v>111</v>
      </c>
      <c r="N639" s="115">
        <v>45345</v>
      </c>
      <c r="O639" s="22">
        <v>45350</v>
      </c>
      <c r="P639" s="115">
        <v>45656</v>
      </c>
      <c r="Q639" s="23">
        <f t="shared" si="266"/>
        <v>306</v>
      </c>
      <c r="R639" s="17" t="s">
        <v>242</v>
      </c>
      <c r="S639" s="117" t="s">
        <v>5086</v>
      </c>
      <c r="T639" s="16" t="s">
        <v>2751</v>
      </c>
      <c r="U639" s="67">
        <v>64347867</v>
      </c>
      <c r="V639" s="16" t="s">
        <v>344</v>
      </c>
      <c r="W639" s="224">
        <v>64347867</v>
      </c>
      <c r="X639" s="24">
        <v>5762496</v>
      </c>
      <c r="Y639" s="24"/>
      <c r="Z639" s="24"/>
      <c r="AA639" s="17" t="s">
        <v>116</v>
      </c>
      <c r="AB639" s="23" t="str">
        <f>IFERROR(VLOOKUP(AA639,Listas!$A$1:$C$14,2,FALSE),"")</f>
        <v>FREDY CÉSPEDES VILLA</v>
      </c>
      <c r="AC639" s="23">
        <f>IFERROR(VLOOKUP(AA639,Listas!$A$1:$C$14,3,FALSE),"")</f>
        <v>93363483</v>
      </c>
      <c r="AD639" s="17" t="s">
        <v>345</v>
      </c>
      <c r="AE639" s="17" t="s">
        <v>632</v>
      </c>
      <c r="AF639" s="23" t="str">
        <f>IFERROR(VLOOKUP(AE639,Listas!$AD$1:$AF$65,2,FALSE),"")</f>
        <v>MANUEL ALBERTO LOZANO CARDONA</v>
      </c>
      <c r="AG639" s="23">
        <f>IFERROR(VLOOKUP(AE639,Listas!$AD$1:$AF$65,3,FALSE),"")</f>
        <v>79940034</v>
      </c>
      <c r="AH639" s="17" t="s">
        <v>118</v>
      </c>
      <c r="AI639" s="65" t="s">
        <v>5170</v>
      </c>
      <c r="AJ639" s="25" t="s">
        <v>119</v>
      </c>
      <c r="AK639" s="26" t="s">
        <v>120</v>
      </c>
      <c r="AL639" s="26" t="s">
        <v>120</v>
      </c>
      <c r="AM639" s="90" t="s">
        <v>119</v>
      </c>
      <c r="AN639" s="105">
        <v>32598</v>
      </c>
      <c r="AO639" s="91">
        <f t="shared" ca="1" si="267"/>
        <v>36</v>
      </c>
      <c r="AP639" s="26" t="s">
        <v>121</v>
      </c>
      <c r="AQ639" s="26" t="s">
        <v>347</v>
      </c>
      <c r="AR639" s="89"/>
      <c r="AS639" s="27"/>
      <c r="AT639" s="16"/>
      <c r="AU639" s="27"/>
      <c r="AV639" s="86"/>
      <c r="AW639" s="27"/>
      <c r="AX639" s="27"/>
      <c r="AY639" s="27"/>
      <c r="AZ639" s="27"/>
      <c r="BA639" s="27"/>
      <c r="BB639" s="27"/>
      <c r="BC639" s="97"/>
      <c r="BD639" s="27"/>
      <c r="BE639" s="16"/>
      <c r="BF639" s="28">
        <f t="shared" si="268"/>
        <v>0</v>
      </c>
      <c r="BG639" s="29"/>
      <c r="BH639" s="27"/>
      <c r="BI639" s="30">
        <f t="shared" si="269"/>
        <v>306</v>
      </c>
      <c r="BJ639" s="31">
        <f t="shared" si="270"/>
        <v>45656</v>
      </c>
      <c r="BK639" s="27"/>
      <c r="BL639" s="16"/>
      <c r="BM639" s="27"/>
      <c r="BN639" s="16"/>
      <c r="BO639" s="27"/>
      <c r="BP639" s="16"/>
      <c r="BQ639" s="27"/>
      <c r="BR639" s="24"/>
      <c r="BS639" s="24"/>
      <c r="BT639" s="32"/>
      <c r="BU639" s="27"/>
      <c r="BV639" s="24"/>
      <c r="BW639" s="24"/>
      <c r="BX639" s="16"/>
      <c r="BY639" s="27"/>
      <c r="BZ639" s="24"/>
      <c r="CA639" s="24"/>
      <c r="CB639" s="16"/>
      <c r="CC639" s="49">
        <f t="shared" si="271"/>
        <v>0</v>
      </c>
      <c r="CD639" s="24"/>
      <c r="CE639" s="49">
        <f t="shared" si="275"/>
        <v>64347867</v>
      </c>
      <c r="CF639" s="50"/>
      <c r="CG639" s="49">
        <f t="shared" ca="1" si="277"/>
        <v>64347867</v>
      </c>
      <c r="CH639" s="33">
        <f t="shared" ca="1" si="272"/>
        <v>1</v>
      </c>
      <c r="CI639" s="33">
        <f t="shared" ca="1" si="273"/>
        <v>1</v>
      </c>
      <c r="CJ639" s="36">
        <f t="shared" ca="1" si="263"/>
        <v>100</v>
      </c>
      <c r="CK639" s="34">
        <f t="shared" si="264"/>
        <v>0</v>
      </c>
      <c r="CL639" s="21"/>
      <c r="CM639" s="35" t="str">
        <f t="shared" ca="1" si="274"/>
        <v>TERMINADO</v>
      </c>
      <c r="CN639" s="82"/>
      <c r="CO639" s="145" t="s">
        <v>5171</v>
      </c>
      <c r="CP639" s="26" t="s">
        <v>142</v>
      </c>
    </row>
    <row r="640" spans="1:94" ht="24.75" customHeight="1">
      <c r="A640" s="48" t="s">
        <v>5172</v>
      </c>
      <c r="B640" s="77" t="s">
        <v>5173</v>
      </c>
      <c r="C640" s="17" t="s">
        <v>104</v>
      </c>
      <c r="D640" s="18" t="s">
        <v>5174</v>
      </c>
      <c r="E640" s="17" t="s">
        <v>106</v>
      </c>
      <c r="F640" s="17" t="s">
        <v>107</v>
      </c>
      <c r="G640" s="17" t="s">
        <v>108</v>
      </c>
      <c r="H640" s="78">
        <v>1016077606</v>
      </c>
      <c r="I640" s="74" t="s">
        <v>5175</v>
      </c>
      <c r="J640" s="16"/>
      <c r="K640" s="16"/>
      <c r="L640" s="20" t="s">
        <v>5176</v>
      </c>
      <c r="M640" s="16" t="s">
        <v>111</v>
      </c>
      <c r="N640" s="115">
        <v>45345</v>
      </c>
      <c r="O640" s="22">
        <v>45348</v>
      </c>
      <c r="P640" s="115">
        <v>45656</v>
      </c>
      <c r="Q640" s="23">
        <f t="shared" si="266"/>
        <v>308</v>
      </c>
      <c r="R640" s="17" t="s">
        <v>242</v>
      </c>
      <c r="S640" s="117" t="s">
        <v>5177</v>
      </c>
      <c r="T640" s="16" t="s">
        <v>2751</v>
      </c>
      <c r="U640" s="67">
        <v>81082500</v>
      </c>
      <c r="V640" s="16" t="s">
        <v>344</v>
      </c>
      <c r="W640" s="224">
        <v>81082500</v>
      </c>
      <c r="X640" s="24">
        <v>7112500</v>
      </c>
      <c r="Y640" s="24"/>
      <c r="Z640" s="24"/>
      <c r="AA640" s="17" t="s">
        <v>116</v>
      </c>
      <c r="AB640" s="23" t="str">
        <f>IFERROR(VLOOKUP(AA640,Listas!$A$1:$C$14,2,FALSE),"")</f>
        <v>FREDY CÉSPEDES VILLA</v>
      </c>
      <c r="AC640" s="23">
        <f>IFERROR(VLOOKUP(AA640,Listas!$A$1:$C$14,3,FALSE),"")</f>
        <v>93363483</v>
      </c>
      <c r="AD640" s="17" t="s">
        <v>427</v>
      </c>
      <c r="AE640" s="17" t="s">
        <v>428</v>
      </c>
      <c r="AF640" s="23" t="str">
        <f>IFERROR(VLOOKUP(AE640,Listas!$AD$1:$AF$65,2,FALSE),"")</f>
        <v>DINORAH PATRICIA ABADIA MURILLO</v>
      </c>
      <c r="AG640" s="23">
        <f>IFERROR(VLOOKUP(AE640,Listas!$AD$1:$AF$65,3,FALSE),"")</f>
        <v>52220857</v>
      </c>
      <c r="AH640" s="17" t="s">
        <v>118</v>
      </c>
      <c r="AI640" s="65" t="s">
        <v>5178</v>
      </c>
      <c r="AJ640" s="25" t="s">
        <v>119</v>
      </c>
      <c r="AK640" s="26" t="s">
        <v>120</v>
      </c>
      <c r="AL640" s="26" t="s">
        <v>120</v>
      </c>
      <c r="AM640" s="90" t="s">
        <v>119</v>
      </c>
      <c r="AN640" s="105">
        <v>34882</v>
      </c>
      <c r="AO640" s="91">
        <f t="shared" ca="1" si="267"/>
        <v>30</v>
      </c>
      <c r="AP640" s="26" t="s">
        <v>121</v>
      </c>
      <c r="AQ640" s="26" t="s">
        <v>122</v>
      </c>
      <c r="AR640" s="89"/>
      <c r="AS640" s="27"/>
      <c r="AT640" s="16"/>
      <c r="AU640" s="27"/>
      <c r="AV640" s="86"/>
      <c r="AW640" s="27"/>
      <c r="AX640" s="27"/>
      <c r="AY640" s="27"/>
      <c r="AZ640" s="27"/>
      <c r="BA640" s="27"/>
      <c r="BB640" s="27"/>
      <c r="BC640" s="97"/>
      <c r="BD640" s="27"/>
      <c r="BE640" s="16"/>
      <c r="BF640" s="28">
        <f t="shared" si="268"/>
        <v>0</v>
      </c>
      <c r="BG640" s="29"/>
      <c r="BH640" s="27"/>
      <c r="BI640" s="30">
        <f t="shared" si="269"/>
        <v>308</v>
      </c>
      <c r="BJ640" s="31">
        <f t="shared" si="270"/>
        <v>45656</v>
      </c>
      <c r="BK640" s="27"/>
      <c r="BL640" s="16"/>
      <c r="BM640" s="27"/>
      <c r="BN640" s="16"/>
      <c r="BO640" s="27"/>
      <c r="BP640" s="16"/>
      <c r="BQ640" s="27"/>
      <c r="BR640" s="24"/>
      <c r="BS640" s="24"/>
      <c r="BT640" s="32"/>
      <c r="BU640" s="27"/>
      <c r="BV640" s="24"/>
      <c r="BW640" s="24"/>
      <c r="BX640" s="16"/>
      <c r="BY640" s="27"/>
      <c r="BZ640" s="24"/>
      <c r="CA640" s="24"/>
      <c r="CB640" s="16"/>
      <c r="CC640" s="49">
        <f t="shared" si="271"/>
        <v>0</v>
      </c>
      <c r="CD640" s="24"/>
      <c r="CE640" s="49">
        <f t="shared" si="275"/>
        <v>81082500</v>
      </c>
      <c r="CF640" s="50"/>
      <c r="CG640" s="49">
        <f t="shared" ca="1" si="277"/>
        <v>81082500</v>
      </c>
      <c r="CH640" s="33">
        <f t="shared" ca="1" si="272"/>
        <v>1</v>
      </c>
      <c r="CI640" s="33">
        <f t="shared" ca="1" si="273"/>
        <v>1</v>
      </c>
      <c r="CJ640" s="36">
        <f t="shared" ca="1" si="263"/>
        <v>100</v>
      </c>
      <c r="CK640" s="34">
        <f t="shared" si="264"/>
        <v>0</v>
      </c>
      <c r="CL640" s="21"/>
      <c r="CM640" s="35" t="str">
        <f t="shared" ca="1" si="274"/>
        <v>TERMINADO</v>
      </c>
      <c r="CN640" s="82"/>
      <c r="CO640" s="145" t="s">
        <v>5179</v>
      </c>
      <c r="CP640" s="26" t="s">
        <v>142</v>
      </c>
    </row>
    <row r="641" spans="1:94" ht="24.75" customHeight="1">
      <c r="A641" s="109" t="s">
        <v>5180</v>
      </c>
      <c r="B641" s="77" t="s">
        <v>5181</v>
      </c>
      <c r="C641" s="17" t="s">
        <v>104</v>
      </c>
      <c r="D641" s="18" t="s">
        <v>5182</v>
      </c>
      <c r="E641" s="17" t="s">
        <v>106</v>
      </c>
      <c r="F641" s="17" t="s">
        <v>107</v>
      </c>
      <c r="G641" s="17" t="s">
        <v>108</v>
      </c>
      <c r="H641" s="78">
        <v>52904871</v>
      </c>
      <c r="I641" s="74" t="s">
        <v>5183</v>
      </c>
      <c r="J641" s="16"/>
      <c r="K641" s="16"/>
      <c r="L641" s="20" t="s">
        <v>5184</v>
      </c>
      <c r="M641" s="16" t="s">
        <v>111</v>
      </c>
      <c r="N641" s="115">
        <v>45348</v>
      </c>
      <c r="O641" s="22">
        <v>45358</v>
      </c>
      <c r="P641" s="115">
        <v>45656</v>
      </c>
      <c r="Q641" s="23">
        <f t="shared" si="266"/>
        <v>298</v>
      </c>
      <c r="R641" s="17" t="s">
        <v>242</v>
      </c>
      <c r="S641" s="117" t="s">
        <v>5185</v>
      </c>
      <c r="T641" s="16" t="s">
        <v>997</v>
      </c>
      <c r="U641" s="67">
        <v>121900000</v>
      </c>
      <c r="V641" s="16" t="s">
        <v>3421</v>
      </c>
      <c r="W641" s="224">
        <v>121900000</v>
      </c>
      <c r="X641" s="24">
        <v>11500000</v>
      </c>
      <c r="Y641" s="24"/>
      <c r="Z641" s="24"/>
      <c r="AA641" s="17" t="s">
        <v>116</v>
      </c>
      <c r="AB641" s="23" t="str">
        <f>IFERROR(VLOOKUP(AA641,Listas!$A$1:$C$14,2,FALSE),"")</f>
        <v>FREDY CÉSPEDES VILLA</v>
      </c>
      <c r="AC641" s="23">
        <f>IFERROR(VLOOKUP(AA641,Listas!$A$1:$C$14,3,FALSE),"")</f>
        <v>93363483</v>
      </c>
      <c r="AD641" s="17" t="s">
        <v>816</v>
      </c>
      <c r="AE641" s="17" t="s">
        <v>1450</v>
      </c>
      <c r="AF641" s="23" t="str">
        <f>IFERROR(VLOOKUP(AE641,Listas!$AD$1:$AF$65,2,FALSE),"")</f>
        <v>LINA MARIA CRUZ SILVA</v>
      </c>
      <c r="AG641" s="23">
        <f>IFERROR(VLOOKUP(AE641,Listas!$AD$1:$AF$65,3,FALSE),"")</f>
        <v>52423537</v>
      </c>
      <c r="AH641" s="17" t="s">
        <v>118</v>
      </c>
      <c r="AI641" s="65" t="s">
        <v>5186</v>
      </c>
      <c r="AJ641" s="25" t="s">
        <v>119</v>
      </c>
      <c r="AK641" s="26" t="s">
        <v>120</v>
      </c>
      <c r="AL641" s="26" t="s">
        <v>120</v>
      </c>
      <c r="AM641" s="90" t="s">
        <v>119</v>
      </c>
      <c r="AN641" s="105">
        <v>29987</v>
      </c>
      <c r="AO641" s="91">
        <f t="shared" ca="1" si="267"/>
        <v>43</v>
      </c>
      <c r="AP641" s="26" t="s">
        <v>121</v>
      </c>
      <c r="AQ641" s="26" t="s">
        <v>515</v>
      </c>
      <c r="AR641" s="89"/>
      <c r="AS641" s="27"/>
      <c r="AT641" s="16"/>
      <c r="AU641" s="27"/>
      <c r="AV641" s="86"/>
      <c r="AW641" s="27"/>
      <c r="AX641" s="27"/>
      <c r="AY641" s="27"/>
      <c r="AZ641" s="27"/>
      <c r="BA641" s="27"/>
      <c r="BB641" s="27"/>
      <c r="BC641" s="97"/>
      <c r="BD641" s="27"/>
      <c r="BE641" s="16"/>
      <c r="BF641" s="28">
        <f t="shared" si="268"/>
        <v>0</v>
      </c>
      <c r="BG641" s="29"/>
      <c r="BH641" s="27"/>
      <c r="BI641" s="30">
        <f t="shared" si="269"/>
        <v>298</v>
      </c>
      <c r="BJ641" s="31">
        <f t="shared" si="270"/>
        <v>45656</v>
      </c>
      <c r="BK641" s="27"/>
      <c r="BL641" s="16"/>
      <c r="BM641" s="27"/>
      <c r="BN641" s="16"/>
      <c r="BO641" s="27"/>
      <c r="BP641" s="16"/>
      <c r="BQ641" s="27"/>
      <c r="BR641" s="24"/>
      <c r="BS641" s="24"/>
      <c r="BT641" s="32"/>
      <c r="BU641" s="27"/>
      <c r="BV641" s="24"/>
      <c r="BW641" s="24"/>
      <c r="BX641" s="16"/>
      <c r="BY641" s="27"/>
      <c r="BZ641" s="24"/>
      <c r="CA641" s="24"/>
      <c r="CB641" s="16"/>
      <c r="CC641" s="49">
        <f t="shared" si="271"/>
        <v>0</v>
      </c>
      <c r="CD641" s="24"/>
      <c r="CE641" s="49">
        <f t="shared" si="275"/>
        <v>121900000</v>
      </c>
      <c r="CF641" s="50"/>
      <c r="CG641" s="49">
        <f t="shared" ca="1" si="277"/>
        <v>121900000</v>
      </c>
      <c r="CH641" s="33">
        <f t="shared" ca="1" si="272"/>
        <v>1</v>
      </c>
      <c r="CI641" s="33">
        <f t="shared" ca="1" si="273"/>
        <v>1</v>
      </c>
      <c r="CJ641" s="36">
        <f t="shared" ca="1" si="263"/>
        <v>100</v>
      </c>
      <c r="CK641" s="34">
        <f t="shared" si="264"/>
        <v>0</v>
      </c>
      <c r="CL641" s="21"/>
      <c r="CM641" s="35" t="str">
        <f t="shared" ca="1" si="274"/>
        <v>TERMINADO</v>
      </c>
      <c r="CN641" s="82"/>
      <c r="CO641" s="145" t="s">
        <v>5187</v>
      </c>
      <c r="CP641" s="26" t="s">
        <v>123</v>
      </c>
    </row>
    <row r="642" spans="1:94" ht="24.75" customHeight="1">
      <c r="A642" s="48" t="s">
        <v>5188</v>
      </c>
      <c r="B642" s="77" t="s">
        <v>5189</v>
      </c>
      <c r="C642" s="17" t="s">
        <v>104</v>
      </c>
      <c r="D642" s="18" t="s">
        <v>5190</v>
      </c>
      <c r="E642" s="17" t="s">
        <v>106</v>
      </c>
      <c r="F642" s="17" t="s">
        <v>107</v>
      </c>
      <c r="G642" s="17" t="s">
        <v>108</v>
      </c>
      <c r="H642" s="78">
        <v>1022340597</v>
      </c>
      <c r="I642" s="74" t="s">
        <v>5191</v>
      </c>
      <c r="J642" s="16"/>
      <c r="K642" s="16"/>
      <c r="L642" s="20" t="s">
        <v>4750</v>
      </c>
      <c r="M642" s="16" t="s">
        <v>111</v>
      </c>
      <c r="N642" s="115">
        <v>45348</v>
      </c>
      <c r="O642" s="22">
        <v>45352</v>
      </c>
      <c r="P642" s="115">
        <v>45657</v>
      </c>
      <c r="Q642" s="23">
        <f t="shared" si="266"/>
        <v>305</v>
      </c>
      <c r="R642" s="17" t="s">
        <v>242</v>
      </c>
      <c r="S642" s="117" t="s">
        <v>5192</v>
      </c>
      <c r="T642" s="16" t="s">
        <v>425</v>
      </c>
      <c r="U642" s="67">
        <v>70512250</v>
      </c>
      <c r="V642" s="16" t="s">
        <v>426</v>
      </c>
      <c r="W642" s="224">
        <v>63563217</v>
      </c>
      <c r="X642" s="24">
        <v>6131500</v>
      </c>
      <c r="Y642" s="24"/>
      <c r="Z642" s="24"/>
      <c r="AA642" s="17" t="s">
        <v>116</v>
      </c>
      <c r="AB642" s="23" t="str">
        <f>IFERROR(VLOOKUP(AA642,Listas!$A$1:$C$14,2,FALSE),"")</f>
        <v>FREDY CÉSPEDES VILLA</v>
      </c>
      <c r="AC642" s="23">
        <f>IFERROR(VLOOKUP(AA642,Listas!$A$1:$C$14,3,FALSE),"")</f>
        <v>93363483</v>
      </c>
      <c r="AD642" s="17" t="s">
        <v>427</v>
      </c>
      <c r="AE642" s="17" t="s">
        <v>1390</v>
      </c>
      <c r="AF642" s="23" t="str">
        <f>IFERROR(VLOOKUP(AE642,Listas!$AD$1:$AF$65,2,FALSE),"")</f>
        <v>BLANCA FLOR AMÉZQUITA RODRÍGUEZ</v>
      </c>
      <c r="AG642" s="23">
        <f>IFERROR(VLOOKUP(AE642,Listas!$AD$1:$AF$65,3,FALSE),"")</f>
        <v>51613966</v>
      </c>
      <c r="AH642" s="17" t="s">
        <v>118</v>
      </c>
      <c r="AI642" s="65" t="s">
        <v>5193</v>
      </c>
      <c r="AJ642" s="25" t="s">
        <v>119</v>
      </c>
      <c r="AK642" s="26" t="s">
        <v>120</v>
      </c>
      <c r="AL642" s="26" t="s">
        <v>120</v>
      </c>
      <c r="AM642" s="90" t="s">
        <v>119</v>
      </c>
      <c r="AN642" s="105">
        <v>32089</v>
      </c>
      <c r="AO642" s="91">
        <f t="shared" ca="1" si="267"/>
        <v>38</v>
      </c>
      <c r="AP642" s="26" t="s">
        <v>121</v>
      </c>
      <c r="AQ642" s="26" t="s">
        <v>122</v>
      </c>
      <c r="AR642" s="89"/>
      <c r="AS642" s="27"/>
      <c r="AT642" s="16"/>
      <c r="AU642" s="27"/>
      <c r="AV642" s="86"/>
      <c r="AW642" s="27"/>
      <c r="AX642" s="27"/>
      <c r="AY642" s="27"/>
      <c r="AZ642" s="27"/>
      <c r="BA642" s="27"/>
      <c r="BB642" s="27"/>
      <c r="BC642" s="97"/>
      <c r="BD642" s="27"/>
      <c r="BE642" s="16"/>
      <c r="BF642" s="28">
        <f t="shared" si="268"/>
        <v>0</v>
      </c>
      <c r="BG642" s="29"/>
      <c r="BH642" s="27"/>
      <c r="BI642" s="30">
        <f t="shared" si="269"/>
        <v>305</v>
      </c>
      <c r="BJ642" s="31">
        <f t="shared" si="270"/>
        <v>45657</v>
      </c>
      <c r="BK642" s="27"/>
      <c r="BL642" s="16"/>
      <c r="BM642" s="27"/>
      <c r="BN642" s="16"/>
      <c r="BO642" s="27"/>
      <c r="BP642" s="16"/>
      <c r="BQ642" s="27"/>
      <c r="BR642" s="24"/>
      <c r="BS642" s="24"/>
      <c r="BT642" s="32"/>
      <c r="BU642" s="27"/>
      <c r="BV642" s="24"/>
      <c r="BW642" s="24"/>
      <c r="BX642" s="16"/>
      <c r="BY642" s="27"/>
      <c r="BZ642" s="24"/>
      <c r="CA642" s="24"/>
      <c r="CB642" s="16"/>
      <c r="CC642" s="49">
        <f t="shared" si="271"/>
        <v>0</v>
      </c>
      <c r="CD642" s="24"/>
      <c r="CE642" s="49">
        <f t="shared" si="275"/>
        <v>63563217</v>
      </c>
      <c r="CF642" s="50">
        <v>0</v>
      </c>
      <c r="CG642" s="49">
        <f t="shared" ca="1" si="277"/>
        <v>63563217</v>
      </c>
      <c r="CH642" s="33">
        <f t="shared" ca="1" si="272"/>
        <v>1</v>
      </c>
      <c r="CI642" s="33">
        <f t="shared" ca="1" si="273"/>
        <v>1</v>
      </c>
      <c r="CJ642" s="36">
        <f t="shared" ca="1" si="263"/>
        <v>100</v>
      </c>
      <c r="CK642" s="34">
        <f t="shared" si="264"/>
        <v>0</v>
      </c>
      <c r="CL642" s="21"/>
      <c r="CM642" s="35" t="str">
        <f t="shared" ca="1" si="274"/>
        <v>TERMINADO</v>
      </c>
      <c r="CN642" s="82"/>
      <c r="CO642" s="145" t="s">
        <v>5194</v>
      </c>
      <c r="CP642" s="26" t="s">
        <v>123</v>
      </c>
    </row>
    <row r="643" spans="1:94" ht="24.75" customHeight="1">
      <c r="A643" s="48" t="s">
        <v>5195</v>
      </c>
      <c r="B643" s="77" t="s">
        <v>5196</v>
      </c>
      <c r="C643" s="17" t="s">
        <v>104</v>
      </c>
      <c r="D643" s="18" t="s">
        <v>5197</v>
      </c>
      <c r="E643" s="17" t="s">
        <v>106</v>
      </c>
      <c r="F643" s="17" t="s">
        <v>107</v>
      </c>
      <c r="G643" s="17" t="s">
        <v>108</v>
      </c>
      <c r="H643" s="78">
        <v>1069944401</v>
      </c>
      <c r="I643" s="74" t="s">
        <v>5198</v>
      </c>
      <c r="J643" s="16"/>
      <c r="K643" s="16"/>
      <c r="L643" s="20" t="s">
        <v>5199</v>
      </c>
      <c r="M643" s="16" t="s">
        <v>111</v>
      </c>
      <c r="N643" s="115">
        <v>45348</v>
      </c>
      <c r="O643" s="22">
        <v>45352</v>
      </c>
      <c r="P643" s="115">
        <v>45656</v>
      </c>
      <c r="Q643" s="23">
        <f t="shared" si="266"/>
        <v>304</v>
      </c>
      <c r="R643" s="17" t="s">
        <v>242</v>
      </c>
      <c r="S643" s="117" t="s">
        <v>5200</v>
      </c>
      <c r="T643" s="16" t="s">
        <v>2307</v>
      </c>
      <c r="U643" s="67">
        <v>69149952</v>
      </c>
      <c r="V643" s="16" t="s">
        <v>426</v>
      </c>
      <c r="W643" s="224">
        <v>63387456</v>
      </c>
      <c r="X643" s="24">
        <v>5762496</v>
      </c>
      <c r="Y643" s="24"/>
      <c r="Z643" s="24"/>
      <c r="AA643" s="17" t="s">
        <v>116</v>
      </c>
      <c r="AB643" s="23" t="str">
        <f>IFERROR(VLOOKUP(AA643,Listas!$A$1:$C$14,2,FALSE),"")</f>
        <v>FREDY CÉSPEDES VILLA</v>
      </c>
      <c r="AC643" s="23">
        <f>IFERROR(VLOOKUP(AA643,Listas!$A$1:$C$14,3,FALSE),"")</f>
        <v>93363483</v>
      </c>
      <c r="AD643" s="17" t="s">
        <v>116</v>
      </c>
      <c r="AE643" s="17" t="s">
        <v>2309</v>
      </c>
      <c r="AF643" s="23" t="str">
        <f>IFERROR(VLOOKUP(AE643,Listas!$AD$1:$AF$65,2,FALSE),"")</f>
        <v>YURY NAYIBE LADINO</v>
      </c>
      <c r="AG643" s="23">
        <f>IFERROR(VLOOKUP(AE643,Listas!$AD$1:$AF$65,3,FALSE),"")</f>
        <v>1013587191</v>
      </c>
      <c r="AH643" s="17" t="s">
        <v>118</v>
      </c>
      <c r="AI643" s="65" t="s">
        <v>5201</v>
      </c>
      <c r="AJ643" s="25" t="s">
        <v>119</v>
      </c>
      <c r="AK643" s="26" t="s">
        <v>120</v>
      </c>
      <c r="AL643" s="26" t="s">
        <v>120</v>
      </c>
      <c r="AM643" s="90" t="s">
        <v>119</v>
      </c>
      <c r="AN643" s="105">
        <v>33915</v>
      </c>
      <c r="AO643" s="91">
        <f t="shared" ca="1" si="267"/>
        <v>33</v>
      </c>
      <c r="AP643" s="26" t="s">
        <v>121</v>
      </c>
      <c r="AQ643" s="26" t="s">
        <v>122</v>
      </c>
      <c r="AR643" s="89"/>
      <c r="AS643" s="27"/>
      <c r="AT643" s="16"/>
      <c r="AU643" s="27"/>
      <c r="AV643" s="86"/>
      <c r="AW643" s="27"/>
      <c r="AX643" s="27"/>
      <c r="AY643" s="27"/>
      <c r="AZ643" s="27"/>
      <c r="BA643" s="27"/>
      <c r="BB643" s="27"/>
      <c r="BC643" s="97"/>
      <c r="BD643" s="27"/>
      <c r="BE643" s="16"/>
      <c r="BF643" s="28">
        <f t="shared" si="268"/>
        <v>0</v>
      </c>
      <c r="BG643" s="29"/>
      <c r="BH643" s="27">
        <v>45527</v>
      </c>
      <c r="BI643" s="30">
        <f t="shared" si="269"/>
        <v>304</v>
      </c>
      <c r="BJ643" s="31">
        <f t="shared" si="270"/>
        <v>45527</v>
      </c>
      <c r="BK643" s="27"/>
      <c r="BL643" s="16"/>
      <c r="BM643" s="27"/>
      <c r="BN643" s="16"/>
      <c r="BO643" s="27"/>
      <c r="BP643" s="16"/>
      <c r="BQ643" s="27"/>
      <c r="BR643" s="24"/>
      <c r="BS643" s="24"/>
      <c r="BT643" s="32"/>
      <c r="BU643" s="27"/>
      <c r="BV643" s="24"/>
      <c r="BW643" s="24"/>
      <c r="BX643" s="16"/>
      <c r="BY643" s="27"/>
      <c r="BZ643" s="24"/>
      <c r="CA643" s="24"/>
      <c r="CB643" s="16"/>
      <c r="CC643" s="49">
        <f t="shared" si="271"/>
        <v>0</v>
      </c>
      <c r="CD643" s="24"/>
      <c r="CE643" s="49">
        <f t="shared" si="275"/>
        <v>63387456</v>
      </c>
      <c r="CF643" s="50">
        <v>0</v>
      </c>
      <c r="CG643" s="49">
        <f t="shared" ca="1" si="277"/>
        <v>63387456</v>
      </c>
      <c r="CH643" s="33">
        <f t="shared" ca="1" si="272"/>
        <v>1</v>
      </c>
      <c r="CI643" s="33">
        <f t="shared" ca="1" si="273"/>
        <v>1</v>
      </c>
      <c r="CJ643" s="36">
        <f t="shared" ca="1" si="263"/>
        <v>100</v>
      </c>
      <c r="CK643" s="34">
        <f t="shared" si="264"/>
        <v>0</v>
      </c>
      <c r="CL643" s="21"/>
      <c r="CM643" s="35" t="str">
        <f t="shared" ca="1" si="274"/>
        <v>TERMINADO</v>
      </c>
      <c r="CN643" s="82"/>
      <c r="CP643" s="26" t="s">
        <v>142</v>
      </c>
    </row>
    <row r="644" spans="1:94" ht="24.75" customHeight="1">
      <c r="A644" s="48" t="s">
        <v>5202</v>
      </c>
      <c r="B644" s="77" t="s">
        <v>5203</v>
      </c>
      <c r="C644" s="17" t="s">
        <v>104</v>
      </c>
      <c r="D644" s="18" t="s">
        <v>5204</v>
      </c>
      <c r="E644" s="17" t="s">
        <v>106</v>
      </c>
      <c r="F644" s="17" t="s">
        <v>107</v>
      </c>
      <c r="G644" s="17" t="s">
        <v>108</v>
      </c>
      <c r="H644" s="78">
        <v>1022446423</v>
      </c>
      <c r="I644" s="74" t="s">
        <v>5205</v>
      </c>
      <c r="J644" s="16"/>
      <c r="K644" s="16"/>
      <c r="L644" s="20" t="s">
        <v>3568</v>
      </c>
      <c r="M644" s="16" t="s">
        <v>111</v>
      </c>
      <c r="N644" s="115">
        <v>45348</v>
      </c>
      <c r="O644" s="22">
        <v>45352</v>
      </c>
      <c r="P644" s="115">
        <v>45657</v>
      </c>
      <c r="Q644" s="23">
        <f t="shared" si="266"/>
        <v>305</v>
      </c>
      <c r="R644" s="17" t="s">
        <v>242</v>
      </c>
      <c r="S644" s="117" t="s">
        <v>5206</v>
      </c>
      <c r="T644" s="16" t="s">
        <v>425</v>
      </c>
      <c r="U644" s="67">
        <v>52656870</v>
      </c>
      <c r="V644" s="16" t="s">
        <v>2308</v>
      </c>
      <c r="W644" s="224">
        <v>49550270</v>
      </c>
      <c r="X644" s="24">
        <v>4659900</v>
      </c>
      <c r="Y644" s="24"/>
      <c r="Z644" s="24"/>
      <c r="AA644" s="17" t="s">
        <v>116</v>
      </c>
      <c r="AB644" s="23" t="str">
        <f>IFERROR(VLOOKUP(AA644,Listas!$A$1:$C$14,2,FALSE),"")</f>
        <v>FREDY CÉSPEDES VILLA</v>
      </c>
      <c r="AC644" s="23">
        <f>IFERROR(VLOOKUP(AA644,Listas!$A$1:$C$14,3,FALSE),"")</f>
        <v>93363483</v>
      </c>
      <c r="AD644" s="17" t="s">
        <v>427</v>
      </c>
      <c r="AE644" s="17" t="s">
        <v>2341</v>
      </c>
      <c r="AF644" s="23" t="str">
        <f>IFERROR(VLOOKUP(AE644,Listas!$AD$1:$AF$65,2,FALSE),"")</f>
        <v>LUIS ALFONSO NIÑO MANCILLA</v>
      </c>
      <c r="AG644" s="23">
        <f>IFERROR(VLOOKUP(AE644,Listas!$AD$1:$AF$65,3,FALSE),"")</f>
        <v>79719453</v>
      </c>
      <c r="AH644" s="17" t="s">
        <v>118</v>
      </c>
      <c r="AI644" s="65" t="s">
        <v>5207</v>
      </c>
      <c r="AJ644" s="25" t="s">
        <v>119</v>
      </c>
      <c r="AK644" s="26" t="s">
        <v>120</v>
      </c>
      <c r="AL644" s="26" t="s">
        <v>120</v>
      </c>
      <c r="AM644" s="90" t="s">
        <v>119</v>
      </c>
      <c r="AN644" s="105">
        <v>36455</v>
      </c>
      <c r="AO644" s="91">
        <f t="shared" ca="1" si="267"/>
        <v>26</v>
      </c>
      <c r="AP644" s="26" t="s">
        <v>121</v>
      </c>
      <c r="AQ644" s="26" t="s">
        <v>122</v>
      </c>
      <c r="AR644" s="89"/>
      <c r="AS644" s="27"/>
      <c r="AT644" s="16"/>
      <c r="AU644" s="27"/>
      <c r="AV644" s="86"/>
      <c r="AW644" s="27"/>
      <c r="AX644" s="27"/>
      <c r="AY644" s="27"/>
      <c r="AZ644" s="27"/>
      <c r="BA644" s="27"/>
      <c r="BB644" s="27"/>
      <c r="BC644" s="97"/>
      <c r="BD644" s="27"/>
      <c r="BE644" s="16"/>
      <c r="BF644" s="28">
        <f t="shared" si="268"/>
        <v>0</v>
      </c>
      <c r="BG644" s="29"/>
      <c r="BH644" s="27"/>
      <c r="BI644" s="30">
        <f t="shared" si="269"/>
        <v>305</v>
      </c>
      <c r="BJ644" s="31">
        <f t="shared" si="270"/>
        <v>45657</v>
      </c>
      <c r="BK644" s="27"/>
      <c r="BL644" s="16"/>
      <c r="BM644" s="27"/>
      <c r="BN644" s="16"/>
      <c r="BO644" s="27"/>
      <c r="BP644" s="16"/>
      <c r="BQ644" s="27"/>
      <c r="BR644" s="24"/>
      <c r="BS644" s="24"/>
      <c r="BT644" s="32"/>
      <c r="BU644" s="27"/>
      <c r="BV644" s="24"/>
      <c r="BW644" s="24"/>
      <c r="BX644" s="16"/>
      <c r="BY644" s="27"/>
      <c r="BZ644" s="24"/>
      <c r="CA644" s="24"/>
      <c r="CB644" s="16"/>
      <c r="CC644" s="49">
        <f t="shared" si="271"/>
        <v>0</v>
      </c>
      <c r="CD644" s="24"/>
      <c r="CE644" s="49">
        <f>IF(X644=0,(W644+CC644)-CD644,IF(X644&gt;0,(X644+CC644)-CD644))</f>
        <v>4659900</v>
      </c>
      <c r="CF644" s="50"/>
      <c r="CG644" s="49">
        <f t="shared" ca="1" si="277"/>
        <v>4659900</v>
      </c>
      <c r="CH644" s="33">
        <f t="shared" ca="1" si="272"/>
        <v>1</v>
      </c>
      <c r="CI644" s="33">
        <f t="shared" ca="1" si="273"/>
        <v>1</v>
      </c>
      <c r="CJ644" s="36">
        <f t="shared" ca="1" si="263"/>
        <v>100</v>
      </c>
      <c r="CK644" s="34">
        <f t="shared" si="264"/>
        <v>0</v>
      </c>
      <c r="CL644" s="21"/>
      <c r="CM644" s="35" t="str">
        <f t="shared" ca="1" si="274"/>
        <v>TERMINADO</v>
      </c>
      <c r="CN644" s="82"/>
      <c r="CO644" s="145" t="s">
        <v>5208</v>
      </c>
      <c r="CP644" s="26" t="s">
        <v>123</v>
      </c>
    </row>
    <row r="645" spans="1:94" ht="24.75" customHeight="1">
      <c r="A645" s="109" t="s">
        <v>5209</v>
      </c>
      <c r="B645" s="77" t="s">
        <v>5210</v>
      </c>
      <c r="C645" s="17" t="s">
        <v>104</v>
      </c>
      <c r="D645" s="18" t="s">
        <v>5211</v>
      </c>
      <c r="E645" s="17" t="s">
        <v>106</v>
      </c>
      <c r="F645" s="17" t="s">
        <v>107</v>
      </c>
      <c r="G645" s="17" t="s">
        <v>108</v>
      </c>
      <c r="H645" s="78">
        <v>1129575909</v>
      </c>
      <c r="I645" s="74" t="s">
        <v>5212</v>
      </c>
      <c r="J645" s="16"/>
      <c r="K645" s="16"/>
      <c r="L645" s="20" t="s">
        <v>1866</v>
      </c>
      <c r="M645" s="16" t="s">
        <v>111</v>
      </c>
      <c r="N645" s="115">
        <v>45348</v>
      </c>
      <c r="O645" s="22">
        <v>45352</v>
      </c>
      <c r="P645" s="115">
        <v>45657</v>
      </c>
      <c r="Q645" s="23">
        <f t="shared" si="266"/>
        <v>305</v>
      </c>
      <c r="R645" s="17" t="s">
        <v>242</v>
      </c>
      <c r="S645" s="117" t="s">
        <v>5213</v>
      </c>
      <c r="T645" s="16" t="s">
        <v>425</v>
      </c>
      <c r="U645" s="67">
        <v>69899100</v>
      </c>
      <c r="V645" s="16" t="s">
        <v>426</v>
      </c>
      <c r="W645" s="224">
        <v>62336916</v>
      </c>
      <c r="X645" s="24">
        <v>6131500</v>
      </c>
      <c r="Y645" s="24"/>
      <c r="Z645" s="24"/>
      <c r="AA645" s="17" t="s">
        <v>116</v>
      </c>
      <c r="AB645" s="23" t="str">
        <f>IFERROR(VLOOKUP(AA645,Listas!$A$1:$C$14,2,FALSE),"")</f>
        <v>FREDY CÉSPEDES VILLA</v>
      </c>
      <c r="AC645" s="23">
        <f>IFERROR(VLOOKUP(AA645,Listas!$A$1:$C$14,3,FALSE),"")</f>
        <v>93363483</v>
      </c>
      <c r="AD645" s="17" t="s">
        <v>427</v>
      </c>
      <c r="AE645" s="17" t="s">
        <v>2198</v>
      </c>
      <c r="AF645" s="23" t="str">
        <f>IFERROR(VLOOKUP(AE645,Listas!$AD$1:$AF$65,2,FALSE),"")</f>
        <v>ELIANA ROCÍO OCHOA BLANCO</v>
      </c>
      <c r="AG645" s="23">
        <f>IFERROR(VLOOKUP(AE645,Listas!$AD$1:$AF$65,3,FALSE),"")</f>
        <v>1018418424</v>
      </c>
      <c r="AH645" s="17" t="s">
        <v>118</v>
      </c>
      <c r="AI645" s="65" t="s">
        <v>5214</v>
      </c>
      <c r="AJ645" s="25" t="s">
        <v>119</v>
      </c>
      <c r="AK645" s="26" t="s">
        <v>120</v>
      </c>
      <c r="AL645" s="26" t="s">
        <v>120</v>
      </c>
      <c r="AM645" s="90" t="s">
        <v>119</v>
      </c>
      <c r="AN645" s="105">
        <v>31819</v>
      </c>
      <c r="AO645" s="91">
        <f t="shared" ca="1" si="267"/>
        <v>38</v>
      </c>
      <c r="AP645" s="26" t="s">
        <v>121</v>
      </c>
      <c r="AQ645" s="26" t="s">
        <v>122</v>
      </c>
      <c r="AR645" s="89"/>
      <c r="AS645" s="27"/>
      <c r="AT645" s="16"/>
      <c r="AU645" s="27"/>
      <c r="AV645" s="86"/>
      <c r="AW645" s="27"/>
      <c r="AX645" s="27"/>
      <c r="AY645" s="27"/>
      <c r="AZ645" s="27"/>
      <c r="BA645" s="27"/>
      <c r="BB645" s="27"/>
      <c r="BC645" s="97"/>
      <c r="BD645" s="27"/>
      <c r="BE645" s="16"/>
      <c r="BF645" s="28">
        <f t="shared" si="268"/>
        <v>0</v>
      </c>
      <c r="BG645" s="29"/>
      <c r="BH645" s="27"/>
      <c r="BI645" s="30">
        <f t="shared" si="269"/>
        <v>305</v>
      </c>
      <c r="BJ645" s="31">
        <f t="shared" si="270"/>
        <v>45657</v>
      </c>
      <c r="BK645" s="27"/>
      <c r="BL645" s="16"/>
      <c r="BM645" s="27"/>
      <c r="BN645" s="16"/>
      <c r="BO645" s="27"/>
      <c r="BP645" s="16"/>
      <c r="BQ645" s="27"/>
      <c r="BR645" s="24"/>
      <c r="BS645" s="24"/>
      <c r="BT645" s="32"/>
      <c r="BU645" s="27"/>
      <c r="BV645" s="24"/>
      <c r="BW645" s="24"/>
      <c r="BX645" s="16"/>
      <c r="BY645" s="27"/>
      <c r="BZ645" s="24"/>
      <c r="CA645" s="24"/>
      <c r="CB645" s="16"/>
      <c r="CC645" s="49">
        <f t="shared" si="271"/>
        <v>0</v>
      </c>
      <c r="CD645" s="24"/>
      <c r="CE645" s="49">
        <f t="shared" ref="CE645:CE653" si="278">IF(Y645=0,(W645+CC645)-CD645,IF(Y645&gt;0,(Y645+CC645)-CD645))</f>
        <v>62336916</v>
      </c>
      <c r="CF645" s="50"/>
      <c r="CG645" s="49">
        <f t="shared" ca="1" si="277"/>
        <v>62336916</v>
      </c>
      <c r="CH645" s="33">
        <f t="shared" ca="1" si="272"/>
        <v>1</v>
      </c>
      <c r="CI645" s="33">
        <f t="shared" ca="1" si="273"/>
        <v>1</v>
      </c>
      <c r="CJ645" s="36">
        <f t="shared" ca="1" si="263"/>
        <v>100</v>
      </c>
      <c r="CK645" s="34">
        <f t="shared" si="264"/>
        <v>0</v>
      </c>
      <c r="CL645" s="21"/>
      <c r="CM645" s="35" t="str">
        <f t="shared" ca="1" si="274"/>
        <v>TERMINADO</v>
      </c>
      <c r="CN645" s="82"/>
      <c r="CO645" s="145" t="s">
        <v>5215</v>
      </c>
      <c r="CP645" s="26" t="s">
        <v>123</v>
      </c>
    </row>
    <row r="646" spans="1:94" ht="24.75" customHeight="1">
      <c r="A646" s="48" t="s">
        <v>5216</v>
      </c>
      <c r="B646" s="77" t="s">
        <v>5217</v>
      </c>
      <c r="C646" s="17" t="s">
        <v>104</v>
      </c>
      <c r="D646" s="18" t="s">
        <v>5218</v>
      </c>
      <c r="E646" s="17" t="s">
        <v>106</v>
      </c>
      <c r="F646" s="17" t="s">
        <v>107</v>
      </c>
      <c r="G646" s="17" t="s">
        <v>108</v>
      </c>
      <c r="H646" s="78">
        <v>1052997896</v>
      </c>
      <c r="I646" s="74" t="s">
        <v>5219</v>
      </c>
      <c r="J646" s="16"/>
      <c r="K646" s="16"/>
      <c r="L646" s="20" t="s">
        <v>2187</v>
      </c>
      <c r="M646" s="16" t="s">
        <v>111</v>
      </c>
      <c r="N646" s="115">
        <v>45348</v>
      </c>
      <c r="O646" s="22">
        <v>45351</v>
      </c>
      <c r="P646" s="115">
        <v>45657</v>
      </c>
      <c r="Q646" s="23">
        <f t="shared" si="266"/>
        <v>306</v>
      </c>
      <c r="R646" s="17" t="s">
        <v>242</v>
      </c>
      <c r="S646" s="117" t="s">
        <v>5220</v>
      </c>
      <c r="T646" s="16" t="s">
        <v>425</v>
      </c>
      <c r="U646" s="67">
        <v>65198284</v>
      </c>
      <c r="V646" s="16" t="s">
        <v>426</v>
      </c>
      <c r="W646" s="224">
        <v>69899100</v>
      </c>
      <c r="X646" s="24">
        <v>6131500</v>
      </c>
      <c r="Y646" s="24"/>
      <c r="Z646" s="24"/>
      <c r="AA646" s="17" t="s">
        <v>116</v>
      </c>
      <c r="AB646" s="23" t="str">
        <f>IFERROR(VLOOKUP(AA646,Listas!$A$1:$C$14,2,FALSE),"")</f>
        <v>FREDY CÉSPEDES VILLA</v>
      </c>
      <c r="AC646" s="23">
        <f>IFERROR(VLOOKUP(AA646,Listas!$A$1:$C$14,3,FALSE),"")</f>
        <v>93363483</v>
      </c>
      <c r="AD646" s="17" t="s">
        <v>427</v>
      </c>
      <c r="AE646" s="17" t="s">
        <v>2341</v>
      </c>
      <c r="AF646" s="23" t="str">
        <f>IFERROR(VLOOKUP(AE646,Listas!$AD$1:$AF$65,2,FALSE),"")</f>
        <v>LUIS ALFONSO NIÑO MANCILLA</v>
      </c>
      <c r="AG646" s="23">
        <f>IFERROR(VLOOKUP(AE646,Listas!$AD$1:$AF$65,3,FALSE),"")</f>
        <v>79719453</v>
      </c>
      <c r="AH646" s="17" t="s">
        <v>118</v>
      </c>
      <c r="AI646" s="65" t="s">
        <v>5221</v>
      </c>
      <c r="AJ646" s="25" t="s">
        <v>119</v>
      </c>
      <c r="AK646" s="26" t="s">
        <v>120</v>
      </c>
      <c r="AL646" s="26" t="s">
        <v>120</v>
      </c>
      <c r="AM646" s="90" t="s">
        <v>119</v>
      </c>
      <c r="AN646" s="105">
        <v>35242</v>
      </c>
      <c r="AO646" s="91">
        <f t="shared" ca="1" si="267"/>
        <v>29</v>
      </c>
      <c r="AP646" s="26" t="s">
        <v>121</v>
      </c>
      <c r="AQ646" s="26" t="s">
        <v>122</v>
      </c>
      <c r="AR646" s="89"/>
      <c r="AS646" s="27"/>
      <c r="AT646" s="16"/>
      <c r="AU646" s="27"/>
      <c r="AV646" s="86"/>
      <c r="AW646" s="27"/>
      <c r="AX646" s="27"/>
      <c r="AY646" s="27"/>
      <c r="AZ646" s="27"/>
      <c r="BA646" s="27"/>
      <c r="BB646" s="27"/>
      <c r="BC646" s="97"/>
      <c r="BD646" s="27"/>
      <c r="BE646" s="16"/>
      <c r="BF646" s="28">
        <f t="shared" si="268"/>
        <v>0</v>
      </c>
      <c r="BG646" s="29"/>
      <c r="BH646" s="27"/>
      <c r="BI646" s="30">
        <f t="shared" si="269"/>
        <v>306</v>
      </c>
      <c r="BJ646" s="31">
        <f t="shared" si="270"/>
        <v>45657</v>
      </c>
      <c r="BK646" s="27"/>
      <c r="BL646" s="16"/>
      <c r="BM646" s="27"/>
      <c r="BN646" s="16"/>
      <c r="BO646" s="27"/>
      <c r="BP646" s="16"/>
      <c r="BQ646" s="27"/>
      <c r="BR646" s="24"/>
      <c r="BS646" s="24"/>
      <c r="BT646" s="32"/>
      <c r="BU646" s="27"/>
      <c r="BV646" s="24"/>
      <c r="BW646" s="24"/>
      <c r="BX646" s="16"/>
      <c r="BY646" s="27"/>
      <c r="BZ646" s="24"/>
      <c r="CA646" s="24"/>
      <c r="CB646" s="16"/>
      <c r="CC646" s="49">
        <f t="shared" si="271"/>
        <v>0</v>
      </c>
      <c r="CD646" s="24"/>
      <c r="CE646" s="49">
        <f t="shared" si="278"/>
        <v>69899100</v>
      </c>
      <c r="CF646" s="50"/>
      <c r="CG646" s="49">
        <f t="shared" ca="1" si="277"/>
        <v>69899100</v>
      </c>
      <c r="CH646" s="33">
        <f t="shared" ca="1" si="272"/>
        <v>1</v>
      </c>
      <c r="CI646" s="33">
        <f t="shared" ca="1" si="273"/>
        <v>1</v>
      </c>
      <c r="CJ646" s="36">
        <f t="shared" ca="1" si="263"/>
        <v>100</v>
      </c>
      <c r="CK646" s="34">
        <f t="shared" si="264"/>
        <v>0</v>
      </c>
      <c r="CL646" s="21"/>
      <c r="CM646" s="35" t="str">
        <f t="shared" ca="1" si="274"/>
        <v>TERMINADO</v>
      </c>
      <c r="CN646" s="82"/>
      <c r="CO646" s="145" t="s">
        <v>5222</v>
      </c>
      <c r="CP646" s="26" t="s">
        <v>142</v>
      </c>
    </row>
    <row r="647" spans="1:94" ht="24.75" customHeight="1">
      <c r="A647" s="109" t="s">
        <v>5223</v>
      </c>
      <c r="B647" s="77" t="s">
        <v>5224</v>
      </c>
      <c r="C647" s="17" t="s">
        <v>104</v>
      </c>
      <c r="D647" s="18" t="s">
        <v>5225</v>
      </c>
      <c r="E647" s="17" t="s">
        <v>106</v>
      </c>
      <c r="F647" s="17" t="s">
        <v>107</v>
      </c>
      <c r="G647" s="17" t="s">
        <v>108</v>
      </c>
      <c r="H647" s="78">
        <v>93129771</v>
      </c>
      <c r="I647" s="74" t="s">
        <v>5226</v>
      </c>
      <c r="J647" s="16"/>
      <c r="K647" s="16"/>
      <c r="L647" s="20" t="s">
        <v>5227</v>
      </c>
      <c r="M647" s="16" t="s">
        <v>111</v>
      </c>
      <c r="N647" s="115">
        <v>45348</v>
      </c>
      <c r="O647" s="22">
        <v>45355</v>
      </c>
      <c r="P647" s="115">
        <v>45656</v>
      </c>
      <c r="Q647" s="23">
        <f t="shared" si="266"/>
        <v>301</v>
      </c>
      <c r="R647" s="17" t="s">
        <v>242</v>
      </c>
      <c r="S647" s="117" t="s">
        <v>5228</v>
      </c>
      <c r="T647" s="16" t="s">
        <v>997</v>
      </c>
      <c r="U647" s="67">
        <v>78686667</v>
      </c>
      <c r="V647" s="16" t="s">
        <v>3421</v>
      </c>
      <c r="W647" s="224">
        <v>78686667</v>
      </c>
      <c r="X647" s="24">
        <v>7400000</v>
      </c>
      <c r="Y647" s="24"/>
      <c r="Z647" s="24"/>
      <c r="AA647" s="17" t="s">
        <v>116</v>
      </c>
      <c r="AB647" s="23" t="str">
        <f>IFERROR(VLOOKUP(AA647,Listas!$A$1:$C$14,2,FALSE),"")</f>
        <v>FREDY CÉSPEDES VILLA</v>
      </c>
      <c r="AC647" s="23">
        <f>IFERROR(VLOOKUP(AA647,Listas!$A$1:$C$14,3,FALSE),"")</f>
        <v>93363483</v>
      </c>
      <c r="AD647" s="17" t="s">
        <v>816</v>
      </c>
      <c r="AE647" s="17" t="s">
        <v>2835</v>
      </c>
      <c r="AF647" s="23" t="str">
        <f>IFERROR(VLOOKUP(AE647,Listas!$AD$1:$AF$65,2,FALSE),"")</f>
        <v>GUILLERMO ANDRES CARDONA HERRERA</v>
      </c>
      <c r="AG647" s="23">
        <f>IFERROR(VLOOKUP(AE647,Listas!$AD$1:$AF$65,3,FALSE),"")</f>
        <v>80018909</v>
      </c>
      <c r="AH647" s="17" t="s">
        <v>118</v>
      </c>
      <c r="AI647" s="65" t="s">
        <v>5229</v>
      </c>
      <c r="AJ647" s="25" t="s">
        <v>119</v>
      </c>
      <c r="AK647" s="26" t="s">
        <v>120</v>
      </c>
      <c r="AL647" s="26" t="s">
        <v>120</v>
      </c>
      <c r="AM647" s="90" t="s">
        <v>119</v>
      </c>
      <c r="AN647" s="105">
        <v>27164</v>
      </c>
      <c r="AO647" s="91">
        <f t="shared" ca="1" si="267"/>
        <v>51</v>
      </c>
      <c r="AP647" s="26" t="s">
        <v>121</v>
      </c>
      <c r="AQ647" s="26" t="s">
        <v>1641</v>
      </c>
      <c r="AR647" s="89"/>
      <c r="AS647" s="27"/>
      <c r="AT647" s="16"/>
      <c r="AU647" s="27"/>
      <c r="AV647" s="86"/>
      <c r="AW647" s="27"/>
      <c r="AX647" s="27"/>
      <c r="AY647" s="27"/>
      <c r="AZ647" s="27"/>
      <c r="BA647" s="27"/>
      <c r="BB647" s="27"/>
      <c r="BC647" s="97"/>
      <c r="BD647" s="27"/>
      <c r="BE647" s="16"/>
      <c r="BF647" s="28">
        <f t="shared" si="268"/>
        <v>0</v>
      </c>
      <c r="BG647" s="29"/>
      <c r="BH647" s="27"/>
      <c r="BI647" s="30">
        <f t="shared" si="269"/>
        <v>301</v>
      </c>
      <c r="BJ647" s="31">
        <f t="shared" si="270"/>
        <v>45656</v>
      </c>
      <c r="BK647" s="27"/>
      <c r="BL647" s="16"/>
      <c r="BM647" s="27"/>
      <c r="BN647" s="16"/>
      <c r="BO647" s="27"/>
      <c r="BP647" s="16"/>
      <c r="BQ647" s="27"/>
      <c r="BR647" s="24"/>
      <c r="BS647" s="24"/>
      <c r="BT647" s="32"/>
      <c r="BU647" s="27"/>
      <c r="BV647" s="24"/>
      <c r="BW647" s="24"/>
      <c r="BX647" s="16"/>
      <c r="BY647" s="27"/>
      <c r="BZ647" s="24"/>
      <c r="CA647" s="24"/>
      <c r="CB647" s="16"/>
      <c r="CC647" s="49">
        <f t="shared" si="271"/>
        <v>0</v>
      </c>
      <c r="CD647" s="24"/>
      <c r="CE647" s="49">
        <f t="shared" si="278"/>
        <v>78686667</v>
      </c>
      <c r="CF647" s="50">
        <v>0</v>
      </c>
      <c r="CG647" s="49">
        <f t="shared" ca="1" si="277"/>
        <v>78686667</v>
      </c>
      <c r="CH647" s="33">
        <f t="shared" ca="1" si="272"/>
        <v>1</v>
      </c>
      <c r="CI647" s="33">
        <f t="shared" ca="1" si="273"/>
        <v>1</v>
      </c>
      <c r="CJ647" s="36">
        <f t="shared" ca="1" si="263"/>
        <v>100</v>
      </c>
      <c r="CK647" s="34">
        <f t="shared" si="264"/>
        <v>0</v>
      </c>
      <c r="CL647" s="21"/>
      <c r="CM647" s="35" t="str">
        <f t="shared" ca="1" si="274"/>
        <v>TERMINADO</v>
      </c>
      <c r="CN647" s="82"/>
      <c r="CO647" s="145" t="s">
        <v>5230</v>
      </c>
      <c r="CP647" s="26" t="s">
        <v>142</v>
      </c>
    </row>
    <row r="648" spans="1:94" ht="24.75" customHeight="1">
      <c r="A648" s="109" t="s">
        <v>5231</v>
      </c>
      <c r="B648" s="77" t="s">
        <v>5232</v>
      </c>
      <c r="C648" s="17" t="s">
        <v>104</v>
      </c>
      <c r="D648" s="18" t="s">
        <v>5233</v>
      </c>
      <c r="E648" s="17" t="s">
        <v>106</v>
      </c>
      <c r="F648" s="17" t="s">
        <v>107</v>
      </c>
      <c r="G648" s="17" t="s">
        <v>108</v>
      </c>
      <c r="H648" s="78">
        <v>1107088397</v>
      </c>
      <c r="I648" s="74" t="s">
        <v>5234</v>
      </c>
      <c r="J648" s="16"/>
      <c r="K648" s="16"/>
      <c r="L648" s="20" t="s">
        <v>5235</v>
      </c>
      <c r="M648" s="16" t="s">
        <v>111</v>
      </c>
      <c r="N648" s="115">
        <v>45349</v>
      </c>
      <c r="O648" s="22">
        <v>45355</v>
      </c>
      <c r="P648" s="115">
        <v>45656</v>
      </c>
      <c r="Q648" s="23">
        <f t="shared" ref="Q648:Q679" si="279">P648-O648</f>
        <v>301</v>
      </c>
      <c r="R648" s="17" t="s">
        <v>112</v>
      </c>
      <c r="S648" s="117" t="s">
        <v>5236</v>
      </c>
      <c r="T648" s="16" t="s">
        <v>364</v>
      </c>
      <c r="U648" s="67">
        <v>63579539</v>
      </c>
      <c r="V648" s="16" t="s">
        <v>365</v>
      </c>
      <c r="W648" s="224">
        <v>63579539</v>
      </c>
      <c r="X648" s="24">
        <v>5762496</v>
      </c>
      <c r="Y648" s="24"/>
      <c r="Z648" s="24"/>
      <c r="AA648" s="17" t="s">
        <v>116</v>
      </c>
      <c r="AB648" s="23" t="str">
        <f>IFERROR(VLOOKUP(AA648,Listas!$A$1:$C$14,2,FALSE),"")</f>
        <v>FREDY CÉSPEDES VILLA</v>
      </c>
      <c r="AC648" s="23">
        <f>IFERROR(VLOOKUP(AA648,Listas!$A$1:$C$14,3,FALSE),"")</f>
        <v>93363483</v>
      </c>
      <c r="AD648" s="17" t="s">
        <v>559</v>
      </c>
      <c r="AE648" s="17" t="s">
        <v>560</v>
      </c>
      <c r="AF648" s="23" t="str">
        <f>IFERROR(VLOOKUP(AE648,Listas!$AD$1:$AF$65,2,FALSE),"")</f>
        <v>CESAR AUGUSTO LÓPEZ LÓPEZ</v>
      </c>
      <c r="AG648" s="23">
        <f>IFERROR(VLOOKUP(AE648,Listas!$AD$1:$AF$65,3,FALSE),"")</f>
        <v>6103856</v>
      </c>
      <c r="AH648" s="17" t="s">
        <v>118</v>
      </c>
      <c r="AI648" s="65" t="s">
        <v>5237</v>
      </c>
      <c r="AJ648" s="25" t="s">
        <v>119</v>
      </c>
      <c r="AK648" s="26" t="s">
        <v>120</v>
      </c>
      <c r="AL648" s="26" t="s">
        <v>120</v>
      </c>
      <c r="AM648" s="90" t="s">
        <v>119</v>
      </c>
      <c r="AN648" s="105">
        <v>34804</v>
      </c>
      <c r="AO648" s="91">
        <f t="shared" ref="AO648:AO679" ca="1" si="280">IF(YEAR(TODAY())-YEAR(AN648)&gt;100," ",YEAR(TODAY())-YEAR(AN648))</f>
        <v>30</v>
      </c>
      <c r="AP648" s="26" t="s">
        <v>121</v>
      </c>
      <c r="AQ648" s="26" t="s">
        <v>367</v>
      </c>
      <c r="AR648" s="89"/>
      <c r="AS648" s="27"/>
      <c r="AT648" s="16"/>
      <c r="AU648" s="27"/>
      <c r="AV648" s="86"/>
      <c r="AW648" s="27"/>
      <c r="AX648" s="27"/>
      <c r="AY648" s="27"/>
      <c r="AZ648" s="27"/>
      <c r="BA648" s="27"/>
      <c r="BB648" s="27"/>
      <c r="BC648" s="97"/>
      <c r="BD648" s="27"/>
      <c r="BE648" s="16"/>
      <c r="BF648" s="28">
        <f t="shared" ref="BF648:BF679" si="281">BC648+BE648</f>
        <v>0</v>
      </c>
      <c r="BG648" s="29"/>
      <c r="BH648" s="27"/>
      <c r="BI648" s="30">
        <f t="shared" ref="BI648:BI679" si="282">BF648+Q648</f>
        <v>301</v>
      </c>
      <c r="BJ648" s="31">
        <f t="shared" ref="BJ648:BJ679" si="283">IF(BH648="",P648+BF648,BH648)</f>
        <v>45656</v>
      </c>
      <c r="BK648" s="27"/>
      <c r="BL648" s="16"/>
      <c r="BM648" s="27"/>
      <c r="BN648" s="16"/>
      <c r="BO648" s="27"/>
      <c r="BP648" s="16"/>
      <c r="BQ648" s="27"/>
      <c r="BR648" s="24"/>
      <c r="BS648" s="24"/>
      <c r="BT648" s="32"/>
      <c r="BU648" s="27"/>
      <c r="BV648" s="24"/>
      <c r="BW648" s="24"/>
      <c r="BX648" s="16"/>
      <c r="BY648" s="27"/>
      <c r="BZ648" s="24"/>
      <c r="CA648" s="24"/>
      <c r="CB648" s="16"/>
      <c r="CC648" s="49">
        <f t="shared" ref="CC648:CC673" si="284">BR648+BV648+BZ648</f>
        <v>0</v>
      </c>
      <c r="CD648" s="24"/>
      <c r="CE648" s="49">
        <f t="shared" si="278"/>
        <v>63579539</v>
      </c>
      <c r="CF648" s="50"/>
      <c r="CG648" s="49">
        <f t="shared" ca="1" si="277"/>
        <v>63579539</v>
      </c>
      <c r="CH648" s="33">
        <f t="shared" ref="CH648:CH662" ca="1" si="285">IF(TODAY()&gt;BJ648,1,+(DAYS360(O648,TODAY())/DAYS360(O648,BJ648)))</f>
        <v>1</v>
      </c>
      <c r="CI648" s="33">
        <f t="shared" ref="CI648:CI662" ca="1" si="286">+IF(CL648&gt;0,DAYS360(O648,CL648)/DAYS360(O648,BJ648),CH648)</f>
        <v>1</v>
      </c>
      <c r="CJ648" s="36">
        <f t="shared" ref="CJ648:CJ711" ca="1" si="287">IFERROR(IF(((CG648/CE648)*100)&gt;100,100,((CG648/CE648)*100)),"")</f>
        <v>100</v>
      </c>
      <c r="CK648" s="34">
        <f t="shared" ref="CK648:CK711" si="288">IFERROR((CF648/CE648)*100,"")</f>
        <v>0</v>
      </c>
      <c r="CL648" s="21"/>
      <c r="CM648" s="35" t="str">
        <f t="shared" ref="CM648:CM679" ca="1" si="289">IF(CL648&gt;1/1/6,"LIQUIDADO",IF(BJ648=$BE$20003,"",IF(BJ648&gt;=TODAY(),"VIGENTE",IF(BJ648&lt;TODAY(),"TERMINADO",))))</f>
        <v>TERMINADO</v>
      </c>
      <c r="CN648" s="82"/>
      <c r="CO648" s="145" t="s">
        <v>5238</v>
      </c>
      <c r="CP648" s="26" t="s">
        <v>142</v>
      </c>
    </row>
    <row r="649" spans="1:94" ht="24.75" customHeight="1">
      <c r="A649" s="109" t="s">
        <v>5239</v>
      </c>
      <c r="B649" s="77" t="s">
        <v>5240</v>
      </c>
      <c r="C649" s="17" t="s">
        <v>104</v>
      </c>
      <c r="D649" s="18" t="s">
        <v>5241</v>
      </c>
      <c r="E649" s="17" t="s">
        <v>106</v>
      </c>
      <c r="F649" s="17" t="s">
        <v>107</v>
      </c>
      <c r="G649" s="17" t="s">
        <v>108</v>
      </c>
      <c r="H649" s="78">
        <v>1010117268</v>
      </c>
      <c r="I649" s="74" t="s">
        <v>5242</v>
      </c>
      <c r="J649" s="16"/>
      <c r="K649" s="16"/>
      <c r="L649" s="20" t="s">
        <v>5243</v>
      </c>
      <c r="M649" s="16" t="s">
        <v>111</v>
      </c>
      <c r="N649" s="115">
        <v>45349</v>
      </c>
      <c r="O649" s="22">
        <v>45355</v>
      </c>
      <c r="P649" s="115">
        <v>45656</v>
      </c>
      <c r="Q649" s="23">
        <f t="shared" si="279"/>
        <v>301</v>
      </c>
      <c r="R649" s="17" t="s">
        <v>242</v>
      </c>
      <c r="S649" s="117" t="s">
        <v>5244</v>
      </c>
      <c r="T649" s="16" t="s">
        <v>4638</v>
      </c>
      <c r="U649" s="67">
        <v>55908468</v>
      </c>
      <c r="V649" s="16" t="s">
        <v>4639</v>
      </c>
      <c r="W649" s="224">
        <v>51249429</v>
      </c>
      <c r="X649" s="24">
        <v>4659039</v>
      </c>
      <c r="Y649" s="24"/>
      <c r="Z649" s="24"/>
      <c r="AA649" s="17" t="s">
        <v>116</v>
      </c>
      <c r="AB649" s="23" t="str">
        <f>IFERROR(VLOOKUP(AA649,Listas!$A$1:$C$14,2,FALSE),"")</f>
        <v>FREDY CÉSPEDES VILLA</v>
      </c>
      <c r="AC649" s="23">
        <f>IFERROR(VLOOKUP(AA649,Listas!$A$1:$C$14,3,FALSE),"")</f>
        <v>93363483</v>
      </c>
      <c r="AD649" s="17" t="s">
        <v>116</v>
      </c>
      <c r="AE649" s="17" t="s">
        <v>659</v>
      </c>
      <c r="AF649" s="23" t="str">
        <f>IFERROR(VLOOKUP(AE649,Listas!$AD$1:$AF$65,2,FALSE),"")</f>
        <v>TATIANA FORERO TORRES</v>
      </c>
      <c r="AG649" s="23">
        <f>IFERROR(VLOOKUP(AE649,Listas!$AD$1:$AF$65,3,FALSE),"")</f>
        <v>1072446921</v>
      </c>
      <c r="AH649" s="17" t="s">
        <v>118</v>
      </c>
      <c r="AI649" s="65" t="s">
        <v>5245</v>
      </c>
      <c r="AJ649" s="25" t="s">
        <v>119</v>
      </c>
      <c r="AK649" s="26" t="s">
        <v>120</v>
      </c>
      <c r="AL649" s="26" t="s">
        <v>120</v>
      </c>
      <c r="AM649" s="90" t="s">
        <v>119</v>
      </c>
      <c r="AN649" s="105">
        <v>36606</v>
      </c>
      <c r="AO649" s="91">
        <f t="shared" ca="1" si="280"/>
        <v>25</v>
      </c>
      <c r="AP649" s="26" t="s">
        <v>121</v>
      </c>
      <c r="AQ649" s="26" t="s">
        <v>285</v>
      </c>
      <c r="AR649" s="89"/>
      <c r="AS649" s="27"/>
      <c r="AT649" s="16"/>
      <c r="AU649" s="27"/>
      <c r="AV649" s="86"/>
      <c r="AW649" s="27"/>
      <c r="AX649" s="27"/>
      <c r="AY649" s="27"/>
      <c r="AZ649" s="27"/>
      <c r="BA649" s="27"/>
      <c r="BB649" s="27"/>
      <c r="BC649" s="97"/>
      <c r="BD649" s="27"/>
      <c r="BE649" s="16"/>
      <c r="BF649" s="28">
        <f t="shared" si="281"/>
        <v>0</v>
      </c>
      <c r="BG649" s="29"/>
      <c r="BH649" s="27"/>
      <c r="BI649" s="30">
        <f t="shared" si="282"/>
        <v>301</v>
      </c>
      <c r="BJ649" s="31">
        <f t="shared" si="283"/>
        <v>45656</v>
      </c>
      <c r="BK649" s="27"/>
      <c r="BL649" s="16"/>
      <c r="BM649" s="27"/>
      <c r="BN649" s="16"/>
      <c r="BO649" s="27"/>
      <c r="BP649" s="16"/>
      <c r="BQ649" s="27"/>
      <c r="BR649" s="24"/>
      <c r="BS649" s="24"/>
      <c r="BT649" s="32"/>
      <c r="BU649" s="27"/>
      <c r="BV649" s="24"/>
      <c r="BW649" s="24"/>
      <c r="BX649" s="16"/>
      <c r="BY649" s="27"/>
      <c r="BZ649" s="24"/>
      <c r="CA649" s="24"/>
      <c r="CB649" s="16"/>
      <c r="CC649" s="49">
        <f t="shared" si="284"/>
        <v>0</v>
      </c>
      <c r="CD649" s="24"/>
      <c r="CE649" s="49">
        <f t="shared" si="278"/>
        <v>51249429</v>
      </c>
      <c r="CF649" s="50"/>
      <c r="CG649" s="49">
        <f t="shared" ca="1" si="277"/>
        <v>51249429</v>
      </c>
      <c r="CH649" s="33">
        <f t="shared" ca="1" si="285"/>
        <v>1</v>
      </c>
      <c r="CI649" s="33">
        <f t="shared" ca="1" si="286"/>
        <v>1</v>
      </c>
      <c r="CJ649" s="36">
        <f t="shared" ca="1" si="287"/>
        <v>100</v>
      </c>
      <c r="CK649" s="34">
        <f t="shared" si="288"/>
        <v>0</v>
      </c>
      <c r="CL649" s="21"/>
      <c r="CM649" s="35" t="str">
        <f t="shared" ca="1" si="289"/>
        <v>TERMINADO</v>
      </c>
      <c r="CN649" s="82"/>
      <c r="CO649" s="145" t="s">
        <v>5246</v>
      </c>
      <c r="CP649" s="26" t="s">
        <v>123</v>
      </c>
    </row>
    <row r="650" spans="1:94" ht="24.75" customHeight="1">
      <c r="A650" s="109" t="s">
        <v>5247</v>
      </c>
      <c r="B650" s="77" t="s">
        <v>5248</v>
      </c>
      <c r="C650" s="17" t="s">
        <v>104</v>
      </c>
      <c r="D650" s="18" t="s">
        <v>5249</v>
      </c>
      <c r="E650" s="17" t="s">
        <v>106</v>
      </c>
      <c r="F650" s="17" t="s">
        <v>107</v>
      </c>
      <c r="G650" s="17" t="s">
        <v>108</v>
      </c>
      <c r="H650" s="78">
        <v>16485547</v>
      </c>
      <c r="I650" s="74" t="s">
        <v>5250</v>
      </c>
      <c r="J650" s="16"/>
      <c r="K650" s="16"/>
      <c r="L650" s="20" t="s">
        <v>5251</v>
      </c>
      <c r="M650" s="16" t="s">
        <v>111</v>
      </c>
      <c r="N650" s="22">
        <v>45356</v>
      </c>
      <c r="O650" s="22">
        <v>45362</v>
      </c>
      <c r="P650" s="115">
        <v>45656</v>
      </c>
      <c r="Q650" s="23">
        <f t="shared" si="279"/>
        <v>294</v>
      </c>
      <c r="R650" s="17" t="s">
        <v>242</v>
      </c>
      <c r="S650" s="117" t="s">
        <v>5252</v>
      </c>
      <c r="T650" s="16" t="s">
        <v>4638</v>
      </c>
      <c r="U650" s="67">
        <v>85333980</v>
      </c>
      <c r="V650" s="16" t="s">
        <v>4639</v>
      </c>
      <c r="W650" s="224">
        <v>78222815</v>
      </c>
      <c r="X650" s="24">
        <v>7111165</v>
      </c>
      <c r="Y650" s="24"/>
      <c r="Z650" s="24"/>
      <c r="AA650" s="17" t="s">
        <v>116</v>
      </c>
      <c r="AB650" s="23" t="str">
        <f>IFERROR(VLOOKUP(AA650,Listas!$A$1:$C$14,2,FALSE),"")</f>
        <v>FREDY CÉSPEDES VILLA</v>
      </c>
      <c r="AC650" s="23">
        <f>IFERROR(VLOOKUP(AA650,Listas!$A$1:$C$14,3,FALSE),"")</f>
        <v>93363483</v>
      </c>
      <c r="AD650" s="17" t="s">
        <v>116</v>
      </c>
      <c r="AE650" s="17" t="s">
        <v>659</v>
      </c>
      <c r="AF650" s="23" t="str">
        <f>IFERROR(VLOOKUP(AE650,Listas!$AD$1:$AF$65,2,FALSE),"")</f>
        <v>TATIANA FORERO TORRES</v>
      </c>
      <c r="AG650" s="23">
        <f>IFERROR(VLOOKUP(AE650,Listas!$AD$1:$AF$65,3,FALSE),"")</f>
        <v>1072446921</v>
      </c>
      <c r="AH650" s="17" t="s">
        <v>118</v>
      </c>
      <c r="AI650" s="65" t="s">
        <v>5253</v>
      </c>
      <c r="AJ650" s="25" t="s">
        <v>119</v>
      </c>
      <c r="AK650" s="26" t="s">
        <v>120</v>
      </c>
      <c r="AL650" s="26" t="s">
        <v>120</v>
      </c>
      <c r="AM650" s="90" t="s">
        <v>119</v>
      </c>
      <c r="AN650" s="105">
        <v>22961</v>
      </c>
      <c r="AO650" s="91">
        <f t="shared" ca="1" si="280"/>
        <v>63</v>
      </c>
      <c r="AP650" s="26" t="s">
        <v>121</v>
      </c>
      <c r="AQ650" s="26" t="s">
        <v>285</v>
      </c>
      <c r="AR650" s="89"/>
      <c r="AS650" s="27"/>
      <c r="AT650" s="16"/>
      <c r="AU650" s="27"/>
      <c r="AV650" s="86"/>
      <c r="AW650" s="27"/>
      <c r="AX650" s="27"/>
      <c r="AY650" s="27"/>
      <c r="AZ650" s="27"/>
      <c r="BA650" s="27"/>
      <c r="BB650" s="27"/>
      <c r="BC650" s="97"/>
      <c r="BD650" s="27"/>
      <c r="BE650" s="16"/>
      <c r="BF650" s="28">
        <f t="shared" si="281"/>
        <v>0</v>
      </c>
      <c r="BG650" s="29"/>
      <c r="BH650" s="27"/>
      <c r="BI650" s="30">
        <f t="shared" si="282"/>
        <v>294</v>
      </c>
      <c r="BJ650" s="31">
        <f t="shared" si="283"/>
        <v>45656</v>
      </c>
      <c r="BK650" s="27"/>
      <c r="BL650" s="16"/>
      <c r="BM650" s="27"/>
      <c r="BN650" s="16"/>
      <c r="BO650" s="27"/>
      <c r="BP650" s="16"/>
      <c r="BQ650" s="27"/>
      <c r="BR650" s="24"/>
      <c r="BS650" s="24"/>
      <c r="BT650" s="32"/>
      <c r="BU650" s="27"/>
      <c r="BV650" s="24"/>
      <c r="BW650" s="24"/>
      <c r="BX650" s="16"/>
      <c r="BY650" s="27"/>
      <c r="BZ650" s="24"/>
      <c r="CA650" s="24"/>
      <c r="CB650" s="16"/>
      <c r="CC650" s="49">
        <f t="shared" si="284"/>
        <v>0</v>
      </c>
      <c r="CD650" s="24"/>
      <c r="CE650" s="49">
        <f t="shared" si="278"/>
        <v>78222815</v>
      </c>
      <c r="CF650" s="50"/>
      <c r="CG650" s="49">
        <f t="shared" ca="1" si="277"/>
        <v>78222815</v>
      </c>
      <c r="CH650" s="33">
        <f t="shared" ca="1" si="285"/>
        <v>1</v>
      </c>
      <c r="CI650" s="33">
        <f t="shared" ca="1" si="286"/>
        <v>1</v>
      </c>
      <c r="CJ650" s="36">
        <f t="shared" ca="1" si="287"/>
        <v>100</v>
      </c>
      <c r="CK650" s="34">
        <f t="shared" si="288"/>
        <v>0</v>
      </c>
      <c r="CL650" s="21"/>
      <c r="CM650" s="35" t="str">
        <f t="shared" ca="1" si="289"/>
        <v>TERMINADO</v>
      </c>
      <c r="CN650" s="82"/>
      <c r="CO650" s="145" t="s">
        <v>5254</v>
      </c>
      <c r="CP650" s="26" t="s">
        <v>142</v>
      </c>
    </row>
    <row r="651" spans="1:94" ht="24.75" customHeight="1">
      <c r="A651" s="109" t="s">
        <v>5255</v>
      </c>
      <c r="B651" s="77" t="s">
        <v>5256</v>
      </c>
      <c r="C651" s="17" t="s">
        <v>104</v>
      </c>
      <c r="D651" s="18" t="s">
        <v>5257</v>
      </c>
      <c r="E651" s="17" t="s">
        <v>106</v>
      </c>
      <c r="F651" s="17" t="s">
        <v>107</v>
      </c>
      <c r="G651" s="17" t="s">
        <v>108</v>
      </c>
      <c r="H651" s="78">
        <v>1152689641</v>
      </c>
      <c r="I651" s="74" t="s">
        <v>5258</v>
      </c>
      <c r="J651" s="16"/>
      <c r="K651" s="16"/>
      <c r="L651" s="20" t="s">
        <v>5259</v>
      </c>
      <c r="M651" s="16" t="s">
        <v>111</v>
      </c>
      <c r="N651" s="115">
        <v>45349</v>
      </c>
      <c r="O651" s="22">
        <v>45357</v>
      </c>
      <c r="P651" s="115">
        <v>45656</v>
      </c>
      <c r="Q651" s="23">
        <f t="shared" si="279"/>
        <v>299</v>
      </c>
      <c r="R651" s="17" t="s">
        <v>242</v>
      </c>
      <c r="S651" s="117" t="s">
        <v>5260</v>
      </c>
      <c r="T651" s="16" t="s">
        <v>1470</v>
      </c>
      <c r="U651" s="67">
        <v>97104180</v>
      </c>
      <c r="V651" s="16" t="s">
        <v>5261</v>
      </c>
      <c r="W651" s="224">
        <v>80920150</v>
      </c>
      <c r="X651" s="24">
        <v>8092015</v>
      </c>
      <c r="Y651" s="24"/>
      <c r="Z651" s="24"/>
      <c r="AA651" s="17" t="s">
        <v>116</v>
      </c>
      <c r="AB651" s="23" t="str">
        <f>IFERROR(VLOOKUP(AA651,Listas!$A$1:$C$14,2,FALSE),"")</f>
        <v>FREDY CÉSPEDES VILLA</v>
      </c>
      <c r="AC651" s="23">
        <f>IFERROR(VLOOKUP(AA651,Listas!$A$1:$C$14,3,FALSE),"")</f>
        <v>93363483</v>
      </c>
      <c r="AD651" s="17" t="s">
        <v>577</v>
      </c>
      <c r="AE651" s="17" t="s">
        <v>578</v>
      </c>
      <c r="AF651" s="23" t="str">
        <f>IFERROR(VLOOKUP(AE651,Listas!$AD$1:$AF$65,2,FALSE),"")</f>
        <v>EDGAR FABIO DÍAZ RAMIREZ</v>
      </c>
      <c r="AG651" s="23">
        <f>IFERROR(VLOOKUP(AE651,Listas!$AD$1:$AF$65,3,FALSE),"")</f>
        <v>79537198</v>
      </c>
      <c r="AH651" s="17" t="s">
        <v>118</v>
      </c>
      <c r="AI651" s="65" t="s">
        <v>5262</v>
      </c>
      <c r="AJ651" s="25" t="s">
        <v>119</v>
      </c>
      <c r="AK651" s="26" t="s">
        <v>120</v>
      </c>
      <c r="AL651" s="26" t="s">
        <v>120</v>
      </c>
      <c r="AM651" s="90" t="s">
        <v>119</v>
      </c>
      <c r="AN651" s="105">
        <v>33899</v>
      </c>
      <c r="AO651" s="91">
        <f t="shared" ca="1" si="280"/>
        <v>33</v>
      </c>
      <c r="AP651" s="26" t="s">
        <v>121</v>
      </c>
      <c r="AQ651" s="26" t="s">
        <v>886</v>
      </c>
      <c r="AR651" s="89"/>
      <c r="AS651" s="27"/>
      <c r="AT651" s="16"/>
      <c r="AU651" s="27"/>
      <c r="AV651" s="86"/>
      <c r="AW651" s="27"/>
      <c r="AX651" s="27"/>
      <c r="AY651" s="27"/>
      <c r="AZ651" s="27"/>
      <c r="BA651" s="27"/>
      <c r="BB651" s="27"/>
      <c r="BC651" s="97"/>
      <c r="BD651" s="27"/>
      <c r="BE651" s="16"/>
      <c r="BF651" s="28">
        <f t="shared" si="281"/>
        <v>0</v>
      </c>
      <c r="BG651" s="29"/>
      <c r="BH651" s="27"/>
      <c r="BI651" s="30">
        <f t="shared" si="282"/>
        <v>299</v>
      </c>
      <c r="BJ651" s="31">
        <f t="shared" si="283"/>
        <v>45656</v>
      </c>
      <c r="BK651" s="27"/>
      <c r="BL651" s="16"/>
      <c r="BM651" s="27"/>
      <c r="BN651" s="16"/>
      <c r="BO651" s="27"/>
      <c r="BP651" s="16"/>
      <c r="BQ651" s="27"/>
      <c r="BR651" s="24"/>
      <c r="BS651" s="24"/>
      <c r="BT651" s="32"/>
      <c r="BU651" s="27"/>
      <c r="BV651" s="24"/>
      <c r="BW651" s="24"/>
      <c r="BX651" s="16"/>
      <c r="BY651" s="27"/>
      <c r="BZ651" s="24"/>
      <c r="CA651" s="24"/>
      <c r="CB651" s="16"/>
      <c r="CC651" s="49">
        <f t="shared" si="284"/>
        <v>0</v>
      </c>
      <c r="CD651" s="24"/>
      <c r="CE651" s="49">
        <f t="shared" si="278"/>
        <v>80920150</v>
      </c>
      <c r="CF651" s="50"/>
      <c r="CG651" s="49">
        <f t="shared" ca="1" si="277"/>
        <v>80920150</v>
      </c>
      <c r="CH651" s="33">
        <f t="shared" ca="1" si="285"/>
        <v>1</v>
      </c>
      <c r="CI651" s="33">
        <f t="shared" ca="1" si="286"/>
        <v>1</v>
      </c>
      <c r="CJ651" s="36">
        <f t="shared" ca="1" si="287"/>
        <v>100</v>
      </c>
      <c r="CK651" s="34">
        <f t="shared" si="288"/>
        <v>0</v>
      </c>
      <c r="CL651" s="21"/>
      <c r="CM651" s="35" t="str">
        <f t="shared" ca="1" si="289"/>
        <v>TERMINADO</v>
      </c>
      <c r="CN651" s="82"/>
      <c r="CO651" s="145" t="s">
        <v>5263</v>
      </c>
      <c r="CP651" s="26" t="s">
        <v>123</v>
      </c>
    </row>
    <row r="652" spans="1:94" ht="24.75" customHeight="1">
      <c r="A652" s="109" t="s">
        <v>5264</v>
      </c>
      <c r="B652" s="77" t="s">
        <v>5265</v>
      </c>
      <c r="C652" s="17" t="s">
        <v>104</v>
      </c>
      <c r="D652" s="18" t="s">
        <v>5266</v>
      </c>
      <c r="E652" s="17" t="s">
        <v>106</v>
      </c>
      <c r="F652" s="17" t="s">
        <v>107</v>
      </c>
      <c r="G652" s="17" t="s">
        <v>108</v>
      </c>
      <c r="H652" s="78">
        <v>1032361467</v>
      </c>
      <c r="I652" s="74" t="s">
        <v>5267</v>
      </c>
      <c r="J652" s="16"/>
      <c r="K652" s="16"/>
      <c r="L652" s="20" t="s">
        <v>5268</v>
      </c>
      <c r="M652" s="16" t="s">
        <v>111</v>
      </c>
      <c r="N652" s="115">
        <v>45349</v>
      </c>
      <c r="O652" s="22">
        <v>45355</v>
      </c>
      <c r="P652" s="115">
        <v>45656</v>
      </c>
      <c r="Q652" s="23">
        <f t="shared" si="279"/>
        <v>301</v>
      </c>
      <c r="R652" s="17" t="s">
        <v>242</v>
      </c>
      <c r="S652" s="117" t="s">
        <v>5269</v>
      </c>
      <c r="T652" s="16" t="s">
        <v>997</v>
      </c>
      <c r="U652" s="67">
        <v>100403333</v>
      </c>
      <c r="V652" s="16" t="s">
        <v>3421</v>
      </c>
      <c r="W652" s="224">
        <v>100403333</v>
      </c>
      <c r="X652" s="24">
        <v>9100000</v>
      </c>
      <c r="Y652" s="24"/>
      <c r="Z652" s="24"/>
      <c r="AA652" s="17" t="s">
        <v>116</v>
      </c>
      <c r="AB652" s="23" t="str">
        <f>IFERROR(VLOOKUP(AA652,Listas!$A$1:$C$14,2,FALSE),"")</f>
        <v>FREDY CÉSPEDES VILLA</v>
      </c>
      <c r="AC652" s="23">
        <f>IFERROR(VLOOKUP(AA652,Listas!$A$1:$C$14,3,FALSE),"")</f>
        <v>93363483</v>
      </c>
      <c r="AD652" s="17" t="s">
        <v>816</v>
      </c>
      <c r="AE652" s="17" t="s">
        <v>2835</v>
      </c>
      <c r="AF652" s="23" t="str">
        <f>IFERROR(VLOOKUP(AE652,Listas!$AD$1:$AF$65,2,FALSE),"")</f>
        <v>GUILLERMO ANDRES CARDONA HERRERA</v>
      </c>
      <c r="AG652" s="23">
        <f>IFERROR(VLOOKUP(AE652,Listas!$AD$1:$AF$65,3,FALSE),"")</f>
        <v>80018909</v>
      </c>
      <c r="AH652" s="17" t="s">
        <v>118</v>
      </c>
      <c r="AI652" s="65" t="s">
        <v>5270</v>
      </c>
      <c r="AJ652" s="25" t="s">
        <v>119</v>
      </c>
      <c r="AK652" s="26" t="s">
        <v>120</v>
      </c>
      <c r="AL652" s="26" t="s">
        <v>120</v>
      </c>
      <c r="AM652" s="90" t="s">
        <v>119</v>
      </c>
      <c r="AN652" s="105">
        <v>31537</v>
      </c>
      <c r="AO652" s="91">
        <f t="shared" ca="1" si="280"/>
        <v>39</v>
      </c>
      <c r="AP652" s="26" t="s">
        <v>121</v>
      </c>
      <c r="AQ652" s="26" t="s">
        <v>1641</v>
      </c>
      <c r="AR652" s="89"/>
      <c r="AS652" s="27"/>
      <c r="AT652" s="16"/>
      <c r="AU652" s="27"/>
      <c r="AV652" s="86"/>
      <c r="AW652" s="27"/>
      <c r="AX652" s="27"/>
      <c r="AY652" s="27"/>
      <c r="AZ652" s="27"/>
      <c r="BA652" s="27"/>
      <c r="BB652" s="27"/>
      <c r="BC652" s="97"/>
      <c r="BD652" s="27"/>
      <c r="BE652" s="16"/>
      <c r="BF652" s="28">
        <f t="shared" si="281"/>
        <v>0</v>
      </c>
      <c r="BG652" s="29"/>
      <c r="BH652" s="27"/>
      <c r="BI652" s="30">
        <f t="shared" si="282"/>
        <v>301</v>
      </c>
      <c r="BJ652" s="31">
        <f t="shared" si="283"/>
        <v>45656</v>
      </c>
      <c r="BK652" s="27"/>
      <c r="BL652" s="16"/>
      <c r="BM652" s="27"/>
      <c r="BN652" s="16"/>
      <c r="BO652" s="27"/>
      <c r="BP652" s="16"/>
      <c r="BQ652" s="27"/>
      <c r="BR652" s="24"/>
      <c r="BS652" s="24"/>
      <c r="BT652" s="32"/>
      <c r="BU652" s="27"/>
      <c r="BV652" s="24"/>
      <c r="BW652" s="24"/>
      <c r="BX652" s="16"/>
      <c r="BY652" s="27"/>
      <c r="BZ652" s="24"/>
      <c r="CA652" s="24"/>
      <c r="CB652" s="16"/>
      <c r="CC652" s="49">
        <f t="shared" si="284"/>
        <v>0</v>
      </c>
      <c r="CD652" s="24"/>
      <c r="CE652" s="49">
        <f t="shared" si="278"/>
        <v>100403333</v>
      </c>
      <c r="CF652" s="50"/>
      <c r="CG652" s="49">
        <f t="shared" ca="1" si="277"/>
        <v>100403333</v>
      </c>
      <c r="CH652" s="33">
        <f t="shared" ca="1" si="285"/>
        <v>1</v>
      </c>
      <c r="CI652" s="33">
        <f t="shared" ca="1" si="286"/>
        <v>1</v>
      </c>
      <c r="CJ652" s="36">
        <f t="shared" ca="1" si="287"/>
        <v>100</v>
      </c>
      <c r="CK652" s="34">
        <f t="shared" si="288"/>
        <v>0</v>
      </c>
      <c r="CL652" s="21"/>
      <c r="CM652" s="35" t="str">
        <f t="shared" ca="1" si="289"/>
        <v>TERMINADO</v>
      </c>
      <c r="CN652" s="82"/>
      <c r="CO652" s="145" t="s">
        <v>5271</v>
      </c>
      <c r="CP652" s="26" t="s">
        <v>142</v>
      </c>
    </row>
    <row r="653" spans="1:94" ht="24.75" customHeight="1">
      <c r="A653" s="109" t="s">
        <v>5272</v>
      </c>
      <c r="B653" s="77" t="s">
        <v>5273</v>
      </c>
      <c r="C653" s="17" t="s">
        <v>104</v>
      </c>
      <c r="D653" s="18" t="s">
        <v>5274</v>
      </c>
      <c r="E653" s="17" t="s">
        <v>106</v>
      </c>
      <c r="F653" s="17" t="s">
        <v>107</v>
      </c>
      <c r="G653" s="17" t="s">
        <v>108</v>
      </c>
      <c r="H653" s="78">
        <v>1098665818</v>
      </c>
      <c r="I653" s="74" t="s">
        <v>5275</v>
      </c>
      <c r="J653" s="16"/>
      <c r="K653" s="16"/>
      <c r="L653" s="20" t="s">
        <v>4947</v>
      </c>
      <c r="M653" s="16" t="s">
        <v>111</v>
      </c>
      <c r="N653" s="115">
        <v>45349</v>
      </c>
      <c r="O653" s="22">
        <v>45355</v>
      </c>
      <c r="P653" s="115">
        <v>45656</v>
      </c>
      <c r="Q653" s="23">
        <f t="shared" si="279"/>
        <v>301</v>
      </c>
      <c r="R653" s="17" t="s">
        <v>242</v>
      </c>
      <c r="S653" s="117" t="s">
        <v>5276</v>
      </c>
      <c r="T653" s="16" t="s">
        <v>997</v>
      </c>
      <c r="U653" s="67">
        <v>86133333</v>
      </c>
      <c r="V653" s="16" t="s">
        <v>3421</v>
      </c>
      <c r="W653" s="224">
        <v>86133333</v>
      </c>
      <c r="X653" s="24">
        <v>8000000</v>
      </c>
      <c r="Y653" s="24"/>
      <c r="Z653" s="24"/>
      <c r="AA653" s="17" t="s">
        <v>116</v>
      </c>
      <c r="AB653" s="23" t="str">
        <f>IFERROR(VLOOKUP(AA653,Listas!$A$1:$C$14,2,FALSE),"")</f>
        <v>FREDY CÉSPEDES VILLA</v>
      </c>
      <c r="AC653" s="23">
        <f>IFERROR(VLOOKUP(AA653,Listas!$A$1:$C$14,3,FALSE),"")</f>
        <v>93363483</v>
      </c>
      <c r="AD653" s="17" t="s">
        <v>816</v>
      </c>
      <c r="AE653" s="17" t="s">
        <v>2835</v>
      </c>
      <c r="AF653" s="23" t="str">
        <f>IFERROR(VLOOKUP(AE653,Listas!$AD$1:$AF$65,2,FALSE),"")</f>
        <v>GUILLERMO ANDRES CARDONA HERRERA</v>
      </c>
      <c r="AG653" s="23">
        <f>IFERROR(VLOOKUP(AE653,Listas!$AD$1:$AF$65,3,FALSE),"")</f>
        <v>80018909</v>
      </c>
      <c r="AH653" s="17" t="s">
        <v>118</v>
      </c>
      <c r="AI653" s="65" t="s">
        <v>5277</v>
      </c>
      <c r="AJ653" s="25" t="s">
        <v>119</v>
      </c>
      <c r="AK653" s="26" t="s">
        <v>120</v>
      </c>
      <c r="AL653" s="26" t="s">
        <v>120</v>
      </c>
      <c r="AM653" s="90" t="s">
        <v>119</v>
      </c>
      <c r="AN653" s="105">
        <v>32545</v>
      </c>
      <c r="AO653" s="91">
        <f t="shared" ca="1" si="280"/>
        <v>36</v>
      </c>
      <c r="AP653" s="26" t="s">
        <v>121</v>
      </c>
      <c r="AQ653" s="26" t="s">
        <v>1641</v>
      </c>
      <c r="AR653" s="89"/>
      <c r="AS653" s="27"/>
      <c r="AT653" s="16"/>
      <c r="AU653" s="27"/>
      <c r="AV653" s="86"/>
      <c r="AW653" s="27"/>
      <c r="AX653" s="27"/>
      <c r="AY653" s="27"/>
      <c r="AZ653" s="27"/>
      <c r="BA653" s="27"/>
      <c r="BB653" s="27"/>
      <c r="BC653" s="97"/>
      <c r="BD653" s="27"/>
      <c r="BE653" s="16"/>
      <c r="BF653" s="28">
        <f t="shared" si="281"/>
        <v>0</v>
      </c>
      <c r="BG653" s="29"/>
      <c r="BH653" s="27"/>
      <c r="BI653" s="30">
        <f t="shared" si="282"/>
        <v>301</v>
      </c>
      <c r="BJ653" s="31">
        <f t="shared" si="283"/>
        <v>45656</v>
      </c>
      <c r="BK653" s="27"/>
      <c r="BL653" s="16"/>
      <c r="BM653" s="27"/>
      <c r="BN653" s="16"/>
      <c r="BO653" s="27"/>
      <c r="BP653" s="16"/>
      <c r="BQ653" s="27"/>
      <c r="BR653" s="24"/>
      <c r="BS653" s="24"/>
      <c r="BT653" s="32"/>
      <c r="BU653" s="27"/>
      <c r="BV653" s="24"/>
      <c r="BW653" s="24"/>
      <c r="BX653" s="16"/>
      <c r="BY653" s="27"/>
      <c r="BZ653" s="24"/>
      <c r="CA653" s="24"/>
      <c r="CB653" s="16"/>
      <c r="CC653" s="49">
        <f t="shared" si="284"/>
        <v>0</v>
      </c>
      <c r="CD653" s="24"/>
      <c r="CE653" s="49">
        <f t="shared" si="278"/>
        <v>86133333</v>
      </c>
      <c r="CF653" s="50"/>
      <c r="CG653" s="49">
        <f t="shared" ca="1" si="277"/>
        <v>86133333</v>
      </c>
      <c r="CH653" s="33">
        <f t="shared" ca="1" si="285"/>
        <v>1</v>
      </c>
      <c r="CI653" s="33">
        <f t="shared" ca="1" si="286"/>
        <v>1</v>
      </c>
      <c r="CJ653" s="36">
        <f t="shared" ca="1" si="287"/>
        <v>100</v>
      </c>
      <c r="CK653" s="34">
        <f t="shared" si="288"/>
        <v>0</v>
      </c>
      <c r="CL653" s="21"/>
      <c r="CM653" s="35" t="str">
        <f t="shared" ca="1" si="289"/>
        <v>TERMINADO</v>
      </c>
      <c r="CN653" s="82"/>
      <c r="CO653" s="145" t="s">
        <v>5278</v>
      </c>
      <c r="CP653" s="26" t="s">
        <v>142</v>
      </c>
    </row>
    <row r="654" spans="1:94" ht="24.75" customHeight="1">
      <c r="A654" s="48" t="s">
        <v>1424</v>
      </c>
      <c r="B654" s="77" t="s">
        <v>5279</v>
      </c>
      <c r="C654" s="17" t="s">
        <v>2927</v>
      </c>
      <c r="D654" s="18" t="s">
        <v>5280</v>
      </c>
      <c r="E654" s="17" t="s">
        <v>2929</v>
      </c>
      <c r="F654" s="17" t="s">
        <v>1426</v>
      </c>
      <c r="G654" s="17" t="s">
        <v>1427</v>
      </c>
      <c r="H654" s="78" t="s">
        <v>5281</v>
      </c>
      <c r="I654" s="74" t="s">
        <v>5282</v>
      </c>
      <c r="J654" s="16" t="s">
        <v>5283</v>
      </c>
      <c r="K654" s="16">
        <v>80901466</v>
      </c>
      <c r="L654" s="20" t="s">
        <v>5284</v>
      </c>
      <c r="M654" s="16"/>
      <c r="N654" s="115">
        <v>45350</v>
      </c>
      <c r="O654" s="22">
        <v>45350</v>
      </c>
      <c r="P654" s="115">
        <v>45716</v>
      </c>
      <c r="Q654" s="23">
        <f t="shared" si="279"/>
        <v>366</v>
      </c>
      <c r="R654" s="17" t="s">
        <v>2934</v>
      </c>
      <c r="S654" s="117" t="s">
        <v>1424</v>
      </c>
      <c r="T654" s="16" t="s">
        <v>1424</v>
      </c>
      <c r="U654" s="67" t="s">
        <v>1424</v>
      </c>
      <c r="V654" s="16" t="s">
        <v>1424</v>
      </c>
      <c r="W654" s="224">
        <v>0</v>
      </c>
      <c r="X654" s="24"/>
      <c r="Y654" s="24" t="s">
        <v>2935</v>
      </c>
      <c r="Z654" s="24"/>
      <c r="AA654" s="17" t="s">
        <v>406</v>
      </c>
      <c r="AB654" s="23" t="str">
        <f>IFERROR(VLOOKUP(AA654,Listas!$A$1:$C$14,2,FALSE),"")</f>
        <v>EDUARDO ELÍAS BARCHA BOLÍVAR</v>
      </c>
      <c r="AC654" s="23">
        <f>IFERROR(VLOOKUP(AA654,Listas!$A$1:$C$14,3,FALSE),"")</f>
        <v>72133921</v>
      </c>
      <c r="AD654" s="17" t="s">
        <v>1533</v>
      </c>
      <c r="AE654" s="17" t="s">
        <v>1534</v>
      </c>
      <c r="AF654" s="23" t="str">
        <f>IFERROR(VLOOKUP(AE654,Listas!$AD$1:$AF$65,2,FALSE),"")</f>
        <v>ESTEBAN GUERRERO ALVAREZ</v>
      </c>
      <c r="AG654" s="23">
        <f>IFERROR(VLOOKUP(AE654,Listas!$AD$1:$AF$65,3,FALSE),"")</f>
        <v>1032460552</v>
      </c>
      <c r="AH654" s="17" t="s">
        <v>2936</v>
      </c>
      <c r="AI654" s="65"/>
      <c r="AJ654" s="25" t="s">
        <v>1435</v>
      </c>
      <c r="AK654" s="26" t="s">
        <v>2071</v>
      </c>
      <c r="AL654" s="26" t="s">
        <v>2071</v>
      </c>
      <c r="AM654" s="90" t="s">
        <v>1435</v>
      </c>
      <c r="AN654" s="105"/>
      <c r="AO654" s="91" t="str">
        <f t="shared" ca="1" si="280"/>
        <v xml:space="preserve"> </v>
      </c>
      <c r="AP654" s="26" t="s">
        <v>2937</v>
      </c>
      <c r="AQ654" s="26" t="s">
        <v>3501</v>
      </c>
      <c r="AR654" s="89"/>
      <c r="AS654" s="27"/>
      <c r="AT654" s="16"/>
      <c r="AU654" s="27"/>
      <c r="AV654" s="86"/>
      <c r="AW654" s="27"/>
      <c r="AX654" s="27"/>
      <c r="AY654" s="27"/>
      <c r="AZ654" s="27"/>
      <c r="BA654" s="27"/>
      <c r="BB654" s="27">
        <v>45712</v>
      </c>
      <c r="BC654" s="97">
        <v>306</v>
      </c>
      <c r="BD654" s="27"/>
      <c r="BE654" s="16"/>
      <c r="BF654" s="28">
        <f t="shared" si="281"/>
        <v>306</v>
      </c>
      <c r="BG654" s="29"/>
      <c r="BH654" s="27"/>
      <c r="BI654" s="30">
        <f t="shared" si="282"/>
        <v>672</v>
      </c>
      <c r="BJ654" s="31">
        <f t="shared" si="283"/>
        <v>46022</v>
      </c>
      <c r="BK654" s="27">
        <v>45712</v>
      </c>
      <c r="BL654" s="16" t="s">
        <v>5285</v>
      </c>
      <c r="BM654" s="27"/>
      <c r="BN654" s="16"/>
      <c r="BO654" s="27"/>
      <c r="BP654" s="16"/>
      <c r="BQ654" s="27"/>
      <c r="BR654" s="24"/>
      <c r="BS654" s="24"/>
      <c r="BT654" s="32"/>
      <c r="BU654" s="27"/>
      <c r="BV654" s="24"/>
      <c r="BW654" s="24"/>
      <c r="BX654" s="16"/>
      <c r="BY654" s="27"/>
      <c r="BZ654" s="24"/>
      <c r="CA654" s="24"/>
      <c r="CB654" s="16"/>
      <c r="CC654" s="49">
        <f t="shared" si="284"/>
        <v>0</v>
      </c>
      <c r="CD654" s="24"/>
      <c r="CE654" s="49" t="str">
        <f>IFERROR(IF(Y654=0,(W654+CC654)-CD654,IF(Y654&gt;0,(Y654+CC654)-CD654)),"")</f>
        <v/>
      </c>
      <c r="CF654" s="50">
        <v>571964847.99000096</v>
      </c>
      <c r="CG654" s="49" t="str">
        <f t="shared" ca="1" si="277"/>
        <v/>
      </c>
      <c r="CH654" s="33">
        <f t="shared" ca="1" si="285"/>
        <v>0.89291101055806943</v>
      </c>
      <c r="CI654" s="33">
        <f t="shared" ca="1" si="286"/>
        <v>0.89291101055806943</v>
      </c>
      <c r="CJ654" s="36" t="str">
        <f t="shared" ca="1" si="287"/>
        <v/>
      </c>
      <c r="CK654" s="34" t="str">
        <f t="shared" si="288"/>
        <v/>
      </c>
      <c r="CL654" s="21"/>
      <c r="CM654" s="35" t="str">
        <f t="shared" ca="1" si="289"/>
        <v>VIGENTE</v>
      </c>
      <c r="CN654" s="82"/>
      <c r="CP654" s="83" t="s">
        <v>1424</v>
      </c>
    </row>
    <row r="655" spans="1:94" ht="24.75" customHeight="1">
      <c r="A655" s="48" t="s">
        <v>1424</v>
      </c>
      <c r="B655" s="77" t="s">
        <v>5286</v>
      </c>
      <c r="C655" s="17" t="s">
        <v>2927</v>
      </c>
      <c r="D655" s="18" t="s">
        <v>5287</v>
      </c>
      <c r="E655" s="17" t="s">
        <v>2929</v>
      </c>
      <c r="F655" s="17" t="s">
        <v>1426</v>
      </c>
      <c r="G655" s="17" t="s">
        <v>1427</v>
      </c>
      <c r="H655" s="78" t="s">
        <v>5288</v>
      </c>
      <c r="I655" s="74" t="s">
        <v>5289</v>
      </c>
      <c r="J655" s="16" t="s">
        <v>5290</v>
      </c>
      <c r="K655" s="16">
        <v>52184147</v>
      </c>
      <c r="L655" s="20" t="s">
        <v>5291</v>
      </c>
      <c r="M655" s="16"/>
      <c r="N655" s="115">
        <v>45350</v>
      </c>
      <c r="O655" s="22">
        <v>45350</v>
      </c>
      <c r="P655" s="115">
        <v>45716</v>
      </c>
      <c r="Q655" s="23">
        <f t="shared" si="279"/>
        <v>366</v>
      </c>
      <c r="R655" s="17" t="s">
        <v>2934</v>
      </c>
      <c r="S655" s="117" t="s">
        <v>1424</v>
      </c>
      <c r="T655" s="16" t="s">
        <v>1424</v>
      </c>
      <c r="U655" s="67" t="s">
        <v>1424</v>
      </c>
      <c r="V655" s="16" t="s">
        <v>1424</v>
      </c>
      <c r="W655" s="224">
        <v>0</v>
      </c>
      <c r="X655" s="24"/>
      <c r="Y655" s="24" t="s">
        <v>2935</v>
      </c>
      <c r="Z655" s="24"/>
      <c r="AA655" s="17" t="s">
        <v>406</v>
      </c>
      <c r="AB655" s="23" t="str">
        <f>IFERROR(VLOOKUP(AA655,Listas!$A$1:$C$14,2,FALSE),"")</f>
        <v>EDUARDO ELÍAS BARCHA BOLÍVAR</v>
      </c>
      <c r="AC655" s="23">
        <f>IFERROR(VLOOKUP(AA655,Listas!$A$1:$C$14,3,FALSE),"")</f>
        <v>72133921</v>
      </c>
      <c r="AD655" s="17" t="s">
        <v>1533</v>
      </c>
      <c r="AE655" s="17" t="s">
        <v>1534</v>
      </c>
      <c r="AF655" s="23" t="str">
        <f>IFERROR(VLOOKUP(AE655,Listas!$AD$1:$AF$65,2,FALSE),"")</f>
        <v>ESTEBAN GUERRERO ALVAREZ</v>
      </c>
      <c r="AG655" s="23">
        <f>IFERROR(VLOOKUP(AE655,Listas!$AD$1:$AF$65,3,FALSE),"")</f>
        <v>1032460552</v>
      </c>
      <c r="AH655" s="17" t="s">
        <v>2936</v>
      </c>
      <c r="AI655" s="65"/>
      <c r="AJ655" s="25" t="s">
        <v>1435</v>
      </c>
      <c r="AK655" s="26" t="s">
        <v>2071</v>
      </c>
      <c r="AL655" s="26" t="s">
        <v>2071</v>
      </c>
      <c r="AM655" s="90" t="s">
        <v>1435</v>
      </c>
      <c r="AN655" s="105"/>
      <c r="AO655" s="91" t="str">
        <f t="shared" ca="1" si="280"/>
        <v xml:space="preserve"> </v>
      </c>
      <c r="AP655" s="26" t="s">
        <v>2937</v>
      </c>
      <c r="AQ655" s="26" t="s">
        <v>3501</v>
      </c>
      <c r="AR655" s="89"/>
      <c r="AS655" s="27"/>
      <c r="AT655" s="16"/>
      <c r="AU655" s="27"/>
      <c r="AV655" s="86"/>
      <c r="AW655" s="27"/>
      <c r="AX655" s="27"/>
      <c r="AY655" s="27"/>
      <c r="AZ655" s="27"/>
      <c r="BA655" s="27"/>
      <c r="BB655" s="27">
        <v>45673</v>
      </c>
      <c r="BC655" s="97">
        <v>306</v>
      </c>
      <c r="BD655" s="27"/>
      <c r="BE655" s="16"/>
      <c r="BF655" s="28">
        <f t="shared" si="281"/>
        <v>306</v>
      </c>
      <c r="BG655" s="29"/>
      <c r="BH655" s="27"/>
      <c r="BI655" s="30">
        <f t="shared" si="282"/>
        <v>672</v>
      </c>
      <c r="BJ655" s="31">
        <f t="shared" si="283"/>
        <v>46022</v>
      </c>
      <c r="BK655" s="27">
        <v>45673</v>
      </c>
      <c r="BL655" s="16" t="s">
        <v>5292</v>
      </c>
      <c r="BM655" s="27"/>
      <c r="BN655" s="16"/>
      <c r="BO655" s="27"/>
      <c r="BP655" s="16"/>
      <c r="BQ655" s="27"/>
      <c r="BR655" s="24"/>
      <c r="BS655" s="24"/>
      <c r="BT655" s="32"/>
      <c r="BU655" s="27"/>
      <c r="BV655" s="24"/>
      <c r="BW655" s="24"/>
      <c r="BX655" s="16"/>
      <c r="BY655" s="27"/>
      <c r="BZ655" s="24"/>
      <c r="CA655" s="24"/>
      <c r="CB655" s="16"/>
      <c r="CC655" s="49">
        <f t="shared" si="284"/>
        <v>0</v>
      </c>
      <c r="CD655" s="24"/>
      <c r="CE655" s="49" t="str">
        <f>IFERROR(IF(Y655=0,(W655+CC655)-CD655,IF(Y655&gt;0,(Y655+CC655)-CD655)),"")</f>
        <v/>
      </c>
      <c r="CF655" s="50">
        <v>80456965.980000004</v>
      </c>
      <c r="CG655" s="49" t="str">
        <f t="shared" ca="1" si="277"/>
        <v/>
      </c>
      <c r="CH655" s="33">
        <f t="shared" ca="1" si="285"/>
        <v>0.89291101055806943</v>
      </c>
      <c r="CI655" s="33">
        <f t="shared" ca="1" si="286"/>
        <v>0.89291101055806943</v>
      </c>
      <c r="CJ655" s="36" t="str">
        <f t="shared" ca="1" si="287"/>
        <v/>
      </c>
      <c r="CK655" s="34" t="str">
        <f t="shared" si="288"/>
        <v/>
      </c>
      <c r="CL655" s="21"/>
      <c r="CM655" s="35" t="str">
        <f t="shared" ca="1" si="289"/>
        <v>VIGENTE</v>
      </c>
      <c r="CN655" s="82"/>
      <c r="CP655" s="83" t="s">
        <v>1424</v>
      </c>
    </row>
    <row r="656" spans="1:94" ht="24.75" customHeight="1">
      <c r="A656" s="109" t="s">
        <v>5293</v>
      </c>
      <c r="B656" s="77" t="s">
        <v>5294</v>
      </c>
      <c r="C656" s="17" t="s">
        <v>104</v>
      </c>
      <c r="D656" s="18" t="s">
        <v>5295</v>
      </c>
      <c r="E656" s="17" t="s">
        <v>106</v>
      </c>
      <c r="F656" s="17" t="s">
        <v>107</v>
      </c>
      <c r="G656" s="17" t="s">
        <v>108</v>
      </c>
      <c r="H656" s="78">
        <v>7633512</v>
      </c>
      <c r="I656" s="74" t="s">
        <v>5296</v>
      </c>
      <c r="J656" s="16"/>
      <c r="K656" s="16"/>
      <c r="L656" s="20" t="s">
        <v>5039</v>
      </c>
      <c r="M656" s="16" t="s">
        <v>111</v>
      </c>
      <c r="N656" s="22">
        <v>45355</v>
      </c>
      <c r="O656" s="22">
        <v>45356</v>
      </c>
      <c r="P656" s="115">
        <v>45656</v>
      </c>
      <c r="Q656" s="23">
        <f t="shared" si="279"/>
        <v>300</v>
      </c>
      <c r="R656" s="17" t="s">
        <v>242</v>
      </c>
      <c r="S656" s="117" t="s">
        <v>5297</v>
      </c>
      <c r="T656" s="16" t="s">
        <v>997</v>
      </c>
      <c r="U656" s="67">
        <v>97520000</v>
      </c>
      <c r="V656" s="16" t="s">
        <v>3421</v>
      </c>
      <c r="W656" s="224">
        <v>97520000</v>
      </c>
      <c r="X656" s="24">
        <v>9200000</v>
      </c>
      <c r="Y656" s="24"/>
      <c r="Z656" s="24"/>
      <c r="AA656" s="17" t="s">
        <v>116</v>
      </c>
      <c r="AB656" s="23" t="str">
        <f>IFERROR(VLOOKUP(AA656,Listas!$A$1:$C$14,2,FALSE),"")</f>
        <v>FREDY CÉSPEDES VILLA</v>
      </c>
      <c r="AC656" s="23">
        <f>IFERROR(VLOOKUP(AA656,Listas!$A$1:$C$14,3,FALSE),"")</f>
        <v>93363483</v>
      </c>
      <c r="AD656" s="17" t="s">
        <v>816</v>
      </c>
      <c r="AE656" s="17" t="s">
        <v>2835</v>
      </c>
      <c r="AF656" s="23" t="str">
        <f>IFERROR(VLOOKUP(AE656,Listas!$AD$1:$AF$65,2,FALSE),"")</f>
        <v>GUILLERMO ANDRES CARDONA HERRERA</v>
      </c>
      <c r="AG656" s="23">
        <f>IFERROR(VLOOKUP(AE656,Listas!$AD$1:$AF$65,3,FALSE),"")</f>
        <v>80018909</v>
      </c>
      <c r="AH656" s="17" t="s">
        <v>118</v>
      </c>
      <c r="AI656" s="65" t="s">
        <v>5298</v>
      </c>
      <c r="AJ656" s="25" t="s">
        <v>119</v>
      </c>
      <c r="AK656" s="26" t="s">
        <v>120</v>
      </c>
      <c r="AL656" s="26" t="s">
        <v>120</v>
      </c>
      <c r="AM656" s="90" t="s">
        <v>119</v>
      </c>
      <c r="AN656" s="105">
        <v>29801</v>
      </c>
      <c r="AO656" s="91">
        <f t="shared" ca="1" si="280"/>
        <v>44</v>
      </c>
      <c r="AP656" s="26" t="s">
        <v>121</v>
      </c>
      <c r="AQ656" s="26" t="s">
        <v>515</v>
      </c>
      <c r="AR656" s="89"/>
      <c r="AS656" s="27"/>
      <c r="AT656" s="16"/>
      <c r="AU656" s="27"/>
      <c r="AV656" s="86"/>
      <c r="AW656" s="27"/>
      <c r="AX656" s="27"/>
      <c r="AY656" s="27"/>
      <c r="AZ656" s="27"/>
      <c r="BA656" s="27"/>
      <c r="BB656" s="27"/>
      <c r="BC656" s="97"/>
      <c r="BD656" s="27"/>
      <c r="BE656" s="16"/>
      <c r="BF656" s="28">
        <f t="shared" si="281"/>
        <v>0</v>
      </c>
      <c r="BG656" s="29"/>
      <c r="BH656" s="27"/>
      <c r="BI656" s="30">
        <f t="shared" si="282"/>
        <v>300</v>
      </c>
      <c r="BJ656" s="31">
        <f t="shared" si="283"/>
        <v>45656</v>
      </c>
      <c r="BK656" s="27"/>
      <c r="BL656" s="16"/>
      <c r="BM656" s="27"/>
      <c r="BN656" s="16"/>
      <c r="BO656" s="27"/>
      <c r="BP656" s="16"/>
      <c r="BQ656" s="27"/>
      <c r="BR656" s="24"/>
      <c r="BS656" s="24"/>
      <c r="BT656" s="32"/>
      <c r="BU656" s="27"/>
      <c r="BV656" s="24"/>
      <c r="BW656" s="24"/>
      <c r="BX656" s="16"/>
      <c r="BY656" s="27"/>
      <c r="BZ656" s="24"/>
      <c r="CA656" s="24"/>
      <c r="CB656" s="16"/>
      <c r="CC656" s="49">
        <f t="shared" si="284"/>
        <v>0</v>
      </c>
      <c r="CD656" s="24"/>
      <c r="CE656" s="49">
        <f>IF(Y656=0,(W656+CC656)-CD656,IF(Y656&gt;0,(Y656+CC656)-CD656))</f>
        <v>97520000</v>
      </c>
      <c r="CF656" s="50"/>
      <c r="CG656" s="49">
        <f t="shared" ca="1" si="277"/>
        <v>97520000</v>
      </c>
      <c r="CH656" s="33">
        <f t="shared" ca="1" si="285"/>
        <v>1</v>
      </c>
      <c r="CI656" s="33">
        <f t="shared" ca="1" si="286"/>
        <v>1</v>
      </c>
      <c r="CJ656" s="36">
        <f t="shared" ca="1" si="287"/>
        <v>100</v>
      </c>
      <c r="CK656" s="34">
        <f t="shared" si="288"/>
        <v>0</v>
      </c>
      <c r="CL656" s="21"/>
      <c r="CM656" s="35" t="str">
        <f t="shared" ca="1" si="289"/>
        <v>TERMINADO</v>
      </c>
      <c r="CN656" s="82"/>
      <c r="CO656" s="145" t="s">
        <v>5299</v>
      </c>
      <c r="CP656" s="26" t="s">
        <v>142</v>
      </c>
    </row>
    <row r="657" spans="1:94" ht="24.75" customHeight="1">
      <c r="A657" s="109" t="s">
        <v>5300</v>
      </c>
      <c r="B657" s="77" t="s">
        <v>5301</v>
      </c>
      <c r="C657" s="17" t="s">
        <v>104</v>
      </c>
      <c r="D657" s="18" t="s">
        <v>5302</v>
      </c>
      <c r="E657" s="17" t="s">
        <v>106</v>
      </c>
      <c r="F657" s="17" t="s">
        <v>107</v>
      </c>
      <c r="G657" s="17" t="s">
        <v>108</v>
      </c>
      <c r="H657" s="78">
        <v>1000708685</v>
      </c>
      <c r="I657" s="74" t="s">
        <v>5303</v>
      </c>
      <c r="J657" s="16"/>
      <c r="K657" s="16"/>
      <c r="L657" s="20" t="s">
        <v>5304</v>
      </c>
      <c r="M657" s="16" t="s">
        <v>111</v>
      </c>
      <c r="N657" s="115">
        <v>45350</v>
      </c>
      <c r="O657" s="22">
        <v>45352</v>
      </c>
      <c r="P657" s="115">
        <v>45656</v>
      </c>
      <c r="Q657" s="23">
        <f t="shared" si="279"/>
        <v>304</v>
      </c>
      <c r="R657" s="17" t="s">
        <v>242</v>
      </c>
      <c r="S657" s="117" t="s">
        <v>5305</v>
      </c>
      <c r="T657" s="16" t="s">
        <v>4638</v>
      </c>
      <c r="U657" s="67">
        <v>44138268</v>
      </c>
      <c r="V657" s="16" t="s">
        <v>4639</v>
      </c>
      <c r="W657" s="224">
        <v>40460079</v>
      </c>
      <c r="X657" s="24">
        <v>3678189</v>
      </c>
      <c r="Y657" s="24"/>
      <c r="Z657" s="24"/>
      <c r="AA657" s="17" t="s">
        <v>116</v>
      </c>
      <c r="AB657" s="23" t="str">
        <f>IFERROR(VLOOKUP(AA657,Listas!$A$1:$C$14,2,FALSE),"")</f>
        <v>FREDY CÉSPEDES VILLA</v>
      </c>
      <c r="AC657" s="23">
        <f>IFERROR(VLOOKUP(AA657,Listas!$A$1:$C$14,3,FALSE),"")</f>
        <v>93363483</v>
      </c>
      <c r="AD657" s="17" t="s">
        <v>116</v>
      </c>
      <c r="AE657" s="17" t="s">
        <v>659</v>
      </c>
      <c r="AF657" s="23" t="str">
        <f>IFERROR(VLOOKUP(AE657,Listas!$AD$1:$AF$65,2,FALSE),"")</f>
        <v>TATIANA FORERO TORRES</v>
      </c>
      <c r="AG657" s="23">
        <f>IFERROR(VLOOKUP(AE657,Listas!$AD$1:$AF$65,3,FALSE),"")</f>
        <v>1072446921</v>
      </c>
      <c r="AH657" s="17" t="s">
        <v>118</v>
      </c>
      <c r="AI657" s="65" t="s">
        <v>5306</v>
      </c>
      <c r="AJ657" s="25" t="s">
        <v>119</v>
      </c>
      <c r="AK657" s="26" t="s">
        <v>120</v>
      </c>
      <c r="AL657" s="26" t="s">
        <v>120</v>
      </c>
      <c r="AM657" s="90" t="s">
        <v>119</v>
      </c>
      <c r="AN657" s="105">
        <v>37800</v>
      </c>
      <c r="AO657" s="91">
        <f t="shared" ca="1" si="280"/>
        <v>22</v>
      </c>
      <c r="AP657" s="26" t="s">
        <v>121</v>
      </c>
      <c r="AQ657" s="26" t="s">
        <v>122</v>
      </c>
      <c r="AR657" s="89"/>
      <c r="AS657" s="27"/>
      <c r="AT657" s="16"/>
      <c r="AU657" s="27"/>
      <c r="AV657" s="86"/>
      <c r="AW657" s="27"/>
      <c r="AX657" s="27"/>
      <c r="AY657" s="27"/>
      <c r="AZ657" s="27"/>
      <c r="BA657" s="27"/>
      <c r="BB657" s="27"/>
      <c r="BC657" s="97"/>
      <c r="BD657" s="27"/>
      <c r="BE657" s="16"/>
      <c r="BF657" s="28">
        <f t="shared" si="281"/>
        <v>0</v>
      </c>
      <c r="BG657" s="29"/>
      <c r="BH657" s="27"/>
      <c r="BI657" s="30">
        <f t="shared" si="282"/>
        <v>304</v>
      </c>
      <c r="BJ657" s="31">
        <f t="shared" si="283"/>
        <v>45656</v>
      </c>
      <c r="BK657" s="27"/>
      <c r="BL657" s="16"/>
      <c r="BM657" s="27"/>
      <c r="BN657" s="16"/>
      <c r="BO657" s="27"/>
      <c r="BP657" s="16"/>
      <c r="BQ657" s="27"/>
      <c r="BR657" s="24"/>
      <c r="BS657" s="24"/>
      <c r="BT657" s="32"/>
      <c r="BU657" s="27"/>
      <c r="BV657" s="24"/>
      <c r="BW657" s="24"/>
      <c r="BX657" s="16"/>
      <c r="BY657" s="27"/>
      <c r="BZ657" s="24"/>
      <c r="CA657" s="24"/>
      <c r="CB657" s="16"/>
      <c r="CC657" s="49">
        <f t="shared" si="284"/>
        <v>0</v>
      </c>
      <c r="CD657" s="24"/>
      <c r="CE657" s="49">
        <f>IF(Y657=0,(W657+CC657)-CD657,IF(Y657&gt;0,(Y657+CC657)-CD657))</f>
        <v>40460079</v>
      </c>
      <c r="CF657" s="50"/>
      <c r="CG657" s="49">
        <f t="shared" ca="1" si="277"/>
        <v>40460079</v>
      </c>
      <c r="CH657" s="33">
        <f t="shared" ca="1" si="285"/>
        <v>1</v>
      </c>
      <c r="CI657" s="33">
        <f t="shared" ca="1" si="286"/>
        <v>1</v>
      </c>
      <c r="CJ657" s="36">
        <f t="shared" ca="1" si="287"/>
        <v>100</v>
      </c>
      <c r="CK657" s="34">
        <f t="shared" si="288"/>
        <v>0</v>
      </c>
      <c r="CL657" s="21"/>
      <c r="CM657" s="35" t="str">
        <f t="shared" ca="1" si="289"/>
        <v>TERMINADO</v>
      </c>
      <c r="CN657" s="82"/>
      <c r="CO657" s="145" t="s">
        <v>5307</v>
      </c>
      <c r="CP657" s="26" t="s">
        <v>123</v>
      </c>
    </row>
    <row r="658" spans="1:94" ht="24.75" customHeight="1">
      <c r="A658" s="48" t="s">
        <v>1424</v>
      </c>
      <c r="B658" s="77" t="s">
        <v>5308</v>
      </c>
      <c r="C658" s="17" t="s">
        <v>2927</v>
      </c>
      <c r="D658" s="18" t="s">
        <v>5309</v>
      </c>
      <c r="E658" s="17" t="s">
        <v>2929</v>
      </c>
      <c r="F658" s="17" t="s">
        <v>1426</v>
      </c>
      <c r="G658" s="17" t="s">
        <v>1427</v>
      </c>
      <c r="H658" s="78" t="s">
        <v>5310</v>
      </c>
      <c r="I658" s="74" t="s">
        <v>5311</v>
      </c>
      <c r="J658" s="16" t="s">
        <v>5312</v>
      </c>
      <c r="K658" s="16">
        <v>2953976</v>
      </c>
      <c r="L658" s="20" t="s">
        <v>5291</v>
      </c>
      <c r="M658" s="16"/>
      <c r="N658" s="115">
        <v>45350</v>
      </c>
      <c r="O658" s="115">
        <v>45350</v>
      </c>
      <c r="P658" s="115">
        <v>45716</v>
      </c>
      <c r="Q658" s="23">
        <f t="shared" si="279"/>
        <v>366</v>
      </c>
      <c r="R658" s="17" t="s">
        <v>2934</v>
      </c>
      <c r="S658" s="117" t="s">
        <v>1424</v>
      </c>
      <c r="T658" s="16" t="s">
        <v>1424</v>
      </c>
      <c r="U658" s="67" t="s">
        <v>1424</v>
      </c>
      <c r="V658" s="16" t="s">
        <v>1424</v>
      </c>
      <c r="W658" s="224">
        <v>0</v>
      </c>
      <c r="X658" s="24"/>
      <c r="Y658" s="24" t="s">
        <v>2935</v>
      </c>
      <c r="Z658" s="24"/>
      <c r="AA658" s="17" t="s">
        <v>406</v>
      </c>
      <c r="AB658" s="23" t="str">
        <f>IFERROR(VLOOKUP(AA658,Listas!$A$1:$C$14,2,FALSE),"")</f>
        <v>EDUARDO ELÍAS BARCHA BOLÍVAR</v>
      </c>
      <c r="AC658" s="23">
        <f>IFERROR(VLOOKUP(AA658,Listas!$A$1:$C$14,3,FALSE),"")</f>
        <v>72133921</v>
      </c>
      <c r="AD658" s="17" t="s">
        <v>1533</v>
      </c>
      <c r="AE658" s="17" t="s">
        <v>1534</v>
      </c>
      <c r="AF658" s="23" t="str">
        <f>IFERROR(VLOOKUP(AE658,Listas!$AD$1:$AF$65,2,FALSE),"")</f>
        <v>ESTEBAN GUERRERO ALVAREZ</v>
      </c>
      <c r="AG658" s="23">
        <f>IFERROR(VLOOKUP(AE658,Listas!$AD$1:$AF$65,3,FALSE),"")</f>
        <v>1032460552</v>
      </c>
      <c r="AH658" s="17" t="s">
        <v>2936</v>
      </c>
      <c r="AI658" s="65"/>
      <c r="AJ658" s="25" t="s">
        <v>1435</v>
      </c>
      <c r="AK658" s="26" t="s">
        <v>2071</v>
      </c>
      <c r="AL658" s="26" t="s">
        <v>2071</v>
      </c>
      <c r="AM658" s="90" t="s">
        <v>1435</v>
      </c>
      <c r="AN658" s="105"/>
      <c r="AO658" s="91" t="str">
        <f t="shared" ca="1" si="280"/>
        <v xml:space="preserve"> </v>
      </c>
      <c r="AP658" s="26" t="s">
        <v>2937</v>
      </c>
      <c r="AQ658" s="26" t="s">
        <v>3453</v>
      </c>
      <c r="AR658" s="89"/>
      <c r="AS658" s="27"/>
      <c r="AT658" s="16"/>
      <c r="AU658" s="27"/>
      <c r="AV658" s="86"/>
      <c r="AW658" s="27"/>
      <c r="AX658" s="27"/>
      <c r="AY658" s="27"/>
      <c r="AZ658" s="27"/>
      <c r="BA658" s="27"/>
      <c r="BB658" s="27">
        <v>45715</v>
      </c>
      <c r="BC658" s="97">
        <v>306</v>
      </c>
      <c r="BD658" s="27"/>
      <c r="BE658" s="16"/>
      <c r="BF658" s="28">
        <f t="shared" si="281"/>
        <v>306</v>
      </c>
      <c r="BG658" s="29"/>
      <c r="BH658" s="27"/>
      <c r="BI658" s="30">
        <f t="shared" si="282"/>
        <v>672</v>
      </c>
      <c r="BJ658" s="31">
        <f t="shared" si="283"/>
        <v>46022</v>
      </c>
      <c r="BK658" s="27">
        <v>45715</v>
      </c>
      <c r="BL658" s="16" t="s">
        <v>5313</v>
      </c>
      <c r="BM658" s="27"/>
      <c r="BN658" s="16"/>
      <c r="BO658" s="27"/>
      <c r="BP658" s="16"/>
      <c r="BQ658" s="27"/>
      <c r="BR658" s="24"/>
      <c r="BS658" s="24"/>
      <c r="BT658" s="32"/>
      <c r="BU658" s="27"/>
      <c r="BV658" s="24"/>
      <c r="BW658" s="24"/>
      <c r="BX658" s="16"/>
      <c r="BY658" s="27"/>
      <c r="BZ658" s="24"/>
      <c r="CA658" s="24"/>
      <c r="CB658" s="16"/>
      <c r="CC658" s="49">
        <f t="shared" si="284"/>
        <v>0</v>
      </c>
      <c r="CD658" s="24"/>
      <c r="CE658" s="49" t="str">
        <f>IFERROR(IF(Y658=0,(W658+CC658)-CD658,IF(Y658&gt;0,(Y658+CC658)-CD658)),"")</f>
        <v/>
      </c>
      <c r="CF658" s="50">
        <v>283976513.11000001</v>
      </c>
      <c r="CG658" s="49" t="str">
        <f t="shared" ca="1" si="277"/>
        <v/>
      </c>
      <c r="CH658" s="33">
        <f t="shared" ca="1" si="285"/>
        <v>0.89291101055806943</v>
      </c>
      <c r="CI658" s="33">
        <f t="shared" ca="1" si="286"/>
        <v>0.89291101055806943</v>
      </c>
      <c r="CJ658" s="36" t="str">
        <f t="shared" ca="1" si="287"/>
        <v/>
      </c>
      <c r="CK658" s="34" t="str">
        <f t="shared" si="288"/>
        <v/>
      </c>
      <c r="CL658" s="21"/>
      <c r="CM658" s="35" t="str">
        <f t="shared" ca="1" si="289"/>
        <v>VIGENTE</v>
      </c>
      <c r="CN658" s="82"/>
      <c r="CP658" s="83" t="s">
        <v>1424</v>
      </c>
    </row>
    <row r="659" spans="1:94" ht="24.75" customHeight="1">
      <c r="A659" s="109" t="s">
        <v>5314</v>
      </c>
      <c r="B659" s="77" t="s">
        <v>5315</v>
      </c>
      <c r="C659" s="17" t="s">
        <v>104</v>
      </c>
      <c r="D659" s="18" t="s">
        <v>5316</v>
      </c>
      <c r="E659" s="17" t="s">
        <v>106</v>
      </c>
      <c r="F659" s="17" t="s">
        <v>107</v>
      </c>
      <c r="G659" s="17" t="s">
        <v>108</v>
      </c>
      <c r="H659" s="78">
        <v>52964151</v>
      </c>
      <c r="I659" s="74" t="s">
        <v>5317</v>
      </c>
      <c r="J659" s="16"/>
      <c r="K659" s="16"/>
      <c r="L659" s="20" t="s">
        <v>5318</v>
      </c>
      <c r="M659" s="16" t="s">
        <v>111</v>
      </c>
      <c r="N659" s="22">
        <v>45355</v>
      </c>
      <c r="O659" s="22">
        <v>45356</v>
      </c>
      <c r="P659" s="115">
        <v>45656</v>
      </c>
      <c r="Q659" s="23">
        <f t="shared" si="279"/>
        <v>300</v>
      </c>
      <c r="R659" s="17" t="s">
        <v>242</v>
      </c>
      <c r="S659" s="117" t="s">
        <v>5319</v>
      </c>
      <c r="T659" s="16" t="s">
        <v>997</v>
      </c>
      <c r="U659" s="67">
        <v>115000000</v>
      </c>
      <c r="V659" s="16" t="s">
        <v>3421</v>
      </c>
      <c r="W659" s="224">
        <v>115000000</v>
      </c>
      <c r="X659" s="24">
        <v>11500000</v>
      </c>
      <c r="Y659" s="24"/>
      <c r="Z659" s="24"/>
      <c r="AA659" s="17" t="s">
        <v>116</v>
      </c>
      <c r="AB659" s="23" t="str">
        <f>IFERROR(VLOOKUP(AA659,Listas!$A$1:$C$14,2,FALSE),"")</f>
        <v>FREDY CÉSPEDES VILLA</v>
      </c>
      <c r="AC659" s="23">
        <f>IFERROR(VLOOKUP(AA659,Listas!$A$1:$C$14,3,FALSE),"")</f>
        <v>93363483</v>
      </c>
      <c r="AD659" s="17" t="s">
        <v>816</v>
      </c>
      <c r="AE659" s="17" t="s">
        <v>1450</v>
      </c>
      <c r="AF659" s="23" t="str">
        <f>IFERROR(VLOOKUP(AE659,Listas!$AD$1:$AF$65,2,FALSE),"")</f>
        <v>LINA MARIA CRUZ SILVA</v>
      </c>
      <c r="AG659" s="23">
        <f>IFERROR(VLOOKUP(AE659,Listas!$AD$1:$AF$65,3,FALSE),"")</f>
        <v>52423537</v>
      </c>
      <c r="AH659" s="17" t="s">
        <v>118</v>
      </c>
      <c r="AI659" s="65" t="s">
        <v>5320</v>
      </c>
      <c r="AJ659" s="25" t="s">
        <v>119</v>
      </c>
      <c r="AK659" s="26" t="s">
        <v>120</v>
      </c>
      <c r="AL659" s="26" t="s">
        <v>120</v>
      </c>
      <c r="AM659" s="90" t="s">
        <v>119</v>
      </c>
      <c r="AN659" s="105">
        <v>30457</v>
      </c>
      <c r="AO659" s="91">
        <f t="shared" ca="1" si="280"/>
        <v>42</v>
      </c>
      <c r="AP659" s="26" t="s">
        <v>121</v>
      </c>
      <c r="AQ659" s="26" t="s">
        <v>515</v>
      </c>
      <c r="AR659" s="89"/>
      <c r="AS659" s="27"/>
      <c r="AT659" s="16"/>
      <c r="AU659" s="27"/>
      <c r="AV659" s="86"/>
      <c r="AW659" s="27"/>
      <c r="AX659" s="27"/>
      <c r="AY659" s="27"/>
      <c r="AZ659" s="27"/>
      <c r="BA659" s="27"/>
      <c r="BB659" s="27"/>
      <c r="BC659" s="97"/>
      <c r="BD659" s="27"/>
      <c r="BE659" s="16"/>
      <c r="BF659" s="28">
        <f t="shared" si="281"/>
        <v>0</v>
      </c>
      <c r="BG659" s="29"/>
      <c r="BH659" s="27"/>
      <c r="BI659" s="30">
        <f t="shared" si="282"/>
        <v>300</v>
      </c>
      <c r="BJ659" s="31">
        <f t="shared" si="283"/>
        <v>45656</v>
      </c>
      <c r="BK659" s="27"/>
      <c r="BL659" s="16"/>
      <c r="BM659" s="27"/>
      <c r="BN659" s="16"/>
      <c r="BO659" s="27"/>
      <c r="BP659" s="16"/>
      <c r="BQ659" s="27"/>
      <c r="BR659" s="24"/>
      <c r="BS659" s="24"/>
      <c r="BT659" s="32"/>
      <c r="BU659" s="27"/>
      <c r="BV659" s="24"/>
      <c r="BW659" s="24"/>
      <c r="BX659" s="16"/>
      <c r="BY659" s="27"/>
      <c r="BZ659" s="24"/>
      <c r="CA659" s="24"/>
      <c r="CB659" s="16"/>
      <c r="CC659" s="49">
        <f t="shared" si="284"/>
        <v>0</v>
      </c>
      <c r="CD659" s="24"/>
      <c r="CE659" s="49">
        <f>IF(Y659=0,(X659+CC659)-CD659,IF(Y659&gt;0,(Y659+CC659)-CD659))</f>
        <v>11500000</v>
      </c>
      <c r="CF659" s="50"/>
      <c r="CG659" s="49">
        <f t="shared" ca="1" si="277"/>
        <v>11500000</v>
      </c>
      <c r="CH659" s="33">
        <f t="shared" ca="1" si="285"/>
        <v>1</v>
      </c>
      <c r="CI659" s="33">
        <f t="shared" ca="1" si="286"/>
        <v>1</v>
      </c>
      <c r="CJ659" s="36">
        <f t="shared" ca="1" si="287"/>
        <v>100</v>
      </c>
      <c r="CK659" s="34">
        <f t="shared" si="288"/>
        <v>0</v>
      </c>
      <c r="CL659" s="21"/>
      <c r="CM659" s="35" t="str">
        <f t="shared" ca="1" si="289"/>
        <v>TERMINADO</v>
      </c>
      <c r="CN659" s="82"/>
      <c r="CO659" s="145" t="s">
        <v>5321</v>
      </c>
      <c r="CP659" s="26" t="s">
        <v>123</v>
      </c>
    </row>
    <row r="660" spans="1:94" ht="24.75" customHeight="1">
      <c r="A660" s="109" t="s">
        <v>5322</v>
      </c>
      <c r="B660" s="77" t="s">
        <v>5323</v>
      </c>
      <c r="C660" s="17" t="s">
        <v>104</v>
      </c>
      <c r="D660" s="18" t="s">
        <v>5324</v>
      </c>
      <c r="E660" s="17" t="s">
        <v>106</v>
      </c>
      <c r="F660" s="17" t="s">
        <v>1426</v>
      </c>
      <c r="G660" s="17" t="s">
        <v>1427</v>
      </c>
      <c r="H660" s="78" t="s">
        <v>5325</v>
      </c>
      <c r="I660" s="74" t="s">
        <v>5326</v>
      </c>
      <c r="J660" s="16" t="s">
        <v>5327</v>
      </c>
      <c r="K660" s="16">
        <v>88159098</v>
      </c>
      <c r="L660" s="20" t="s">
        <v>5328</v>
      </c>
      <c r="M660" s="16" t="s">
        <v>111</v>
      </c>
      <c r="N660" s="115">
        <v>45350</v>
      </c>
      <c r="O660" s="22">
        <v>45352</v>
      </c>
      <c r="P660" s="115">
        <v>46446</v>
      </c>
      <c r="Q660" s="23">
        <f t="shared" si="279"/>
        <v>1094</v>
      </c>
      <c r="R660" s="17" t="s">
        <v>112</v>
      </c>
      <c r="S660" s="117" t="s">
        <v>5329</v>
      </c>
      <c r="T660" s="16" t="s">
        <v>5330</v>
      </c>
      <c r="U660" s="67">
        <v>42696918820</v>
      </c>
      <c r="V660" s="16" t="s">
        <v>5331</v>
      </c>
      <c r="W660" s="224">
        <v>41891078820</v>
      </c>
      <c r="X660" s="24"/>
      <c r="Y660" s="24"/>
      <c r="Z660" s="24"/>
      <c r="AA660" s="17" t="s">
        <v>116</v>
      </c>
      <c r="AB660" s="23" t="str">
        <f>IFERROR(VLOOKUP(AA660,Listas!$A$1:$C$14,2,FALSE),"")</f>
        <v>FREDY CÉSPEDES VILLA</v>
      </c>
      <c r="AC660" s="23">
        <f>IFERROR(VLOOKUP(AA660,Listas!$A$1:$C$14,3,FALSE),"")</f>
        <v>93363483</v>
      </c>
      <c r="AD660" s="17" t="s">
        <v>816</v>
      </c>
      <c r="AE660" s="17" t="s">
        <v>1450</v>
      </c>
      <c r="AF660" s="23" t="str">
        <f>IFERROR(VLOOKUP(AE660,Listas!$AD$1:$AF$65,2,FALSE),"")</f>
        <v>LINA MARIA CRUZ SILVA</v>
      </c>
      <c r="AG660" s="23">
        <f>IFERROR(VLOOKUP(AE660,Listas!$AD$1:$AF$65,3,FALSE),"")</f>
        <v>52423537</v>
      </c>
      <c r="AH660" s="17" t="s">
        <v>118</v>
      </c>
      <c r="AI660" s="65"/>
      <c r="AJ660" s="25" t="s">
        <v>1435</v>
      </c>
      <c r="AK660" s="26" t="s">
        <v>2071</v>
      </c>
      <c r="AL660" s="26" t="s">
        <v>2071</v>
      </c>
      <c r="AM660" s="90" t="s">
        <v>1435</v>
      </c>
      <c r="AN660" s="105"/>
      <c r="AO660" s="91" t="str">
        <f t="shared" ca="1" si="280"/>
        <v xml:space="preserve"> </v>
      </c>
      <c r="AP660" s="26" t="s">
        <v>121</v>
      </c>
      <c r="AQ660" s="26" t="s">
        <v>1272</v>
      </c>
      <c r="AR660" s="89"/>
      <c r="AS660" s="27"/>
      <c r="AT660" s="16"/>
      <c r="AU660" s="27"/>
      <c r="AV660" s="86"/>
      <c r="AW660" s="27"/>
      <c r="AX660" s="27"/>
      <c r="AY660" s="27"/>
      <c r="AZ660" s="27"/>
      <c r="BA660" s="27"/>
      <c r="BB660" s="27"/>
      <c r="BC660" s="97"/>
      <c r="BD660" s="27"/>
      <c r="BE660" s="16"/>
      <c r="BF660" s="28">
        <f t="shared" si="281"/>
        <v>0</v>
      </c>
      <c r="BG660" s="29"/>
      <c r="BH660" s="27"/>
      <c r="BI660" s="30">
        <f t="shared" si="282"/>
        <v>1094</v>
      </c>
      <c r="BJ660" s="31">
        <f t="shared" si="283"/>
        <v>46446</v>
      </c>
      <c r="BK660" s="27"/>
      <c r="BL660" s="16"/>
      <c r="BM660" s="27"/>
      <c r="BN660" s="16"/>
      <c r="BO660" s="27"/>
      <c r="BP660" s="16"/>
      <c r="BQ660" s="27"/>
      <c r="BR660" s="24"/>
      <c r="BS660" s="24"/>
      <c r="BT660" s="32"/>
      <c r="BU660" s="27"/>
      <c r="BV660" s="24"/>
      <c r="BW660" s="24"/>
      <c r="BX660" s="16"/>
      <c r="BY660" s="27"/>
      <c r="BZ660" s="24"/>
      <c r="CA660" s="24"/>
      <c r="CB660" s="16"/>
      <c r="CC660" s="49">
        <f t="shared" si="284"/>
        <v>0</v>
      </c>
      <c r="CD660" s="24"/>
      <c r="CE660" s="49">
        <f t="shared" ref="CE660:CE664" si="290">IF(Y660=0,(W660+CC660)-CD660,IF(Y660&gt;0,(Y660+CC660)-CD660))</f>
        <v>41891078820</v>
      </c>
      <c r="CF660" s="50"/>
      <c r="CG660" s="49">
        <f t="shared" ca="1" si="277"/>
        <v>22974997524.680073</v>
      </c>
      <c r="CH660" s="33">
        <f t="shared" ca="1" si="285"/>
        <v>0.5468895078922934</v>
      </c>
      <c r="CI660" s="33">
        <f t="shared" ca="1" si="286"/>
        <v>0.5468895078922934</v>
      </c>
      <c r="CJ660" s="36">
        <f t="shared" ca="1" si="287"/>
        <v>54.844606946983546</v>
      </c>
      <c r="CK660" s="34">
        <f t="shared" si="288"/>
        <v>0</v>
      </c>
      <c r="CL660" s="21"/>
      <c r="CM660" s="35" t="str">
        <f t="shared" ca="1" si="289"/>
        <v>VIGENTE</v>
      </c>
      <c r="CN660" s="82"/>
      <c r="CO660" s="145" t="s">
        <v>5332</v>
      </c>
      <c r="CP660" s="83" t="s">
        <v>1424</v>
      </c>
    </row>
    <row r="661" spans="1:94" ht="24.75" customHeight="1">
      <c r="A661" s="109" t="s">
        <v>5333</v>
      </c>
      <c r="B661" s="77" t="s">
        <v>5334</v>
      </c>
      <c r="C661" s="17" t="s">
        <v>104</v>
      </c>
      <c r="D661" s="18" t="s">
        <v>5335</v>
      </c>
      <c r="E661" s="17" t="s">
        <v>106</v>
      </c>
      <c r="F661" s="17" t="s">
        <v>107</v>
      </c>
      <c r="G661" s="17" t="s">
        <v>108</v>
      </c>
      <c r="H661" s="78">
        <v>79852035</v>
      </c>
      <c r="I661" s="74" t="s">
        <v>5336</v>
      </c>
      <c r="J661" s="16"/>
      <c r="K661" s="16"/>
      <c r="L661" s="20" t="s">
        <v>3411</v>
      </c>
      <c r="M661" s="16" t="s">
        <v>111</v>
      </c>
      <c r="N661" s="115">
        <v>45351</v>
      </c>
      <c r="O661" s="22">
        <v>45355</v>
      </c>
      <c r="P661" s="115">
        <v>45656</v>
      </c>
      <c r="Q661" s="23">
        <f t="shared" si="279"/>
        <v>301</v>
      </c>
      <c r="R661" s="17" t="s">
        <v>242</v>
      </c>
      <c r="S661" s="117" t="s">
        <v>5337</v>
      </c>
      <c r="T661" s="16" t="s">
        <v>2751</v>
      </c>
      <c r="U661" s="67">
        <v>56300807</v>
      </c>
      <c r="V661" s="16" t="s">
        <v>344</v>
      </c>
      <c r="W661" s="224">
        <v>56300807</v>
      </c>
      <c r="X661" s="24">
        <v>5026858</v>
      </c>
      <c r="Y661" s="24"/>
      <c r="Z661" s="24"/>
      <c r="AA661" s="17" t="s">
        <v>116</v>
      </c>
      <c r="AB661" s="23" t="str">
        <f>IFERROR(VLOOKUP(AA661,Listas!$A$1:$C$14,2,FALSE),"")</f>
        <v>FREDY CÉSPEDES VILLA</v>
      </c>
      <c r="AC661" s="23">
        <f>IFERROR(VLOOKUP(AA661,Listas!$A$1:$C$14,3,FALSE),"")</f>
        <v>93363483</v>
      </c>
      <c r="AD661" s="17" t="s">
        <v>345</v>
      </c>
      <c r="AE661" s="17" t="s">
        <v>346</v>
      </c>
      <c r="AF661" s="23" t="str">
        <f>IFERROR(VLOOKUP(AE661,Listas!$AD$1:$AF$65,2,FALSE),"")</f>
        <v>RODOLFO GIOVANNI CANCHILA SUÁREZ</v>
      </c>
      <c r="AG661" s="23">
        <f>IFERROR(VLOOKUP(AE661,Listas!$AD$1:$AF$65,3,FALSE),"")</f>
        <v>79672493</v>
      </c>
      <c r="AH661" s="17" t="s">
        <v>118</v>
      </c>
      <c r="AI661" s="65" t="s">
        <v>5338</v>
      </c>
      <c r="AJ661" s="25" t="s">
        <v>119</v>
      </c>
      <c r="AK661" s="26" t="s">
        <v>120</v>
      </c>
      <c r="AL661" s="26" t="s">
        <v>120</v>
      </c>
      <c r="AM661" s="90" t="s">
        <v>119</v>
      </c>
      <c r="AN661" s="105">
        <v>28187</v>
      </c>
      <c r="AO661" s="91">
        <f t="shared" ca="1" si="280"/>
        <v>48</v>
      </c>
      <c r="AP661" s="26" t="s">
        <v>121</v>
      </c>
      <c r="AQ661" s="26" t="s">
        <v>367</v>
      </c>
      <c r="AR661" s="89"/>
      <c r="AS661" s="27"/>
      <c r="AT661" s="16"/>
      <c r="AU661" s="27"/>
      <c r="AV661" s="86"/>
      <c r="AW661" s="27"/>
      <c r="AX661" s="27"/>
      <c r="AY661" s="27"/>
      <c r="AZ661" s="27"/>
      <c r="BA661" s="27"/>
      <c r="BB661" s="27"/>
      <c r="BC661" s="97"/>
      <c r="BD661" s="27"/>
      <c r="BE661" s="16"/>
      <c r="BF661" s="28">
        <f t="shared" si="281"/>
        <v>0</v>
      </c>
      <c r="BG661" s="29"/>
      <c r="BH661" s="27"/>
      <c r="BI661" s="30">
        <f t="shared" si="282"/>
        <v>301</v>
      </c>
      <c r="BJ661" s="31">
        <f t="shared" si="283"/>
        <v>45656</v>
      </c>
      <c r="BK661" s="27"/>
      <c r="BL661" s="16"/>
      <c r="BM661" s="27"/>
      <c r="BN661" s="16"/>
      <c r="BO661" s="27"/>
      <c r="BP661" s="16"/>
      <c r="BQ661" s="27"/>
      <c r="BR661" s="24"/>
      <c r="BS661" s="24"/>
      <c r="BT661" s="32"/>
      <c r="BU661" s="27"/>
      <c r="BV661" s="24"/>
      <c r="BW661" s="24"/>
      <c r="BX661" s="16"/>
      <c r="BY661" s="27"/>
      <c r="BZ661" s="24"/>
      <c r="CA661" s="24"/>
      <c r="CB661" s="16"/>
      <c r="CC661" s="49">
        <f t="shared" si="284"/>
        <v>0</v>
      </c>
      <c r="CD661" s="24"/>
      <c r="CE661" s="49">
        <f t="shared" si="290"/>
        <v>56300807</v>
      </c>
      <c r="CF661" s="50">
        <v>1114400</v>
      </c>
      <c r="CG661" s="49">
        <f t="shared" ca="1" si="277"/>
        <v>56300807</v>
      </c>
      <c r="CH661" s="33">
        <f t="shared" ca="1" si="285"/>
        <v>1</v>
      </c>
      <c r="CI661" s="33">
        <f t="shared" ca="1" si="286"/>
        <v>1</v>
      </c>
      <c r="CJ661" s="36">
        <f t="shared" ca="1" si="287"/>
        <v>100</v>
      </c>
      <c r="CK661" s="34">
        <f t="shared" si="288"/>
        <v>1.9793677202531039</v>
      </c>
      <c r="CL661" s="21"/>
      <c r="CM661" s="35" t="str">
        <f t="shared" ca="1" si="289"/>
        <v>TERMINADO</v>
      </c>
      <c r="CN661" s="82"/>
      <c r="CO661" s="145" t="s">
        <v>5339</v>
      </c>
      <c r="CP661" s="26" t="s">
        <v>142</v>
      </c>
    </row>
    <row r="662" spans="1:94" ht="24.75" customHeight="1">
      <c r="A662" s="48" t="s">
        <v>1424</v>
      </c>
      <c r="B662" s="77" t="s">
        <v>5340</v>
      </c>
      <c r="C662" s="17" t="s">
        <v>2927</v>
      </c>
      <c r="D662" s="18" t="s">
        <v>5341</v>
      </c>
      <c r="E662" s="17" t="s">
        <v>2929</v>
      </c>
      <c r="F662" s="17" t="s">
        <v>1426</v>
      </c>
      <c r="G662" s="17" t="s">
        <v>1427</v>
      </c>
      <c r="H662" s="78" t="s">
        <v>5342</v>
      </c>
      <c r="I662" s="74" t="s">
        <v>5343</v>
      </c>
      <c r="J662" s="16" t="s">
        <v>5344</v>
      </c>
      <c r="K662" s="16">
        <v>80412122</v>
      </c>
      <c r="L662" s="20" t="s">
        <v>5291</v>
      </c>
      <c r="M662" s="16"/>
      <c r="N662" s="115">
        <v>45351</v>
      </c>
      <c r="O662" s="22">
        <v>45351</v>
      </c>
      <c r="P662" s="115">
        <v>45716</v>
      </c>
      <c r="Q662" s="23">
        <f t="shared" si="279"/>
        <v>365</v>
      </c>
      <c r="R662" s="17" t="s">
        <v>2934</v>
      </c>
      <c r="S662" s="117" t="s">
        <v>1424</v>
      </c>
      <c r="T662" s="16" t="s">
        <v>1424</v>
      </c>
      <c r="U662" s="67" t="s">
        <v>1424</v>
      </c>
      <c r="V662" s="16" t="s">
        <v>1424</v>
      </c>
      <c r="W662" s="224">
        <v>0</v>
      </c>
      <c r="X662" s="24"/>
      <c r="Y662" s="24" t="s">
        <v>2935</v>
      </c>
      <c r="Z662" s="24"/>
      <c r="AA662" s="17" t="s">
        <v>406</v>
      </c>
      <c r="AB662" s="23" t="str">
        <f>IFERROR(VLOOKUP(AA662,Listas!$A$1:$C$14,2,FALSE),"")</f>
        <v>EDUARDO ELÍAS BARCHA BOLÍVAR</v>
      </c>
      <c r="AC662" s="23">
        <f>IFERROR(VLOOKUP(AA662,Listas!$A$1:$C$14,3,FALSE),"")</f>
        <v>72133921</v>
      </c>
      <c r="AD662" s="17" t="s">
        <v>4680</v>
      </c>
      <c r="AE662" s="17" t="s">
        <v>4681</v>
      </c>
      <c r="AF662" s="23" t="s">
        <v>5345</v>
      </c>
      <c r="AG662" s="23" t="s">
        <v>4683</v>
      </c>
      <c r="AH662" s="17" t="s">
        <v>2936</v>
      </c>
      <c r="AI662" s="65"/>
      <c r="AJ662" s="25" t="s">
        <v>1435</v>
      </c>
      <c r="AK662" s="26" t="s">
        <v>2071</v>
      </c>
      <c r="AL662" s="26" t="s">
        <v>2071</v>
      </c>
      <c r="AM662" s="90" t="s">
        <v>1435</v>
      </c>
      <c r="AN662" s="105"/>
      <c r="AO662" s="91" t="str">
        <f t="shared" ca="1" si="280"/>
        <v xml:space="preserve"> </v>
      </c>
      <c r="AP662" s="26" t="s">
        <v>2937</v>
      </c>
      <c r="AQ662" s="26" t="s">
        <v>3067</v>
      </c>
      <c r="AR662" s="89"/>
      <c r="AS662" s="27"/>
      <c r="AT662" s="16"/>
      <c r="AU662" s="27"/>
      <c r="AV662" s="86"/>
      <c r="AW662" s="27"/>
      <c r="AX662" s="27"/>
      <c r="AY662" s="27"/>
      <c r="AZ662" s="27"/>
      <c r="BA662" s="27"/>
      <c r="BB662" s="27">
        <v>45653</v>
      </c>
      <c r="BC662" s="97">
        <v>306</v>
      </c>
      <c r="BD662" s="27"/>
      <c r="BE662" s="16"/>
      <c r="BF662" s="28">
        <f t="shared" si="281"/>
        <v>306</v>
      </c>
      <c r="BG662" s="29"/>
      <c r="BH662" s="27"/>
      <c r="BI662" s="30">
        <f t="shared" si="282"/>
        <v>671</v>
      </c>
      <c r="BJ662" s="31">
        <f t="shared" si="283"/>
        <v>46022</v>
      </c>
      <c r="BK662" s="27">
        <v>45653</v>
      </c>
      <c r="BL662" s="16" t="s">
        <v>5346</v>
      </c>
      <c r="BM662" s="27"/>
      <c r="BN662" s="16"/>
      <c r="BO662" s="27"/>
      <c r="BP662" s="16"/>
      <c r="BQ662" s="27"/>
      <c r="BR662" s="24"/>
      <c r="BS662" s="24"/>
      <c r="BT662" s="32"/>
      <c r="BU662" s="27"/>
      <c r="BV662" s="24"/>
      <c r="BW662" s="24"/>
      <c r="BX662" s="16"/>
      <c r="BY662" s="27"/>
      <c r="BZ662" s="24"/>
      <c r="CA662" s="24"/>
      <c r="CB662" s="16"/>
      <c r="CC662" s="49">
        <f t="shared" si="284"/>
        <v>0</v>
      </c>
      <c r="CD662" s="24"/>
      <c r="CE662" s="49" t="str">
        <f>IFERROR(IF(Y662=0,(W662+CC662)-CD662,IF(Y662&gt;0,(Y662+CC662)-CD662)),"")</f>
        <v/>
      </c>
      <c r="CF662" s="50">
        <v>1775852409.02</v>
      </c>
      <c r="CG662" s="49" t="str">
        <f t="shared" ca="1" si="277"/>
        <v/>
      </c>
      <c r="CH662" s="33">
        <f t="shared" ca="1" si="285"/>
        <v>0.89393939393939392</v>
      </c>
      <c r="CI662" s="33">
        <f t="shared" ca="1" si="286"/>
        <v>0.89393939393939392</v>
      </c>
      <c r="CJ662" s="36" t="str">
        <f t="shared" ca="1" si="287"/>
        <v/>
      </c>
      <c r="CK662" s="34" t="str">
        <f t="shared" si="288"/>
        <v/>
      </c>
      <c r="CL662" s="21"/>
      <c r="CM662" s="35" t="str">
        <f t="shared" ca="1" si="289"/>
        <v>VIGENTE</v>
      </c>
      <c r="CN662" s="82"/>
      <c r="CP662" s="83" t="s">
        <v>1424</v>
      </c>
    </row>
    <row r="663" spans="1:94" ht="24.75" customHeight="1">
      <c r="A663" s="109" t="s">
        <v>5347</v>
      </c>
      <c r="B663" s="77" t="s">
        <v>5348</v>
      </c>
      <c r="C663" s="17" t="s">
        <v>104</v>
      </c>
      <c r="D663" s="18" t="s">
        <v>5349</v>
      </c>
      <c r="E663" s="17" t="s">
        <v>106</v>
      </c>
      <c r="F663" s="17" t="s">
        <v>107</v>
      </c>
      <c r="G663" s="17" t="s">
        <v>108</v>
      </c>
      <c r="H663" s="78">
        <v>1018411531</v>
      </c>
      <c r="I663" s="74" t="s">
        <v>5350</v>
      </c>
      <c r="J663" s="16"/>
      <c r="K663" s="16"/>
      <c r="L663" s="20" t="s">
        <v>5351</v>
      </c>
      <c r="M663" s="16" t="s">
        <v>111</v>
      </c>
      <c r="N663" s="115">
        <v>45351</v>
      </c>
      <c r="O663" s="22">
        <v>45355</v>
      </c>
      <c r="P663" s="115">
        <v>45656</v>
      </c>
      <c r="Q663" s="23">
        <f t="shared" si="279"/>
        <v>301</v>
      </c>
      <c r="R663" s="17" t="s">
        <v>242</v>
      </c>
      <c r="S663" s="117" t="s">
        <v>5352</v>
      </c>
      <c r="T663" s="16" t="s">
        <v>997</v>
      </c>
      <c r="U663" s="67">
        <v>109893333</v>
      </c>
      <c r="V663" s="16" t="s">
        <v>3421</v>
      </c>
      <c r="W663" s="224">
        <v>109893333</v>
      </c>
      <c r="X663" s="24">
        <v>10400000</v>
      </c>
      <c r="Y663" s="24"/>
      <c r="Z663" s="24"/>
      <c r="AA663" s="17" t="s">
        <v>116</v>
      </c>
      <c r="AB663" s="23" t="str">
        <f>IFERROR(VLOOKUP(AA663,Listas!$A$1:$C$14,2,FALSE),"")</f>
        <v>FREDY CÉSPEDES VILLA</v>
      </c>
      <c r="AC663" s="23">
        <f>IFERROR(VLOOKUP(AA663,Listas!$A$1:$C$14,3,FALSE),"")</f>
        <v>93363483</v>
      </c>
      <c r="AD663" s="17" t="s">
        <v>816</v>
      </c>
      <c r="AE663" s="17" t="s">
        <v>1450</v>
      </c>
      <c r="AF663" s="23" t="str">
        <f>IFERROR(VLOOKUP(AE663,Listas!$AD$1:$AF$65,2,FALSE),"")</f>
        <v>LINA MARIA CRUZ SILVA</v>
      </c>
      <c r="AG663" s="23">
        <f>IFERROR(VLOOKUP(AE663,Listas!$AD$1:$AF$65,3,FALSE),"")</f>
        <v>52423537</v>
      </c>
      <c r="AH663" s="17" t="s">
        <v>118</v>
      </c>
      <c r="AI663" s="65" t="s">
        <v>5353</v>
      </c>
      <c r="AJ663" s="25" t="s">
        <v>119</v>
      </c>
      <c r="AK663" s="26" t="s">
        <v>120</v>
      </c>
      <c r="AL663" s="26" t="s">
        <v>120</v>
      </c>
      <c r="AM663" s="90" t="s">
        <v>119</v>
      </c>
      <c r="AN663" s="105">
        <v>31874</v>
      </c>
      <c r="AO663" s="91">
        <f t="shared" ca="1" si="280"/>
        <v>38</v>
      </c>
      <c r="AP663" s="26" t="s">
        <v>121</v>
      </c>
      <c r="AQ663" s="26" t="s">
        <v>1641</v>
      </c>
      <c r="AR663" s="89"/>
      <c r="AS663" s="27"/>
      <c r="AT663" s="16"/>
      <c r="AU663" s="27"/>
      <c r="AV663" s="86"/>
      <c r="AW663" s="27"/>
      <c r="AX663" s="27"/>
      <c r="AY663" s="27"/>
      <c r="AZ663" s="27"/>
      <c r="BA663" s="27"/>
      <c r="BB663" s="27"/>
      <c r="BC663" s="97"/>
      <c r="BD663" s="27"/>
      <c r="BE663" s="16"/>
      <c r="BF663" s="28">
        <f t="shared" si="281"/>
        <v>0</v>
      </c>
      <c r="BG663" s="29"/>
      <c r="BH663" s="27"/>
      <c r="BI663" s="30">
        <f t="shared" si="282"/>
        <v>301</v>
      </c>
      <c r="BJ663" s="31">
        <f t="shared" si="283"/>
        <v>45656</v>
      </c>
      <c r="BK663" s="27"/>
      <c r="BL663" s="16"/>
      <c r="BM663" s="27"/>
      <c r="BN663" s="16"/>
      <c r="BO663" s="27"/>
      <c r="BP663" s="16"/>
      <c r="BQ663" s="27"/>
      <c r="BR663" s="24"/>
      <c r="BS663" s="24"/>
      <c r="BT663" s="32"/>
      <c r="BU663" s="27"/>
      <c r="BV663" s="24"/>
      <c r="BW663" s="24"/>
      <c r="BX663" s="16"/>
      <c r="BY663" s="27"/>
      <c r="BZ663" s="24"/>
      <c r="CA663" s="24"/>
      <c r="CB663" s="16"/>
      <c r="CC663" s="49">
        <f t="shared" si="284"/>
        <v>0</v>
      </c>
      <c r="CD663" s="24"/>
      <c r="CE663" s="49">
        <f t="shared" si="290"/>
        <v>109893333</v>
      </c>
      <c r="CF663" s="50"/>
      <c r="CG663" s="49">
        <f t="shared" ca="1" si="277"/>
        <v>109893333</v>
      </c>
      <c r="CH663" s="33">
        <f ca="1">IF(TODAY()&gt;BJ663,1,+(DAYS360(O664,TODAY())/DAYS360(O664,BJ663)))</f>
        <v>1</v>
      </c>
      <c r="CI663" s="33">
        <f ca="1">+IF(CL663&gt;0,DAYS360(O664,CL663)/DAYS360(O664,BJ663),CH663)</f>
        <v>1</v>
      </c>
      <c r="CJ663" s="36">
        <f t="shared" ca="1" si="287"/>
        <v>100</v>
      </c>
      <c r="CK663" s="34">
        <f t="shared" si="288"/>
        <v>0</v>
      </c>
      <c r="CL663" s="21"/>
      <c r="CM663" s="35" t="str">
        <f t="shared" ca="1" si="289"/>
        <v>TERMINADO</v>
      </c>
      <c r="CN663" s="82"/>
      <c r="CO663" s="145" t="s">
        <v>5354</v>
      </c>
      <c r="CP663" s="26" t="s">
        <v>123</v>
      </c>
    </row>
    <row r="664" spans="1:94" ht="24.75" customHeight="1">
      <c r="A664" s="109" t="s">
        <v>5355</v>
      </c>
      <c r="B664" s="77" t="s">
        <v>5356</v>
      </c>
      <c r="C664" s="17" t="s">
        <v>104</v>
      </c>
      <c r="D664" s="18" t="s">
        <v>5357</v>
      </c>
      <c r="E664" s="17" t="s">
        <v>106</v>
      </c>
      <c r="F664" s="17" t="s">
        <v>107</v>
      </c>
      <c r="G664" s="17" t="s">
        <v>108</v>
      </c>
      <c r="H664" s="78">
        <v>1075236227</v>
      </c>
      <c r="I664" s="74" t="s">
        <v>5358</v>
      </c>
      <c r="J664" s="16"/>
      <c r="K664" s="16"/>
      <c r="L664" s="20" t="s">
        <v>5359</v>
      </c>
      <c r="M664" s="16" t="s">
        <v>111</v>
      </c>
      <c r="N664" s="115">
        <v>45351</v>
      </c>
      <c r="O664" s="22">
        <v>45359</v>
      </c>
      <c r="P664" s="115">
        <v>45656</v>
      </c>
      <c r="Q664" s="23">
        <f t="shared" si="279"/>
        <v>297</v>
      </c>
      <c r="R664" s="17" t="s">
        <v>242</v>
      </c>
      <c r="S664" s="117" t="s">
        <v>5360</v>
      </c>
      <c r="T664" s="16" t="s">
        <v>997</v>
      </c>
      <c r="U664" s="67">
        <v>83200000</v>
      </c>
      <c r="V664" s="16" t="s">
        <v>3421</v>
      </c>
      <c r="W664" s="224">
        <v>83200000</v>
      </c>
      <c r="X664" s="24">
        <v>8000000</v>
      </c>
      <c r="Y664" s="24"/>
      <c r="Z664" s="24"/>
      <c r="AA664" s="17" t="s">
        <v>116</v>
      </c>
      <c r="AB664" s="23" t="str">
        <f>IFERROR(VLOOKUP(AA664,Listas!$A$1:$C$14,2,FALSE),"")</f>
        <v>FREDY CÉSPEDES VILLA</v>
      </c>
      <c r="AC664" s="23">
        <f>IFERROR(VLOOKUP(AA664,Listas!$A$1:$C$14,3,FALSE),"")</f>
        <v>93363483</v>
      </c>
      <c r="AD664" s="17" t="s">
        <v>816</v>
      </c>
      <c r="AE664" s="17" t="s">
        <v>2835</v>
      </c>
      <c r="AF664" s="23" t="str">
        <f>IFERROR(VLOOKUP(AE664,Listas!$AD$1:$AF$65,2,FALSE),"")</f>
        <v>GUILLERMO ANDRES CARDONA HERRERA</v>
      </c>
      <c r="AG664" s="23">
        <f>IFERROR(VLOOKUP(AE664,Listas!$AD$1:$AF$65,3,FALSE),"")</f>
        <v>80018909</v>
      </c>
      <c r="AH664" s="17" t="s">
        <v>118</v>
      </c>
      <c r="AI664" s="65" t="s">
        <v>5361</v>
      </c>
      <c r="AJ664" s="25" t="s">
        <v>119</v>
      </c>
      <c r="AK664" s="26" t="s">
        <v>120</v>
      </c>
      <c r="AL664" s="26" t="s">
        <v>120</v>
      </c>
      <c r="AM664" s="90" t="s">
        <v>119</v>
      </c>
      <c r="AN664" s="105">
        <v>32579</v>
      </c>
      <c r="AO664" s="91">
        <f t="shared" ca="1" si="280"/>
        <v>36</v>
      </c>
      <c r="AP664" s="26" t="s">
        <v>121</v>
      </c>
      <c r="AQ664" s="26" t="s">
        <v>1641</v>
      </c>
      <c r="AR664" s="89"/>
      <c r="AS664" s="27"/>
      <c r="AT664" s="16"/>
      <c r="AU664" s="27"/>
      <c r="AV664" s="86"/>
      <c r="AW664" s="27"/>
      <c r="AX664" s="27"/>
      <c r="AY664" s="27"/>
      <c r="AZ664" s="27"/>
      <c r="BA664" s="27"/>
      <c r="BB664" s="27"/>
      <c r="BC664" s="97"/>
      <c r="BD664" s="27"/>
      <c r="BE664" s="16"/>
      <c r="BF664" s="28">
        <f t="shared" si="281"/>
        <v>0</v>
      </c>
      <c r="BG664" s="29"/>
      <c r="BH664" s="27"/>
      <c r="BI664" s="30">
        <f t="shared" si="282"/>
        <v>297</v>
      </c>
      <c r="BJ664" s="31">
        <f t="shared" si="283"/>
        <v>45656</v>
      </c>
      <c r="BK664" s="27"/>
      <c r="BL664" s="16"/>
      <c r="BM664" s="27"/>
      <c r="BN664" s="16"/>
      <c r="BO664" s="27"/>
      <c r="BP664" s="16"/>
      <c r="BQ664" s="27"/>
      <c r="BR664" s="24"/>
      <c r="BS664" s="24"/>
      <c r="BT664" s="32"/>
      <c r="BU664" s="27"/>
      <c r="BV664" s="24"/>
      <c r="BW664" s="24"/>
      <c r="BX664" s="16"/>
      <c r="BY664" s="27"/>
      <c r="BZ664" s="24"/>
      <c r="CA664" s="24"/>
      <c r="CB664" s="16"/>
      <c r="CC664" s="49">
        <f t="shared" si="284"/>
        <v>0</v>
      </c>
      <c r="CD664" s="24"/>
      <c r="CE664" s="49">
        <f t="shared" si="290"/>
        <v>83200000</v>
      </c>
      <c r="CF664" s="50"/>
      <c r="CG664" s="49">
        <f t="shared" ca="1" si="277"/>
        <v>83200000</v>
      </c>
      <c r="CH664" s="33">
        <f ca="1">IF(TODAY()&gt;BJ664,1,+(DAYS360(O665,TODAY())/DAYS360(O665,BJ664)))</f>
        <v>1</v>
      </c>
      <c r="CI664" s="33">
        <f ca="1">+IF(CL664&gt;0,DAYS360(#REF!,CL664)/DAYS360(#REF!,BJ664),CH664)</f>
        <v>1</v>
      </c>
      <c r="CJ664" s="36">
        <f t="shared" ca="1" si="287"/>
        <v>100</v>
      </c>
      <c r="CK664" s="34">
        <f t="shared" si="288"/>
        <v>0</v>
      </c>
      <c r="CL664" s="21"/>
      <c r="CM664" s="35" t="str">
        <f t="shared" ca="1" si="289"/>
        <v>TERMINADO</v>
      </c>
      <c r="CN664" s="82"/>
      <c r="CO664" s="145" t="s">
        <v>5362</v>
      </c>
      <c r="CP664" s="26" t="s">
        <v>142</v>
      </c>
    </row>
    <row r="665" spans="1:94" ht="24.75" customHeight="1">
      <c r="A665" s="48" t="s">
        <v>1424</v>
      </c>
      <c r="B665" s="77" t="s">
        <v>5363</v>
      </c>
      <c r="C665" s="17" t="s">
        <v>2927</v>
      </c>
      <c r="D665" s="18" t="s">
        <v>5364</v>
      </c>
      <c r="E665" s="17" t="s">
        <v>2929</v>
      </c>
      <c r="F665" s="17" t="s">
        <v>1426</v>
      </c>
      <c r="G665" s="17" t="s">
        <v>1427</v>
      </c>
      <c r="H665" s="78" t="s">
        <v>5365</v>
      </c>
      <c r="I665" s="74" t="s">
        <v>5366</v>
      </c>
      <c r="J665" s="16" t="s">
        <v>5367</v>
      </c>
      <c r="K665" s="16">
        <v>17139367</v>
      </c>
      <c r="L665" s="20" t="s">
        <v>5291</v>
      </c>
      <c r="M665" s="16"/>
      <c r="N665" s="115">
        <v>45351</v>
      </c>
      <c r="O665" s="22">
        <v>45351</v>
      </c>
      <c r="P665" s="115">
        <v>45716</v>
      </c>
      <c r="Q665" s="23">
        <f t="shared" si="279"/>
        <v>365</v>
      </c>
      <c r="R665" s="17" t="s">
        <v>2934</v>
      </c>
      <c r="S665" s="117" t="s">
        <v>1424</v>
      </c>
      <c r="T665" s="16" t="s">
        <v>1424</v>
      </c>
      <c r="U665" s="67" t="s">
        <v>1424</v>
      </c>
      <c r="V665" s="16" t="s">
        <v>1424</v>
      </c>
      <c r="W665" s="224">
        <v>0</v>
      </c>
      <c r="X665" s="24"/>
      <c r="Y665" s="24" t="s">
        <v>2935</v>
      </c>
      <c r="Z665" s="24"/>
      <c r="AA665" s="17" t="s">
        <v>406</v>
      </c>
      <c r="AB665" s="23" t="str">
        <f>IFERROR(VLOOKUP(AA665,Listas!$A$1:$C$14,2,FALSE),"")</f>
        <v>EDUARDO ELÍAS BARCHA BOLÍVAR</v>
      </c>
      <c r="AC665" s="23">
        <f>IFERROR(VLOOKUP(AA665,Listas!$A$1:$C$14,3,FALSE),"")</f>
        <v>72133921</v>
      </c>
      <c r="AD665" s="17" t="s">
        <v>1533</v>
      </c>
      <c r="AE665" s="17" t="s">
        <v>1534</v>
      </c>
      <c r="AF665" s="23" t="str">
        <f>IFERROR(VLOOKUP(AE665,Listas!$AD$1:$AF$65,2,FALSE),"")</f>
        <v>ESTEBAN GUERRERO ALVAREZ</v>
      </c>
      <c r="AG665" s="23">
        <f>IFERROR(VLOOKUP(AE665,Listas!$AD$1:$AF$65,3,FALSE),"")</f>
        <v>1032460552</v>
      </c>
      <c r="AH665" s="17" t="s">
        <v>2936</v>
      </c>
      <c r="AI665" s="65"/>
      <c r="AJ665" s="25" t="s">
        <v>1435</v>
      </c>
      <c r="AK665" s="26" t="s">
        <v>2071</v>
      </c>
      <c r="AL665" s="26" t="s">
        <v>2071</v>
      </c>
      <c r="AM665" s="90" t="s">
        <v>1435</v>
      </c>
      <c r="AN665" s="105"/>
      <c r="AO665" s="91" t="str">
        <f t="shared" ca="1" si="280"/>
        <v xml:space="preserve"> </v>
      </c>
      <c r="AP665" s="26" t="s">
        <v>2937</v>
      </c>
      <c r="AQ665" s="26" t="s">
        <v>3133</v>
      </c>
      <c r="AR665" s="89"/>
      <c r="AS665" s="27"/>
      <c r="AT665" s="16"/>
      <c r="AU665" s="27"/>
      <c r="AV665" s="86"/>
      <c r="AW665" s="27"/>
      <c r="AX665" s="27"/>
      <c r="AY665" s="27"/>
      <c r="AZ665" s="27"/>
      <c r="BA665" s="27"/>
      <c r="BB665" s="27">
        <v>45709</v>
      </c>
      <c r="BC665" s="97">
        <v>306</v>
      </c>
      <c r="BD665" s="27"/>
      <c r="BE665" s="16"/>
      <c r="BF665" s="28">
        <f t="shared" si="281"/>
        <v>306</v>
      </c>
      <c r="BG665" s="29"/>
      <c r="BH665" s="27"/>
      <c r="BI665" s="30">
        <f t="shared" si="282"/>
        <v>671</v>
      </c>
      <c r="BJ665" s="31">
        <f t="shared" si="283"/>
        <v>46022</v>
      </c>
      <c r="BK665" s="27">
        <v>45709</v>
      </c>
      <c r="BL665" s="16" t="s">
        <v>5368</v>
      </c>
      <c r="BM665" s="27"/>
      <c r="BN665" s="16"/>
      <c r="BO665" s="27"/>
      <c r="BP665" s="16"/>
      <c r="BQ665" s="27"/>
      <c r="BR665" s="24"/>
      <c r="BS665" s="24"/>
      <c r="BT665" s="32"/>
      <c r="BU665" s="27"/>
      <c r="BV665" s="24"/>
      <c r="BW665" s="24"/>
      <c r="BX665" s="16"/>
      <c r="BY665" s="27"/>
      <c r="BZ665" s="24"/>
      <c r="CA665" s="24"/>
      <c r="CB665" s="16"/>
      <c r="CC665" s="49">
        <f t="shared" si="284"/>
        <v>0</v>
      </c>
      <c r="CD665" s="24"/>
      <c r="CE665" s="49" t="str">
        <f>IFERROR(IF(Y665=0,(W665+CC665)-CD665,IF(Y665&gt;0,(Y665+CC665)-CD665)),"")</f>
        <v/>
      </c>
      <c r="CF665" s="50">
        <v>2354501922</v>
      </c>
      <c r="CG665" s="49" t="str">
        <f t="shared" ca="1" si="277"/>
        <v/>
      </c>
      <c r="CH665" s="33">
        <f t="shared" ref="CH665:CH728" ca="1" si="291">IF(TODAY()&gt;BJ665,1,+(DAYS360(O665,TODAY())/DAYS360(O665,BJ665)))</f>
        <v>0.89393939393939392</v>
      </c>
      <c r="CI665" s="33">
        <f t="shared" ref="CI665:CI728" ca="1" si="292">+IF(CL665&gt;0,DAYS360(O665,CL665)/DAYS360(O665,BJ665),CH665)</f>
        <v>0.89393939393939392</v>
      </c>
      <c r="CJ665" s="36" t="str">
        <f t="shared" ca="1" si="287"/>
        <v/>
      </c>
      <c r="CK665" s="34" t="str">
        <f t="shared" si="288"/>
        <v/>
      </c>
      <c r="CL665" s="21"/>
      <c r="CM665" s="35" t="str">
        <f t="shared" ca="1" si="289"/>
        <v>VIGENTE</v>
      </c>
      <c r="CN665" s="82"/>
      <c r="CP665" s="83" t="s">
        <v>1424</v>
      </c>
    </row>
    <row r="666" spans="1:94" ht="24.75" customHeight="1">
      <c r="A666" s="48" t="s">
        <v>1424</v>
      </c>
      <c r="B666" s="77" t="s">
        <v>5369</v>
      </c>
      <c r="C666" s="17" t="s">
        <v>2927</v>
      </c>
      <c r="D666" s="18" t="s">
        <v>5370</v>
      </c>
      <c r="E666" s="17" t="s">
        <v>2929</v>
      </c>
      <c r="F666" s="17" t="s">
        <v>1426</v>
      </c>
      <c r="G666" s="17" t="s">
        <v>1427</v>
      </c>
      <c r="H666" s="78" t="s">
        <v>5371</v>
      </c>
      <c r="I666" s="74" t="s">
        <v>5372</v>
      </c>
      <c r="J666" s="16" t="s">
        <v>5373</v>
      </c>
      <c r="K666" s="16">
        <v>41749857</v>
      </c>
      <c r="L666" s="20" t="s">
        <v>5291</v>
      </c>
      <c r="M666" s="16"/>
      <c r="N666" s="115">
        <v>45351</v>
      </c>
      <c r="O666" s="22">
        <v>45351</v>
      </c>
      <c r="P666" s="115">
        <v>45716</v>
      </c>
      <c r="Q666" s="23">
        <f t="shared" si="279"/>
        <v>365</v>
      </c>
      <c r="R666" s="17" t="s">
        <v>2934</v>
      </c>
      <c r="S666" s="117" t="s">
        <v>1424</v>
      </c>
      <c r="T666" s="16" t="s">
        <v>1424</v>
      </c>
      <c r="U666" s="67" t="s">
        <v>1424</v>
      </c>
      <c r="V666" s="16" t="s">
        <v>1424</v>
      </c>
      <c r="W666" s="224">
        <v>0</v>
      </c>
      <c r="X666" s="24"/>
      <c r="Y666" s="24" t="s">
        <v>2935</v>
      </c>
      <c r="Z666" s="24"/>
      <c r="AA666" s="17" t="s">
        <v>406</v>
      </c>
      <c r="AB666" s="23" t="str">
        <f>IFERROR(VLOOKUP(AA666,Listas!$A$1:$C$14,2,FALSE),"")</f>
        <v>EDUARDO ELÍAS BARCHA BOLÍVAR</v>
      </c>
      <c r="AC666" s="23">
        <f>IFERROR(VLOOKUP(AA666,Listas!$A$1:$C$14,3,FALSE),"")</f>
        <v>72133921</v>
      </c>
      <c r="AD666" s="17" t="s">
        <v>1533</v>
      </c>
      <c r="AE666" s="17" t="s">
        <v>1534</v>
      </c>
      <c r="AF666" s="23" t="str">
        <f>IFERROR(VLOOKUP(AE666,Listas!$AD$1:$AF$65,2,FALSE),"")</f>
        <v>ESTEBAN GUERRERO ALVAREZ</v>
      </c>
      <c r="AG666" s="23">
        <f>IFERROR(VLOOKUP(AE666,Listas!$AD$1:$AF$65,3,FALSE),"")</f>
        <v>1032460552</v>
      </c>
      <c r="AH666" s="17" t="s">
        <v>2936</v>
      </c>
      <c r="AI666" s="65"/>
      <c r="AJ666" s="25" t="s">
        <v>1435</v>
      </c>
      <c r="AK666" s="26" t="s">
        <v>2071</v>
      </c>
      <c r="AL666" s="26" t="s">
        <v>2071</v>
      </c>
      <c r="AM666" s="90" t="s">
        <v>1435</v>
      </c>
      <c r="AN666" s="105"/>
      <c r="AO666" s="91" t="str">
        <f t="shared" ca="1" si="280"/>
        <v xml:space="preserve"> </v>
      </c>
      <c r="AP666" s="26" t="s">
        <v>2937</v>
      </c>
      <c r="AQ666" s="26" t="s">
        <v>3067</v>
      </c>
      <c r="AR666" s="89"/>
      <c r="AS666" s="27"/>
      <c r="AT666" s="16"/>
      <c r="AU666" s="27"/>
      <c r="AV666" s="86"/>
      <c r="AW666" s="27"/>
      <c r="AX666" s="27"/>
      <c r="AY666" s="27"/>
      <c r="AZ666" s="27"/>
      <c r="BA666" s="27"/>
      <c r="BB666" s="27">
        <v>45716</v>
      </c>
      <c r="BC666" s="97">
        <v>306</v>
      </c>
      <c r="BD666" s="27"/>
      <c r="BE666" s="16"/>
      <c r="BF666" s="28">
        <f t="shared" si="281"/>
        <v>306</v>
      </c>
      <c r="BG666" s="29"/>
      <c r="BH666" s="27"/>
      <c r="BI666" s="30">
        <f t="shared" si="282"/>
        <v>671</v>
      </c>
      <c r="BJ666" s="31">
        <f t="shared" si="283"/>
        <v>46022</v>
      </c>
      <c r="BK666" s="27">
        <v>45716</v>
      </c>
      <c r="BL666" s="16" t="s">
        <v>5374</v>
      </c>
      <c r="BM666" s="27"/>
      <c r="BN666" s="16"/>
      <c r="BO666" s="27"/>
      <c r="BP666" s="16"/>
      <c r="BQ666" s="27"/>
      <c r="BR666" s="24"/>
      <c r="BS666" s="24"/>
      <c r="BT666" s="32"/>
      <c r="BU666" s="27"/>
      <c r="BV666" s="24"/>
      <c r="BW666" s="24"/>
      <c r="BX666" s="16"/>
      <c r="BY666" s="27"/>
      <c r="BZ666" s="24"/>
      <c r="CA666" s="24"/>
      <c r="CB666" s="16"/>
      <c r="CC666" s="49">
        <f t="shared" si="284"/>
        <v>0</v>
      </c>
      <c r="CD666" s="24"/>
      <c r="CE666" s="49" t="str">
        <f>IFERROR(IF(Y666=0,(W666+CC666)-CD666,IF(Y666&gt;0,(Y666+CC666)-CD666)),"")</f>
        <v/>
      </c>
      <c r="CF666" s="50">
        <v>10653949.4</v>
      </c>
      <c r="CG666" s="49" t="str">
        <f t="shared" ca="1" si="277"/>
        <v/>
      </c>
      <c r="CH666" s="33">
        <f t="shared" ca="1" si="291"/>
        <v>0.89393939393939392</v>
      </c>
      <c r="CI666" s="33">
        <f t="shared" ca="1" si="292"/>
        <v>0.89393939393939392</v>
      </c>
      <c r="CJ666" s="36" t="str">
        <f t="shared" ca="1" si="287"/>
        <v/>
      </c>
      <c r="CK666" s="34" t="str">
        <f t="shared" si="288"/>
        <v/>
      </c>
      <c r="CL666" s="21"/>
      <c r="CM666" s="35" t="str">
        <f t="shared" ca="1" si="289"/>
        <v>VIGENTE</v>
      </c>
      <c r="CN666" s="82"/>
      <c r="CP666" s="83" t="s">
        <v>1424</v>
      </c>
    </row>
    <row r="667" spans="1:94" ht="24.75" customHeight="1">
      <c r="A667" s="48" t="s">
        <v>1424</v>
      </c>
      <c r="B667" s="77" t="s">
        <v>5375</v>
      </c>
      <c r="C667" s="17" t="s">
        <v>2927</v>
      </c>
      <c r="D667" s="18" t="s">
        <v>5376</v>
      </c>
      <c r="E667" s="17" t="s">
        <v>2929</v>
      </c>
      <c r="F667" s="17" t="s">
        <v>1426</v>
      </c>
      <c r="G667" s="17" t="s">
        <v>1427</v>
      </c>
      <c r="H667" s="78" t="s">
        <v>5377</v>
      </c>
      <c r="I667" s="74" t="s">
        <v>5378</v>
      </c>
      <c r="J667" s="16" t="s">
        <v>5379</v>
      </c>
      <c r="K667" s="16">
        <v>98543054</v>
      </c>
      <c r="L667" s="20" t="s">
        <v>5291</v>
      </c>
      <c r="M667" s="16"/>
      <c r="N667" s="115">
        <v>45351</v>
      </c>
      <c r="O667" s="115">
        <v>45351</v>
      </c>
      <c r="P667" s="115">
        <v>45716</v>
      </c>
      <c r="Q667" s="23">
        <f t="shared" si="279"/>
        <v>365</v>
      </c>
      <c r="R667" s="17" t="s">
        <v>2934</v>
      </c>
      <c r="S667" s="117" t="s">
        <v>1424</v>
      </c>
      <c r="T667" s="16" t="s">
        <v>1424</v>
      </c>
      <c r="U667" s="67" t="s">
        <v>1424</v>
      </c>
      <c r="V667" s="16" t="s">
        <v>1424</v>
      </c>
      <c r="W667" s="224">
        <v>0</v>
      </c>
      <c r="X667" s="24"/>
      <c r="Y667" s="24" t="s">
        <v>2935</v>
      </c>
      <c r="Z667" s="24"/>
      <c r="AA667" s="17" t="s">
        <v>406</v>
      </c>
      <c r="AB667" s="23" t="str">
        <f>IFERROR(VLOOKUP(AA667,Listas!$A$1:$C$14,2,FALSE),"")</f>
        <v>EDUARDO ELÍAS BARCHA BOLÍVAR</v>
      </c>
      <c r="AC667" s="23">
        <f>IFERROR(VLOOKUP(AA667,Listas!$A$1:$C$14,3,FALSE),"")</f>
        <v>72133921</v>
      </c>
      <c r="AD667" s="17" t="s">
        <v>472</v>
      </c>
      <c r="AE667" s="17" t="s">
        <v>473</v>
      </c>
      <c r="AF667" s="23" t="str">
        <f>IFERROR(VLOOKUP(AE667,Listas!$AD$1:$AF$65,2,FALSE),"")</f>
        <v>DANIEL ALBERTO CASTAÑO LOPEZ</v>
      </c>
      <c r="AG667" s="23">
        <f>IFERROR(VLOOKUP(AE667,Listas!$AD$1:$AF$65,3,FALSE),"")</f>
        <v>7544385</v>
      </c>
      <c r="AH667" s="17" t="s">
        <v>2936</v>
      </c>
      <c r="AI667" s="65"/>
      <c r="AJ667" s="25" t="s">
        <v>1435</v>
      </c>
      <c r="AK667" s="26" t="s">
        <v>2071</v>
      </c>
      <c r="AL667" s="26" t="s">
        <v>2071</v>
      </c>
      <c r="AM667" s="90" t="s">
        <v>1435</v>
      </c>
      <c r="AN667" s="105"/>
      <c r="AO667" s="91" t="str">
        <f t="shared" ca="1" si="280"/>
        <v xml:space="preserve"> </v>
      </c>
      <c r="AP667" s="26" t="s">
        <v>2937</v>
      </c>
      <c r="AQ667" s="26" t="s">
        <v>2938</v>
      </c>
      <c r="AR667" s="89"/>
      <c r="AS667" s="27"/>
      <c r="AT667" s="16"/>
      <c r="AU667" s="27"/>
      <c r="AV667" s="86"/>
      <c r="AW667" s="27"/>
      <c r="AX667" s="27"/>
      <c r="AY667" s="27"/>
      <c r="AZ667" s="27"/>
      <c r="BA667" s="27"/>
      <c r="BB667" s="27">
        <v>45712</v>
      </c>
      <c r="BC667" s="97">
        <v>306</v>
      </c>
      <c r="BD667" s="27"/>
      <c r="BE667" s="16"/>
      <c r="BF667" s="28">
        <f t="shared" si="281"/>
        <v>306</v>
      </c>
      <c r="BG667" s="29"/>
      <c r="BH667" s="27"/>
      <c r="BI667" s="30">
        <f t="shared" si="282"/>
        <v>671</v>
      </c>
      <c r="BJ667" s="31">
        <f t="shared" si="283"/>
        <v>46022</v>
      </c>
      <c r="BK667" s="27">
        <v>45712</v>
      </c>
      <c r="BL667" s="16" t="s">
        <v>5380</v>
      </c>
      <c r="BM667" s="27"/>
      <c r="BN667" s="16"/>
      <c r="BO667" s="27"/>
      <c r="BP667" s="16"/>
      <c r="BQ667" s="27"/>
      <c r="BR667" s="24"/>
      <c r="BS667" s="24"/>
      <c r="BT667" s="32"/>
      <c r="BU667" s="27"/>
      <c r="BV667" s="24"/>
      <c r="BW667" s="24"/>
      <c r="BX667" s="16"/>
      <c r="BY667" s="27"/>
      <c r="BZ667" s="24"/>
      <c r="CA667" s="24"/>
      <c r="CB667" s="16"/>
      <c r="CC667" s="49">
        <f t="shared" si="284"/>
        <v>0</v>
      </c>
      <c r="CD667" s="24"/>
      <c r="CE667" s="49" t="str">
        <f>IFERROR(IF(Y667=0,(W667+CC667)-CD667,IF(Y667&gt;0,(Y667+CC667)-CD667)),"")</f>
        <v/>
      </c>
      <c r="CF667" s="50">
        <v>1707441988.52</v>
      </c>
      <c r="CG667" s="49" t="str">
        <f t="shared" ca="1" si="277"/>
        <v/>
      </c>
      <c r="CH667" s="33">
        <f t="shared" ca="1" si="291"/>
        <v>0.89393939393939392</v>
      </c>
      <c r="CI667" s="33">
        <f t="shared" ca="1" si="292"/>
        <v>0.89393939393939392</v>
      </c>
      <c r="CJ667" s="36" t="str">
        <f t="shared" ca="1" si="287"/>
        <v/>
      </c>
      <c r="CK667" s="34" t="str">
        <f t="shared" si="288"/>
        <v/>
      </c>
      <c r="CL667" s="21"/>
      <c r="CM667" s="35" t="str">
        <f t="shared" ca="1" si="289"/>
        <v>VIGENTE</v>
      </c>
      <c r="CN667" s="82"/>
      <c r="CP667" s="83" t="s">
        <v>1424</v>
      </c>
    </row>
    <row r="668" spans="1:94" ht="24.75" customHeight="1">
      <c r="A668" s="109" t="s">
        <v>5381</v>
      </c>
      <c r="B668" s="77" t="s">
        <v>5382</v>
      </c>
      <c r="C668" s="17" t="s">
        <v>104</v>
      </c>
      <c r="D668" s="18" t="s">
        <v>5383</v>
      </c>
      <c r="E668" s="17" t="s">
        <v>106</v>
      </c>
      <c r="F668" s="17" t="s">
        <v>107</v>
      </c>
      <c r="G668" s="17" t="s">
        <v>108</v>
      </c>
      <c r="H668" s="78">
        <v>1000159205</v>
      </c>
      <c r="I668" s="74" t="s">
        <v>5384</v>
      </c>
      <c r="J668" s="16"/>
      <c r="K668" s="16"/>
      <c r="L668" s="20" t="s">
        <v>5385</v>
      </c>
      <c r="M668" s="16" t="s">
        <v>111</v>
      </c>
      <c r="N668" s="115">
        <v>45351</v>
      </c>
      <c r="O668" s="22">
        <v>45359</v>
      </c>
      <c r="P668" s="115">
        <v>45656</v>
      </c>
      <c r="Q668" s="23">
        <f t="shared" si="279"/>
        <v>297</v>
      </c>
      <c r="R668" s="17" t="s">
        <v>112</v>
      </c>
      <c r="S668" s="117" t="s">
        <v>5386</v>
      </c>
      <c r="T668" s="16" t="s">
        <v>4638</v>
      </c>
      <c r="U668" s="67">
        <v>39600000</v>
      </c>
      <c r="V668" s="16" t="s">
        <v>4639</v>
      </c>
      <c r="W668" s="224">
        <v>39600000</v>
      </c>
      <c r="X668" s="24">
        <v>3600000</v>
      </c>
      <c r="Y668" s="24"/>
      <c r="Z668" s="24"/>
      <c r="AA668" s="17" t="s">
        <v>116</v>
      </c>
      <c r="AB668" s="23" t="str">
        <f>IFERROR(VLOOKUP(AA668,Listas!$A$1:$C$14,2,FALSE),"")</f>
        <v>FREDY CÉSPEDES VILLA</v>
      </c>
      <c r="AC668" s="23">
        <f>IFERROR(VLOOKUP(AA668,Listas!$A$1:$C$14,3,FALSE),"")</f>
        <v>93363483</v>
      </c>
      <c r="AD668" s="17" t="s">
        <v>116</v>
      </c>
      <c r="AE668" s="17" t="s">
        <v>659</v>
      </c>
      <c r="AF668" s="23" t="str">
        <f>IFERROR(VLOOKUP(AE668,Listas!$AD$1:$AF$65,2,FALSE),"")</f>
        <v>TATIANA FORERO TORRES</v>
      </c>
      <c r="AG668" s="23">
        <f>IFERROR(VLOOKUP(AE668,Listas!$AD$1:$AF$65,3,FALSE),"")</f>
        <v>1072446921</v>
      </c>
      <c r="AH668" s="17" t="s">
        <v>118</v>
      </c>
      <c r="AI668" s="65" t="s">
        <v>5387</v>
      </c>
      <c r="AJ668" s="25" t="s">
        <v>119</v>
      </c>
      <c r="AK668" s="26" t="s">
        <v>120</v>
      </c>
      <c r="AL668" s="26" t="s">
        <v>120</v>
      </c>
      <c r="AM668" s="90" t="s">
        <v>119</v>
      </c>
      <c r="AN668" s="105">
        <v>37357</v>
      </c>
      <c r="AO668" s="91">
        <f t="shared" ca="1" si="280"/>
        <v>23</v>
      </c>
      <c r="AP668" s="26" t="s">
        <v>121</v>
      </c>
      <c r="AQ668" s="26" t="s">
        <v>122</v>
      </c>
      <c r="AR668" s="89"/>
      <c r="AS668" s="27"/>
      <c r="AT668" s="16"/>
      <c r="AU668" s="27"/>
      <c r="AV668" s="86"/>
      <c r="AW668" s="27"/>
      <c r="AX668" s="27"/>
      <c r="AY668" s="27"/>
      <c r="AZ668" s="27"/>
      <c r="BA668" s="27"/>
      <c r="BB668" s="27"/>
      <c r="BC668" s="97"/>
      <c r="BD668" s="27"/>
      <c r="BE668" s="16"/>
      <c r="BF668" s="28">
        <f t="shared" si="281"/>
        <v>0</v>
      </c>
      <c r="BG668" s="29"/>
      <c r="BH668" s="27"/>
      <c r="BI668" s="30">
        <f t="shared" si="282"/>
        <v>297</v>
      </c>
      <c r="BJ668" s="31">
        <f t="shared" si="283"/>
        <v>45656</v>
      </c>
      <c r="BK668" s="27"/>
      <c r="BL668" s="16"/>
      <c r="BM668" s="27"/>
      <c r="BN668" s="16"/>
      <c r="BO668" s="27"/>
      <c r="BP668" s="16"/>
      <c r="BQ668" s="27"/>
      <c r="BR668" s="24"/>
      <c r="BS668" s="24"/>
      <c r="BT668" s="32"/>
      <c r="BU668" s="27"/>
      <c r="BV668" s="24"/>
      <c r="BW668" s="24"/>
      <c r="BX668" s="16"/>
      <c r="BY668" s="27"/>
      <c r="BZ668" s="24"/>
      <c r="CA668" s="24"/>
      <c r="CB668" s="16"/>
      <c r="CC668" s="49">
        <f t="shared" si="284"/>
        <v>0</v>
      </c>
      <c r="CD668" s="24"/>
      <c r="CE668" s="49">
        <f>IF(X668=0,(W668+CC668)-CD668,IF(X668&gt;0,(X668+CC668)-CD668))</f>
        <v>3600000</v>
      </c>
      <c r="CF668" s="50"/>
      <c r="CG668" s="49">
        <f t="shared" ca="1" si="277"/>
        <v>3600000</v>
      </c>
      <c r="CH668" s="33">
        <f t="shared" ca="1" si="291"/>
        <v>1</v>
      </c>
      <c r="CI668" s="33">
        <f t="shared" ca="1" si="292"/>
        <v>1</v>
      </c>
      <c r="CJ668" s="36">
        <f t="shared" ca="1" si="287"/>
        <v>100</v>
      </c>
      <c r="CK668" s="34">
        <f t="shared" si="288"/>
        <v>0</v>
      </c>
      <c r="CL668" s="21"/>
      <c r="CM668" s="35" t="str">
        <f t="shared" ca="1" si="289"/>
        <v>TERMINADO</v>
      </c>
      <c r="CN668" s="82"/>
      <c r="CO668" s="145" t="s">
        <v>5388</v>
      </c>
      <c r="CP668" s="26" t="s">
        <v>123</v>
      </c>
    </row>
    <row r="669" spans="1:94" ht="24.75" customHeight="1">
      <c r="A669" s="109" t="s">
        <v>5389</v>
      </c>
      <c r="B669" s="77" t="s">
        <v>5390</v>
      </c>
      <c r="C669" s="17" t="s">
        <v>104</v>
      </c>
      <c r="D669" s="18" t="s">
        <v>5391</v>
      </c>
      <c r="E669" s="17" t="s">
        <v>106</v>
      </c>
      <c r="F669" s="17" t="s">
        <v>107</v>
      </c>
      <c r="G669" s="17" t="s">
        <v>108</v>
      </c>
      <c r="H669" s="78">
        <v>1019012020</v>
      </c>
      <c r="I669" s="74" t="s">
        <v>5392</v>
      </c>
      <c r="J669" s="16"/>
      <c r="K669" s="16"/>
      <c r="L669" s="20" t="s">
        <v>5393</v>
      </c>
      <c r="M669" s="16" t="s">
        <v>111</v>
      </c>
      <c r="N669" s="115">
        <v>45351</v>
      </c>
      <c r="O669" s="22">
        <v>45355</v>
      </c>
      <c r="P669" s="115">
        <v>45656</v>
      </c>
      <c r="Q669" s="23">
        <f t="shared" si="279"/>
        <v>301</v>
      </c>
      <c r="R669" s="17" t="s">
        <v>242</v>
      </c>
      <c r="S669" s="117" t="s">
        <v>5394</v>
      </c>
      <c r="T669" s="16" t="s">
        <v>364</v>
      </c>
      <c r="U669" s="67">
        <v>55462998</v>
      </c>
      <c r="V669" s="16" t="s">
        <v>1590</v>
      </c>
      <c r="W669" s="224">
        <v>55462998</v>
      </c>
      <c r="X669" s="24">
        <v>5026858</v>
      </c>
      <c r="Y669" s="24"/>
      <c r="Z669" s="24"/>
      <c r="AA669" s="17" t="s">
        <v>116</v>
      </c>
      <c r="AB669" s="23" t="str">
        <f>IFERROR(VLOOKUP(AA669,Listas!$A$1:$C$14,2,FALSE),"")</f>
        <v>FREDY CÉSPEDES VILLA</v>
      </c>
      <c r="AC669" s="23">
        <f>IFERROR(VLOOKUP(AA669,Listas!$A$1:$C$14,3,FALSE),"")</f>
        <v>93363483</v>
      </c>
      <c r="AD669" s="17" t="s">
        <v>345</v>
      </c>
      <c r="AE669" s="17" t="s">
        <v>346</v>
      </c>
      <c r="AF669" s="23" t="str">
        <f>IFERROR(VLOOKUP(AE669,Listas!$AD$1:$AF$65,2,FALSE),"")</f>
        <v>RODOLFO GIOVANNI CANCHILA SUÁREZ</v>
      </c>
      <c r="AG669" s="23">
        <f>IFERROR(VLOOKUP(AE669,Listas!$AD$1:$AF$65,3,FALSE),"")</f>
        <v>79672493</v>
      </c>
      <c r="AH669" s="17" t="s">
        <v>118</v>
      </c>
      <c r="AI669" s="65" t="s">
        <v>5395</v>
      </c>
      <c r="AJ669" s="25" t="s">
        <v>119</v>
      </c>
      <c r="AK669" s="26" t="s">
        <v>120</v>
      </c>
      <c r="AL669" s="26" t="s">
        <v>120</v>
      </c>
      <c r="AM669" s="90" t="s">
        <v>119</v>
      </c>
      <c r="AN669" s="105">
        <v>31713</v>
      </c>
      <c r="AO669" s="91">
        <f t="shared" ca="1" si="280"/>
        <v>39</v>
      </c>
      <c r="AP669" s="26" t="s">
        <v>121</v>
      </c>
      <c r="AQ669" s="26" t="s">
        <v>367</v>
      </c>
      <c r="AR669" s="89"/>
      <c r="AS669" s="27"/>
      <c r="AT669" s="16"/>
      <c r="AU669" s="27"/>
      <c r="AV669" s="86"/>
      <c r="AW669" s="27"/>
      <c r="AX669" s="27"/>
      <c r="AY669" s="27"/>
      <c r="AZ669" s="27"/>
      <c r="BA669" s="27"/>
      <c r="BB669" s="27"/>
      <c r="BC669" s="97"/>
      <c r="BD669" s="27"/>
      <c r="BE669" s="16"/>
      <c r="BF669" s="28">
        <f t="shared" si="281"/>
        <v>0</v>
      </c>
      <c r="BG669" s="29"/>
      <c r="BH669" s="27"/>
      <c r="BI669" s="30">
        <f t="shared" si="282"/>
        <v>301</v>
      </c>
      <c r="BJ669" s="31">
        <f t="shared" si="283"/>
        <v>45656</v>
      </c>
      <c r="BK669" s="27"/>
      <c r="BL669" s="16"/>
      <c r="BM669" s="27"/>
      <c r="BN669" s="16"/>
      <c r="BO669" s="27"/>
      <c r="BP669" s="16"/>
      <c r="BQ669" s="27"/>
      <c r="BR669" s="24"/>
      <c r="BS669" s="24"/>
      <c r="BT669" s="32"/>
      <c r="BU669" s="27"/>
      <c r="BV669" s="24"/>
      <c r="BW669" s="24"/>
      <c r="BX669" s="16"/>
      <c r="BY669" s="27"/>
      <c r="BZ669" s="24"/>
      <c r="CA669" s="24"/>
      <c r="CB669" s="16"/>
      <c r="CC669" s="49">
        <f t="shared" si="284"/>
        <v>0</v>
      </c>
      <c r="CD669" s="24"/>
      <c r="CE669" s="49">
        <f t="shared" ref="CE669:CE700" si="293">IF(Y669=0,(W669+CC669)-CD669,IF(Y669&gt;0,(Y669+CC669)-CD669))</f>
        <v>55462998</v>
      </c>
      <c r="CF669" s="50"/>
      <c r="CG669" s="49">
        <f t="shared" ca="1" si="277"/>
        <v>55462998</v>
      </c>
      <c r="CH669" s="33">
        <f t="shared" ca="1" si="291"/>
        <v>1</v>
      </c>
      <c r="CI669" s="33">
        <f t="shared" ca="1" si="292"/>
        <v>1</v>
      </c>
      <c r="CJ669" s="36">
        <f t="shared" ca="1" si="287"/>
        <v>100</v>
      </c>
      <c r="CK669" s="34">
        <f t="shared" si="288"/>
        <v>0</v>
      </c>
      <c r="CL669" s="21"/>
      <c r="CM669" s="35" t="str">
        <f t="shared" ca="1" si="289"/>
        <v>TERMINADO</v>
      </c>
      <c r="CN669" s="82"/>
      <c r="CO669" s="145" t="s">
        <v>5396</v>
      </c>
      <c r="CP669" s="26" t="s">
        <v>123</v>
      </c>
    </row>
    <row r="670" spans="1:94" ht="24.75" customHeight="1">
      <c r="A670" s="109" t="s">
        <v>5397</v>
      </c>
      <c r="B670" s="77" t="s">
        <v>5398</v>
      </c>
      <c r="C670" s="17" t="s">
        <v>104</v>
      </c>
      <c r="D670" s="18" t="s">
        <v>5399</v>
      </c>
      <c r="E670" s="17" t="s">
        <v>106</v>
      </c>
      <c r="F670" s="17" t="s">
        <v>107</v>
      </c>
      <c r="G670" s="17" t="s">
        <v>108</v>
      </c>
      <c r="H670" s="78">
        <v>84450849</v>
      </c>
      <c r="I670" s="74" t="s">
        <v>5400</v>
      </c>
      <c r="J670" s="16"/>
      <c r="K670" s="16"/>
      <c r="L670" s="20" t="s">
        <v>5039</v>
      </c>
      <c r="M670" s="16" t="s">
        <v>111</v>
      </c>
      <c r="N670" s="115">
        <v>45351</v>
      </c>
      <c r="O670" s="22">
        <v>45355</v>
      </c>
      <c r="P670" s="115">
        <v>45656</v>
      </c>
      <c r="Q670" s="23">
        <f t="shared" si="279"/>
        <v>301</v>
      </c>
      <c r="R670" s="17" t="s">
        <v>242</v>
      </c>
      <c r="S670" s="117" t="s">
        <v>5401</v>
      </c>
      <c r="T670" s="16" t="s">
        <v>1128</v>
      </c>
      <c r="U670" s="67">
        <v>88880000</v>
      </c>
      <c r="V670" s="16" t="s">
        <v>3421</v>
      </c>
      <c r="W670" s="224">
        <v>88880000</v>
      </c>
      <c r="X670" s="24">
        <v>8800000</v>
      </c>
      <c r="Y670" s="24"/>
      <c r="Z670" s="24"/>
      <c r="AA670" s="17" t="s">
        <v>116</v>
      </c>
      <c r="AB670" s="23" t="str">
        <f>IFERROR(VLOOKUP(AA670,Listas!$A$1:$C$14,2,FALSE),"")</f>
        <v>FREDY CÉSPEDES VILLA</v>
      </c>
      <c r="AC670" s="23">
        <f>IFERROR(VLOOKUP(AA670,Listas!$A$1:$C$14,3,FALSE),"")</f>
        <v>93363483</v>
      </c>
      <c r="AD670" s="17" t="s">
        <v>816</v>
      </c>
      <c r="AE670" s="17" t="s">
        <v>2835</v>
      </c>
      <c r="AF670" s="23" t="str">
        <f>IFERROR(VLOOKUP(AE670,Listas!$AD$1:$AF$65,2,FALSE),"")</f>
        <v>GUILLERMO ANDRES CARDONA HERRERA</v>
      </c>
      <c r="AG670" s="23">
        <f>IFERROR(VLOOKUP(AE670,Listas!$AD$1:$AF$65,3,FALSE),"")</f>
        <v>80018909</v>
      </c>
      <c r="AH670" s="17" t="s">
        <v>118</v>
      </c>
      <c r="AI670" s="65" t="s">
        <v>5402</v>
      </c>
      <c r="AJ670" s="25" t="s">
        <v>119</v>
      </c>
      <c r="AK670" s="26" t="s">
        <v>120</v>
      </c>
      <c r="AL670" s="26" t="s">
        <v>120</v>
      </c>
      <c r="AM670" s="90" t="s">
        <v>119</v>
      </c>
      <c r="AN670" s="105">
        <v>29979</v>
      </c>
      <c r="AO670" s="91">
        <f t="shared" ca="1" si="280"/>
        <v>43</v>
      </c>
      <c r="AP670" s="26" t="s">
        <v>121</v>
      </c>
      <c r="AQ670" s="26" t="s">
        <v>1641</v>
      </c>
      <c r="AR670" s="89">
        <v>45471</v>
      </c>
      <c r="AS670" s="27" t="s">
        <v>5403</v>
      </c>
      <c r="AT670" s="16">
        <v>1082850516</v>
      </c>
      <c r="AU670" s="27" t="s">
        <v>5404</v>
      </c>
      <c r="AV670" s="86">
        <v>54266667</v>
      </c>
      <c r="AW670" s="27">
        <v>45562</v>
      </c>
      <c r="AX670" s="27" t="s">
        <v>5405</v>
      </c>
      <c r="AY670" s="244">
        <v>1014201835</v>
      </c>
      <c r="AZ670" s="27"/>
      <c r="BA670" s="86">
        <v>27573334</v>
      </c>
      <c r="BB670" s="27"/>
      <c r="BC670" s="97"/>
      <c r="BD670" s="27"/>
      <c r="BE670" s="16"/>
      <c r="BF670" s="28">
        <f t="shared" si="281"/>
        <v>0</v>
      </c>
      <c r="BG670" s="29"/>
      <c r="BH670" s="27"/>
      <c r="BI670" s="30">
        <f t="shared" si="282"/>
        <v>301</v>
      </c>
      <c r="BJ670" s="31">
        <f t="shared" si="283"/>
        <v>45656</v>
      </c>
      <c r="BK670" s="27"/>
      <c r="BL670" s="16"/>
      <c r="BM670" s="27"/>
      <c r="BN670" s="16"/>
      <c r="BO670" s="27"/>
      <c r="BP670" s="16"/>
      <c r="BQ670" s="27"/>
      <c r="BR670" s="24"/>
      <c r="BS670" s="24"/>
      <c r="BT670" s="32"/>
      <c r="BU670" s="27"/>
      <c r="BV670" s="24"/>
      <c r="BW670" s="24"/>
      <c r="BX670" s="16"/>
      <c r="BY670" s="27"/>
      <c r="BZ670" s="24"/>
      <c r="CA670" s="24"/>
      <c r="CB670" s="16"/>
      <c r="CC670" s="49">
        <f t="shared" si="284"/>
        <v>0</v>
      </c>
      <c r="CD670" s="24"/>
      <c r="CE670" s="49">
        <f t="shared" si="293"/>
        <v>88880000</v>
      </c>
      <c r="CF670" s="50"/>
      <c r="CG670" s="49">
        <f t="shared" ca="1" si="277"/>
        <v>88880000</v>
      </c>
      <c r="CH670" s="33">
        <f t="shared" ca="1" si="291"/>
        <v>1</v>
      </c>
      <c r="CI670" s="33">
        <f t="shared" ca="1" si="292"/>
        <v>1</v>
      </c>
      <c r="CJ670" s="36">
        <f t="shared" ca="1" si="287"/>
        <v>100</v>
      </c>
      <c r="CK670" s="34">
        <f t="shared" si="288"/>
        <v>0</v>
      </c>
      <c r="CL670" s="21"/>
      <c r="CM670" s="35" t="str">
        <f t="shared" ca="1" si="289"/>
        <v>TERMINADO</v>
      </c>
      <c r="CN670" s="82"/>
      <c r="CO670" s="145" t="s">
        <v>5406</v>
      </c>
      <c r="CP670" s="26" t="s">
        <v>142</v>
      </c>
    </row>
    <row r="671" spans="1:94" ht="24.75" customHeight="1">
      <c r="A671" s="109" t="s">
        <v>5407</v>
      </c>
      <c r="B671" s="77" t="s">
        <v>5408</v>
      </c>
      <c r="C671" s="17" t="s">
        <v>104</v>
      </c>
      <c r="D671" s="18" t="s">
        <v>5409</v>
      </c>
      <c r="E671" s="17" t="s">
        <v>106</v>
      </c>
      <c r="F671" s="17" t="s">
        <v>107</v>
      </c>
      <c r="G671" s="17" t="s">
        <v>108</v>
      </c>
      <c r="H671" s="78">
        <v>7222487</v>
      </c>
      <c r="I671" s="74" t="s">
        <v>5410</v>
      </c>
      <c r="J671" s="16"/>
      <c r="K671" s="16"/>
      <c r="L671" s="20" t="s">
        <v>5411</v>
      </c>
      <c r="M671" s="16" t="s">
        <v>111</v>
      </c>
      <c r="N671" s="115">
        <v>45351</v>
      </c>
      <c r="O671" s="22">
        <v>45356</v>
      </c>
      <c r="P671" s="115">
        <v>45656</v>
      </c>
      <c r="Q671" s="23">
        <f t="shared" si="279"/>
        <v>300</v>
      </c>
      <c r="R671" s="17" t="s">
        <v>242</v>
      </c>
      <c r="S671" s="117" t="s">
        <v>5412</v>
      </c>
      <c r="T671" s="16" t="s">
        <v>1128</v>
      </c>
      <c r="U671" s="67">
        <v>82820000</v>
      </c>
      <c r="V671" s="16" t="s">
        <v>3421</v>
      </c>
      <c r="W671" s="224">
        <v>82820000</v>
      </c>
      <c r="X671" s="24"/>
      <c r="Y671" s="24"/>
      <c r="Z671" s="24"/>
      <c r="AA671" s="17" t="s">
        <v>116</v>
      </c>
      <c r="AB671" s="23" t="str">
        <f>IFERROR(VLOOKUP(AA671,Listas!$A$1:$C$14,2,FALSE),"")</f>
        <v>FREDY CÉSPEDES VILLA</v>
      </c>
      <c r="AC671" s="23">
        <f>IFERROR(VLOOKUP(AA671,Listas!$A$1:$C$14,3,FALSE),"")</f>
        <v>93363483</v>
      </c>
      <c r="AD671" s="17" t="s">
        <v>816</v>
      </c>
      <c r="AE671" s="17" t="s">
        <v>2835</v>
      </c>
      <c r="AF671" s="23" t="str">
        <f>IFERROR(VLOOKUP(AE671,Listas!$AD$1:$AF$65,2,FALSE),"")</f>
        <v>GUILLERMO ANDRES CARDONA HERRERA</v>
      </c>
      <c r="AG671" s="23">
        <f>IFERROR(VLOOKUP(AE671,Listas!$AD$1:$AF$65,3,FALSE),"")</f>
        <v>80018909</v>
      </c>
      <c r="AH671" s="17" t="s">
        <v>118</v>
      </c>
      <c r="AI671" s="65" t="s">
        <v>5413</v>
      </c>
      <c r="AJ671" s="25" t="s">
        <v>119</v>
      </c>
      <c r="AK671" s="26" t="s">
        <v>120</v>
      </c>
      <c r="AL671" s="26" t="s">
        <v>120</v>
      </c>
      <c r="AM671" s="90" t="s">
        <v>119</v>
      </c>
      <c r="AN671" s="105">
        <v>24354</v>
      </c>
      <c r="AO671" s="91">
        <f t="shared" ca="1" si="280"/>
        <v>59</v>
      </c>
      <c r="AP671" s="26" t="s">
        <v>121</v>
      </c>
      <c r="AQ671" s="26" t="s">
        <v>1641</v>
      </c>
      <c r="AR671" s="89"/>
      <c r="AS671" s="27"/>
      <c r="AT671" s="16"/>
      <c r="AU671" s="27"/>
      <c r="AV671" s="86"/>
      <c r="AW671" s="27"/>
      <c r="AX671" s="27"/>
      <c r="AY671" s="27"/>
      <c r="AZ671" s="27"/>
      <c r="BA671" s="27"/>
      <c r="BB671" s="27"/>
      <c r="BC671" s="97"/>
      <c r="BD671" s="27"/>
      <c r="BE671" s="16"/>
      <c r="BF671" s="28">
        <f t="shared" si="281"/>
        <v>0</v>
      </c>
      <c r="BG671" s="29"/>
      <c r="BH671" s="27"/>
      <c r="BI671" s="30">
        <f t="shared" si="282"/>
        <v>300</v>
      </c>
      <c r="BJ671" s="31">
        <f t="shared" si="283"/>
        <v>45656</v>
      </c>
      <c r="BK671" s="27"/>
      <c r="BL671" s="16"/>
      <c r="BM671" s="27"/>
      <c r="BN671" s="16"/>
      <c r="BO671" s="27"/>
      <c r="BP671" s="16"/>
      <c r="BQ671" s="27"/>
      <c r="BR671" s="24"/>
      <c r="BS671" s="24"/>
      <c r="BT671" s="32"/>
      <c r="BU671" s="27"/>
      <c r="BV671" s="24"/>
      <c r="BW671" s="24"/>
      <c r="BX671" s="16"/>
      <c r="BY671" s="27"/>
      <c r="BZ671" s="24"/>
      <c r="CA671" s="24"/>
      <c r="CB671" s="16"/>
      <c r="CC671" s="49">
        <f t="shared" si="284"/>
        <v>0</v>
      </c>
      <c r="CD671" s="24"/>
      <c r="CE671" s="49">
        <f t="shared" si="293"/>
        <v>82820000</v>
      </c>
      <c r="CF671" s="50"/>
      <c r="CG671" s="49">
        <f t="shared" ca="1" si="277"/>
        <v>82820000</v>
      </c>
      <c r="CH671" s="33">
        <f t="shared" ca="1" si="291"/>
        <v>1</v>
      </c>
      <c r="CI671" s="33">
        <f t="shared" ca="1" si="292"/>
        <v>1</v>
      </c>
      <c r="CJ671" s="36">
        <f t="shared" ca="1" si="287"/>
        <v>100</v>
      </c>
      <c r="CK671" s="34">
        <f t="shared" si="288"/>
        <v>0</v>
      </c>
      <c r="CL671" s="21"/>
      <c r="CM671" s="35" t="str">
        <f t="shared" ca="1" si="289"/>
        <v>TERMINADO</v>
      </c>
      <c r="CN671" s="82"/>
      <c r="CO671" s="145" t="s">
        <v>5414</v>
      </c>
      <c r="CP671" s="26" t="s">
        <v>142</v>
      </c>
    </row>
    <row r="672" spans="1:94" ht="24.75" customHeight="1">
      <c r="A672" s="109" t="s">
        <v>5415</v>
      </c>
      <c r="B672" s="77" t="s">
        <v>5416</v>
      </c>
      <c r="C672" s="17" t="s">
        <v>104</v>
      </c>
      <c r="D672" s="18" t="s">
        <v>5417</v>
      </c>
      <c r="E672" s="17" t="s">
        <v>106</v>
      </c>
      <c r="F672" s="17" t="s">
        <v>107</v>
      </c>
      <c r="G672" s="17" t="s">
        <v>108</v>
      </c>
      <c r="H672" s="78">
        <v>1024548155</v>
      </c>
      <c r="I672" s="74" t="s">
        <v>5418</v>
      </c>
      <c r="J672" s="16"/>
      <c r="K672" s="16"/>
      <c r="L672" s="20" t="s">
        <v>5419</v>
      </c>
      <c r="M672" s="16" t="s">
        <v>111</v>
      </c>
      <c r="N672" s="115">
        <v>45352</v>
      </c>
      <c r="O672" s="22">
        <v>45355</v>
      </c>
      <c r="P672" s="115">
        <v>45656</v>
      </c>
      <c r="Q672" s="23">
        <f t="shared" si="279"/>
        <v>301</v>
      </c>
      <c r="R672" s="17" t="s">
        <v>242</v>
      </c>
      <c r="S672" s="117" t="s">
        <v>5420</v>
      </c>
      <c r="T672" s="16" t="s">
        <v>1128</v>
      </c>
      <c r="U672" s="67">
        <v>47840000</v>
      </c>
      <c r="V672" s="16" t="s">
        <v>3421</v>
      </c>
      <c r="W672" s="224">
        <v>47840000</v>
      </c>
      <c r="X672" s="24">
        <v>4600000</v>
      </c>
      <c r="Y672" s="24"/>
      <c r="Z672" s="24"/>
      <c r="AA672" s="17" t="s">
        <v>116</v>
      </c>
      <c r="AB672" s="23" t="str">
        <f>IFERROR(VLOOKUP(AA672,Listas!$A$1:$C$14,2,FALSE),"")</f>
        <v>FREDY CÉSPEDES VILLA</v>
      </c>
      <c r="AC672" s="23">
        <f>IFERROR(VLOOKUP(AA672,Listas!$A$1:$C$14,3,FALSE),"")</f>
        <v>93363483</v>
      </c>
      <c r="AD672" s="17" t="s">
        <v>816</v>
      </c>
      <c r="AE672" s="17" t="s">
        <v>1450</v>
      </c>
      <c r="AF672" s="23" t="str">
        <f>IFERROR(VLOOKUP(AE672,Listas!$AD$1:$AF$65,2,FALSE),"")</f>
        <v>LINA MARIA CRUZ SILVA</v>
      </c>
      <c r="AG672" s="23">
        <f>IFERROR(VLOOKUP(AE672,Listas!$AD$1:$AF$65,3,FALSE),"")</f>
        <v>52423537</v>
      </c>
      <c r="AH672" s="17" t="s">
        <v>118</v>
      </c>
      <c r="AI672" s="65" t="s">
        <v>5421</v>
      </c>
      <c r="AJ672" s="25" t="s">
        <v>119</v>
      </c>
      <c r="AK672" s="26" t="s">
        <v>120</v>
      </c>
      <c r="AL672" s="26" t="s">
        <v>120</v>
      </c>
      <c r="AM672" s="90" t="s">
        <v>119</v>
      </c>
      <c r="AN672" s="105">
        <v>34333</v>
      </c>
      <c r="AO672" s="91">
        <f t="shared" ca="1" si="280"/>
        <v>32</v>
      </c>
      <c r="AP672" s="26" t="s">
        <v>121</v>
      </c>
      <c r="AQ672" s="26" t="s">
        <v>1641</v>
      </c>
      <c r="AR672" s="89"/>
      <c r="AS672" s="27"/>
      <c r="AT672" s="16"/>
      <c r="AU672" s="27"/>
      <c r="AV672" s="86"/>
      <c r="AW672" s="27"/>
      <c r="AX672" s="27"/>
      <c r="AY672" s="27"/>
      <c r="AZ672" s="27"/>
      <c r="BA672" s="27"/>
      <c r="BB672" s="27"/>
      <c r="BC672" s="97"/>
      <c r="BD672" s="27"/>
      <c r="BE672" s="16"/>
      <c r="BF672" s="28">
        <f t="shared" si="281"/>
        <v>0</v>
      </c>
      <c r="BG672" s="29"/>
      <c r="BH672" s="27"/>
      <c r="BI672" s="30">
        <f t="shared" si="282"/>
        <v>301</v>
      </c>
      <c r="BJ672" s="31">
        <f t="shared" si="283"/>
        <v>45656</v>
      </c>
      <c r="BK672" s="27"/>
      <c r="BL672" s="16"/>
      <c r="BM672" s="27"/>
      <c r="BN672" s="16"/>
      <c r="BO672" s="27"/>
      <c r="BP672" s="16"/>
      <c r="BQ672" s="27"/>
      <c r="BR672" s="24"/>
      <c r="BS672" s="24"/>
      <c r="BT672" s="32"/>
      <c r="BU672" s="27"/>
      <c r="BV672" s="24"/>
      <c r="BW672" s="24"/>
      <c r="BX672" s="16"/>
      <c r="BY672" s="27"/>
      <c r="BZ672" s="24"/>
      <c r="CA672" s="24"/>
      <c r="CB672" s="16"/>
      <c r="CC672" s="49">
        <f t="shared" si="284"/>
        <v>0</v>
      </c>
      <c r="CD672" s="24"/>
      <c r="CE672" s="49">
        <f t="shared" si="293"/>
        <v>47840000</v>
      </c>
      <c r="CF672" s="50"/>
      <c r="CG672" s="49">
        <f t="shared" ca="1" si="277"/>
        <v>47840000</v>
      </c>
      <c r="CH672" s="33">
        <f t="shared" ca="1" si="291"/>
        <v>1</v>
      </c>
      <c r="CI672" s="33">
        <f t="shared" ca="1" si="292"/>
        <v>1</v>
      </c>
      <c r="CJ672" s="36">
        <f t="shared" ca="1" si="287"/>
        <v>100</v>
      </c>
      <c r="CK672" s="34">
        <f t="shared" si="288"/>
        <v>0</v>
      </c>
      <c r="CL672" s="21"/>
      <c r="CM672" s="35" t="str">
        <f t="shared" ca="1" si="289"/>
        <v>TERMINADO</v>
      </c>
      <c r="CN672" s="82"/>
      <c r="CO672" s="145" t="s">
        <v>5422</v>
      </c>
      <c r="CP672" s="26" t="s">
        <v>142</v>
      </c>
    </row>
    <row r="673" spans="1:97" ht="24.75" customHeight="1">
      <c r="A673" s="109" t="s">
        <v>5423</v>
      </c>
      <c r="B673" s="77" t="s">
        <v>5424</v>
      </c>
      <c r="C673" s="17" t="s">
        <v>104</v>
      </c>
      <c r="D673" s="18" t="s">
        <v>5425</v>
      </c>
      <c r="E673" s="17" t="s">
        <v>106</v>
      </c>
      <c r="F673" s="17" t="s">
        <v>107</v>
      </c>
      <c r="G673" s="17" t="s">
        <v>108</v>
      </c>
      <c r="H673" s="78">
        <v>1017183102</v>
      </c>
      <c r="I673" s="74" t="s">
        <v>5426</v>
      </c>
      <c r="J673" s="16"/>
      <c r="K673" s="16"/>
      <c r="L673" s="20" t="s">
        <v>5427</v>
      </c>
      <c r="M673" s="16" t="s">
        <v>111</v>
      </c>
      <c r="N673" s="115">
        <v>45352</v>
      </c>
      <c r="O673" s="22">
        <v>45359</v>
      </c>
      <c r="P673" s="115">
        <v>45656</v>
      </c>
      <c r="Q673" s="23">
        <f t="shared" si="279"/>
        <v>297</v>
      </c>
      <c r="R673" s="17" t="s">
        <v>242</v>
      </c>
      <c r="S673" s="117" t="s">
        <v>5428</v>
      </c>
      <c r="T673" s="16" t="s">
        <v>1249</v>
      </c>
      <c r="U673" s="67">
        <v>127068354</v>
      </c>
      <c r="V673" s="16" t="s">
        <v>1212</v>
      </c>
      <c r="W673" s="224">
        <v>121017480</v>
      </c>
      <c r="X673" s="24">
        <v>12101748</v>
      </c>
      <c r="Y673" s="24"/>
      <c r="Z673" s="24"/>
      <c r="AA673" s="17" t="s">
        <v>116</v>
      </c>
      <c r="AB673" s="23" t="str">
        <f>IFERROR(VLOOKUP(AA673,Listas!$A$1:$C$14,2,FALSE),"")</f>
        <v>FREDY CÉSPEDES VILLA</v>
      </c>
      <c r="AC673" s="23">
        <f>IFERROR(VLOOKUP(AA673,Listas!$A$1:$C$14,3,FALSE),"")</f>
        <v>93363483</v>
      </c>
      <c r="AD673" s="17" t="s">
        <v>577</v>
      </c>
      <c r="AE673" s="17" t="s">
        <v>578</v>
      </c>
      <c r="AF673" s="23" t="str">
        <f>IFERROR(VLOOKUP(AE673,Listas!$AD$1:$AF$65,2,FALSE),"")</f>
        <v>EDGAR FABIO DÍAZ RAMIREZ</v>
      </c>
      <c r="AG673" s="23">
        <f>IFERROR(VLOOKUP(AE673,Listas!$AD$1:$AF$65,3,FALSE),"")</f>
        <v>79537198</v>
      </c>
      <c r="AH673" s="17" t="s">
        <v>118</v>
      </c>
      <c r="AI673" s="65" t="s">
        <v>5429</v>
      </c>
      <c r="AJ673" s="25" t="s">
        <v>119</v>
      </c>
      <c r="AK673" s="26" t="s">
        <v>120</v>
      </c>
      <c r="AL673" s="26" t="s">
        <v>120</v>
      </c>
      <c r="AM673" s="90" t="s">
        <v>119</v>
      </c>
      <c r="AN673" s="105">
        <v>33102</v>
      </c>
      <c r="AO673" s="91">
        <f t="shared" ca="1" si="280"/>
        <v>35</v>
      </c>
      <c r="AP673" s="26" t="s">
        <v>121</v>
      </c>
      <c r="AQ673" s="26" t="s">
        <v>886</v>
      </c>
      <c r="AR673" s="89"/>
      <c r="AS673" s="27"/>
      <c r="AT673" s="16"/>
      <c r="AU673" s="27"/>
      <c r="AV673" s="86"/>
      <c r="AW673" s="27"/>
      <c r="AX673" s="27"/>
      <c r="AY673" s="27"/>
      <c r="AZ673" s="27"/>
      <c r="BA673" s="27"/>
      <c r="BB673" s="27"/>
      <c r="BC673" s="97"/>
      <c r="BD673" s="27"/>
      <c r="BE673" s="16"/>
      <c r="BF673" s="28">
        <f t="shared" si="281"/>
        <v>0</v>
      </c>
      <c r="BG673" s="29"/>
      <c r="BH673" s="27"/>
      <c r="BI673" s="30">
        <f t="shared" si="282"/>
        <v>297</v>
      </c>
      <c r="BJ673" s="31">
        <f t="shared" si="283"/>
        <v>45656</v>
      </c>
      <c r="BK673" s="27"/>
      <c r="BL673" s="16"/>
      <c r="BM673" s="27"/>
      <c r="BN673" s="16"/>
      <c r="BO673" s="27"/>
      <c r="BP673" s="16"/>
      <c r="BQ673" s="27"/>
      <c r="BR673" s="24"/>
      <c r="BS673" s="24"/>
      <c r="BT673" s="32"/>
      <c r="BU673" s="27"/>
      <c r="BV673" s="24"/>
      <c r="BW673" s="24"/>
      <c r="BX673" s="16"/>
      <c r="BY673" s="27"/>
      <c r="BZ673" s="24"/>
      <c r="CA673" s="24"/>
      <c r="CB673" s="16"/>
      <c r="CC673" s="49">
        <f t="shared" si="284"/>
        <v>0</v>
      </c>
      <c r="CD673" s="24"/>
      <c r="CE673" s="49">
        <f t="shared" si="293"/>
        <v>121017480</v>
      </c>
      <c r="CF673" s="50"/>
      <c r="CG673" s="49">
        <f t="shared" ca="1" si="277"/>
        <v>121017480</v>
      </c>
      <c r="CH673" s="33">
        <f t="shared" ca="1" si="291"/>
        <v>1</v>
      </c>
      <c r="CI673" s="33">
        <f t="shared" ca="1" si="292"/>
        <v>1</v>
      </c>
      <c r="CJ673" s="36">
        <f t="shared" ca="1" si="287"/>
        <v>100</v>
      </c>
      <c r="CK673" s="34">
        <f t="shared" si="288"/>
        <v>0</v>
      </c>
      <c r="CL673" s="21"/>
      <c r="CM673" s="35" t="str">
        <f t="shared" ca="1" si="289"/>
        <v>TERMINADO</v>
      </c>
      <c r="CN673" s="82"/>
      <c r="CO673" s="145" t="s">
        <v>5430</v>
      </c>
      <c r="CP673" s="26" t="s">
        <v>123</v>
      </c>
    </row>
    <row r="674" spans="1:97" ht="24.75" customHeight="1">
      <c r="A674" s="109" t="s">
        <v>5431</v>
      </c>
      <c r="B674" s="77" t="s">
        <v>5432</v>
      </c>
      <c r="C674" s="17" t="s">
        <v>104</v>
      </c>
      <c r="D674" s="18" t="s">
        <v>5433</v>
      </c>
      <c r="E674" s="17" t="s">
        <v>106</v>
      </c>
      <c r="F674" s="17" t="s">
        <v>107</v>
      </c>
      <c r="G674" s="17" t="s">
        <v>108</v>
      </c>
      <c r="H674" s="78">
        <v>1112475419</v>
      </c>
      <c r="I674" s="74" t="s">
        <v>5434</v>
      </c>
      <c r="J674" s="16"/>
      <c r="K674" s="16"/>
      <c r="L674" s="20" t="s">
        <v>5435</v>
      </c>
      <c r="M674" s="16" t="s">
        <v>111</v>
      </c>
      <c r="N674" s="115">
        <v>45352</v>
      </c>
      <c r="O674" s="22">
        <v>45359</v>
      </c>
      <c r="P674" s="115">
        <v>45656</v>
      </c>
      <c r="Q674" s="23">
        <f t="shared" si="279"/>
        <v>297</v>
      </c>
      <c r="R674" s="17" t="s">
        <v>242</v>
      </c>
      <c r="S674" s="117" t="s">
        <v>5436</v>
      </c>
      <c r="T674" s="16" t="s">
        <v>1249</v>
      </c>
      <c r="U674" s="67">
        <v>80920150</v>
      </c>
      <c r="V674" s="16" t="s">
        <v>1212</v>
      </c>
      <c r="W674" s="224">
        <v>80920150</v>
      </c>
      <c r="X674" s="24">
        <v>8092015</v>
      </c>
      <c r="Y674" s="24"/>
      <c r="Z674" s="24"/>
      <c r="AA674" s="17" t="s">
        <v>116</v>
      </c>
      <c r="AB674" s="23" t="str">
        <f>IFERROR(VLOOKUP(AA674,Listas!$A$1:$C$14,2,FALSE),"")</f>
        <v>FREDY CÉSPEDES VILLA</v>
      </c>
      <c r="AC674" s="23">
        <f>IFERROR(VLOOKUP(AA674,Listas!$A$1:$C$14,3,FALSE),"")</f>
        <v>93363483</v>
      </c>
      <c r="AD674" s="17" t="s">
        <v>577</v>
      </c>
      <c r="AE674" s="17" t="s">
        <v>578</v>
      </c>
      <c r="AF674" s="23" t="str">
        <f>IFERROR(VLOOKUP(AE674,Listas!$AD$1:$AF$65,2,FALSE),"")</f>
        <v>EDGAR FABIO DÍAZ RAMIREZ</v>
      </c>
      <c r="AG674" s="23">
        <f>IFERROR(VLOOKUP(AE674,Listas!$AD$1:$AF$65,3,FALSE),"")</f>
        <v>79537198</v>
      </c>
      <c r="AH674" s="17" t="s">
        <v>118</v>
      </c>
      <c r="AI674" s="65" t="s">
        <v>5437</v>
      </c>
      <c r="AJ674" s="25" t="s">
        <v>119</v>
      </c>
      <c r="AK674" s="26" t="s">
        <v>120</v>
      </c>
      <c r="AL674" s="26" t="s">
        <v>120</v>
      </c>
      <c r="AM674" s="90" t="s">
        <v>119</v>
      </c>
      <c r="AN674" s="105">
        <v>33668</v>
      </c>
      <c r="AO674" s="91">
        <f t="shared" ca="1" si="280"/>
        <v>33</v>
      </c>
      <c r="AP674" s="26" t="s">
        <v>121</v>
      </c>
      <c r="AQ674" s="26" t="s">
        <v>886</v>
      </c>
      <c r="AR674" s="89"/>
      <c r="AS674" s="27"/>
      <c r="AT674" s="16"/>
      <c r="AU674" s="27"/>
      <c r="AV674" s="86"/>
      <c r="AW674" s="27"/>
      <c r="AX674" s="27"/>
      <c r="AY674" s="27"/>
      <c r="AZ674" s="27"/>
      <c r="BA674" s="27"/>
      <c r="BB674" s="27"/>
      <c r="BC674" s="97"/>
      <c r="BD674" s="27"/>
      <c r="BE674" s="16"/>
      <c r="BF674" s="28">
        <f t="shared" si="281"/>
        <v>0</v>
      </c>
      <c r="BG674" s="29"/>
      <c r="BH674" s="27"/>
      <c r="BI674" s="30">
        <f t="shared" si="282"/>
        <v>297</v>
      </c>
      <c r="BJ674" s="31">
        <f t="shared" si="283"/>
        <v>45656</v>
      </c>
      <c r="BK674" s="27"/>
      <c r="BL674" s="16"/>
      <c r="BM674" s="27"/>
      <c r="BN674" s="16"/>
      <c r="BO674" s="27"/>
      <c r="BP674" s="16"/>
      <c r="BQ674" s="27"/>
      <c r="BR674" s="24"/>
      <c r="BS674" s="24"/>
      <c r="BT674" s="32"/>
      <c r="BU674" s="27"/>
      <c r="BV674" s="24"/>
      <c r="BW674" s="24"/>
      <c r="BX674" s="16"/>
      <c r="BY674" s="27"/>
      <c r="BZ674" s="24"/>
      <c r="CA674" s="24"/>
      <c r="CB674" s="16"/>
      <c r="CC674" s="49"/>
      <c r="CD674" s="24"/>
      <c r="CE674" s="49">
        <f t="shared" si="293"/>
        <v>80920150</v>
      </c>
      <c r="CF674" s="50"/>
      <c r="CG674" s="49">
        <f t="shared" ca="1" si="277"/>
        <v>80920150</v>
      </c>
      <c r="CH674" s="33">
        <f t="shared" ca="1" si="291"/>
        <v>1</v>
      </c>
      <c r="CI674" s="33">
        <f t="shared" ca="1" si="292"/>
        <v>1</v>
      </c>
      <c r="CJ674" s="36">
        <f t="shared" ca="1" si="287"/>
        <v>100</v>
      </c>
      <c r="CK674" s="34">
        <f t="shared" si="288"/>
        <v>0</v>
      </c>
      <c r="CL674" s="21"/>
      <c r="CM674" s="35" t="str">
        <f t="shared" ca="1" si="289"/>
        <v>TERMINADO</v>
      </c>
      <c r="CN674" s="82"/>
      <c r="CO674" s="145" t="s">
        <v>5438</v>
      </c>
      <c r="CP674" s="26" t="s">
        <v>142</v>
      </c>
    </row>
    <row r="675" spans="1:97" ht="24.75" customHeight="1">
      <c r="A675" s="109" t="s">
        <v>5439</v>
      </c>
      <c r="B675" s="77" t="s">
        <v>5440</v>
      </c>
      <c r="C675" s="17" t="s">
        <v>104</v>
      </c>
      <c r="D675" s="18" t="s">
        <v>5441</v>
      </c>
      <c r="E675" s="17" t="s">
        <v>106</v>
      </c>
      <c r="F675" s="17" t="s">
        <v>107</v>
      </c>
      <c r="G675" s="17" t="s">
        <v>108</v>
      </c>
      <c r="H675" s="78">
        <v>79843843</v>
      </c>
      <c r="I675" s="74" t="s">
        <v>5442</v>
      </c>
      <c r="J675" s="16"/>
      <c r="K675" s="16"/>
      <c r="L675" s="20" t="s">
        <v>1884</v>
      </c>
      <c r="M675" s="16" t="s">
        <v>111</v>
      </c>
      <c r="N675" s="115">
        <v>45352</v>
      </c>
      <c r="O675" s="22">
        <v>45364</v>
      </c>
      <c r="P675" s="115">
        <v>45656</v>
      </c>
      <c r="Q675" s="23">
        <f t="shared" si="279"/>
        <v>292</v>
      </c>
      <c r="R675" s="17" t="s">
        <v>242</v>
      </c>
      <c r="S675" s="117" t="s">
        <v>5443</v>
      </c>
      <c r="T675" s="16" t="s">
        <v>1128</v>
      </c>
      <c r="U675" s="67">
        <v>65920000</v>
      </c>
      <c r="V675" s="16" t="s">
        <v>3421</v>
      </c>
      <c r="W675" s="224">
        <v>65920000</v>
      </c>
      <c r="X675" s="24">
        <v>6400000</v>
      </c>
      <c r="Y675" s="24"/>
      <c r="Z675" s="24"/>
      <c r="AA675" s="17" t="s">
        <v>116</v>
      </c>
      <c r="AB675" s="23" t="str">
        <f>IFERROR(VLOOKUP(AA675,Listas!$A$1:$C$14,2,FALSE),"")</f>
        <v>FREDY CÉSPEDES VILLA</v>
      </c>
      <c r="AC675" s="23">
        <f>IFERROR(VLOOKUP(AA675,Listas!$A$1:$C$14,3,FALSE),"")</f>
        <v>93363483</v>
      </c>
      <c r="AD675" s="17" t="s">
        <v>816</v>
      </c>
      <c r="AE675" s="17" t="s">
        <v>817</v>
      </c>
      <c r="AF675" s="23" t="str">
        <f>IFERROR(VLOOKUP(AE675,Listas!$AD$1:$AF$65,2,FALSE),"")</f>
        <v>JOSÉ EDUARDO PARADA JIMÉNEZ</v>
      </c>
      <c r="AG675" s="23">
        <f>IFERROR(VLOOKUP(AE675,Listas!$AD$1:$AF$65,3,FALSE),"")</f>
        <v>79434805</v>
      </c>
      <c r="AH675" s="17" t="s">
        <v>118</v>
      </c>
      <c r="AI675" s="65" t="s">
        <v>1442</v>
      </c>
      <c r="AJ675" s="25" t="s">
        <v>119</v>
      </c>
      <c r="AK675" s="26" t="s">
        <v>120</v>
      </c>
      <c r="AL675" s="26" t="s">
        <v>120</v>
      </c>
      <c r="AM675" s="90" t="s">
        <v>119</v>
      </c>
      <c r="AN675" s="105">
        <v>28250</v>
      </c>
      <c r="AO675" s="91">
        <f t="shared" ca="1" si="280"/>
        <v>48</v>
      </c>
      <c r="AP675" s="26" t="s">
        <v>121</v>
      </c>
      <c r="AQ675" s="26" t="s">
        <v>819</v>
      </c>
      <c r="AR675" s="89"/>
      <c r="AS675" s="27"/>
      <c r="AT675" s="16"/>
      <c r="AU675" s="27"/>
      <c r="AV675" s="86"/>
      <c r="AW675" s="27"/>
      <c r="AX675" s="27"/>
      <c r="AY675" s="27"/>
      <c r="AZ675" s="27"/>
      <c r="BA675" s="27"/>
      <c r="BB675" s="27"/>
      <c r="BC675" s="97"/>
      <c r="BD675" s="27"/>
      <c r="BE675" s="16"/>
      <c r="BF675" s="28">
        <f t="shared" si="281"/>
        <v>0</v>
      </c>
      <c r="BG675" s="29"/>
      <c r="BH675" s="27"/>
      <c r="BI675" s="30">
        <f t="shared" si="282"/>
        <v>292</v>
      </c>
      <c r="BJ675" s="31">
        <f t="shared" si="283"/>
        <v>45656</v>
      </c>
      <c r="BK675" s="27"/>
      <c r="BL675" s="16"/>
      <c r="BM675" s="27"/>
      <c r="BN675" s="16"/>
      <c r="BO675" s="27"/>
      <c r="BP675" s="16"/>
      <c r="BQ675" s="27"/>
      <c r="BR675" s="24"/>
      <c r="BS675" s="24"/>
      <c r="BT675" s="32"/>
      <c r="BU675" s="27"/>
      <c r="BV675" s="24"/>
      <c r="BW675" s="24"/>
      <c r="BX675" s="16"/>
      <c r="BY675" s="27"/>
      <c r="BZ675" s="24"/>
      <c r="CA675" s="24"/>
      <c r="CB675" s="16"/>
      <c r="CC675" s="49">
        <f t="shared" ref="CC675:CC706" si="294">BR675+BV675+BZ675</f>
        <v>0</v>
      </c>
      <c r="CD675" s="24"/>
      <c r="CE675" s="49">
        <f t="shared" si="293"/>
        <v>65920000</v>
      </c>
      <c r="CF675" s="50"/>
      <c r="CG675" s="49">
        <f t="shared" ca="1" si="277"/>
        <v>65920000</v>
      </c>
      <c r="CH675" s="33">
        <f t="shared" ca="1" si="291"/>
        <v>1</v>
      </c>
      <c r="CI675" s="33">
        <f t="shared" ca="1" si="292"/>
        <v>1</v>
      </c>
      <c r="CJ675" s="36">
        <f t="shared" ca="1" si="287"/>
        <v>100</v>
      </c>
      <c r="CK675" s="34">
        <f t="shared" si="288"/>
        <v>0</v>
      </c>
      <c r="CL675" s="21"/>
      <c r="CM675" s="35" t="str">
        <f t="shared" ca="1" si="289"/>
        <v>TERMINADO</v>
      </c>
      <c r="CN675" s="82"/>
      <c r="CO675" s="145" t="s">
        <v>5444</v>
      </c>
      <c r="CP675" s="26" t="s">
        <v>142</v>
      </c>
    </row>
    <row r="676" spans="1:97" ht="24.75" customHeight="1">
      <c r="A676" s="109" t="s">
        <v>5445</v>
      </c>
      <c r="B676" s="77" t="s">
        <v>5446</v>
      </c>
      <c r="C676" s="17" t="s">
        <v>104</v>
      </c>
      <c r="D676" s="18" t="s">
        <v>5447</v>
      </c>
      <c r="E676" s="17" t="s">
        <v>106</v>
      </c>
      <c r="F676" s="17" t="s">
        <v>107</v>
      </c>
      <c r="G676" s="17" t="s">
        <v>108</v>
      </c>
      <c r="H676" s="78">
        <v>1074616105</v>
      </c>
      <c r="I676" s="74" t="s">
        <v>5448</v>
      </c>
      <c r="J676" s="16"/>
      <c r="K676" s="16"/>
      <c r="L676" s="20" t="s">
        <v>874</v>
      </c>
      <c r="M676" s="16" t="s">
        <v>111</v>
      </c>
      <c r="N676" s="115">
        <v>45352</v>
      </c>
      <c r="O676" s="22">
        <v>45358</v>
      </c>
      <c r="P676" s="115">
        <v>45656</v>
      </c>
      <c r="Q676" s="23">
        <f t="shared" si="279"/>
        <v>298</v>
      </c>
      <c r="R676" s="17" t="s">
        <v>242</v>
      </c>
      <c r="S676" s="117" t="s">
        <v>5449</v>
      </c>
      <c r="T676" s="16" t="s">
        <v>1128</v>
      </c>
      <c r="U676" s="67">
        <v>65920000</v>
      </c>
      <c r="V676" s="16" t="s">
        <v>3421</v>
      </c>
      <c r="W676" s="224">
        <v>65920000</v>
      </c>
      <c r="X676" s="24">
        <v>6400000</v>
      </c>
      <c r="Y676" s="24"/>
      <c r="Z676" s="24"/>
      <c r="AA676" s="17" t="s">
        <v>116</v>
      </c>
      <c r="AB676" s="23" t="str">
        <f>IFERROR(VLOOKUP(AA676,Listas!$A$1:$C$14,2,FALSE),"")</f>
        <v>FREDY CÉSPEDES VILLA</v>
      </c>
      <c r="AC676" s="23">
        <f>IFERROR(VLOOKUP(AA676,Listas!$A$1:$C$14,3,FALSE),"")</f>
        <v>93363483</v>
      </c>
      <c r="AD676" s="17" t="s">
        <v>816</v>
      </c>
      <c r="AE676" s="17" t="s">
        <v>817</v>
      </c>
      <c r="AF676" s="23" t="str">
        <f>IFERROR(VLOOKUP(AE676,Listas!$AD$1:$AF$65,2,FALSE),"")</f>
        <v>JOSÉ EDUARDO PARADA JIMÉNEZ</v>
      </c>
      <c r="AG676" s="23">
        <f>IFERROR(VLOOKUP(AE676,Listas!$AD$1:$AF$65,3,FALSE),"")</f>
        <v>79434805</v>
      </c>
      <c r="AH676" s="17" t="s">
        <v>118</v>
      </c>
      <c r="AI676" s="65" t="s">
        <v>876</v>
      </c>
      <c r="AJ676" s="25" t="s">
        <v>119</v>
      </c>
      <c r="AK676" s="26" t="s">
        <v>120</v>
      </c>
      <c r="AL676" s="26" t="s">
        <v>120</v>
      </c>
      <c r="AM676" s="90" t="s">
        <v>119</v>
      </c>
      <c r="AN676" s="105">
        <v>31751</v>
      </c>
      <c r="AO676" s="91">
        <f t="shared" ca="1" si="280"/>
        <v>39</v>
      </c>
      <c r="AP676" s="26" t="s">
        <v>121</v>
      </c>
      <c r="AQ676" s="26" t="s">
        <v>819</v>
      </c>
      <c r="AR676" s="89"/>
      <c r="AS676" s="27"/>
      <c r="AT676" s="16"/>
      <c r="AU676" s="27"/>
      <c r="AV676" s="86"/>
      <c r="AW676" s="27"/>
      <c r="AX676" s="27"/>
      <c r="AY676" s="27"/>
      <c r="AZ676" s="27"/>
      <c r="BA676" s="27"/>
      <c r="BB676" s="27"/>
      <c r="BC676" s="97"/>
      <c r="BD676" s="27"/>
      <c r="BE676" s="16"/>
      <c r="BF676" s="28">
        <f t="shared" si="281"/>
        <v>0</v>
      </c>
      <c r="BG676" s="29"/>
      <c r="BH676" s="27"/>
      <c r="BI676" s="30">
        <f t="shared" si="282"/>
        <v>298</v>
      </c>
      <c r="BJ676" s="31">
        <f t="shared" si="283"/>
        <v>45656</v>
      </c>
      <c r="BK676" s="27"/>
      <c r="BL676" s="16"/>
      <c r="BM676" s="27"/>
      <c r="BN676" s="16"/>
      <c r="BO676" s="27"/>
      <c r="BP676" s="16"/>
      <c r="BQ676" s="27"/>
      <c r="BR676" s="24"/>
      <c r="BS676" s="24"/>
      <c r="BT676" s="32"/>
      <c r="BU676" s="27"/>
      <c r="BV676" s="24"/>
      <c r="BW676" s="24"/>
      <c r="BX676" s="16"/>
      <c r="BY676" s="27"/>
      <c r="BZ676" s="24"/>
      <c r="CA676" s="24"/>
      <c r="CB676" s="16"/>
      <c r="CC676" s="49">
        <f t="shared" si="294"/>
        <v>0</v>
      </c>
      <c r="CD676" s="24"/>
      <c r="CE676" s="49">
        <f t="shared" si="293"/>
        <v>65920000</v>
      </c>
      <c r="CF676" s="50"/>
      <c r="CG676" s="49">
        <f t="shared" ca="1" si="277"/>
        <v>65920000</v>
      </c>
      <c r="CH676" s="33">
        <f t="shared" ca="1" si="291"/>
        <v>1</v>
      </c>
      <c r="CI676" s="33">
        <f t="shared" ca="1" si="292"/>
        <v>1</v>
      </c>
      <c r="CJ676" s="36">
        <f t="shared" ca="1" si="287"/>
        <v>100</v>
      </c>
      <c r="CK676" s="34">
        <f t="shared" si="288"/>
        <v>0</v>
      </c>
      <c r="CL676" s="21"/>
      <c r="CM676" s="35" t="str">
        <f t="shared" ca="1" si="289"/>
        <v>TERMINADO</v>
      </c>
      <c r="CN676" s="82"/>
      <c r="CO676" s="145" t="s">
        <v>5450</v>
      </c>
      <c r="CP676" s="26" t="s">
        <v>142</v>
      </c>
    </row>
    <row r="677" spans="1:97" ht="24.75" customHeight="1">
      <c r="A677" s="109" t="s">
        <v>5451</v>
      </c>
      <c r="B677" s="77" t="s">
        <v>5452</v>
      </c>
      <c r="C677" s="17" t="s">
        <v>104</v>
      </c>
      <c r="D677" s="18" t="s">
        <v>5453</v>
      </c>
      <c r="E677" s="17" t="s">
        <v>106</v>
      </c>
      <c r="F677" s="17" t="s">
        <v>107</v>
      </c>
      <c r="G677" s="17" t="s">
        <v>108</v>
      </c>
      <c r="H677" s="78">
        <v>1030686413</v>
      </c>
      <c r="I677" s="74" t="s">
        <v>5454</v>
      </c>
      <c r="J677" s="16"/>
      <c r="K677" s="16"/>
      <c r="L677" s="20" t="s">
        <v>3642</v>
      </c>
      <c r="M677" s="16" t="s">
        <v>111</v>
      </c>
      <c r="N677" s="115">
        <v>45359</v>
      </c>
      <c r="O677" s="22">
        <v>45362</v>
      </c>
      <c r="P677" s="115">
        <v>45656</v>
      </c>
      <c r="Q677" s="23">
        <f t="shared" si="279"/>
        <v>294</v>
      </c>
      <c r="R677" s="17" t="s">
        <v>112</v>
      </c>
      <c r="S677" s="117" t="s">
        <v>5455</v>
      </c>
      <c r="T677" s="16" t="s">
        <v>364</v>
      </c>
      <c r="U677" s="67">
        <v>55462998</v>
      </c>
      <c r="V677" s="16" t="s">
        <v>365</v>
      </c>
      <c r="W677" s="224">
        <v>50268578</v>
      </c>
      <c r="X677" s="24">
        <v>5026858</v>
      </c>
      <c r="Y677" s="24"/>
      <c r="Z677" s="24"/>
      <c r="AA677" s="17" t="s">
        <v>116</v>
      </c>
      <c r="AB677" s="23" t="str">
        <f>IFERROR(VLOOKUP(AA677,Listas!$A$1:$C$14,2,FALSE),"")</f>
        <v>FREDY CÉSPEDES VILLA</v>
      </c>
      <c r="AC677" s="23">
        <f>IFERROR(VLOOKUP(AA677,Listas!$A$1:$C$14,3,FALSE),"")</f>
        <v>93363483</v>
      </c>
      <c r="AD677" s="17" t="s">
        <v>345</v>
      </c>
      <c r="AE677" s="17" t="s">
        <v>346</v>
      </c>
      <c r="AF677" s="23" t="str">
        <f>IFERROR(VLOOKUP(AE677,Listas!$AD$1:$AF$65,2,FALSE),"")</f>
        <v>RODOLFO GIOVANNI CANCHILA SUÁREZ</v>
      </c>
      <c r="AG677" s="23">
        <f>IFERROR(VLOOKUP(AE677,Listas!$AD$1:$AF$65,3,FALSE),"")</f>
        <v>79672493</v>
      </c>
      <c r="AH677" s="17" t="s">
        <v>118</v>
      </c>
      <c r="AI677" s="65" t="s">
        <v>3534</v>
      </c>
      <c r="AJ677" s="25" t="s">
        <v>119</v>
      </c>
      <c r="AK677" s="26" t="s">
        <v>120</v>
      </c>
      <c r="AL677" s="26" t="s">
        <v>120</v>
      </c>
      <c r="AM677" s="90" t="s">
        <v>119</v>
      </c>
      <c r="AN677" s="105">
        <v>35894</v>
      </c>
      <c r="AO677" s="91">
        <f t="shared" ca="1" si="280"/>
        <v>27</v>
      </c>
      <c r="AP677" s="26" t="s">
        <v>121</v>
      </c>
      <c r="AQ677" s="26" t="s">
        <v>367</v>
      </c>
      <c r="AR677" s="89"/>
      <c r="AS677" s="27"/>
      <c r="AT677" s="16"/>
      <c r="AU677" s="27"/>
      <c r="AV677" s="86"/>
      <c r="AW677" s="27"/>
      <c r="AX677" s="27"/>
      <c r="AY677" s="27"/>
      <c r="AZ677" s="27"/>
      <c r="BA677" s="27"/>
      <c r="BB677" s="27"/>
      <c r="BC677" s="97"/>
      <c r="BD677" s="27"/>
      <c r="BE677" s="16"/>
      <c r="BF677" s="28">
        <f t="shared" si="281"/>
        <v>0</v>
      </c>
      <c r="BG677" s="29"/>
      <c r="BH677" s="27"/>
      <c r="BI677" s="30">
        <f t="shared" si="282"/>
        <v>294</v>
      </c>
      <c r="BJ677" s="31">
        <f t="shared" si="283"/>
        <v>45656</v>
      </c>
      <c r="BK677" s="27"/>
      <c r="BL677" s="16"/>
      <c r="BM677" s="27"/>
      <c r="BN677" s="16"/>
      <c r="BO677" s="27"/>
      <c r="BP677" s="16"/>
      <c r="BQ677" s="27"/>
      <c r="BR677" s="24"/>
      <c r="BS677" s="24"/>
      <c r="BT677" s="32"/>
      <c r="BU677" s="27"/>
      <c r="BV677" s="24"/>
      <c r="BW677" s="24"/>
      <c r="BX677" s="16"/>
      <c r="BY677" s="27"/>
      <c r="BZ677" s="24"/>
      <c r="CA677" s="24"/>
      <c r="CB677" s="16"/>
      <c r="CC677" s="49">
        <f t="shared" si="294"/>
        <v>0</v>
      </c>
      <c r="CD677" s="24"/>
      <c r="CE677" s="49">
        <f t="shared" si="293"/>
        <v>50268578</v>
      </c>
      <c r="CF677" s="50"/>
      <c r="CG677" s="49">
        <f t="shared" ca="1" si="277"/>
        <v>50268578</v>
      </c>
      <c r="CH677" s="33">
        <f t="shared" ca="1" si="291"/>
        <v>1</v>
      </c>
      <c r="CI677" s="33">
        <f t="shared" ca="1" si="292"/>
        <v>1</v>
      </c>
      <c r="CJ677" s="36">
        <f t="shared" ca="1" si="287"/>
        <v>100</v>
      </c>
      <c r="CK677" s="34">
        <f t="shared" si="288"/>
        <v>0</v>
      </c>
      <c r="CL677" s="21"/>
      <c r="CM677" s="35" t="str">
        <f t="shared" ca="1" si="289"/>
        <v>TERMINADO</v>
      </c>
      <c r="CN677" s="82"/>
      <c r="CO677" s="145" t="s">
        <v>5456</v>
      </c>
      <c r="CP677" s="26" t="s">
        <v>142</v>
      </c>
    </row>
    <row r="678" spans="1:97" ht="24.75" customHeight="1">
      <c r="A678" s="109" t="s">
        <v>5457</v>
      </c>
      <c r="B678" s="77" t="s">
        <v>5458</v>
      </c>
      <c r="C678" s="17" t="s">
        <v>104</v>
      </c>
      <c r="D678" s="18" t="s">
        <v>5459</v>
      </c>
      <c r="E678" s="17" t="s">
        <v>106</v>
      </c>
      <c r="F678" s="17" t="s">
        <v>107</v>
      </c>
      <c r="G678" s="17" t="s">
        <v>108</v>
      </c>
      <c r="H678" s="78">
        <v>1140842457</v>
      </c>
      <c r="I678" s="74" t="s">
        <v>5460</v>
      </c>
      <c r="J678" s="16"/>
      <c r="K678" s="16"/>
      <c r="L678" s="20" t="s">
        <v>5461</v>
      </c>
      <c r="M678" s="16" t="s">
        <v>111</v>
      </c>
      <c r="N678" s="115">
        <v>45352</v>
      </c>
      <c r="O678" s="22">
        <v>45356</v>
      </c>
      <c r="P678" s="115">
        <v>45656</v>
      </c>
      <c r="Q678" s="23">
        <f t="shared" si="279"/>
        <v>300</v>
      </c>
      <c r="R678" s="17" t="s">
        <v>112</v>
      </c>
      <c r="S678" s="117" t="s">
        <v>5462</v>
      </c>
      <c r="T678" s="16" t="s">
        <v>1460</v>
      </c>
      <c r="U678" s="67">
        <v>50816640</v>
      </c>
      <c r="V678" s="16" t="s">
        <v>5463</v>
      </c>
      <c r="W678" s="224">
        <v>42347200</v>
      </c>
      <c r="X678" s="24">
        <v>4234720</v>
      </c>
      <c r="Y678" s="24"/>
      <c r="Z678" s="24"/>
      <c r="AA678" s="17" t="s">
        <v>116</v>
      </c>
      <c r="AB678" s="23" t="str">
        <f>IFERROR(VLOOKUP(AA678,Listas!$A$1:$C$14,2,FALSE),"")</f>
        <v>FREDY CÉSPEDES VILLA</v>
      </c>
      <c r="AC678" s="23">
        <f>IFERROR(VLOOKUP(AA678,Listas!$A$1:$C$14,3,FALSE),"")</f>
        <v>93363483</v>
      </c>
      <c r="AD678" s="17" t="s">
        <v>607</v>
      </c>
      <c r="AE678" s="17" t="s">
        <v>1155</v>
      </c>
      <c r="AF678" s="23" t="str">
        <f>IFERROR(VLOOKUP(AE678,Listas!$AD$1:$AF$65,2,FALSE),"")</f>
        <v>MARÍA FRANCISCA CEPEDA QUINTERO</v>
      </c>
      <c r="AG678" s="23">
        <f>IFERROR(VLOOKUP(AE678,Listas!$AD$1:$AF$65,3,FALSE),"")</f>
        <v>53062608</v>
      </c>
      <c r="AH678" s="17" t="s">
        <v>118</v>
      </c>
      <c r="AI678" s="65" t="s">
        <v>5464</v>
      </c>
      <c r="AJ678" s="25" t="s">
        <v>119</v>
      </c>
      <c r="AK678" s="26" t="s">
        <v>120</v>
      </c>
      <c r="AL678" s="26" t="s">
        <v>120</v>
      </c>
      <c r="AM678" s="90" t="s">
        <v>119</v>
      </c>
      <c r="AN678" s="105">
        <v>33378</v>
      </c>
      <c r="AO678" s="91">
        <f t="shared" ca="1" si="280"/>
        <v>34</v>
      </c>
      <c r="AP678" s="26" t="s">
        <v>121</v>
      </c>
      <c r="AQ678" s="26" t="s">
        <v>486</v>
      </c>
      <c r="AR678" s="89"/>
      <c r="AS678" s="27"/>
      <c r="AT678" s="16"/>
      <c r="AU678" s="27"/>
      <c r="AV678" s="86"/>
      <c r="AW678" s="27"/>
      <c r="AX678" s="27"/>
      <c r="AY678" s="27"/>
      <c r="AZ678" s="27"/>
      <c r="BA678" s="27"/>
      <c r="BB678" s="27"/>
      <c r="BC678" s="97"/>
      <c r="BD678" s="27"/>
      <c r="BE678" s="16"/>
      <c r="BF678" s="28">
        <f t="shared" si="281"/>
        <v>0</v>
      </c>
      <c r="BG678" s="29"/>
      <c r="BH678" s="27"/>
      <c r="BI678" s="30">
        <f t="shared" si="282"/>
        <v>300</v>
      </c>
      <c r="BJ678" s="31">
        <f t="shared" si="283"/>
        <v>45656</v>
      </c>
      <c r="BK678" s="27"/>
      <c r="BL678" s="16"/>
      <c r="BM678" s="27"/>
      <c r="BN678" s="16"/>
      <c r="BO678" s="27"/>
      <c r="BP678" s="16"/>
      <c r="BQ678" s="27"/>
      <c r="BR678" s="24"/>
      <c r="BS678" s="24"/>
      <c r="BT678" s="32"/>
      <c r="BU678" s="27"/>
      <c r="BV678" s="24"/>
      <c r="BW678" s="24"/>
      <c r="BX678" s="16"/>
      <c r="BY678" s="27"/>
      <c r="BZ678" s="24"/>
      <c r="CA678" s="24"/>
      <c r="CB678" s="16"/>
      <c r="CC678" s="49">
        <f t="shared" si="294"/>
        <v>0</v>
      </c>
      <c r="CD678" s="24"/>
      <c r="CE678" s="49">
        <f t="shared" si="293"/>
        <v>42347200</v>
      </c>
      <c r="CF678" s="50"/>
      <c r="CG678" s="49">
        <f t="shared" ca="1" si="277"/>
        <v>42347200</v>
      </c>
      <c r="CH678" s="33">
        <f t="shared" ca="1" si="291"/>
        <v>1</v>
      </c>
      <c r="CI678" s="33">
        <f t="shared" ca="1" si="292"/>
        <v>1</v>
      </c>
      <c r="CJ678" s="36">
        <f t="shared" ca="1" si="287"/>
        <v>100</v>
      </c>
      <c r="CK678" s="34">
        <f t="shared" si="288"/>
        <v>0</v>
      </c>
      <c r="CL678" s="21"/>
      <c r="CM678" s="35" t="str">
        <f t="shared" ca="1" si="289"/>
        <v>TERMINADO</v>
      </c>
      <c r="CN678" s="82"/>
      <c r="CO678" s="149" t="s">
        <v>5465</v>
      </c>
      <c r="CP678" s="26" t="s">
        <v>123</v>
      </c>
    </row>
    <row r="679" spans="1:97" ht="24.75" customHeight="1">
      <c r="A679" s="109" t="s">
        <v>5466</v>
      </c>
      <c r="B679" s="77" t="s">
        <v>5467</v>
      </c>
      <c r="C679" s="17" t="s">
        <v>104</v>
      </c>
      <c r="D679" s="18" t="s">
        <v>5468</v>
      </c>
      <c r="E679" s="17" t="s">
        <v>106</v>
      </c>
      <c r="F679" s="17" t="s">
        <v>107</v>
      </c>
      <c r="G679" s="17" t="s">
        <v>108</v>
      </c>
      <c r="H679" s="78">
        <v>1112497352</v>
      </c>
      <c r="I679" s="74" t="s">
        <v>5469</v>
      </c>
      <c r="J679" s="16"/>
      <c r="K679" s="16"/>
      <c r="L679" s="20" t="s">
        <v>5470</v>
      </c>
      <c r="M679" s="16" t="s">
        <v>111</v>
      </c>
      <c r="N679" s="115">
        <v>45352</v>
      </c>
      <c r="O679" s="22">
        <v>45355</v>
      </c>
      <c r="P679" s="115">
        <v>45656</v>
      </c>
      <c r="Q679" s="23">
        <f t="shared" si="279"/>
        <v>301</v>
      </c>
      <c r="R679" s="17" t="s">
        <v>112</v>
      </c>
      <c r="S679" s="117" t="s">
        <v>5471</v>
      </c>
      <c r="T679" s="16" t="s">
        <v>1460</v>
      </c>
      <c r="U679" s="67">
        <v>39600000</v>
      </c>
      <c r="V679" s="16" t="s">
        <v>1318</v>
      </c>
      <c r="W679" s="224">
        <v>39600000</v>
      </c>
      <c r="X679" s="24">
        <v>3600000</v>
      </c>
      <c r="Y679" s="24"/>
      <c r="Z679" s="24"/>
      <c r="AA679" s="17" t="s">
        <v>116</v>
      </c>
      <c r="AB679" s="23" t="str">
        <f>IFERROR(VLOOKUP(AA679,Listas!$A$1:$C$14,2,FALSE),"")</f>
        <v>FREDY CÉSPEDES VILLA</v>
      </c>
      <c r="AC679" s="23">
        <f>IFERROR(VLOOKUP(AA679,Listas!$A$1:$C$14,3,FALSE),"")</f>
        <v>93363483</v>
      </c>
      <c r="AD679" s="17" t="s">
        <v>116</v>
      </c>
      <c r="AE679" s="17" t="s">
        <v>659</v>
      </c>
      <c r="AF679" s="23" t="str">
        <f>IFERROR(VLOOKUP(AE679,Listas!$AD$1:$AF$65,2,FALSE),"")</f>
        <v>TATIANA FORERO TORRES</v>
      </c>
      <c r="AG679" s="23">
        <f>IFERROR(VLOOKUP(AE679,Listas!$AD$1:$AF$65,3,FALSE),"")</f>
        <v>1072446921</v>
      </c>
      <c r="AH679" s="17" t="s">
        <v>118</v>
      </c>
      <c r="AI679" s="65" t="s">
        <v>5472</v>
      </c>
      <c r="AJ679" s="25" t="s">
        <v>119</v>
      </c>
      <c r="AK679" s="26" t="s">
        <v>120</v>
      </c>
      <c r="AL679" s="26" t="s">
        <v>120</v>
      </c>
      <c r="AM679" s="90" t="s">
        <v>119</v>
      </c>
      <c r="AN679" s="105">
        <v>36349</v>
      </c>
      <c r="AO679" s="91">
        <f t="shared" ca="1" si="280"/>
        <v>26</v>
      </c>
      <c r="AP679" s="26" t="s">
        <v>121</v>
      </c>
      <c r="AQ679" s="26" t="s">
        <v>122</v>
      </c>
      <c r="AR679" s="89"/>
      <c r="AS679" s="27"/>
      <c r="AT679" s="16"/>
      <c r="AU679" s="27"/>
      <c r="AV679" s="86"/>
      <c r="AW679" s="27"/>
      <c r="AX679" s="27"/>
      <c r="AY679" s="27"/>
      <c r="AZ679" s="27"/>
      <c r="BA679" s="27"/>
      <c r="BB679" s="27"/>
      <c r="BC679" s="97"/>
      <c r="BD679" s="27"/>
      <c r="BE679" s="16"/>
      <c r="BF679" s="28">
        <f t="shared" si="281"/>
        <v>0</v>
      </c>
      <c r="BG679" s="29"/>
      <c r="BH679" s="27"/>
      <c r="BI679" s="30">
        <f t="shared" si="282"/>
        <v>301</v>
      </c>
      <c r="BJ679" s="31">
        <f t="shared" si="283"/>
        <v>45656</v>
      </c>
      <c r="BK679" s="27"/>
      <c r="BL679" s="16"/>
      <c r="BM679" s="27"/>
      <c r="BN679" s="16"/>
      <c r="BO679" s="27"/>
      <c r="BP679" s="16"/>
      <c r="BQ679" s="27"/>
      <c r="BR679" s="24"/>
      <c r="BS679" s="24"/>
      <c r="BT679" s="32"/>
      <c r="BU679" s="27"/>
      <c r="BV679" s="24"/>
      <c r="BW679" s="24"/>
      <c r="BX679" s="16"/>
      <c r="BY679" s="27"/>
      <c r="BZ679" s="24"/>
      <c r="CA679" s="24"/>
      <c r="CB679" s="16"/>
      <c r="CC679" s="49">
        <f t="shared" si="294"/>
        <v>0</v>
      </c>
      <c r="CD679" s="24"/>
      <c r="CE679" s="49">
        <f t="shared" si="293"/>
        <v>39600000</v>
      </c>
      <c r="CF679" s="50"/>
      <c r="CG679" s="49">
        <f t="shared" ca="1" si="277"/>
        <v>39600000</v>
      </c>
      <c r="CH679" s="33">
        <f t="shared" ca="1" si="291"/>
        <v>1</v>
      </c>
      <c r="CI679" s="33">
        <f t="shared" ca="1" si="292"/>
        <v>1</v>
      </c>
      <c r="CJ679" s="36">
        <f t="shared" ca="1" si="287"/>
        <v>100</v>
      </c>
      <c r="CK679" s="34">
        <f t="shared" si="288"/>
        <v>0</v>
      </c>
      <c r="CL679" s="21"/>
      <c r="CM679" s="35" t="str">
        <f t="shared" ca="1" si="289"/>
        <v>TERMINADO</v>
      </c>
      <c r="CN679" s="82"/>
      <c r="CO679" s="145" t="s">
        <v>5473</v>
      </c>
      <c r="CP679" s="26" t="s">
        <v>142</v>
      </c>
    </row>
    <row r="680" spans="1:97" ht="24.75" customHeight="1">
      <c r="A680" s="148" t="s">
        <v>1424</v>
      </c>
      <c r="B680" s="77" t="s">
        <v>5474</v>
      </c>
      <c r="C680" s="17" t="s">
        <v>2927</v>
      </c>
      <c r="D680" s="18" t="s">
        <v>5475</v>
      </c>
      <c r="E680" s="17" t="s">
        <v>2929</v>
      </c>
      <c r="F680" s="17" t="s">
        <v>1426</v>
      </c>
      <c r="G680" s="17" t="s">
        <v>1427</v>
      </c>
      <c r="H680" s="78" t="s">
        <v>5377</v>
      </c>
      <c r="I680" s="74" t="s">
        <v>5476</v>
      </c>
      <c r="J680" s="16" t="s">
        <v>5477</v>
      </c>
      <c r="K680" s="16">
        <v>6294667</v>
      </c>
      <c r="L680" s="20" t="s">
        <v>5291</v>
      </c>
      <c r="M680" s="16"/>
      <c r="N680" s="115">
        <v>45355</v>
      </c>
      <c r="O680" s="115">
        <v>45355</v>
      </c>
      <c r="P680" s="115">
        <v>45720</v>
      </c>
      <c r="Q680" s="23">
        <f t="shared" ref="Q680:Q711" si="295">P680-O680</f>
        <v>365</v>
      </c>
      <c r="R680" s="17" t="s">
        <v>2934</v>
      </c>
      <c r="S680" s="117" t="s">
        <v>1424</v>
      </c>
      <c r="T680" s="16" t="s">
        <v>1424</v>
      </c>
      <c r="U680" s="67" t="s">
        <v>1424</v>
      </c>
      <c r="V680" s="16" t="s">
        <v>1424</v>
      </c>
      <c r="W680" s="224">
        <v>0</v>
      </c>
      <c r="X680" s="24"/>
      <c r="Y680" s="24" t="s">
        <v>2935</v>
      </c>
      <c r="Z680" s="24"/>
      <c r="AA680" s="17" t="s">
        <v>406</v>
      </c>
      <c r="AB680" s="23" t="str">
        <f>IFERROR(VLOOKUP(AA680,Listas!$A$1:$C$14,2,FALSE),"")</f>
        <v>EDUARDO ELÍAS BARCHA BOLÍVAR</v>
      </c>
      <c r="AC680" s="23">
        <f>IFERROR(VLOOKUP(AA680,Listas!$A$1:$C$14,3,FALSE),"")</f>
        <v>72133921</v>
      </c>
      <c r="AD680" s="17" t="s">
        <v>559</v>
      </c>
      <c r="AE680" s="17" t="s">
        <v>560</v>
      </c>
      <c r="AF680" s="23" t="str">
        <f>IFERROR(VLOOKUP(AE680,Listas!$AD$1:$AF$65,2,FALSE),"")</f>
        <v>CESAR AUGUSTO LÓPEZ LÓPEZ</v>
      </c>
      <c r="AG680" s="23">
        <f>IFERROR(VLOOKUP(AE680,Listas!$AD$1:$AF$65,3,FALSE),"")</f>
        <v>6103856</v>
      </c>
      <c r="AH680" s="17" t="s">
        <v>2936</v>
      </c>
      <c r="AI680" s="65"/>
      <c r="AJ680" s="25" t="s">
        <v>1435</v>
      </c>
      <c r="AK680" s="26" t="s">
        <v>2071</v>
      </c>
      <c r="AL680" s="26" t="s">
        <v>2071</v>
      </c>
      <c r="AM680" s="90" t="s">
        <v>1435</v>
      </c>
      <c r="AN680" s="105"/>
      <c r="AO680" s="91" t="str">
        <f t="shared" ref="AO680:AO711" ca="1" si="296">IF(YEAR(TODAY())-YEAR(AN680)&gt;100," ",YEAR(TODAY())-YEAR(AN680))</f>
        <v xml:space="preserve"> </v>
      </c>
      <c r="AP680" s="26" t="s">
        <v>2937</v>
      </c>
      <c r="AQ680" s="26" t="s">
        <v>3437</v>
      </c>
      <c r="AR680" s="89"/>
      <c r="AS680" s="27"/>
      <c r="AT680" s="16"/>
      <c r="AU680" s="27"/>
      <c r="AV680" s="86"/>
      <c r="AW680" s="27"/>
      <c r="AX680" s="27"/>
      <c r="AY680" s="27"/>
      <c r="AZ680" s="27"/>
      <c r="BA680" s="27"/>
      <c r="BB680" s="27">
        <v>45707</v>
      </c>
      <c r="BC680" s="97">
        <v>302</v>
      </c>
      <c r="BD680" s="27"/>
      <c r="BE680" s="16"/>
      <c r="BF680" s="28">
        <f t="shared" ref="BF680:BF711" si="297">BC680+BE680</f>
        <v>302</v>
      </c>
      <c r="BG680" s="29"/>
      <c r="BH680" s="27"/>
      <c r="BI680" s="30">
        <f t="shared" ref="BI680:BI711" si="298">BF680+Q680</f>
        <v>667</v>
      </c>
      <c r="BJ680" s="31">
        <f t="shared" ref="BJ680:BJ711" si="299">IF(BH680="",P680+BF680,BH680)</f>
        <v>46022</v>
      </c>
      <c r="BK680" s="27">
        <v>45707</v>
      </c>
      <c r="BL680" s="16" t="s">
        <v>5478</v>
      </c>
      <c r="BM680" s="27"/>
      <c r="BN680" s="16"/>
      <c r="BO680" s="27"/>
      <c r="BP680" s="16"/>
      <c r="BQ680" s="27"/>
      <c r="BR680" s="24"/>
      <c r="BS680" s="24"/>
      <c r="BT680" s="32"/>
      <c r="BU680" s="27"/>
      <c r="BV680" s="24"/>
      <c r="BW680" s="24"/>
      <c r="BX680" s="16"/>
      <c r="BY680" s="27"/>
      <c r="BZ680" s="24"/>
      <c r="CA680" s="24"/>
      <c r="CB680" s="16"/>
      <c r="CC680" s="49">
        <f t="shared" si="294"/>
        <v>0</v>
      </c>
      <c r="CD680" s="24"/>
      <c r="CE680" s="49" t="str">
        <f>IFERROR(IF(Y680=0,(W680+CC680)-CD680,IF(Y680&gt;0,(Y680+CC680)-CD680)),"")</f>
        <v/>
      </c>
      <c r="CF680" s="50">
        <v>28666560.43</v>
      </c>
      <c r="CG680" s="49" t="str">
        <f t="shared" ca="1" si="277"/>
        <v/>
      </c>
      <c r="CH680" s="33">
        <f t="shared" ca="1" si="291"/>
        <v>0.89193302891933024</v>
      </c>
      <c r="CI680" s="33">
        <f t="shared" ca="1" si="292"/>
        <v>0.89193302891933024</v>
      </c>
      <c r="CJ680" s="36" t="str">
        <f t="shared" ca="1" si="287"/>
        <v/>
      </c>
      <c r="CK680" s="34" t="str">
        <f t="shared" si="288"/>
        <v/>
      </c>
      <c r="CL680" s="21"/>
      <c r="CM680" s="35" t="str">
        <f t="shared" ref="CM680:CM711" ca="1" si="300">IF(CL680&gt;1/1/6,"LIQUIDADO",IF(BJ680=$BE$20003,"",IF(BJ680&gt;=TODAY(),"VIGENTE",IF(BJ680&lt;TODAY(),"TERMINADO",))))</f>
        <v>VIGENTE</v>
      </c>
      <c r="CN680" s="82"/>
      <c r="CP680" s="83" t="s">
        <v>1424</v>
      </c>
    </row>
    <row r="681" spans="1:97" ht="30" customHeight="1">
      <c r="A681" s="109" t="s">
        <v>5479</v>
      </c>
      <c r="B681" s="77" t="s">
        <v>5480</v>
      </c>
      <c r="C681" s="17" t="s">
        <v>104</v>
      </c>
      <c r="D681" s="18" t="s">
        <v>5481</v>
      </c>
      <c r="E681" s="17" t="s">
        <v>106</v>
      </c>
      <c r="F681" s="17" t="s">
        <v>107</v>
      </c>
      <c r="G681" s="17" t="s">
        <v>108</v>
      </c>
      <c r="H681" s="78">
        <v>52790160</v>
      </c>
      <c r="I681" s="74" t="s">
        <v>5482</v>
      </c>
      <c r="J681" s="16"/>
      <c r="K681" s="16"/>
      <c r="L681" s="20" t="s">
        <v>5483</v>
      </c>
      <c r="M681" s="16" t="s">
        <v>111</v>
      </c>
      <c r="N681" s="22">
        <v>45356</v>
      </c>
      <c r="O681" s="22">
        <v>45362</v>
      </c>
      <c r="P681" s="115">
        <v>45656</v>
      </c>
      <c r="Q681" s="23">
        <f t="shared" si="295"/>
        <v>294</v>
      </c>
      <c r="R681" s="17" t="s">
        <v>242</v>
      </c>
      <c r="S681" s="117" t="s">
        <v>5484</v>
      </c>
      <c r="T681" s="16" t="s">
        <v>1128</v>
      </c>
      <c r="U681" s="67">
        <v>155000000</v>
      </c>
      <c r="V681" s="16" t="s">
        <v>3421</v>
      </c>
      <c r="W681" s="224">
        <v>155000000</v>
      </c>
      <c r="X681" s="24">
        <v>15000000</v>
      </c>
      <c r="Y681" s="24"/>
      <c r="Z681" s="24"/>
      <c r="AA681" s="17" t="s">
        <v>816</v>
      </c>
      <c r="AB681" s="23" t="str">
        <f>IFERROR(VLOOKUP(AA681,Listas!$A$1:$C$14,2,FALSE),"")</f>
        <v>LINA MARIA CRUZ SILVA</v>
      </c>
      <c r="AC681" s="23">
        <f>IFERROR(VLOOKUP(AA681,Listas!$A$1:$C$14,3,FALSE),"")</f>
        <v>52423537</v>
      </c>
      <c r="AD681" s="17" t="s">
        <v>816</v>
      </c>
      <c r="AE681" s="17" t="s">
        <v>1450</v>
      </c>
      <c r="AF681" s="23" t="str">
        <f>IFERROR(VLOOKUP(AE681,Listas!$AD$1:$AF$65,2,FALSE),"")</f>
        <v>LINA MARIA CRUZ SILVA</v>
      </c>
      <c r="AG681" s="23">
        <f>IFERROR(VLOOKUP(AE681,Listas!$AD$1:$AF$65,3,FALSE),"")</f>
        <v>52423537</v>
      </c>
      <c r="AH681" s="17" t="s">
        <v>118</v>
      </c>
      <c r="AI681" s="65" t="s">
        <v>5485</v>
      </c>
      <c r="AJ681" s="25" t="s">
        <v>119</v>
      </c>
      <c r="AK681" s="26" t="s">
        <v>120</v>
      </c>
      <c r="AL681" s="26" t="s">
        <v>120</v>
      </c>
      <c r="AM681" s="90" t="s">
        <v>119</v>
      </c>
      <c r="AN681" s="105">
        <v>29471</v>
      </c>
      <c r="AO681" s="91">
        <f t="shared" ca="1" si="296"/>
        <v>45</v>
      </c>
      <c r="AP681" s="26" t="s">
        <v>121</v>
      </c>
      <c r="AQ681" s="26" t="s">
        <v>515</v>
      </c>
      <c r="AR681" s="89"/>
      <c r="AS681" s="27"/>
      <c r="AT681" s="16"/>
      <c r="AU681" s="27"/>
      <c r="AV681" s="86"/>
      <c r="AW681" s="27"/>
      <c r="AX681" s="27"/>
      <c r="AY681" s="27"/>
      <c r="AZ681" s="27"/>
      <c r="BA681" s="27"/>
      <c r="BB681" s="27"/>
      <c r="BC681" s="97"/>
      <c r="BD681" s="27"/>
      <c r="BE681" s="16"/>
      <c r="BF681" s="28">
        <f t="shared" si="297"/>
        <v>0</v>
      </c>
      <c r="BG681" s="29"/>
      <c r="BH681" s="27"/>
      <c r="BI681" s="30">
        <f t="shared" si="298"/>
        <v>294</v>
      </c>
      <c r="BJ681" s="31">
        <f t="shared" si="299"/>
        <v>45656</v>
      </c>
      <c r="BK681" s="27"/>
      <c r="BL681" s="16"/>
      <c r="BM681" s="27"/>
      <c r="BN681" s="16"/>
      <c r="BO681" s="27"/>
      <c r="BP681" s="16"/>
      <c r="BQ681" s="27"/>
      <c r="BR681" s="24"/>
      <c r="BS681" s="24"/>
      <c r="BT681" s="32"/>
      <c r="BU681" s="27"/>
      <c r="BV681" s="24"/>
      <c r="BW681" s="24"/>
      <c r="BX681" s="16"/>
      <c r="BY681" s="27"/>
      <c r="BZ681" s="24"/>
      <c r="CA681" s="24"/>
      <c r="CB681" s="16"/>
      <c r="CC681" s="49">
        <f t="shared" si="294"/>
        <v>0</v>
      </c>
      <c r="CD681" s="24"/>
      <c r="CE681" s="49">
        <f t="shared" si="293"/>
        <v>155000000</v>
      </c>
      <c r="CF681" s="50"/>
      <c r="CG681" s="49">
        <f t="shared" ca="1" si="277"/>
        <v>155000000</v>
      </c>
      <c r="CH681" s="33">
        <f t="shared" ca="1" si="291"/>
        <v>1</v>
      </c>
      <c r="CI681" s="33">
        <f t="shared" ca="1" si="292"/>
        <v>1</v>
      </c>
      <c r="CJ681" s="36">
        <f t="shared" ca="1" si="287"/>
        <v>100</v>
      </c>
      <c r="CK681" s="34">
        <f t="shared" si="288"/>
        <v>0</v>
      </c>
      <c r="CL681" s="21"/>
      <c r="CM681" s="35" t="str">
        <f t="shared" ca="1" si="300"/>
        <v>TERMINADO</v>
      </c>
      <c r="CN681" s="82"/>
      <c r="CO681" s="145" t="s">
        <v>5486</v>
      </c>
      <c r="CP681" s="26" t="s">
        <v>142</v>
      </c>
    </row>
    <row r="682" spans="1:97" ht="24.75" customHeight="1">
      <c r="A682" s="109" t="s">
        <v>5487</v>
      </c>
      <c r="B682" s="77" t="s">
        <v>5488</v>
      </c>
      <c r="C682" s="17" t="s">
        <v>104</v>
      </c>
      <c r="D682" s="18" t="s">
        <v>5489</v>
      </c>
      <c r="E682" s="17" t="s">
        <v>106</v>
      </c>
      <c r="F682" s="17" t="s">
        <v>107</v>
      </c>
      <c r="G682" s="17" t="s">
        <v>108</v>
      </c>
      <c r="H682" s="78">
        <v>52528280</v>
      </c>
      <c r="I682" s="74" t="s">
        <v>5490</v>
      </c>
      <c r="J682" s="16"/>
      <c r="K682" s="16"/>
      <c r="L682" s="20" t="s">
        <v>5491</v>
      </c>
      <c r="M682" s="16" t="s">
        <v>111</v>
      </c>
      <c r="N682" s="115">
        <v>45355</v>
      </c>
      <c r="O682" s="22">
        <v>45359</v>
      </c>
      <c r="P682" s="115">
        <v>45656</v>
      </c>
      <c r="Q682" s="23">
        <f t="shared" si="295"/>
        <v>297</v>
      </c>
      <c r="R682" s="17" t="s">
        <v>242</v>
      </c>
      <c r="S682" s="117" t="s">
        <v>5492</v>
      </c>
      <c r="T682" s="16" t="s">
        <v>668</v>
      </c>
      <c r="U682" s="67">
        <v>78100000</v>
      </c>
      <c r="V682" s="16" t="s">
        <v>1118</v>
      </c>
      <c r="W682" s="224">
        <v>78100000</v>
      </c>
      <c r="X682" s="24">
        <v>7100000</v>
      </c>
      <c r="Y682" s="24"/>
      <c r="Z682" s="24"/>
      <c r="AA682" s="17" t="s">
        <v>116</v>
      </c>
      <c r="AB682" s="23" t="str">
        <f>IFERROR(VLOOKUP(AA682,Listas!$A$1:$C$14,2,FALSE),"")</f>
        <v>FREDY CÉSPEDES VILLA</v>
      </c>
      <c r="AC682" s="23">
        <f>IFERROR(VLOOKUP(AA682,Listas!$A$1:$C$14,3,FALSE),"")</f>
        <v>93363483</v>
      </c>
      <c r="AD682" s="17" t="s">
        <v>282</v>
      </c>
      <c r="AE682" s="17" t="s">
        <v>293</v>
      </c>
      <c r="AF682" s="23" t="str">
        <f>IFERROR(VLOOKUP(AE682,Listas!$AD$1:$AF$65,2,FALSE),"")</f>
        <v>MÓNICA PINTO GARCÍA</v>
      </c>
      <c r="AG682" s="23">
        <f>IFERROR(VLOOKUP(AE682,Listas!$AD$1:$AF$65,3,FALSE),"")</f>
        <v>52867207</v>
      </c>
      <c r="AH682" s="17" t="s">
        <v>118</v>
      </c>
      <c r="AI682" s="65" t="s">
        <v>5493</v>
      </c>
      <c r="AJ682" s="25" t="s">
        <v>119</v>
      </c>
      <c r="AK682" s="26" t="s">
        <v>120</v>
      </c>
      <c r="AL682" s="26" t="s">
        <v>120</v>
      </c>
      <c r="AM682" s="90" t="s">
        <v>119</v>
      </c>
      <c r="AN682" s="105">
        <v>29104</v>
      </c>
      <c r="AO682" s="91">
        <f t="shared" ca="1" si="296"/>
        <v>46</v>
      </c>
      <c r="AP682" s="26" t="s">
        <v>121</v>
      </c>
      <c r="AQ682" s="26" t="s">
        <v>285</v>
      </c>
      <c r="AR682" s="89"/>
      <c r="AS682" s="27"/>
      <c r="AT682" s="16"/>
      <c r="AU682" s="27"/>
      <c r="AV682" s="86"/>
      <c r="AW682" s="27"/>
      <c r="AX682" s="27"/>
      <c r="AY682" s="27"/>
      <c r="AZ682" s="27"/>
      <c r="BA682" s="27"/>
      <c r="BB682" s="27"/>
      <c r="BC682" s="97"/>
      <c r="BD682" s="27"/>
      <c r="BE682" s="16"/>
      <c r="BF682" s="28">
        <f t="shared" si="297"/>
        <v>0</v>
      </c>
      <c r="BG682" s="29"/>
      <c r="BH682" s="27">
        <v>45373</v>
      </c>
      <c r="BI682" s="30">
        <f t="shared" si="298"/>
        <v>297</v>
      </c>
      <c r="BJ682" s="31">
        <f t="shared" si="299"/>
        <v>45373</v>
      </c>
      <c r="BK682" s="27"/>
      <c r="BL682" s="16"/>
      <c r="BM682" s="27"/>
      <c r="BN682" s="16"/>
      <c r="BO682" s="27"/>
      <c r="BP682" s="16"/>
      <c r="BQ682" s="27"/>
      <c r="BR682" s="24"/>
      <c r="BS682" s="24"/>
      <c r="BT682" s="32"/>
      <c r="BU682" s="27"/>
      <c r="BV682" s="24"/>
      <c r="BW682" s="24"/>
      <c r="BX682" s="16"/>
      <c r="BY682" s="27"/>
      <c r="BZ682" s="24"/>
      <c r="CA682" s="24"/>
      <c r="CB682" s="16"/>
      <c r="CC682" s="49">
        <f t="shared" si="294"/>
        <v>0</v>
      </c>
      <c r="CD682" s="24"/>
      <c r="CE682" s="49">
        <f t="shared" si="293"/>
        <v>78100000</v>
      </c>
      <c r="CF682" s="50"/>
      <c r="CG682" s="49">
        <f t="shared" ca="1" si="277"/>
        <v>78100000</v>
      </c>
      <c r="CH682" s="33">
        <f t="shared" ca="1" si="291"/>
        <v>1</v>
      </c>
      <c r="CI682" s="33">
        <f t="shared" ca="1" si="292"/>
        <v>1</v>
      </c>
      <c r="CJ682" s="36">
        <f t="shared" ca="1" si="287"/>
        <v>100</v>
      </c>
      <c r="CK682" s="34">
        <f t="shared" si="288"/>
        <v>0</v>
      </c>
      <c r="CL682" s="21"/>
      <c r="CM682" s="35" t="str">
        <f t="shared" ca="1" si="300"/>
        <v>TERMINADO</v>
      </c>
      <c r="CN682" s="82"/>
      <c r="CO682" s="145" t="s">
        <v>5494</v>
      </c>
      <c r="CP682" s="26" t="s">
        <v>123</v>
      </c>
    </row>
    <row r="683" spans="1:97" ht="24.75" customHeight="1">
      <c r="A683" s="48" t="s">
        <v>5495</v>
      </c>
      <c r="B683" s="77" t="s">
        <v>5496</v>
      </c>
      <c r="C683" s="17" t="s">
        <v>104</v>
      </c>
      <c r="D683" s="18" t="s">
        <v>5497</v>
      </c>
      <c r="E683" s="17" t="s">
        <v>106</v>
      </c>
      <c r="F683" s="17" t="s">
        <v>107</v>
      </c>
      <c r="G683" s="17" t="s">
        <v>108</v>
      </c>
      <c r="H683" s="78">
        <v>1085306478</v>
      </c>
      <c r="I683" s="74" t="s">
        <v>5498</v>
      </c>
      <c r="J683" s="16"/>
      <c r="K683" s="16"/>
      <c r="L683" s="20" t="s">
        <v>5499</v>
      </c>
      <c r="M683" s="16" t="s">
        <v>111</v>
      </c>
      <c r="N683" s="115">
        <v>45355</v>
      </c>
      <c r="O683" s="22">
        <v>45358</v>
      </c>
      <c r="P683" s="115">
        <v>45656</v>
      </c>
      <c r="Q683" s="23">
        <f t="shared" si="295"/>
        <v>298</v>
      </c>
      <c r="R683" s="17" t="s">
        <v>112</v>
      </c>
      <c r="S683" s="117" t="s">
        <v>5500</v>
      </c>
      <c r="T683" s="16" t="s">
        <v>1937</v>
      </c>
      <c r="U683" s="67">
        <v>60516750</v>
      </c>
      <c r="V683" s="16" t="s">
        <v>1938</v>
      </c>
      <c r="W683" s="224">
        <v>60516750</v>
      </c>
      <c r="X683" s="24">
        <v>6724083</v>
      </c>
      <c r="Y683" s="24"/>
      <c r="Z683" s="24"/>
      <c r="AA683" s="17" t="s">
        <v>116</v>
      </c>
      <c r="AB683" s="23" t="str">
        <f>IFERROR(VLOOKUP(AA683,Listas!$A$1:$C$14,2,FALSE),"")</f>
        <v>FREDY CÉSPEDES VILLA</v>
      </c>
      <c r="AC683" s="23">
        <f>IFERROR(VLOOKUP(AA683,Listas!$A$1:$C$14,3,FALSE),"")</f>
        <v>93363483</v>
      </c>
      <c r="AD683" s="17" t="s">
        <v>116</v>
      </c>
      <c r="AE683" s="17" t="s">
        <v>743</v>
      </c>
      <c r="AF683" s="23" t="str">
        <f>IFERROR(VLOOKUP(AE683,Listas!$AD$1:$AF$65,2,FALSE),"")</f>
        <v>FREDY CÉSPEDES VILLA</v>
      </c>
      <c r="AG683" s="23">
        <f>IFERROR(VLOOKUP(AE683,Listas!$AD$1:$AF$65,3,FALSE),"")</f>
        <v>93363483</v>
      </c>
      <c r="AH683" s="17" t="s">
        <v>118</v>
      </c>
      <c r="AI683" s="65" t="s">
        <v>5501</v>
      </c>
      <c r="AJ683" s="25" t="s">
        <v>119</v>
      </c>
      <c r="AK683" s="26" t="s">
        <v>120</v>
      </c>
      <c r="AL683" s="26" t="s">
        <v>120</v>
      </c>
      <c r="AM683" s="90" t="s">
        <v>119</v>
      </c>
      <c r="AN683" s="105">
        <v>34188</v>
      </c>
      <c r="AO683" s="91">
        <f t="shared" ca="1" si="296"/>
        <v>32</v>
      </c>
      <c r="AP683" s="26" t="s">
        <v>121</v>
      </c>
      <c r="AQ683" s="26" t="s">
        <v>285</v>
      </c>
      <c r="AR683" s="89"/>
      <c r="AS683" s="27"/>
      <c r="AT683" s="16"/>
      <c r="AU683" s="27"/>
      <c r="AV683" s="86"/>
      <c r="AW683" s="27"/>
      <c r="AX683" s="27"/>
      <c r="AY683" s="27"/>
      <c r="AZ683" s="27"/>
      <c r="BA683" s="27"/>
      <c r="BB683" s="27"/>
      <c r="BC683" s="97"/>
      <c r="BD683" s="27"/>
      <c r="BE683" s="16"/>
      <c r="BF683" s="28">
        <f t="shared" si="297"/>
        <v>0</v>
      </c>
      <c r="BG683" s="29"/>
      <c r="BH683" s="27"/>
      <c r="BI683" s="30">
        <f t="shared" si="298"/>
        <v>298</v>
      </c>
      <c r="BJ683" s="31">
        <f t="shared" si="299"/>
        <v>45656</v>
      </c>
      <c r="BK683" s="27"/>
      <c r="BL683" s="16"/>
      <c r="BM683" s="27"/>
      <c r="BN683" s="16"/>
      <c r="BO683" s="27"/>
      <c r="BP683" s="16"/>
      <c r="BQ683" s="27"/>
      <c r="BR683" s="24"/>
      <c r="BS683" s="24"/>
      <c r="BT683" s="32"/>
      <c r="BU683" s="27"/>
      <c r="BV683" s="24"/>
      <c r="BW683" s="24"/>
      <c r="BX683" s="16"/>
      <c r="BY683" s="27"/>
      <c r="BZ683" s="24"/>
      <c r="CA683" s="24"/>
      <c r="CB683" s="16"/>
      <c r="CC683" s="49">
        <f t="shared" si="294"/>
        <v>0</v>
      </c>
      <c r="CD683" s="24"/>
      <c r="CE683" s="49">
        <f t="shared" si="293"/>
        <v>60516750</v>
      </c>
      <c r="CF683" s="50"/>
      <c r="CG683" s="49">
        <f t="shared" ca="1" si="277"/>
        <v>60516750</v>
      </c>
      <c r="CH683" s="33">
        <f t="shared" ca="1" si="291"/>
        <v>1</v>
      </c>
      <c r="CI683" s="33">
        <f t="shared" ca="1" si="292"/>
        <v>1</v>
      </c>
      <c r="CJ683" s="36">
        <f t="shared" ca="1" si="287"/>
        <v>100</v>
      </c>
      <c r="CK683" s="34">
        <f t="shared" si="288"/>
        <v>0</v>
      </c>
      <c r="CL683" s="21"/>
      <c r="CM683" s="35" t="str">
        <f t="shared" ca="1" si="300"/>
        <v>TERMINADO</v>
      </c>
      <c r="CN683" s="82"/>
      <c r="CO683" s="145" t="s">
        <v>5502</v>
      </c>
      <c r="CP683" s="26" t="s">
        <v>123</v>
      </c>
    </row>
    <row r="684" spans="1:97" ht="24.75" customHeight="1">
      <c r="A684" s="48" t="s">
        <v>5503</v>
      </c>
      <c r="B684" s="77" t="s">
        <v>5504</v>
      </c>
      <c r="C684" s="17" t="s">
        <v>104</v>
      </c>
      <c r="D684" s="18" t="s">
        <v>5505</v>
      </c>
      <c r="E684" s="17" t="s">
        <v>106</v>
      </c>
      <c r="F684" s="17" t="s">
        <v>107</v>
      </c>
      <c r="G684" s="17" t="s">
        <v>108</v>
      </c>
      <c r="H684" s="78">
        <v>38212473</v>
      </c>
      <c r="I684" s="74" t="s">
        <v>5506</v>
      </c>
      <c r="J684" s="16"/>
      <c r="K684" s="16"/>
      <c r="L684" s="20" t="s">
        <v>1884</v>
      </c>
      <c r="M684" s="16" t="s">
        <v>111</v>
      </c>
      <c r="N684" s="115">
        <v>45355</v>
      </c>
      <c r="O684" s="22">
        <v>45362</v>
      </c>
      <c r="P684" s="115">
        <v>45656</v>
      </c>
      <c r="Q684" s="23">
        <f t="shared" si="295"/>
        <v>294</v>
      </c>
      <c r="R684" s="17" t="s">
        <v>242</v>
      </c>
      <c r="S684" s="117" t="s">
        <v>5507</v>
      </c>
      <c r="T684" s="16" t="s">
        <v>668</v>
      </c>
      <c r="U684" s="67">
        <v>65920000</v>
      </c>
      <c r="V684" s="16" t="s">
        <v>815</v>
      </c>
      <c r="W684" s="224">
        <v>65920000</v>
      </c>
      <c r="X684" s="24">
        <v>6400000</v>
      </c>
      <c r="Y684" s="24"/>
      <c r="Z684" s="24"/>
      <c r="AA684" s="17" t="s">
        <v>116</v>
      </c>
      <c r="AB684" s="23" t="str">
        <f>IFERROR(VLOOKUP(AA684,Listas!$A$1:$C$14,2,FALSE),"")</f>
        <v>FREDY CÉSPEDES VILLA</v>
      </c>
      <c r="AC684" s="23">
        <f>IFERROR(VLOOKUP(AA684,Listas!$A$1:$C$14,3,FALSE),"")</f>
        <v>93363483</v>
      </c>
      <c r="AD684" s="17" t="s">
        <v>816</v>
      </c>
      <c r="AE684" s="17" t="s">
        <v>817</v>
      </c>
      <c r="AF684" s="23" t="str">
        <f>IFERROR(VLOOKUP(AE684,Listas!$AD$1:$AF$65,2,FALSE),"")</f>
        <v>JOSÉ EDUARDO PARADA JIMÉNEZ</v>
      </c>
      <c r="AG684" s="23">
        <f>IFERROR(VLOOKUP(AE684,Listas!$AD$1:$AF$65,3,FALSE),"")</f>
        <v>79434805</v>
      </c>
      <c r="AH684" s="17" t="s">
        <v>118</v>
      </c>
      <c r="AI684" s="65" t="s">
        <v>5508</v>
      </c>
      <c r="AJ684" s="25" t="s">
        <v>119</v>
      </c>
      <c r="AK684" s="26" t="s">
        <v>120</v>
      </c>
      <c r="AL684" s="26" t="s">
        <v>120</v>
      </c>
      <c r="AM684" s="90" t="s">
        <v>119</v>
      </c>
      <c r="AN684" s="105">
        <v>31425</v>
      </c>
      <c r="AO684" s="91">
        <f t="shared" ca="1" si="296"/>
        <v>39</v>
      </c>
      <c r="AP684" s="26" t="s">
        <v>121</v>
      </c>
      <c r="AQ684" s="26" t="s">
        <v>819</v>
      </c>
      <c r="AR684" s="89"/>
      <c r="AS684" s="27"/>
      <c r="AT684" s="16"/>
      <c r="AU684" s="27"/>
      <c r="AV684" s="86"/>
      <c r="AW684" s="27"/>
      <c r="AX684" s="27"/>
      <c r="AY684" s="27"/>
      <c r="AZ684" s="27"/>
      <c r="BA684" s="27"/>
      <c r="BB684" s="27"/>
      <c r="BC684" s="97"/>
      <c r="BD684" s="27"/>
      <c r="BE684" s="16"/>
      <c r="BF684" s="28">
        <f t="shared" si="297"/>
        <v>0</v>
      </c>
      <c r="BG684" s="29"/>
      <c r="BH684" s="27"/>
      <c r="BI684" s="30">
        <f t="shared" si="298"/>
        <v>294</v>
      </c>
      <c r="BJ684" s="31">
        <f t="shared" si="299"/>
        <v>45656</v>
      </c>
      <c r="BK684" s="27"/>
      <c r="BL684" s="16"/>
      <c r="BM684" s="27"/>
      <c r="BN684" s="16"/>
      <c r="BO684" s="27"/>
      <c r="BP684" s="16"/>
      <c r="BQ684" s="27"/>
      <c r="BR684" s="24"/>
      <c r="BS684" s="24"/>
      <c r="BT684" s="32"/>
      <c r="BU684" s="27"/>
      <c r="BV684" s="24"/>
      <c r="BW684" s="24"/>
      <c r="BX684" s="16"/>
      <c r="BY684" s="27"/>
      <c r="BZ684" s="24"/>
      <c r="CA684" s="24"/>
      <c r="CB684" s="16"/>
      <c r="CC684" s="49">
        <f t="shared" si="294"/>
        <v>0</v>
      </c>
      <c r="CD684" s="24"/>
      <c r="CE684" s="49">
        <f t="shared" si="293"/>
        <v>65920000</v>
      </c>
      <c r="CF684" s="50"/>
      <c r="CG684" s="49">
        <f t="shared" ref="CG684:CG747" ca="1" si="301">IFERROR(IF(((CE684/BI684)*(TODAY()-N684))&gt;CE684,CE684,((CE684/BI684)*(TODAY()-N684))),"")</f>
        <v>65920000</v>
      </c>
      <c r="CH684" s="33">
        <f t="shared" ca="1" si="291"/>
        <v>1</v>
      </c>
      <c r="CI684" s="33">
        <f t="shared" ca="1" si="292"/>
        <v>1</v>
      </c>
      <c r="CJ684" s="36">
        <f t="shared" ca="1" si="287"/>
        <v>100</v>
      </c>
      <c r="CK684" s="34">
        <f t="shared" si="288"/>
        <v>0</v>
      </c>
      <c r="CL684" s="21"/>
      <c r="CM684" s="35" t="str">
        <f t="shared" ca="1" si="300"/>
        <v>TERMINADO</v>
      </c>
      <c r="CN684" s="82"/>
      <c r="CO684" s="145" t="s">
        <v>5509</v>
      </c>
      <c r="CP684" s="26" t="s">
        <v>123</v>
      </c>
    </row>
    <row r="685" spans="1:97" ht="24.75" customHeight="1">
      <c r="A685" s="48" t="s">
        <v>1424</v>
      </c>
      <c r="B685" s="77" t="s">
        <v>5510</v>
      </c>
      <c r="C685" s="17" t="s">
        <v>2927</v>
      </c>
      <c r="D685" s="18" t="s">
        <v>5511</v>
      </c>
      <c r="E685" s="17" t="s">
        <v>2929</v>
      </c>
      <c r="F685" s="17" t="s">
        <v>1426</v>
      </c>
      <c r="G685" s="17" t="s">
        <v>1427</v>
      </c>
      <c r="H685" s="78" t="s">
        <v>5377</v>
      </c>
      <c r="I685" s="74" t="s">
        <v>5512</v>
      </c>
      <c r="J685" s="16" t="s">
        <v>5513</v>
      </c>
      <c r="K685" s="16">
        <v>8105654</v>
      </c>
      <c r="L685" s="20" t="s">
        <v>5291</v>
      </c>
      <c r="M685" s="16"/>
      <c r="N685" s="115">
        <v>45356</v>
      </c>
      <c r="O685" s="115">
        <v>45356</v>
      </c>
      <c r="P685" s="115">
        <v>45721</v>
      </c>
      <c r="Q685" s="23">
        <f t="shared" si="295"/>
        <v>365</v>
      </c>
      <c r="R685" s="17" t="s">
        <v>2934</v>
      </c>
      <c r="S685" s="117" t="s">
        <v>1424</v>
      </c>
      <c r="T685" s="16" t="s">
        <v>1424</v>
      </c>
      <c r="U685" s="67" t="s">
        <v>1424</v>
      </c>
      <c r="V685" s="16" t="s">
        <v>1424</v>
      </c>
      <c r="W685" s="224">
        <v>0</v>
      </c>
      <c r="X685" s="24"/>
      <c r="Y685" s="24" t="s">
        <v>2935</v>
      </c>
      <c r="Z685" s="24"/>
      <c r="AA685" s="17" t="s">
        <v>406</v>
      </c>
      <c r="AB685" s="23" t="str">
        <f>IFERROR(VLOOKUP(AA685,Listas!$A$1:$C$14,2,FALSE),"")</f>
        <v>EDUARDO ELÍAS BARCHA BOLÍVAR</v>
      </c>
      <c r="AC685" s="23">
        <f>IFERROR(VLOOKUP(AA685,Listas!$A$1:$C$14,3,FALSE),"")</f>
        <v>72133921</v>
      </c>
      <c r="AD685" s="17" t="s">
        <v>903</v>
      </c>
      <c r="AE685" s="17" t="s">
        <v>904</v>
      </c>
      <c r="AF685" s="23" t="str">
        <f>IFERROR(VLOOKUP(AE685,Listas!$AD$1:$AF$65,2,FALSE),"")</f>
        <v>VIVIANA MARGARITA ROMERO</v>
      </c>
      <c r="AG685" s="23">
        <f>IFERROR(VLOOKUP(AE685,Listas!$AD$1:$AF$65,3,FALSE),"")</f>
        <v>32794946</v>
      </c>
      <c r="AH685" s="17" t="s">
        <v>2936</v>
      </c>
      <c r="AI685" s="65"/>
      <c r="AJ685" s="25" t="s">
        <v>1435</v>
      </c>
      <c r="AK685" s="26" t="s">
        <v>2071</v>
      </c>
      <c r="AL685" s="26" t="s">
        <v>2071</v>
      </c>
      <c r="AM685" s="90" t="s">
        <v>1435</v>
      </c>
      <c r="AN685" s="105"/>
      <c r="AO685" s="91" t="str">
        <f t="shared" ca="1" si="296"/>
        <v xml:space="preserve"> </v>
      </c>
      <c r="AP685" s="26" t="s">
        <v>2937</v>
      </c>
      <c r="AQ685" s="26" t="s">
        <v>3437</v>
      </c>
      <c r="AR685" s="89"/>
      <c r="AS685" s="27"/>
      <c r="AT685" s="16"/>
      <c r="AU685" s="27"/>
      <c r="AV685" s="86"/>
      <c r="AW685" s="27"/>
      <c r="AX685" s="27"/>
      <c r="AY685" s="27"/>
      <c r="AZ685" s="27"/>
      <c r="BA685" s="27"/>
      <c r="BB685" s="27">
        <v>45713</v>
      </c>
      <c r="BC685" s="97">
        <v>301</v>
      </c>
      <c r="BD685" s="27"/>
      <c r="BE685" s="16"/>
      <c r="BF685" s="28">
        <f t="shared" si="297"/>
        <v>301</v>
      </c>
      <c r="BG685" s="29"/>
      <c r="BH685" s="27"/>
      <c r="BI685" s="30">
        <f t="shared" si="298"/>
        <v>666</v>
      </c>
      <c r="BJ685" s="31">
        <f t="shared" si="299"/>
        <v>46022</v>
      </c>
      <c r="BK685" s="27">
        <v>45713</v>
      </c>
      <c r="BL685" s="16" t="s">
        <v>5514</v>
      </c>
      <c r="BM685" s="27"/>
      <c r="BN685" s="16"/>
      <c r="BO685" s="27"/>
      <c r="BP685" s="16"/>
      <c r="BQ685" s="27"/>
      <c r="BR685" s="24"/>
      <c r="BS685" s="24"/>
      <c r="BT685" s="32"/>
      <c r="BU685" s="27"/>
      <c r="BV685" s="24"/>
      <c r="BW685" s="24"/>
      <c r="BX685" s="16"/>
      <c r="BY685" s="27"/>
      <c r="BZ685" s="24"/>
      <c r="CA685" s="24"/>
      <c r="CB685" s="16"/>
      <c r="CC685" s="49">
        <f t="shared" si="294"/>
        <v>0</v>
      </c>
      <c r="CD685" s="24"/>
      <c r="CE685" s="49" t="str">
        <f>IFERROR(IF(Y685=0,(W685+CC685)-CD685,IF(Y685&gt;0,(Y685+CC685)-CD685)),"")</f>
        <v/>
      </c>
      <c r="CF685" s="50">
        <v>529051601.31</v>
      </c>
      <c r="CG685" s="49" t="str">
        <f t="shared" ca="1" si="301"/>
        <v/>
      </c>
      <c r="CH685" s="33">
        <f t="shared" ca="1" si="291"/>
        <v>0.89176829268292679</v>
      </c>
      <c r="CI685" s="33">
        <f t="shared" ca="1" si="292"/>
        <v>0.89176829268292679</v>
      </c>
      <c r="CJ685" s="36" t="str">
        <f t="shared" ca="1" si="287"/>
        <v/>
      </c>
      <c r="CK685" s="34" t="str">
        <f t="shared" si="288"/>
        <v/>
      </c>
      <c r="CL685" s="21"/>
      <c r="CM685" s="35" t="str">
        <f t="shared" ca="1" si="300"/>
        <v>VIGENTE</v>
      </c>
      <c r="CN685" s="82"/>
      <c r="CP685" s="83" t="s">
        <v>1424</v>
      </c>
    </row>
    <row r="686" spans="1:97" ht="24.75" customHeight="1">
      <c r="A686" s="48" t="s">
        <v>5515</v>
      </c>
      <c r="B686" s="77" t="s">
        <v>5516</v>
      </c>
      <c r="C686" s="17" t="s">
        <v>104</v>
      </c>
      <c r="D686" s="18" t="s">
        <v>5517</v>
      </c>
      <c r="E686" s="17" t="s">
        <v>106</v>
      </c>
      <c r="F686" s="17" t="s">
        <v>107</v>
      </c>
      <c r="G686" s="17" t="s">
        <v>108</v>
      </c>
      <c r="H686" s="78">
        <v>1070020557</v>
      </c>
      <c r="I686" s="74" t="s">
        <v>5518</v>
      </c>
      <c r="J686" s="16"/>
      <c r="K686" s="16"/>
      <c r="L686" s="20" t="s">
        <v>5519</v>
      </c>
      <c r="M686" s="16" t="s">
        <v>111</v>
      </c>
      <c r="N686" s="115">
        <v>45357</v>
      </c>
      <c r="O686" s="22">
        <v>45363</v>
      </c>
      <c r="P686" s="115">
        <v>45656</v>
      </c>
      <c r="Q686" s="23">
        <f t="shared" si="295"/>
        <v>293</v>
      </c>
      <c r="R686" s="17" t="s">
        <v>112</v>
      </c>
      <c r="S686" s="117" t="s">
        <v>5520</v>
      </c>
      <c r="T686" s="16" t="s">
        <v>2025</v>
      </c>
      <c r="U686" s="67">
        <v>85800000</v>
      </c>
      <c r="V686" s="16" t="s">
        <v>1418</v>
      </c>
      <c r="W686" s="224">
        <v>46599000</v>
      </c>
      <c r="X686" s="24">
        <v>4659900</v>
      </c>
      <c r="Y686" s="24"/>
      <c r="Z686" s="24"/>
      <c r="AA686" s="17" t="s">
        <v>116</v>
      </c>
      <c r="AB686" s="23" t="str">
        <f>IFERROR(VLOOKUP(AA686,Listas!$A$1:$C$14,2,FALSE),"")</f>
        <v>FREDY CÉSPEDES VILLA</v>
      </c>
      <c r="AC686" s="23">
        <f>IFERROR(VLOOKUP(AA686,Listas!$A$1:$C$14,3,FALSE),"")</f>
        <v>93363483</v>
      </c>
      <c r="AD686" s="17" t="s">
        <v>116</v>
      </c>
      <c r="AE686" s="17" t="s">
        <v>484</v>
      </c>
      <c r="AF686" s="23" t="str">
        <f>IFERROR(VLOOKUP(AE686,Listas!$AD$1:$AF$65,2,FALSE),"")</f>
        <v>JAIME ANDRES GIL ACOSTA</v>
      </c>
      <c r="AG686" s="23">
        <f>IFERROR(VLOOKUP(AE686,Listas!$AD$1:$AF$65,3,FALSE),"")</f>
        <v>98622827</v>
      </c>
      <c r="AH686" s="17" t="s">
        <v>118</v>
      </c>
      <c r="AI686" s="65" t="s">
        <v>5521</v>
      </c>
      <c r="AJ686" s="25" t="s">
        <v>119</v>
      </c>
      <c r="AK686" s="26" t="s">
        <v>120</v>
      </c>
      <c r="AL686" s="26" t="s">
        <v>120</v>
      </c>
      <c r="AM686" s="90" t="s">
        <v>119</v>
      </c>
      <c r="AN686" s="105">
        <v>35875</v>
      </c>
      <c r="AO686" s="91">
        <f t="shared" ca="1" si="296"/>
        <v>27</v>
      </c>
      <c r="AP686" s="26" t="s">
        <v>121</v>
      </c>
      <c r="AQ686" s="26" t="s">
        <v>486</v>
      </c>
      <c r="AR686" s="89"/>
      <c r="AS686" s="27"/>
      <c r="AT686" s="16"/>
      <c r="AU686" s="27"/>
      <c r="AV686" s="86"/>
      <c r="AW686" s="27"/>
      <c r="AX686" s="27"/>
      <c r="AY686" s="27"/>
      <c r="AZ686" s="27"/>
      <c r="BA686" s="27"/>
      <c r="BB686" s="27"/>
      <c r="BC686" s="97"/>
      <c r="BD686" s="27"/>
      <c r="BE686" s="16"/>
      <c r="BF686" s="28">
        <f t="shared" si="297"/>
        <v>0</v>
      </c>
      <c r="BG686" s="29"/>
      <c r="BH686" s="27"/>
      <c r="BI686" s="30">
        <f t="shared" si="298"/>
        <v>293</v>
      </c>
      <c r="BJ686" s="31">
        <f t="shared" si="299"/>
        <v>45656</v>
      </c>
      <c r="BK686" s="27"/>
      <c r="BL686" s="16"/>
      <c r="BM686" s="27"/>
      <c r="BN686" s="16"/>
      <c r="BO686" s="27"/>
      <c r="BP686" s="16"/>
      <c r="BQ686" s="27"/>
      <c r="BR686" s="24"/>
      <c r="BS686" s="24"/>
      <c r="BT686" s="32"/>
      <c r="BU686" s="27"/>
      <c r="BV686" s="24"/>
      <c r="BW686" s="24"/>
      <c r="BX686" s="16"/>
      <c r="BY686" s="27"/>
      <c r="BZ686" s="24"/>
      <c r="CA686" s="24"/>
      <c r="CB686" s="16"/>
      <c r="CC686" s="49">
        <f t="shared" si="294"/>
        <v>0</v>
      </c>
      <c r="CD686" s="24"/>
      <c r="CE686" s="49">
        <f t="shared" si="293"/>
        <v>46599000</v>
      </c>
      <c r="CF686" s="50"/>
      <c r="CG686" s="49">
        <f t="shared" ca="1" si="301"/>
        <v>46599000</v>
      </c>
      <c r="CH686" s="33">
        <f t="shared" ca="1" si="291"/>
        <v>1</v>
      </c>
      <c r="CI686" s="33">
        <f t="shared" ca="1" si="292"/>
        <v>1</v>
      </c>
      <c r="CJ686" s="36">
        <f t="shared" ca="1" si="287"/>
        <v>100</v>
      </c>
      <c r="CK686" s="34">
        <f t="shared" si="288"/>
        <v>0</v>
      </c>
      <c r="CL686" s="21"/>
      <c r="CM686" s="35" t="str">
        <f t="shared" ca="1" si="300"/>
        <v>TERMINADO</v>
      </c>
      <c r="CN686" s="82"/>
      <c r="CP686" s="26" t="s">
        <v>123</v>
      </c>
    </row>
    <row r="687" spans="1:97" customFormat="1" ht="24.75" customHeight="1">
      <c r="A687" s="48" t="s">
        <v>1424</v>
      </c>
      <c r="B687" s="77" t="s">
        <v>5522</v>
      </c>
      <c r="C687" s="17" t="s">
        <v>2927</v>
      </c>
      <c r="D687" s="18" t="s">
        <v>5523</v>
      </c>
      <c r="E687" s="17" t="s">
        <v>2929</v>
      </c>
      <c r="F687" s="17" t="s">
        <v>1426</v>
      </c>
      <c r="G687" s="17" t="s">
        <v>1427</v>
      </c>
      <c r="H687" s="78" t="s">
        <v>4922</v>
      </c>
      <c r="I687" s="74" t="s">
        <v>5524</v>
      </c>
      <c r="J687" s="16"/>
      <c r="K687" s="16"/>
      <c r="L687" s="20" t="s">
        <v>5525</v>
      </c>
      <c r="M687" s="16"/>
      <c r="N687" s="115">
        <v>45357</v>
      </c>
      <c r="O687" s="115">
        <v>45357</v>
      </c>
      <c r="P687" s="115">
        <v>45722</v>
      </c>
      <c r="Q687" s="23">
        <f t="shared" si="295"/>
        <v>365</v>
      </c>
      <c r="R687" s="17" t="s">
        <v>2934</v>
      </c>
      <c r="S687" s="117" t="s">
        <v>1424</v>
      </c>
      <c r="T687" s="16" t="s">
        <v>1424</v>
      </c>
      <c r="U687" s="67" t="s">
        <v>1424</v>
      </c>
      <c r="V687" s="16" t="s">
        <v>1424</v>
      </c>
      <c r="W687" s="224">
        <v>0</v>
      </c>
      <c r="X687" s="24"/>
      <c r="Y687" s="24" t="s">
        <v>2935</v>
      </c>
      <c r="Z687" s="24"/>
      <c r="AA687" s="17" t="s">
        <v>406</v>
      </c>
      <c r="AB687" s="23" t="str">
        <f>IFERROR(VLOOKUP(AA687,Listas!$A$1:$C$14,2,FALSE),"")</f>
        <v>EDUARDO ELÍAS BARCHA BOLÍVAR</v>
      </c>
      <c r="AC687" s="23">
        <f>IFERROR(VLOOKUP(AA687,Listas!$A$1:$C$14,3,FALSE),"")</f>
        <v>72133921</v>
      </c>
      <c r="AD687" s="17" t="s">
        <v>559</v>
      </c>
      <c r="AE687" s="17" t="s">
        <v>560</v>
      </c>
      <c r="AF687" s="23" t="str">
        <f>IFERROR(VLOOKUP(AE687,Listas!$AD$1:$AF$65,2,FALSE),"")</f>
        <v>CESAR AUGUSTO LÓPEZ LÓPEZ</v>
      </c>
      <c r="AG687" s="23">
        <f>IFERROR(VLOOKUP(AE687,Listas!$AD$1:$AF$65,3,FALSE),"")</f>
        <v>6103856</v>
      </c>
      <c r="AH687" s="17" t="s">
        <v>2936</v>
      </c>
      <c r="AI687" s="65"/>
      <c r="AJ687" s="25" t="s">
        <v>1435</v>
      </c>
      <c r="AK687" s="26" t="s">
        <v>2071</v>
      </c>
      <c r="AL687" s="26" t="s">
        <v>2071</v>
      </c>
      <c r="AM687" s="90" t="s">
        <v>1435</v>
      </c>
      <c r="AN687" s="105"/>
      <c r="AO687" s="91" t="str">
        <f t="shared" ca="1" si="296"/>
        <v xml:space="preserve"> </v>
      </c>
      <c r="AP687" s="26" t="s">
        <v>2937</v>
      </c>
      <c r="AQ687" s="26" t="s">
        <v>3133</v>
      </c>
      <c r="AR687" s="89"/>
      <c r="AS687" s="27"/>
      <c r="AT687" s="16"/>
      <c r="AU687" s="27"/>
      <c r="AV687" s="86"/>
      <c r="AW687" s="27"/>
      <c r="AX687" s="27"/>
      <c r="AY687" s="27"/>
      <c r="AZ687" s="27"/>
      <c r="BA687" s="27"/>
      <c r="BB687" s="27">
        <v>45673</v>
      </c>
      <c r="BC687" s="97">
        <v>300</v>
      </c>
      <c r="BD687" s="27"/>
      <c r="BE687" s="16"/>
      <c r="BF687" s="28">
        <f t="shared" si="297"/>
        <v>300</v>
      </c>
      <c r="BG687" s="29"/>
      <c r="BH687" s="27"/>
      <c r="BI687" s="30">
        <f t="shared" si="298"/>
        <v>665</v>
      </c>
      <c r="BJ687" s="31">
        <f t="shared" si="299"/>
        <v>46022</v>
      </c>
      <c r="BK687" s="27">
        <v>45673</v>
      </c>
      <c r="BL687" s="16" t="s">
        <v>5526</v>
      </c>
      <c r="BM687" s="27"/>
      <c r="BN687" s="16"/>
      <c r="BO687" s="27"/>
      <c r="BP687" s="16"/>
      <c r="BQ687" s="27"/>
      <c r="BR687" s="24"/>
      <c r="BS687" s="24"/>
      <c r="BT687" s="32"/>
      <c r="BU687" s="27"/>
      <c r="BV687" s="24"/>
      <c r="BW687" s="24"/>
      <c r="BX687" s="16"/>
      <c r="BY687" s="27"/>
      <c r="BZ687" s="24"/>
      <c r="CA687" s="24"/>
      <c r="CB687" s="16"/>
      <c r="CC687" s="49">
        <f t="shared" si="294"/>
        <v>0</v>
      </c>
      <c r="CD687" s="24"/>
      <c r="CE687" s="49" t="str">
        <f>IFERROR(IF(Y687=0,(W687+CC687)-CD687,IF(Y687&gt;0,(Y687+CC687)-CD687)),"")</f>
        <v/>
      </c>
      <c r="CF687" s="50">
        <v>2247162071.73</v>
      </c>
      <c r="CG687" s="49" t="str">
        <f t="shared" ca="1" si="301"/>
        <v/>
      </c>
      <c r="CH687" s="33">
        <f t="shared" ca="1" si="291"/>
        <v>0.89160305343511448</v>
      </c>
      <c r="CI687" s="33">
        <f t="shared" ca="1" si="292"/>
        <v>0.89160305343511448</v>
      </c>
      <c r="CJ687" s="36" t="str">
        <f t="shared" ca="1" si="287"/>
        <v/>
      </c>
      <c r="CK687" s="34" t="str">
        <f t="shared" si="288"/>
        <v/>
      </c>
      <c r="CL687" s="21"/>
      <c r="CM687" s="35" t="str">
        <f t="shared" ca="1" si="300"/>
        <v>VIGENTE</v>
      </c>
      <c r="CN687" s="82"/>
      <c r="CO687" s="145"/>
      <c r="CP687" s="83" t="s">
        <v>1424</v>
      </c>
      <c r="CQ687" s="83"/>
      <c r="CR687" s="83"/>
      <c r="CS687" s="151"/>
    </row>
    <row r="688" spans="1:97" ht="24.75" customHeight="1">
      <c r="A688" s="48" t="s">
        <v>5527</v>
      </c>
      <c r="B688" s="77" t="s">
        <v>5528</v>
      </c>
      <c r="C688" s="17" t="s">
        <v>104</v>
      </c>
      <c r="D688" s="18" t="s">
        <v>5529</v>
      </c>
      <c r="E688" s="17" t="s">
        <v>106</v>
      </c>
      <c r="F688" s="17" t="s">
        <v>107</v>
      </c>
      <c r="G688" s="17" t="s">
        <v>108</v>
      </c>
      <c r="H688" s="78">
        <v>52886623</v>
      </c>
      <c r="I688" s="74" t="s">
        <v>5530</v>
      </c>
      <c r="J688" s="16"/>
      <c r="K688" s="16"/>
      <c r="L688" s="20" t="s">
        <v>5531</v>
      </c>
      <c r="M688" s="16" t="s">
        <v>111</v>
      </c>
      <c r="N688" s="115">
        <v>45357</v>
      </c>
      <c r="O688" s="22">
        <v>45363</v>
      </c>
      <c r="P688" s="115">
        <v>45656</v>
      </c>
      <c r="Q688" s="23">
        <f t="shared" si="295"/>
        <v>293</v>
      </c>
      <c r="R688" s="17" t="s">
        <v>242</v>
      </c>
      <c r="S688" s="117" t="s">
        <v>5532</v>
      </c>
      <c r="T688" s="16" t="s">
        <v>2751</v>
      </c>
      <c r="U688" s="67">
        <v>64347867</v>
      </c>
      <c r="V688" s="16" t="s">
        <v>344</v>
      </c>
      <c r="W688" s="224">
        <v>106454949</v>
      </c>
      <c r="X688" s="24">
        <v>9072865</v>
      </c>
      <c r="Y688" s="24"/>
      <c r="Z688" s="24"/>
      <c r="AA688" s="17" t="s">
        <v>116</v>
      </c>
      <c r="AB688" s="23" t="str">
        <f>IFERROR(VLOOKUP(AA688,Listas!$A$1:$C$14,2,FALSE),"")</f>
        <v>FREDY CÉSPEDES VILLA</v>
      </c>
      <c r="AC688" s="23">
        <f>IFERROR(VLOOKUP(AA688,Listas!$A$1:$C$14,3,FALSE),"")</f>
        <v>93363483</v>
      </c>
      <c r="AD688" s="17" t="s">
        <v>345</v>
      </c>
      <c r="AE688" s="17" t="s">
        <v>632</v>
      </c>
      <c r="AF688" s="23" t="str">
        <f>IFERROR(VLOOKUP(AE688,Listas!$AD$1:$AF$65,2,FALSE),"")</f>
        <v>MANUEL ALBERTO LOZANO CARDONA</v>
      </c>
      <c r="AG688" s="23">
        <f>IFERROR(VLOOKUP(AE688,Listas!$AD$1:$AF$65,3,FALSE),"")</f>
        <v>79940034</v>
      </c>
      <c r="AH688" s="17" t="s">
        <v>118</v>
      </c>
      <c r="AI688" s="65" t="s">
        <v>5533</v>
      </c>
      <c r="AJ688" s="25" t="s">
        <v>119</v>
      </c>
      <c r="AK688" s="26" t="s">
        <v>120</v>
      </c>
      <c r="AL688" s="26" t="s">
        <v>120</v>
      </c>
      <c r="AM688" s="90" t="s">
        <v>119</v>
      </c>
      <c r="AN688" s="105">
        <v>30080</v>
      </c>
      <c r="AO688" s="91">
        <f t="shared" ca="1" si="296"/>
        <v>43</v>
      </c>
      <c r="AP688" s="26" t="s">
        <v>121</v>
      </c>
      <c r="AQ688" s="26" t="s">
        <v>347</v>
      </c>
      <c r="AR688" s="89"/>
      <c r="AS688" s="27"/>
      <c r="AT688" s="16"/>
      <c r="AU688" s="27"/>
      <c r="AV688" s="86"/>
      <c r="AW688" s="27"/>
      <c r="AX688" s="27"/>
      <c r="AY688" s="27"/>
      <c r="AZ688" s="27"/>
      <c r="BA688" s="27"/>
      <c r="BB688" s="27"/>
      <c r="BC688" s="97"/>
      <c r="BD688" s="27"/>
      <c r="BE688" s="16"/>
      <c r="BF688" s="28">
        <f t="shared" si="297"/>
        <v>0</v>
      </c>
      <c r="BG688" s="29"/>
      <c r="BH688" s="27"/>
      <c r="BI688" s="30">
        <f t="shared" si="298"/>
        <v>293</v>
      </c>
      <c r="BJ688" s="31">
        <f t="shared" si="299"/>
        <v>45656</v>
      </c>
      <c r="BK688" s="27"/>
      <c r="BL688" s="16"/>
      <c r="BM688" s="27"/>
      <c r="BN688" s="16"/>
      <c r="BO688" s="27"/>
      <c r="BP688" s="16"/>
      <c r="BQ688" s="27"/>
      <c r="BR688" s="24"/>
      <c r="BS688" s="24"/>
      <c r="BT688" s="32"/>
      <c r="BU688" s="27"/>
      <c r="BV688" s="24"/>
      <c r="BW688" s="24"/>
      <c r="BX688" s="16"/>
      <c r="BY688" s="27"/>
      <c r="BZ688" s="24"/>
      <c r="CA688" s="24"/>
      <c r="CB688" s="16"/>
      <c r="CC688" s="49">
        <f t="shared" si="294"/>
        <v>0</v>
      </c>
      <c r="CD688" s="24"/>
      <c r="CE688" s="49">
        <f t="shared" si="293"/>
        <v>106454949</v>
      </c>
      <c r="CF688" s="50"/>
      <c r="CG688" s="49">
        <f t="shared" ca="1" si="301"/>
        <v>106454949</v>
      </c>
      <c r="CH688" s="33">
        <f t="shared" ca="1" si="291"/>
        <v>1</v>
      </c>
      <c r="CI688" s="33">
        <f t="shared" ca="1" si="292"/>
        <v>1</v>
      </c>
      <c r="CJ688" s="36">
        <f t="shared" ca="1" si="287"/>
        <v>100</v>
      </c>
      <c r="CK688" s="34">
        <f t="shared" si="288"/>
        <v>0</v>
      </c>
      <c r="CL688" s="21"/>
      <c r="CM688" s="35" t="str">
        <f t="shared" ca="1" si="300"/>
        <v>TERMINADO</v>
      </c>
      <c r="CN688" s="82"/>
      <c r="CO688" s="145" t="s">
        <v>5534</v>
      </c>
      <c r="CP688" s="26" t="s">
        <v>123</v>
      </c>
    </row>
    <row r="689" spans="1:98" ht="24.75" customHeight="1">
      <c r="A689" s="48" t="s">
        <v>1424</v>
      </c>
      <c r="B689" s="77" t="s">
        <v>5535</v>
      </c>
      <c r="C689" s="17" t="s">
        <v>2927</v>
      </c>
      <c r="D689" s="18" t="s">
        <v>5536</v>
      </c>
      <c r="E689" s="17" t="s">
        <v>2929</v>
      </c>
      <c r="F689" s="17" t="s">
        <v>1426</v>
      </c>
      <c r="G689" s="17" t="s">
        <v>1427</v>
      </c>
      <c r="H689" s="78" t="s">
        <v>5537</v>
      </c>
      <c r="I689" s="74" t="s">
        <v>5538</v>
      </c>
      <c r="J689" s="16" t="s">
        <v>5539</v>
      </c>
      <c r="K689" s="16">
        <v>79487848</v>
      </c>
      <c r="L689" s="20" t="s">
        <v>5291</v>
      </c>
      <c r="M689" s="16"/>
      <c r="N689" s="115">
        <v>45358</v>
      </c>
      <c r="O689" s="22">
        <v>45358</v>
      </c>
      <c r="P689" s="115">
        <v>45723</v>
      </c>
      <c r="Q689" s="23">
        <f t="shared" si="295"/>
        <v>365</v>
      </c>
      <c r="R689" s="17" t="s">
        <v>2934</v>
      </c>
      <c r="S689" s="117" t="s">
        <v>1424</v>
      </c>
      <c r="T689" s="16" t="s">
        <v>1424</v>
      </c>
      <c r="U689" s="67" t="s">
        <v>1424</v>
      </c>
      <c r="V689" s="16" t="s">
        <v>1424</v>
      </c>
      <c r="W689" s="224">
        <v>0</v>
      </c>
      <c r="X689" s="24"/>
      <c r="Y689" s="24" t="s">
        <v>2935</v>
      </c>
      <c r="Z689" s="24"/>
      <c r="AA689" s="17" t="s">
        <v>406</v>
      </c>
      <c r="AB689" s="23" t="str">
        <f>IFERROR(VLOOKUP(AA689,Listas!$A$1:$C$14,2,FALSE),"")</f>
        <v>EDUARDO ELÍAS BARCHA BOLÍVAR</v>
      </c>
      <c r="AC689" s="23">
        <f>IFERROR(VLOOKUP(AA689,Listas!$A$1:$C$14,3,FALSE),"")</f>
        <v>72133921</v>
      </c>
      <c r="AD689" s="17" t="s">
        <v>1533</v>
      </c>
      <c r="AE689" s="17" t="s">
        <v>1534</v>
      </c>
      <c r="AF689" s="23" t="str">
        <f>IFERROR(VLOOKUP(AE689,Listas!$AD$1:$AF$65,2,FALSE),"")</f>
        <v>ESTEBAN GUERRERO ALVAREZ</v>
      </c>
      <c r="AG689" s="23">
        <f>IFERROR(VLOOKUP(AE689,Listas!$AD$1:$AF$65,3,FALSE),"")</f>
        <v>1032460552</v>
      </c>
      <c r="AH689" s="17" t="s">
        <v>2936</v>
      </c>
      <c r="AI689" s="65"/>
      <c r="AJ689" s="25" t="s">
        <v>1435</v>
      </c>
      <c r="AK689" s="26" t="s">
        <v>2071</v>
      </c>
      <c r="AL689" s="26" t="s">
        <v>2071</v>
      </c>
      <c r="AM689" s="90" t="s">
        <v>1435</v>
      </c>
      <c r="AN689" s="105"/>
      <c r="AO689" s="91" t="str">
        <f t="shared" ca="1" si="296"/>
        <v xml:space="preserve"> </v>
      </c>
      <c r="AP689" s="26" t="s">
        <v>2937</v>
      </c>
      <c r="AQ689" s="26" t="s">
        <v>3067</v>
      </c>
      <c r="AR689" s="89"/>
      <c r="AS689" s="27"/>
      <c r="AT689" s="16"/>
      <c r="AU689" s="27"/>
      <c r="AV689" s="86"/>
      <c r="AW689" s="27"/>
      <c r="AX689" s="27"/>
      <c r="AY689" s="27"/>
      <c r="AZ689" s="27"/>
      <c r="BA689" s="27"/>
      <c r="BB689" s="27">
        <v>45722</v>
      </c>
      <c r="BC689" s="97">
        <v>299</v>
      </c>
      <c r="BD689" s="27"/>
      <c r="BE689" s="16"/>
      <c r="BF689" s="28">
        <f t="shared" si="297"/>
        <v>299</v>
      </c>
      <c r="BG689" s="29"/>
      <c r="BH689" s="27"/>
      <c r="BI689" s="30">
        <f t="shared" si="298"/>
        <v>664</v>
      </c>
      <c r="BJ689" s="31">
        <f t="shared" si="299"/>
        <v>46022</v>
      </c>
      <c r="BK689" s="27">
        <v>45722</v>
      </c>
      <c r="BL689" s="16" t="s">
        <v>5540</v>
      </c>
      <c r="BM689" s="27"/>
      <c r="BN689" s="16"/>
      <c r="BO689" s="27"/>
      <c r="BP689" s="16"/>
      <c r="BQ689" s="27"/>
      <c r="BR689" s="24"/>
      <c r="BS689" s="24"/>
      <c r="BT689" s="32"/>
      <c r="BU689" s="27"/>
      <c r="BV689" s="24"/>
      <c r="BW689" s="24"/>
      <c r="BX689" s="16"/>
      <c r="BY689" s="27"/>
      <c r="BZ689" s="24"/>
      <c r="CA689" s="24"/>
      <c r="CB689" s="16"/>
      <c r="CC689" s="49">
        <f t="shared" si="294"/>
        <v>0</v>
      </c>
      <c r="CD689" s="24"/>
      <c r="CE689" s="49" t="str">
        <f>IFERROR(IF(Y689=0,(W689+CC689)-CD689,IF(Y689&gt;0,(Y689+CC689)-CD689)),"")</f>
        <v/>
      </c>
      <c r="CF689" s="50">
        <v>1879628603</v>
      </c>
      <c r="CG689" s="49" t="str">
        <f t="shared" ca="1" si="301"/>
        <v/>
      </c>
      <c r="CH689" s="33">
        <f t="shared" ca="1" si="291"/>
        <v>0.89143730886850148</v>
      </c>
      <c r="CI689" s="33">
        <f t="shared" ca="1" si="292"/>
        <v>0.89143730886850148</v>
      </c>
      <c r="CJ689" s="36" t="str">
        <f t="shared" ca="1" si="287"/>
        <v/>
      </c>
      <c r="CK689" s="34" t="str">
        <f t="shared" si="288"/>
        <v/>
      </c>
      <c r="CL689" s="21"/>
      <c r="CM689" s="35" t="str">
        <f t="shared" ca="1" si="300"/>
        <v>VIGENTE</v>
      </c>
      <c r="CN689" s="82"/>
      <c r="CP689" s="83" t="s">
        <v>1424</v>
      </c>
    </row>
    <row r="690" spans="1:98" ht="24.75" customHeight="1">
      <c r="A690" s="48" t="s">
        <v>5541</v>
      </c>
      <c r="B690" s="77" t="s">
        <v>5542</v>
      </c>
      <c r="C690" s="17" t="s">
        <v>104</v>
      </c>
      <c r="D690" s="18" t="s">
        <v>5543</v>
      </c>
      <c r="E690" s="17" t="s">
        <v>106</v>
      </c>
      <c r="F690" s="17" t="s">
        <v>107</v>
      </c>
      <c r="G690" s="17" t="s">
        <v>108</v>
      </c>
      <c r="H690" s="78">
        <v>2000007235</v>
      </c>
      <c r="I690" s="74" t="s">
        <v>5544</v>
      </c>
      <c r="J690" s="16"/>
      <c r="K690" s="16"/>
      <c r="L690" s="20" t="s">
        <v>1884</v>
      </c>
      <c r="M690" s="16" t="s">
        <v>111</v>
      </c>
      <c r="N690" s="115">
        <v>45358</v>
      </c>
      <c r="O690" s="22">
        <v>45369</v>
      </c>
      <c r="P690" s="115">
        <v>45656</v>
      </c>
      <c r="Q690" s="23">
        <f t="shared" si="295"/>
        <v>287</v>
      </c>
      <c r="R690" s="17" t="s">
        <v>242</v>
      </c>
      <c r="S690" s="117" t="s">
        <v>5545</v>
      </c>
      <c r="T690" s="16" t="s">
        <v>1128</v>
      </c>
      <c r="U690" s="67">
        <v>65920000</v>
      </c>
      <c r="V690" s="16" t="s">
        <v>815</v>
      </c>
      <c r="W690" s="224">
        <v>65920000</v>
      </c>
      <c r="X690" s="24">
        <v>6400000</v>
      </c>
      <c r="Y690" s="24"/>
      <c r="Z690" s="24"/>
      <c r="AA690" s="17" t="s">
        <v>116</v>
      </c>
      <c r="AB690" s="23" t="str">
        <f>IFERROR(VLOOKUP(AA690,Listas!$A$1:$C$14,2,FALSE),"")</f>
        <v>FREDY CÉSPEDES VILLA</v>
      </c>
      <c r="AC690" s="23">
        <f>IFERROR(VLOOKUP(AA690,Listas!$A$1:$C$14,3,FALSE),"")</f>
        <v>93363483</v>
      </c>
      <c r="AD690" s="17" t="s">
        <v>816</v>
      </c>
      <c r="AE690" s="17" t="s">
        <v>817</v>
      </c>
      <c r="AF690" s="23" t="str">
        <f>IFERROR(VLOOKUP(AE690,Listas!$AD$1:$AF$65,2,FALSE),"")</f>
        <v>JOSÉ EDUARDO PARADA JIMÉNEZ</v>
      </c>
      <c r="AG690" s="23">
        <f>IFERROR(VLOOKUP(AE690,Listas!$AD$1:$AF$65,3,FALSE),"")</f>
        <v>79434805</v>
      </c>
      <c r="AH690" s="17" t="s">
        <v>118</v>
      </c>
      <c r="AI690" s="65"/>
      <c r="AJ690" s="25" t="s">
        <v>119</v>
      </c>
      <c r="AK690" s="26" t="s">
        <v>120</v>
      </c>
      <c r="AL690" s="26" t="s">
        <v>120</v>
      </c>
      <c r="AM690" s="90" t="s">
        <v>119</v>
      </c>
      <c r="AN690" s="105">
        <v>32881</v>
      </c>
      <c r="AO690" s="91">
        <f t="shared" ca="1" si="296"/>
        <v>35</v>
      </c>
      <c r="AP690" s="26" t="s">
        <v>121</v>
      </c>
      <c r="AQ690" s="26" t="s">
        <v>819</v>
      </c>
      <c r="AR690" s="89"/>
      <c r="AS690" s="27"/>
      <c r="AT690" s="16"/>
      <c r="AU690" s="27"/>
      <c r="AV690" s="86"/>
      <c r="AW690" s="27"/>
      <c r="AX690" s="27"/>
      <c r="AY690" s="27"/>
      <c r="AZ690" s="27"/>
      <c r="BA690" s="27"/>
      <c r="BB690" s="27"/>
      <c r="BC690" s="97"/>
      <c r="BD690" s="27"/>
      <c r="BE690" s="16"/>
      <c r="BF690" s="28">
        <f t="shared" si="297"/>
        <v>0</v>
      </c>
      <c r="BG690" s="29"/>
      <c r="BH690" s="27"/>
      <c r="BI690" s="30">
        <f t="shared" si="298"/>
        <v>287</v>
      </c>
      <c r="BJ690" s="31">
        <f t="shared" si="299"/>
        <v>45656</v>
      </c>
      <c r="BK690" s="27"/>
      <c r="BL690" s="16"/>
      <c r="BM690" s="27"/>
      <c r="BN690" s="16"/>
      <c r="BO690" s="27"/>
      <c r="BP690" s="16"/>
      <c r="BQ690" s="27"/>
      <c r="BR690" s="24"/>
      <c r="BS690" s="24"/>
      <c r="BT690" s="32"/>
      <c r="BU690" s="27"/>
      <c r="BV690" s="24"/>
      <c r="BW690" s="24"/>
      <c r="BX690" s="16"/>
      <c r="BY690" s="27"/>
      <c r="BZ690" s="24"/>
      <c r="CA690" s="24"/>
      <c r="CB690" s="16"/>
      <c r="CC690" s="49">
        <f t="shared" si="294"/>
        <v>0</v>
      </c>
      <c r="CD690" s="24"/>
      <c r="CE690" s="49">
        <f t="shared" si="293"/>
        <v>65920000</v>
      </c>
      <c r="CF690" s="50"/>
      <c r="CG690" s="49">
        <f t="shared" ca="1" si="301"/>
        <v>65920000</v>
      </c>
      <c r="CH690" s="33">
        <f t="shared" ca="1" si="291"/>
        <v>1</v>
      </c>
      <c r="CI690" s="33">
        <f t="shared" ca="1" si="292"/>
        <v>1</v>
      </c>
      <c r="CJ690" s="36">
        <f t="shared" ca="1" si="287"/>
        <v>100</v>
      </c>
      <c r="CK690" s="34">
        <f t="shared" si="288"/>
        <v>0</v>
      </c>
      <c r="CL690" s="21"/>
      <c r="CM690" s="35" t="str">
        <f t="shared" ca="1" si="300"/>
        <v>TERMINADO</v>
      </c>
      <c r="CN690" s="82"/>
      <c r="CO690" s="145" t="s">
        <v>5546</v>
      </c>
      <c r="CP690" s="26" t="s">
        <v>123</v>
      </c>
    </row>
    <row r="691" spans="1:98" ht="24.75" customHeight="1">
      <c r="A691" s="48" t="s">
        <v>5547</v>
      </c>
      <c r="B691" s="77" t="s">
        <v>5548</v>
      </c>
      <c r="C691" s="17" t="s">
        <v>104</v>
      </c>
      <c r="D691" s="18" t="s">
        <v>5549</v>
      </c>
      <c r="E691" s="17" t="s">
        <v>106</v>
      </c>
      <c r="F691" s="17" t="s">
        <v>107</v>
      </c>
      <c r="G691" s="17" t="s">
        <v>108</v>
      </c>
      <c r="H691" s="78">
        <v>1136887235</v>
      </c>
      <c r="I691" s="74" t="s">
        <v>5550</v>
      </c>
      <c r="J691" s="16"/>
      <c r="K691" s="16"/>
      <c r="L691" s="20" t="s">
        <v>4329</v>
      </c>
      <c r="M691" s="16" t="s">
        <v>5551</v>
      </c>
      <c r="N691" s="115">
        <v>45358</v>
      </c>
      <c r="O691" s="22">
        <v>45366</v>
      </c>
      <c r="P691" s="115">
        <v>45656</v>
      </c>
      <c r="Q691" s="23">
        <f t="shared" si="295"/>
        <v>290</v>
      </c>
      <c r="R691" s="17" t="s">
        <v>242</v>
      </c>
      <c r="S691" s="117" t="s">
        <v>5552</v>
      </c>
      <c r="T691" s="16" t="s">
        <v>2751</v>
      </c>
      <c r="U691" s="67">
        <v>44640955</v>
      </c>
      <c r="V691" s="16" t="s">
        <v>344</v>
      </c>
      <c r="W691" s="224">
        <v>40460080</v>
      </c>
      <c r="X691" s="24">
        <v>4046008</v>
      </c>
      <c r="Y691" s="24"/>
      <c r="Z691" s="24"/>
      <c r="AA691" s="17" t="s">
        <v>116</v>
      </c>
      <c r="AB691" s="23" t="str">
        <f>IFERROR(VLOOKUP(AA691,Listas!$A$1:$C$14,2,FALSE),"")</f>
        <v>FREDY CÉSPEDES VILLA</v>
      </c>
      <c r="AC691" s="23">
        <f>IFERROR(VLOOKUP(AA691,Listas!$A$1:$C$14,3,FALSE),"")</f>
        <v>93363483</v>
      </c>
      <c r="AD691" s="17" t="s">
        <v>1533</v>
      </c>
      <c r="AE691" s="17" t="s">
        <v>1534</v>
      </c>
      <c r="AF691" s="23" t="str">
        <f>IFERROR(VLOOKUP(AE691,Listas!$AD$1:$AF$65,2,FALSE),"")</f>
        <v>ESTEBAN GUERRERO ALVAREZ</v>
      </c>
      <c r="AG691" s="23">
        <f>IFERROR(VLOOKUP(AE691,Listas!$AD$1:$AF$65,3,FALSE),"")</f>
        <v>1032460552</v>
      </c>
      <c r="AH691" s="17" t="s">
        <v>118</v>
      </c>
      <c r="AI691" s="65" t="s">
        <v>4596</v>
      </c>
      <c r="AJ691" s="25" t="s">
        <v>119</v>
      </c>
      <c r="AK691" s="26" t="s">
        <v>120</v>
      </c>
      <c r="AL691" s="26" t="s">
        <v>120</v>
      </c>
      <c r="AM691" s="90" t="s">
        <v>119</v>
      </c>
      <c r="AN691" s="105">
        <v>34879</v>
      </c>
      <c r="AO691" s="91">
        <f t="shared" ca="1" si="296"/>
        <v>30</v>
      </c>
      <c r="AP691" s="26" t="s">
        <v>121</v>
      </c>
      <c r="AQ691" s="26" t="s">
        <v>327</v>
      </c>
      <c r="AR691" s="89"/>
      <c r="AS691" s="27"/>
      <c r="AT691" s="16"/>
      <c r="AU691" s="27"/>
      <c r="AV691" s="86"/>
      <c r="AW691" s="27"/>
      <c r="AX691" s="27"/>
      <c r="AY691" s="27"/>
      <c r="AZ691" s="27"/>
      <c r="BA691" s="27"/>
      <c r="BB691" s="27"/>
      <c r="BC691" s="97"/>
      <c r="BD691" s="27"/>
      <c r="BE691" s="16"/>
      <c r="BF691" s="28">
        <f t="shared" si="297"/>
        <v>0</v>
      </c>
      <c r="BG691" s="29"/>
      <c r="BH691" s="27"/>
      <c r="BI691" s="30">
        <f t="shared" si="298"/>
        <v>290</v>
      </c>
      <c r="BJ691" s="31">
        <f t="shared" si="299"/>
        <v>45656</v>
      </c>
      <c r="BK691" s="27"/>
      <c r="BL691" s="16"/>
      <c r="BM691" s="27"/>
      <c r="BN691" s="16"/>
      <c r="BO691" s="27"/>
      <c r="BP691" s="16"/>
      <c r="BQ691" s="27"/>
      <c r="BR691" s="24"/>
      <c r="BS691" s="24"/>
      <c r="BT691" s="32"/>
      <c r="BU691" s="27"/>
      <c r="BV691" s="24"/>
      <c r="BW691" s="24"/>
      <c r="BX691" s="16"/>
      <c r="BY691" s="27"/>
      <c r="BZ691" s="24"/>
      <c r="CA691" s="24"/>
      <c r="CB691" s="16"/>
      <c r="CC691" s="49">
        <f t="shared" si="294"/>
        <v>0</v>
      </c>
      <c r="CD691" s="24"/>
      <c r="CE691" s="49">
        <f t="shared" si="293"/>
        <v>40460080</v>
      </c>
      <c r="CF691" s="50"/>
      <c r="CG691" s="49">
        <f t="shared" ca="1" si="301"/>
        <v>40460080</v>
      </c>
      <c r="CH691" s="33">
        <f t="shared" ca="1" si="291"/>
        <v>1</v>
      </c>
      <c r="CI691" s="33">
        <f t="shared" ca="1" si="292"/>
        <v>1</v>
      </c>
      <c r="CJ691" s="36">
        <f t="shared" ca="1" si="287"/>
        <v>100</v>
      </c>
      <c r="CK691" s="34">
        <f t="shared" si="288"/>
        <v>0</v>
      </c>
      <c r="CL691" s="21"/>
      <c r="CM691" s="35" t="str">
        <f t="shared" ca="1" si="300"/>
        <v>TERMINADO</v>
      </c>
      <c r="CN691" s="82"/>
      <c r="CO691" s="145" t="s">
        <v>5553</v>
      </c>
      <c r="CP691" s="26" t="s">
        <v>123</v>
      </c>
    </row>
    <row r="692" spans="1:98" ht="24.75" customHeight="1">
      <c r="A692" s="48" t="s">
        <v>5554</v>
      </c>
      <c r="B692" s="77" t="s">
        <v>5555</v>
      </c>
      <c r="C692" s="17" t="s">
        <v>104</v>
      </c>
      <c r="D692" s="18" t="s">
        <v>5556</v>
      </c>
      <c r="E692" s="17" t="s">
        <v>106</v>
      </c>
      <c r="F692" s="17" t="s">
        <v>107</v>
      </c>
      <c r="G692" s="17" t="s">
        <v>108</v>
      </c>
      <c r="H692" s="78">
        <v>79988447</v>
      </c>
      <c r="I692" s="74" t="s">
        <v>5557</v>
      </c>
      <c r="J692" s="16"/>
      <c r="K692" s="16"/>
      <c r="L692" s="20" t="s">
        <v>5558</v>
      </c>
      <c r="M692" s="16" t="s">
        <v>111</v>
      </c>
      <c r="N692" s="115">
        <v>45359</v>
      </c>
      <c r="O692" s="22">
        <v>45369</v>
      </c>
      <c r="P692" s="115">
        <v>45656</v>
      </c>
      <c r="Q692" s="23">
        <f t="shared" si="295"/>
        <v>287</v>
      </c>
      <c r="R692" s="17" t="s">
        <v>242</v>
      </c>
      <c r="S692" s="117" t="s">
        <v>5559</v>
      </c>
      <c r="T692" s="16" t="s">
        <v>668</v>
      </c>
      <c r="U692" s="67">
        <v>99801515</v>
      </c>
      <c r="V692" s="16" t="s">
        <v>1118</v>
      </c>
      <c r="W692" s="227">
        <v>90728650</v>
      </c>
      <c r="X692" s="24">
        <v>9072865</v>
      </c>
      <c r="Y692" s="24"/>
      <c r="Z692" s="24"/>
      <c r="AA692" s="17" t="s">
        <v>116</v>
      </c>
      <c r="AB692" s="23" t="str">
        <f>IFERROR(VLOOKUP(AA692,Listas!$A$1:$C$14,2,FALSE),"")</f>
        <v>FREDY CÉSPEDES VILLA</v>
      </c>
      <c r="AC692" s="23">
        <f>IFERROR(VLOOKUP(AA692,Listas!$A$1:$C$14,3,FALSE),"")</f>
        <v>93363483</v>
      </c>
      <c r="AD692" s="17" t="s">
        <v>282</v>
      </c>
      <c r="AE692" s="17" t="s">
        <v>283</v>
      </c>
      <c r="AF692" s="23" t="str">
        <f>IFERROR(VLOOKUP(AE692,Listas!$AD$1:$AF$65,2,FALSE),"")</f>
        <v>MARÍA STELLA CARREÑO JURADO</v>
      </c>
      <c r="AG692" s="23">
        <f>IFERROR(VLOOKUP(AE692,Listas!$AD$1:$AF$65,3,FALSE),"")</f>
        <v>51774925</v>
      </c>
      <c r="AH692" s="17" t="s">
        <v>118</v>
      </c>
      <c r="AI692" s="65" t="s">
        <v>5560</v>
      </c>
      <c r="AJ692" s="25" t="s">
        <v>119</v>
      </c>
      <c r="AK692" s="26" t="s">
        <v>120</v>
      </c>
      <c r="AL692" s="26" t="s">
        <v>120</v>
      </c>
      <c r="AM692" s="90" t="s">
        <v>119</v>
      </c>
      <c r="AN692" s="105">
        <v>28877</v>
      </c>
      <c r="AO692" s="91">
        <f t="shared" ca="1" si="296"/>
        <v>46</v>
      </c>
      <c r="AP692" s="26" t="s">
        <v>121</v>
      </c>
      <c r="AQ692" s="26" t="s">
        <v>285</v>
      </c>
      <c r="AR692" s="89">
        <v>45450</v>
      </c>
      <c r="AS692" s="177" t="s">
        <v>5561</v>
      </c>
      <c r="AT692" s="176">
        <v>80122746</v>
      </c>
      <c r="AU692" s="20" t="s">
        <v>5558</v>
      </c>
      <c r="AV692" s="86">
        <v>66836772</v>
      </c>
      <c r="AW692" s="27"/>
      <c r="AX692" s="27"/>
      <c r="AY692" s="27"/>
      <c r="AZ692" s="27"/>
      <c r="BA692" s="27"/>
      <c r="BB692" s="27"/>
      <c r="BC692" s="97"/>
      <c r="BD692" s="27"/>
      <c r="BE692" s="16"/>
      <c r="BF692" s="28">
        <f t="shared" si="297"/>
        <v>0</v>
      </c>
      <c r="BG692" s="29"/>
      <c r="BH692" s="27"/>
      <c r="BI692" s="30">
        <f t="shared" si="298"/>
        <v>287</v>
      </c>
      <c r="BJ692" s="31">
        <f t="shared" si="299"/>
        <v>45656</v>
      </c>
      <c r="BK692" s="27"/>
      <c r="BL692" s="16"/>
      <c r="BM692" s="27"/>
      <c r="BN692" s="16"/>
      <c r="BO692" s="27"/>
      <c r="BP692" s="16"/>
      <c r="BQ692" s="27"/>
      <c r="BR692" s="24"/>
      <c r="BS692" s="24"/>
      <c r="BT692" s="32"/>
      <c r="BU692" s="27"/>
      <c r="BV692" s="24"/>
      <c r="BW692" s="24"/>
      <c r="BX692" s="16"/>
      <c r="BY692" s="27"/>
      <c r="BZ692" s="24"/>
      <c r="CA692" s="24"/>
      <c r="CB692" s="16"/>
      <c r="CC692" s="49">
        <f t="shared" si="294"/>
        <v>0</v>
      </c>
      <c r="CD692" s="24"/>
      <c r="CE692" s="49">
        <f t="shared" si="293"/>
        <v>90728650</v>
      </c>
      <c r="CF692" s="50"/>
      <c r="CG692" s="49">
        <f t="shared" ca="1" si="301"/>
        <v>90728650</v>
      </c>
      <c r="CH692" s="33">
        <f t="shared" ca="1" si="291"/>
        <v>1</v>
      </c>
      <c r="CI692" s="33">
        <f t="shared" ca="1" si="292"/>
        <v>1</v>
      </c>
      <c r="CJ692" s="36">
        <f t="shared" ca="1" si="287"/>
        <v>100</v>
      </c>
      <c r="CK692" s="34">
        <f t="shared" si="288"/>
        <v>0</v>
      </c>
      <c r="CL692" s="21"/>
      <c r="CM692" s="35" t="str">
        <f t="shared" ca="1" si="300"/>
        <v>TERMINADO</v>
      </c>
      <c r="CN692" s="82"/>
      <c r="CP692" s="26" t="s">
        <v>142</v>
      </c>
    </row>
    <row r="693" spans="1:98" ht="24.75" customHeight="1">
      <c r="A693" s="48" t="s">
        <v>5562</v>
      </c>
      <c r="B693" s="77" t="s">
        <v>5563</v>
      </c>
      <c r="C693" s="17" t="s">
        <v>104</v>
      </c>
      <c r="D693" s="18" t="s">
        <v>5564</v>
      </c>
      <c r="E693" s="17" t="s">
        <v>106</v>
      </c>
      <c r="F693" s="17" t="s">
        <v>107</v>
      </c>
      <c r="G693" s="17" t="s">
        <v>108</v>
      </c>
      <c r="H693" s="78">
        <v>75098309</v>
      </c>
      <c r="I693" s="74" t="s">
        <v>5565</v>
      </c>
      <c r="J693" s="16"/>
      <c r="K693" s="16"/>
      <c r="L693" s="20" t="s">
        <v>5566</v>
      </c>
      <c r="M693" s="16" t="s">
        <v>111</v>
      </c>
      <c r="N693" s="115">
        <v>45362</v>
      </c>
      <c r="O693" s="22">
        <v>45369</v>
      </c>
      <c r="P693" s="115">
        <v>45565</v>
      </c>
      <c r="Q693" s="23">
        <f t="shared" si="295"/>
        <v>196</v>
      </c>
      <c r="R693" s="17" t="s">
        <v>112</v>
      </c>
      <c r="S693" s="117" t="s">
        <v>5567</v>
      </c>
      <c r="T693" s="16" t="s">
        <v>5568</v>
      </c>
      <c r="U693" s="67">
        <v>132000000</v>
      </c>
      <c r="V693" s="16" t="s">
        <v>216</v>
      </c>
      <c r="W693" s="227">
        <v>84716100</v>
      </c>
      <c r="X693" s="24">
        <v>12102300</v>
      </c>
      <c r="Y693" s="24"/>
      <c r="Z693" s="24"/>
      <c r="AA693" s="17" t="s">
        <v>116</v>
      </c>
      <c r="AB693" s="23" t="str">
        <f>IFERROR(VLOOKUP(AA693,Listas!$A$1:$C$14,2,FALSE),"")</f>
        <v>FREDY CÉSPEDES VILLA</v>
      </c>
      <c r="AC693" s="23">
        <f>IFERROR(VLOOKUP(AA693,Listas!$A$1:$C$14,3,FALSE),"")</f>
        <v>93363483</v>
      </c>
      <c r="AD693" s="17" t="s">
        <v>217</v>
      </c>
      <c r="AE693" s="17" t="s">
        <v>265</v>
      </c>
      <c r="AF693" s="23" t="str">
        <f>IFERROR(VLOOKUP(AE693,Listas!$AD$1:$AF$65,2,FALSE),"")</f>
        <v>EDGAR ANTONIO GÓMEZ ÁLVAREZ</v>
      </c>
      <c r="AG693" s="23">
        <f>IFERROR(VLOOKUP(AE693,Listas!$AD$1:$AF$65,3,FALSE),"")</f>
        <v>2231755</v>
      </c>
      <c r="AH693" s="17" t="s">
        <v>118</v>
      </c>
      <c r="AI693" s="65" t="s">
        <v>5569</v>
      </c>
      <c r="AJ693" s="25" t="s">
        <v>119</v>
      </c>
      <c r="AK693" s="26" t="s">
        <v>120</v>
      </c>
      <c r="AL693" s="26" t="s">
        <v>120</v>
      </c>
      <c r="AM693" s="90" t="s">
        <v>119</v>
      </c>
      <c r="AN693" s="105">
        <v>29652</v>
      </c>
      <c r="AO693" s="91">
        <f t="shared" ca="1" si="296"/>
        <v>44</v>
      </c>
      <c r="AP693" s="26" t="s">
        <v>121</v>
      </c>
      <c r="AQ693" s="26" t="s">
        <v>220</v>
      </c>
      <c r="AR693" s="89">
        <v>45565</v>
      </c>
      <c r="AS693" s="27" t="s">
        <v>5570</v>
      </c>
      <c r="AT693" s="104">
        <v>80097662</v>
      </c>
      <c r="AU693" s="27"/>
      <c r="AV693" s="86"/>
      <c r="AW693" s="27"/>
      <c r="AX693" s="27"/>
      <c r="AY693" s="27"/>
      <c r="AZ693" s="27"/>
      <c r="BA693" s="27"/>
      <c r="BB693" s="27">
        <v>45565</v>
      </c>
      <c r="BC693" s="97">
        <v>92</v>
      </c>
      <c r="BD693" s="27"/>
      <c r="BE693" s="16"/>
      <c r="BF693" s="28">
        <f t="shared" si="297"/>
        <v>92</v>
      </c>
      <c r="BG693" s="29"/>
      <c r="BH693" s="27"/>
      <c r="BI693" s="30">
        <f t="shared" si="298"/>
        <v>288</v>
      </c>
      <c r="BJ693" s="31">
        <f t="shared" si="299"/>
        <v>45657</v>
      </c>
      <c r="BK693" s="27"/>
      <c r="BL693" s="16"/>
      <c r="BM693" s="27"/>
      <c r="BN693" s="16"/>
      <c r="BO693" s="27"/>
      <c r="BP693" s="16"/>
      <c r="BQ693" s="27">
        <v>45565</v>
      </c>
      <c r="BR693" s="24">
        <v>29448930</v>
      </c>
      <c r="BS693" s="24" t="s">
        <v>5571</v>
      </c>
      <c r="BT693" s="32" t="s">
        <v>5572</v>
      </c>
      <c r="BU693" s="27"/>
      <c r="BV693" s="24"/>
      <c r="BW693" s="24"/>
      <c r="BX693" s="16"/>
      <c r="BY693" s="27"/>
      <c r="BZ693" s="24"/>
      <c r="CA693" s="24"/>
      <c r="CB693" s="16"/>
      <c r="CC693" s="49">
        <f t="shared" si="294"/>
        <v>29448930</v>
      </c>
      <c r="CD693" s="24"/>
      <c r="CE693" s="49">
        <f t="shared" si="293"/>
        <v>114165030</v>
      </c>
      <c r="CF693" s="50">
        <v>88245937.5</v>
      </c>
      <c r="CG693" s="49">
        <f t="shared" ca="1" si="301"/>
        <v>114165030</v>
      </c>
      <c r="CH693" s="33">
        <f t="shared" ca="1" si="291"/>
        <v>1</v>
      </c>
      <c r="CI693" s="33">
        <f t="shared" ca="1" si="292"/>
        <v>1</v>
      </c>
      <c r="CJ693" s="36">
        <f t="shared" ca="1" si="287"/>
        <v>100</v>
      </c>
      <c r="CK693" s="34">
        <f t="shared" si="288"/>
        <v>77.296819787985868</v>
      </c>
      <c r="CL693" s="21"/>
      <c r="CM693" s="35" t="str">
        <f t="shared" ca="1" si="300"/>
        <v>TERMINADO</v>
      </c>
      <c r="CN693" s="82"/>
      <c r="CO693" s="145" t="s">
        <v>5573</v>
      </c>
      <c r="CP693" s="26" t="s">
        <v>123</v>
      </c>
    </row>
    <row r="694" spans="1:98" ht="24.75" customHeight="1">
      <c r="A694" s="48" t="s">
        <v>5574</v>
      </c>
      <c r="B694" s="77" t="s">
        <v>5575</v>
      </c>
      <c r="C694" s="17" t="s">
        <v>104</v>
      </c>
      <c r="D694" s="18" t="s">
        <v>5576</v>
      </c>
      <c r="E694" s="17" t="s">
        <v>106</v>
      </c>
      <c r="F694" s="17" t="s">
        <v>107</v>
      </c>
      <c r="G694" s="17" t="s">
        <v>108</v>
      </c>
      <c r="H694" s="78">
        <v>52382796</v>
      </c>
      <c r="I694" s="74" t="s">
        <v>5577</v>
      </c>
      <c r="J694" s="16"/>
      <c r="K694" s="16"/>
      <c r="L694" s="20" t="s">
        <v>5578</v>
      </c>
      <c r="M694" s="16" t="s">
        <v>111</v>
      </c>
      <c r="N694" s="115">
        <v>45362</v>
      </c>
      <c r="O694" s="22">
        <v>45363</v>
      </c>
      <c r="P694" s="115">
        <v>45656</v>
      </c>
      <c r="Q694" s="23">
        <f t="shared" si="295"/>
        <v>293</v>
      </c>
      <c r="R694" s="17" t="s">
        <v>112</v>
      </c>
      <c r="S694" s="117" t="s">
        <v>3057</v>
      </c>
      <c r="T694" s="16" t="s">
        <v>4638</v>
      </c>
      <c r="U694" s="67">
        <v>92416800</v>
      </c>
      <c r="V694" s="16" t="s">
        <v>4639</v>
      </c>
      <c r="W694" s="224">
        <v>80930000</v>
      </c>
      <c r="X694" s="24">
        <v>80093000</v>
      </c>
      <c r="Y694" s="24"/>
      <c r="Z694" s="24"/>
      <c r="AA694" s="17" t="s">
        <v>116</v>
      </c>
      <c r="AB694" s="23" t="str">
        <f>IFERROR(VLOOKUP(AA694,Listas!$A$1:$C$14,2,FALSE),"")</f>
        <v>FREDY CÉSPEDES VILLA</v>
      </c>
      <c r="AC694" s="23">
        <f>IFERROR(VLOOKUP(AA694,Listas!$A$1:$C$14,3,FALSE),"")</f>
        <v>93363483</v>
      </c>
      <c r="AD694" s="17" t="s">
        <v>116</v>
      </c>
      <c r="AE694" s="17" t="s">
        <v>659</v>
      </c>
      <c r="AF694" s="23" t="str">
        <f>IFERROR(VLOOKUP(AE694,Listas!$AD$1:$AF$65,2,FALSE),"")</f>
        <v>TATIANA FORERO TORRES</v>
      </c>
      <c r="AG694" s="23">
        <f>IFERROR(VLOOKUP(AE694,Listas!$AD$1:$AF$65,3,FALSE),"")</f>
        <v>1072446921</v>
      </c>
      <c r="AH694" s="17" t="s">
        <v>118</v>
      </c>
      <c r="AI694" s="65" t="s">
        <v>5579</v>
      </c>
      <c r="AJ694" s="25" t="s">
        <v>119</v>
      </c>
      <c r="AK694" s="26" t="s">
        <v>120</v>
      </c>
      <c r="AL694" s="26" t="s">
        <v>120</v>
      </c>
      <c r="AM694" s="90" t="s">
        <v>119</v>
      </c>
      <c r="AN694" s="105">
        <v>28650</v>
      </c>
      <c r="AO694" s="91">
        <f t="shared" ca="1" si="296"/>
        <v>47</v>
      </c>
      <c r="AP694" s="26" t="s">
        <v>121</v>
      </c>
      <c r="AQ694" s="26" t="s">
        <v>122</v>
      </c>
      <c r="AR694" s="89"/>
      <c r="AS694" s="27"/>
      <c r="AT694" s="16"/>
      <c r="AU694" s="27"/>
      <c r="AV694" s="86"/>
      <c r="AW694" s="27"/>
      <c r="AX694" s="27"/>
      <c r="AY694" s="27"/>
      <c r="AZ694" s="27"/>
      <c r="BA694" s="27"/>
      <c r="BB694" s="27"/>
      <c r="BC694" s="97"/>
      <c r="BD694" s="27"/>
      <c r="BE694" s="16"/>
      <c r="BF694" s="28">
        <f t="shared" si="297"/>
        <v>0</v>
      </c>
      <c r="BG694" s="29"/>
      <c r="BH694" s="27"/>
      <c r="BI694" s="30">
        <f t="shared" si="298"/>
        <v>293</v>
      </c>
      <c r="BJ694" s="31">
        <f t="shared" si="299"/>
        <v>45656</v>
      </c>
      <c r="BK694" s="27"/>
      <c r="BL694" s="16"/>
      <c r="BM694" s="27"/>
      <c r="BN694" s="16"/>
      <c r="BO694" s="27"/>
      <c r="BP694" s="16"/>
      <c r="BQ694" s="27"/>
      <c r="BR694" s="24"/>
      <c r="BS694" s="24"/>
      <c r="BT694" s="32"/>
      <c r="BU694" s="27"/>
      <c r="BV694" s="24"/>
      <c r="BW694" s="24"/>
      <c r="BX694" s="16"/>
      <c r="BY694" s="27"/>
      <c r="BZ694" s="24"/>
      <c r="CA694" s="24"/>
      <c r="CB694" s="16"/>
      <c r="CC694" s="49">
        <f t="shared" si="294"/>
        <v>0</v>
      </c>
      <c r="CD694" s="24"/>
      <c r="CE694" s="49">
        <f t="shared" si="293"/>
        <v>80930000</v>
      </c>
      <c r="CF694" s="50"/>
      <c r="CG694" s="49">
        <f t="shared" ca="1" si="301"/>
        <v>80930000</v>
      </c>
      <c r="CH694" s="33">
        <f t="shared" ca="1" si="291"/>
        <v>1</v>
      </c>
      <c r="CI694" s="33">
        <f t="shared" ca="1" si="292"/>
        <v>1</v>
      </c>
      <c r="CJ694" s="36">
        <f t="shared" ca="1" si="287"/>
        <v>100</v>
      </c>
      <c r="CK694" s="34">
        <f t="shared" si="288"/>
        <v>0</v>
      </c>
      <c r="CL694" s="21"/>
      <c r="CM694" s="35" t="str">
        <f t="shared" ca="1" si="300"/>
        <v>TERMINADO</v>
      </c>
      <c r="CN694" s="82"/>
      <c r="CO694" s="145" t="s">
        <v>5580</v>
      </c>
      <c r="CP694" s="26" t="s">
        <v>123</v>
      </c>
    </row>
    <row r="695" spans="1:98" ht="24.75" customHeight="1">
      <c r="A695" s="48" t="s">
        <v>5581</v>
      </c>
      <c r="B695" s="77" t="s">
        <v>5582</v>
      </c>
      <c r="C695" s="17" t="s">
        <v>104</v>
      </c>
      <c r="D695" s="18" t="s">
        <v>5583</v>
      </c>
      <c r="E695" s="17" t="s">
        <v>106</v>
      </c>
      <c r="F695" s="17" t="s">
        <v>107</v>
      </c>
      <c r="G695" s="17" t="s">
        <v>108</v>
      </c>
      <c r="H695" s="78">
        <v>11189304</v>
      </c>
      <c r="I695" s="74" t="s">
        <v>5584</v>
      </c>
      <c r="J695" s="16"/>
      <c r="K695" s="16"/>
      <c r="L695" s="20" t="s">
        <v>5585</v>
      </c>
      <c r="M695" s="16" t="s">
        <v>111</v>
      </c>
      <c r="N695" s="115">
        <v>45362</v>
      </c>
      <c r="O695" s="22">
        <v>45369</v>
      </c>
      <c r="P695" s="115">
        <v>45656</v>
      </c>
      <c r="Q695" s="23">
        <f t="shared" si="295"/>
        <v>287</v>
      </c>
      <c r="R695" s="17" t="s">
        <v>242</v>
      </c>
      <c r="S695" s="117" t="s">
        <v>5586</v>
      </c>
      <c r="T695" s="16" t="s">
        <v>1128</v>
      </c>
      <c r="U695" s="67">
        <v>91100000</v>
      </c>
      <c r="V695" s="16" t="s">
        <v>815</v>
      </c>
      <c r="W695" s="224">
        <v>91100000</v>
      </c>
      <c r="X695" s="24">
        <v>9100000</v>
      </c>
      <c r="Y695" s="24"/>
      <c r="Z695" s="24"/>
      <c r="AA695" s="17" t="s">
        <v>116</v>
      </c>
      <c r="AB695" s="23" t="str">
        <f>IFERROR(VLOOKUP(AA695,Listas!$A$1:$C$14,2,FALSE),"")</f>
        <v>FREDY CÉSPEDES VILLA</v>
      </c>
      <c r="AC695" s="23">
        <f>IFERROR(VLOOKUP(AA695,Listas!$A$1:$C$14,3,FALSE),"")</f>
        <v>93363483</v>
      </c>
      <c r="AD695" s="17" t="s">
        <v>816</v>
      </c>
      <c r="AE695" s="17" t="s">
        <v>3787</v>
      </c>
      <c r="AF695" s="23" t="str">
        <f>IFERROR(VLOOKUP(AE695,Listas!$AD$1:$AF$65,2,FALSE),"")</f>
        <v>FREDY GONZALO FONTECHA BERNAL</v>
      </c>
      <c r="AG695" s="23">
        <f>IFERROR(VLOOKUP(AE695,Listas!$AD$1:$AF$65,3,FALSE),"")</f>
        <v>80006563</v>
      </c>
      <c r="AH695" s="17" t="s">
        <v>118</v>
      </c>
      <c r="AI695" s="65" t="s">
        <v>5587</v>
      </c>
      <c r="AJ695" s="25" t="s">
        <v>119</v>
      </c>
      <c r="AK695" s="26" t="s">
        <v>120</v>
      </c>
      <c r="AL695" s="26" t="s">
        <v>120</v>
      </c>
      <c r="AM695" s="90" t="s">
        <v>119</v>
      </c>
      <c r="AN695" s="105">
        <v>27221</v>
      </c>
      <c r="AO695" s="91">
        <f t="shared" ca="1" si="296"/>
        <v>51</v>
      </c>
      <c r="AP695" s="26" t="s">
        <v>121</v>
      </c>
      <c r="AQ695" s="26" t="s">
        <v>1641</v>
      </c>
      <c r="AR695" s="89"/>
      <c r="AS695" s="27"/>
      <c r="AT695" s="16"/>
      <c r="AU695" s="27"/>
      <c r="AV695" s="86"/>
      <c r="AW695" s="27"/>
      <c r="AX695" s="27"/>
      <c r="AY695" s="27"/>
      <c r="AZ695" s="27"/>
      <c r="BA695" s="27"/>
      <c r="BB695" s="27"/>
      <c r="BC695" s="97"/>
      <c r="BD695" s="27"/>
      <c r="BE695" s="16"/>
      <c r="BF695" s="28">
        <f t="shared" si="297"/>
        <v>0</v>
      </c>
      <c r="BG695" s="29"/>
      <c r="BH695" s="27"/>
      <c r="BI695" s="30">
        <f t="shared" si="298"/>
        <v>287</v>
      </c>
      <c r="BJ695" s="31">
        <f t="shared" si="299"/>
        <v>45656</v>
      </c>
      <c r="BK695" s="27"/>
      <c r="BL695" s="16"/>
      <c r="BM695" s="27"/>
      <c r="BN695" s="16"/>
      <c r="BO695" s="27"/>
      <c r="BP695" s="16"/>
      <c r="BQ695" s="27"/>
      <c r="BR695" s="24"/>
      <c r="BS695" s="24"/>
      <c r="BT695" s="32"/>
      <c r="BU695" s="27"/>
      <c r="BV695" s="24"/>
      <c r="BW695" s="24"/>
      <c r="BX695" s="16"/>
      <c r="BY695" s="27"/>
      <c r="BZ695" s="24"/>
      <c r="CA695" s="24"/>
      <c r="CB695" s="16"/>
      <c r="CC695" s="49">
        <f t="shared" si="294"/>
        <v>0</v>
      </c>
      <c r="CD695" s="24"/>
      <c r="CE695" s="49">
        <f t="shared" si="293"/>
        <v>91100000</v>
      </c>
      <c r="CF695" s="50"/>
      <c r="CG695" s="49">
        <f t="shared" ca="1" si="301"/>
        <v>91100000</v>
      </c>
      <c r="CH695" s="33">
        <f t="shared" ca="1" si="291"/>
        <v>1</v>
      </c>
      <c r="CI695" s="33">
        <f t="shared" ca="1" si="292"/>
        <v>1</v>
      </c>
      <c r="CJ695" s="36">
        <f t="shared" ca="1" si="287"/>
        <v>100</v>
      </c>
      <c r="CK695" s="34">
        <f t="shared" si="288"/>
        <v>0</v>
      </c>
      <c r="CL695" s="21"/>
      <c r="CM695" s="35" t="str">
        <f t="shared" ca="1" si="300"/>
        <v>TERMINADO</v>
      </c>
      <c r="CN695" s="82"/>
      <c r="CO695" s="145" t="s">
        <v>5588</v>
      </c>
      <c r="CP695" s="26" t="s">
        <v>142</v>
      </c>
    </row>
    <row r="696" spans="1:98" ht="24.75" customHeight="1">
      <c r="A696" s="109" t="s">
        <v>5589</v>
      </c>
      <c r="B696" s="77" t="s">
        <v>5590</v>
      </c>
      <c r="C696" s="17" t="s">
        <v>104</v>
      </c>
      <c r="D696" s="18" t="s">
        <v>5591</v>
      </c>
      <c r="E696" s="17" t="s">
        <v>106</v>
      </c>
      <c r="F696" s="17" t="s">
        <v>107</v>
      </c>
      <c r="G696" s="17" t="s">
        <v>108</v>
      </c>
      <c r="H696" s="78">
        <v>1010049470</v>
      </c>
      <c r="I696" s="74" t="s">
        <v>5592</v>
      </c>
      <c r="J696" s="16"/>
      <c r="K696" s="16"/>
      <c r="L696" s="20" t="s">
        <v>5593</v>
      </c>
      <c r="M696" s="16" t="s">
        <v>111</v>
      </c>
      <c r="N696" s="115">
        <v>45363</v>
      </c>
      <c r="O696" s="22">
        <v>45365</v>
      </c>
      <c r="P696" s="115">
        <v>45656</v>
      </c>
      <c r="Q696" s="23">
        <f t="shared" si="295"/>
        <v>291</v>
      </c>
      <c r="R696" s="17" t="s">
        <v>112</v>
      </c>
      <c r="S696" s="117" t="s">
        <v>5594</v>
      </c>
      <c r="T696" s="16" t="s">
        <v>364</v>
      </c>
      <c r="U696" s="24">
        <v>57976414</v>
      </c>
      <c r="V696" s="16" t="s">
        <v>365</v>
      </c>
      <c r="W696" s="227">
        <v>50268567</v>
      </c>
      <c r="X696" s="24">
        <v>5026857</v>
      </c>
      <c r="Y696" s="24"/>
      <c r="Z696" s="24"/>
      <c r="AA696" s="17" t="s">
        <v>116</v>
      </c>
      <c r="AB696" s="23" t="str">
        <f>IFERROR(VLOOKUP(AA696,Listas!$A$1:$C$14,2,FALSE),"")</f>
        <v>FREDY CÉSPEDES VILLA</v>
      </c>
      <c r="AC696" s="23">
        <f>IFERROR(VLOOKUP(AA696,Listas!$A$1:$C$14,3,FALSE),"")</f>
        <v>93363483</v>
      </c>
      <c r="AD696" s="17" t="s">
        <v>345</v>
      </c>
      <c r="AE696" s="17" t="s">
        <v>346</v>
      </c>
      <c r="AF696" s="23" t="str">
        <f>IFERROR(VLOOKUP(AE696,Listas!$AD$1:$AF$65,2,FALSE),"")</f>
        <v>RODOLFO GIOVANNI CANCHILA SUÁREZ</v>
      </c>
      <c r="AG696" s="23">
        <f>IFERROR(VLOOKUP(AE696,Listas!$AD$1:$AF$65,3,FALSE),"")</f>
        <v>79672493</v>
      </c>
      <c r="AH696" s="17" t="s">
        <v>118</v>
      </c>
      <c r="AI696" s="65" t="s">
        <v>5595</v>
      </c>
      <c r="AJ696" s="25" t="s">
        <v>119</v>
      </c>
      <c r="AK696" s="26" t="s">
        <v>120</v>
      </c>
      <c r="AL696" s="26" t="s">
        <v>120</v>
      </c>
      <c r="AM696" s="90" t="s">
        <v>119</v>
      </c>
      <c r="AN696" s="105">
        <v>33649</v>
      </c>
      <c r="AO696" s="91">
        <f t="shared" ca="1" si="296"/>
        <v>33</v>
      </c>
      <c r="AP696" s="26" t="s">
        <v>121</v>
      </c>
      <c r="AQ696" s="26" t="s">
        <v>367</v>
      </c>
      <c r="AR696" s="89"/>
      <c r="AS696" s="27"/>
      <c r="AT696" s="16"/>
      <c r="AU696" s="27"/>
      <c r="AV696" s="86"/>
      <c r="AW696" s="27"/>
      <c r="AX696" s="27"/>
      <c r="AY696" s="27"/>
      <c r="AZ696" s="27"/>
      <c r="BA696" s="27"/>
      <c r="BB696" s="27"/>
      <c r="BC696" s="97"/>
      <c r="BD696" s="27"/>
      <c r="BE696" s="16"/>
      <c r="BF696" s="28">
        <f t="shared" si="297"/>
        <v>0</v>
      </c>
      <c r="BG696" s="29"/>
      <c r="BH696" s="27"/>
      <c r="BI696" s="30">
        <f t="shared" si="298"/>
        <v>291</v>
      </c>
      <c r="BJ696" s="31">
        <f t="shared" si="299"/>
        <v>45656</v>
      </c>
      <c r="BK696" s="27"/>
      <c r="BL696" s="16"/>
      <c r="BM696" s="27"/>
      <c r="BN696" s="16"/>
      <c r="BO696" s="27"/>
      <c r="BP696" s="16"/>
      <c r="BQ696" s="27"/>
      <c r="BR696" s="24"/>
      <c r="BS696" s="24"/>
      <c r="BT696" s="32"/>
      <c r="BU696" s="27"/>
      <c r="BV696" s="24"/>
      <c r="BW696" s="24"/>
      <c r="BX696" s="16"/>
      <c r="BY696" s="27"/>
      <c r="BZ696" s="24"/>
      <c r="CA696" s="24"/>
      <c r="CB696" s="16"/>
      <c r="CC696" s="49">
        <f t="shared" si="294"/>
        <v>0</v>
      </c>
      <c r="CD696" s="24"/>
      <c r="CE696" s="49">
        <f t="shared" si="293"/>
        <v>50268567</v>
      </c>
      <c r="CF696" s="50"/>
      <c r="CG696" s="49">
        <f t="shared" ca="1" si="301"/>
        <v>50268567</v>
      </c>
      <c r="CH696" s="33">
        <f t="shared" ca="1" si="291"/>
        <v>1</v>
      </c>
      <c r="CI696" s="33">
        <f t="shared" ca="1" si="292"/>
        <v>1</v>
      </c>
      <c r="CJ696" s="36">
        <f t="shared" ca="1" si="287"/>
        <v>100</v>
      </c>
      <c r="CK696" s="34">
        <f t="shared" si="288"/>
        <v>0</v>
      </c>
      <c r="CL696" s="21"/>
      <c r="CM696" s="35" t="str">
        <f t="shared" ca="1" si="300"/>
        <v>TERMINADO</v>
      </c>
      <c r="CN696" s="82"/>
      <c r="CO696" s="145" t="s">
        <v>5596</v>
      </c>
      <c r="CP696" s="26" t="s">
        <v>142</v>
      </c>
    </row>
    <row r="697" spans="1:98" ht="24.75" customHeight="1">
      <c r="A697" s="48" t="s">
        <v>5597</v>
      </c>
      <c r="B697" s="77" t="s">
        <v>5598</v>
      </c>
      <c r="C697" s="17" t="s">
        <v>104</v>
      </c>
      <c r="D697" s="52" t="s">
        <v>5599</v>
      </c>
      <c r="E697" s="17" t="s">
        <v>106</v>
      </c>
      <c r="F697" s="17" t="s">
        <v>1426</v>
      </c>
      <c r="G697" s="17" t="s">
        <v>1427</v>
      </c>
      <c r="H697" s="78">
        <v>8300011131</v>
      </c>
      <c r="I697" s="74" t="s">
        <v>5600</v>
      </c>
      <c r="J697" s="16" t="s">
        <v>5601</v>
      </c>
      <c r="K697" s="104">
        <v>76331646</v>
      </c>
      <c r="L697" s="111" t="s">
        <v>5602</v>
      </c>
      <c r="M697" s="16" t="s">
        <v>111</v>
      </c>
      <c r="N697" s="22">
        <v>45363</v>
      </c>
      <c r="O697" s="22">
        <v>45363</v>
      </c>
      <c r="P697" s="22">
        <v>45657</v>
      </c>
      <c r="Q697" s="23">
        <f t="shared" si="295"/>
        <v>294</v>
      </c>
      <c r="R697" s="17" t="s">
        <v>242</v>
      </c>
      <c r="S697" s="117" t="s">
        <v>5603</v>
      </c>
      <c r="T697" s="16" t="s">
        <v>5604</v>
      </c>
      <c r="U697" s="67">
        <v>40997846</v>
      </c>
      <c r="V697" s="16" t="s">
        <v>5605</v>
      </c>
      <c r="W697" s="224">
        <v>40997846</v>
      </c>
      <c r="X697" s="24"/>
      <c r="Y697" s="24"/>
      <c r="Z697" s="24"/>
      <c r="AA697" s="17" t="s">
        <v>116</v>
      </c>
      <c r="AB697" s="23" t="str">
        <f>IFERROR(VLOOKUP(AA697,Listas!$A$1:$C$14,2,FALSE),"")</f>
        <v>FREDY CÉSPEDES VILLA</v>
      </c>
      <c r="AC697" s="23">
        <f>IFERROR(VLOOKUP(AA697,Listas!$A$1:$C$14,3,FALSE),"")</f>
        <v>93363483</v>
      </c>
      <c r="AD697" s="17" t="s">
        <v>116</v>
      </c>
      <c r="AE697" s="17" t="s">
        <v>972</v>
      </c>
      <c r="AF697" s="23" t="str">
        <f>IFERROR(VLOOKUP(AE697,Listas!$AD$1:$AF$65,2,FALSE),"")</f>
        <v>LUZ MARIELLY MORALES MARTÍNEZ</v>
      </c>
      <c r="AG697" s="23">
        <f>IFERROR(VLOOKUP(AE697,Listas!$AD$1:$AF$65,3,FALSE),"")</f>
        <v>24497384</v>
      </c>
      <c r="AH697" s="17" t="s">
        <v>118</v>
      </c>
      <c r="AI697" s="65" t="s">
        <v>5606</v>
      </c>
      <c r="AJ697" s="25" t="s">
        <v>119</v>
      </c>
      <c r="AK697" s="26" t="s">
        <v>120</v>
      </c>
      <c r="AL697" s="26" t="s">
        <v>120</v>
      </c>
      <c r="AM697" s="90" t="s">
        <v>119</v>
      </c>
      <c r="AN697" s="105"/>
      <c r="AO697" s="91" t="str">
        <f t="shared" ca="1" si="296"/>
        <v xml:space="preserve"> </v>
      </c>
      <c r="AP697" s="26" t="s">
        <v>121</v>
      </c>
      <c r="AQ697" s="26" t="s">
        <v>122</v>
      </c>
      <c r="AR697" s="89"/>
      <c r="AS697" s="27"/>
      <c r="AT697" s="16"/>
      <c r="AU697" s="27"/>
      <c r="AV697" s="86"/>
      <c r="AW697" s="27"/>
      <c r="AX697" s="27"/>
      <c r="AY697" s="27"/>
      <c r="AZ697" s="27"/>
      <c r="BA697" s="27"/>
      <c r="BB697" s="27"/>
      <c r="BC697" s="97"/>
      <c r="BD697" s="27"/>
      <c r="BE697" s="16"/>
      <c r="BF697" s="28">
        <f t="shared" si="297"/>
        <v>0</v>
      </c>
      <c r="BG697" s="29"/>
      <c r="BH697" s="27"/>
      <c r="BI697" s="30">
        <f t="shared" si="298"/>
        <v>294</v>
      </c>
      <c r="BJ697" s="31">
        <f t="shared" si="299"/>
        <v>45657</v>
      </c>
      <c r="BK697" s="27"/>
      <c r="BL697" s="16"/>
      <c r="BM697" s="27"/>
      <c r="BN697" s="16"/>
      <c r="BO697" s="27"/>
      <c r="BP697" s="16"/>
      <c r="BQ697" s="27"/>
      <c r="BR697" s="24"/>
      <c r="BS697" s="24"/>
      <c r="BT697" s="32"/>
      <c r="BU697" s="27"/>
      <c r="BV697" s="24"/>
      <c r="BW697" s="24"/>
      <c r="BX697" s="16"/>
      <c r="BY697" s="27"/>
      <c r="BZ697" s="24"/>
      <c r="CA697" s="24"/>
      <c r="CB697" s="16"/>
      <c r="CC697" s="49">
        <f t="shared" si="294"/>
        <v>0</v>
      </c>
      <c r="CD697" s="24"/>
      <c r="CE697" s="49">
        <f t="shared" si="293"/>
        <v>40997846</v>
      </c>
      <c r="CF697" s="50"/>
      <c r="CG697" s="49">
        <f t="shared" ca="1" si="301"/>
        <v>40997846</v>
      </c>
      <c r="CH697" s="33">
        <f t="shared" ca="1" si="291"/>
        <v>1</v>
      </c>
      <c r="CI697" s="33">
        <f t="shared" ca="1" si="292"/>
        <v>1</v>
      </c>
      <c r="CJ697" s="36">
        <f t="shared" ca="1" si="287"/>
        <v>100</v>
      </c>
      <c r="CK697" s="34">
        <f t="shared" si="288"/>
        <v>0</v>
      </c>
      <c r="CL697" s="21"/>
      <c r="CM697" s="35" t="str">
        <f t="shared" ca="1" si="300"/>
        <v>TERMINADO</v>
      </c>
      <c r="CN697" s="82"/>
      <c r="CO697" s="145" t="s">
        <v>5607</v>
      </c>
      <c r="CP697" s="83" t="s">
        <v>1424</v>
      </c>
    </row>
    <row r="698" spans="1:98" ht="24.75" customHeight="1">
      <c r="A698" s="48" t="s">
        <v>5608</v>
      </c>
      <c r="B698" s="77" t="s">
        <v>5609</v>
      </c>
      <c r="C698" s="17" t="s">
        <v>104</v>
      </c>
      <c r="D698" s="18" t="s">
        <v>5610</v>
      </c>
      <c r="E698" s="17" t="s">
        <v>106</v>
      </c>
      <c r="F698" s="17" t="s">
        <v>107</v>
      </c>
      <c r="G698" s="17" t="s">
        <v>108</v>
      </c>
      <c r="H698" s="78">
        <v>598321333</v>
      </c>
      <c r="I698" s="74" t="s">
        <v>5611</v>
      </c>
      <c r="J698" s="16"/>
      <c r="K698" s="16"/>
      <c r="L698" s="20" t="s">
        <v>5612</v>
      </c>
      <c r="M698" s="16" t="s">
        <v>111</v>
      </c>
      <c r="N698" s="22">
        <v>45364</v>
      </c>
      <c r="O698" s="22">
        <v>45365</v>
      </c>
      <c r="P698" s="22">
        <v>45656</v>
      </c>
      <c r="Q698" s="23">
        <f t="shared" si="295"/>
        <v>291</v>
      </c>
      <c r="R698" s="17" t="s">
        <v>242</v>
      </c>
      <c r="S698" s="117" t="s">
        <v>5613</v>
      </c>
      <c r="T698" s="16" t="s">
        <v>1145</v>
      </c>
      <c r="U698" s="67">
        <v>70512250</v>
      </c>
      <c r="V698" s="16" t="s">
        <v>5614</v>
      </c>
      <c r="W698" s="224">
        <v>70512250</v>
      </c>
      <c r="X698" s="24">
        <v>6131500</v>
      </c>
      <c r="Y698" s="24"/>
      <c r="Z698" s="24"/>
      <c r="AA698" s="17" t="s">
        <v>116</v>
      </c>
      <c r="AB698" s="23" t="str">
        <f>IFERROR(VLOOKUP(AA698,Listas!$A$1:$C$14,2,FALSE),"")</f>
        <v>FREDY CÉSPEDES VILLA</v>
      </c>
      <c r="AC698" s="23">
        <f>IFERROR(VLOOKUP(AA698,Listas!$A$1:$C$14,3,FALSE),"")</f>
        <v>93363483</v>
      </c>
      <c r="AD698" s="17" t="s">
        <v>427</v>
      </c>
      <c r="AE698" s="17" t="s">
        <v>1390</v>
      </c>
      <c r="AF698" s="23" t="str">
        <f>IFERROR(VLOOKUP(AE698,Listas!$AD$1:$AF$65,2,FALSE),"")</f>
        <v>BLANCA FLOR AMÉZQUITA RODRÍGUEZ</v>
      </c>
      <c r="AG698" s="23">
        <f>IFERROR(VLOOKUP(AE698,Listas!$AD$1:$AF$65,3,FALSE),"")</f>
        <v>51613966</v>
      </c>
      <c r="AH698" s="17" t="s">
        <v>118</v>
      </c>
      <c r="AI698" s="65" t="s">
        <v>5615</v>
      </c>
      <c r="AJ698" s="25" t="s">
        <v>119</v>
      </c>
      <c r="AK698" s="26" t="s">
        <v>120</v>
      </c>
      <c r="AL698" s="26" t="s">
        <v>120</v>
      </c>
      <c r="AM698" s="90" t="s">
        <v>119</v>
      </c>
      <c r="AN698" s="105">
        <v>27822</v>
      </c>
      <c r="AO698" s="91">
        <f t="shared" ca="1" si="296"/>
        <v>49</v>
      </c>
      <c r="AP698" s="26" t="s">
        <v>121</v>
      </c>
      <c r="AQ698" s="26" t="s">
        <v>122</v>
      </c>
      <c r="AR698" s="89"/>
      <c r="AS698" s="27"/>
      <c r="AT698" s="16"/>
      <c r="AU698" s="27"/>
      <c r="AV698" s="86"/>
      <c r="AW698" s="27"/>
      <c r="AX698" s="27"/>
      <c r="AY698" s="27"/>
      <c r="AZ698" s="27"/>
      <c r="BA698" s="27"/>
      <c r="BB698" s="27"/>
      <c r="BC698" s="97"/>
      <c r="BD698" s="27"/>
      <c r="BE698" s="16"/>
      <c r="BF698" s="28">
        <f t="shared" si="297"/>
        <v>0</v>
      </c>
      <c r="BG698" s="29"/>
      <c r="BH698" s="27"/>
      <c r="BI698" s="30">
        <f t="shared" si="298"/>
        <v>291</v>
      </c>
      <c r="BJ698" s="31">
        <f t="shared" si="299"/>
        <v>45656</v>
      </c>
      <c r="BK698" s="27"/>
      <c r="BL698" s="16"/>
      <c r="BM698" s="27"/>
      <c r="BN698" s="16"/>
      <c r="BO698" s="27"/>
      <c r="BP698" s="16"/>
      <c r="BQ698" s="27"/>
      <c r="BR698" s="24"/>
      <c r="BS698" s="24"/>
      <c r="BT698" s="32"/>
      <c r="BU698" s="27"/>
      <c r="BV698" s="24"/>
      <c r="BW698" s="24"/>
      <c r="BX698" s="16"/>
      <c r="BY698" s="27"/>
      <c r="BZ698" s="24"/>
      <c r="CA698" s="24"/>
      <c r="CB698" s="16"/>
      <c r="CC698" s="49">
        <f t="shared" si="294"/>
        <v>0</v>
      </c>
      <c r="CD698" s="24"/>
      <c r="CE698" s="49">
        <f t="shared" si="293"/>
        <v>70512250</v>
      </c>
      <c r="CF698" s="50"/>
      <c r="CG698" s="49">
        <f t="shared" ca="1" si="301"/>
        <v>70512250</v>
      </c>
      <c r="CH698" s="33">
        <f t="shared" ca="1" si="291"/>
        <v>1</v>
      </c>
      <c r="CI698" s="33">
        <f t="shared" ca="1" si="292"/>
        <v>1</v>
      </c>
      <c r="CJ698" s="36">
        <f t="shared" ca="1" si="287"/>
        <v>100</v>
      </c>
      <c r="CK698" s="34">
        <f t="shared" si="288"/>
        <v>0</v>
      </c>
      <c r="CL698" s="21"/>
      <c r="CM698" s="35" t="str">
        <f t="shared" ca="1" si="300"/>
        <v>TERMINADO</v>
      </c>
      <c r="CN698" s="82"/>
      <c r="CO698" s="145" t="s">
        <v>5616</v>
      </c>
      <c r="CP698" s="26" t="s">
        <v>123</v>
      </c>
    </row>
    <row r="699" spans="1:98" ht="24.75" customHeight="1">
      <c r="A699" s="48" t="s">
        <v>5617</v>
      </c>
      <c r="B699" s="77" t="s">
        <v>5618</v>
      </c>
      <c r="C699" s="17" t="s">
        <v>104</v>
      </c>
      <c r="D699" s="18" t="s">
        <v>5619</v>
      </c>
      <c r="E699" s="17" t="s">
        <v>106</v>
      </c>
      <c r="F699" s="17" t="s">
        <v>1426</v>
      </c>
      <c r="G699" s="17" t="s">
        <v>1427</v>
      </c>
      <c r="H699" s="78" t="s">
        <v>5620</v>
      </c>
      <c r="I699" s="74" t="s">
        <v>5621</v>
      </c>
      <c r="J699" s="16" t="s">
        <v>5622</v>
      </c>
      <c r="K699" s="16">
        <v>71616951</v>
      </c>
      <c r="L699" s="20" t="s">
        <v>5623</v>
      </c>
      <c r="M699" s="16" t="s">
        <v>111</v>
      </c>
      <c r="N699" s="22">
        <v>45366</v>
      </c>
      <c r="O699" s="22">
        <v>45366</v>
      </c>
      <c r="P699" s="22">
        <v>45657</v>
      </c>
      <c r="Q699" s="23">
        <f t="shared" si="295"/>
        <v>291</v>
      </c>
      <c r="R699" s="17" t="s">
        <v>112</v>
      </c>
      <c r="S699" s="117" t="s">
        <v>5624</v>
      </c>
      <c r="T699" s="16" t="s">
        <v>5625</v>
      </c>
      <c r="U699" s="67">
        <v>49504000</v>
      </c>
      <c r="V699" s="16" t="s">
        <v>5626</v>
      </c>
      <c r="W699" s="224">
        <v>49504000</v>
      </c>
      <c r="X699" s="67">
        <v>49504000</v>
      </c>
      <c r="Y699" s="24"/>
      <c r="Z699" s="24"/>
      <c r="AA699" s="17" t="s">
        <v>116</v>
      </c>
      <c r="AB699" s="23" t="str">
        <f>IFERROR(VLOOKUP(AA699,Listas!$A$1:$C$14,2,FALSE),"")</f>
        <v>FREDY CÉSPEDES VILLA</v>
      </c>
      <c r="AC699" s="23">
        <f>IFERROR(VLOOKUP(AA699,Listas!$A$1:$C$14,3,FALSE),"")</f>
        <v>93363483</v>
      </c>
      <c r="AD699" s="17" t="s">
        <v>217</v>
      </c>
      <c r="AE699" s="17" t="s">
        <v>265</v>
      </c>
      <c r="AF699" s="23" t="str">
        <f>IFERROR(VLOOKUP(AE699,Listas!$AD$1:$AF$65,2,FALSE),"")</f>
        <v>EDGAR ANTONIO GÓMEZ ÁLVAREZ</v>
      </c>
      <c r="AG699" s="23">
        <f>IFERROR(VLOOKUP(AE699,Listas!$AD$1:$AF$65,3,FALSE),"")</f>
        <v>2231755</v>
      </c>
      <c r="AH699" s="17" t="s">
        <v>118</v>
      </c>
      <c r="AI699" s="65" t="s">
        <v>5627</v>
      </c>
      <c r="AJ699" s="25" t="s">
        <v>119</v>
      </c>
      <c r="AK699" s="26" t="s">
        <v>120</v>
      </c>
      <c r="AL699" s="26" t="s">
        <v>120</v>
      </c>
      <c r="AM699" s="90" t="s">
        <v>119</v>
      </c>
      <c r="AN699" s="105"/>
      <c r="AO699" s="91" t="str">
        <f t="shared" ca="1" si="296"/>
        <v xml:space="preserve"> </v>
      </c>
      <c r="AP699" s="26" t="s">
        <v>121</v>
      </c>
      <c r="AQ699" s="26" t="s">
        <v>1272</v>
      </c>
      <c r="AR699" s="89"/>
      <c r="AS699" s="27"/>
      <c r="AT699" s="16"/>
      <c r="AU699" s="27"/>
      <c r="AV699" s="86"/>
      <c r="AW699" s="27"/>
      <c r="AX699" s="27"/>
      <c r="AY699" s="27"/>
      <c r="AZ699" s="27"/>
      <c r="BA699" s="27"/>
      <c r="BB699" s="27">
        <v>45657</v>
      </c>
      <c r="BC699" s="97">
        <v>273</v>
      </c>
      <c r="BD699" s="27"/>
      <c r="BE699" s="16"/>
      <c r="BF699" s="28">
        <f t="shared" si="297"/>
        <v>273</v>
      </c>
      <c r="BG699" s="29"/>
      <c r="BH699" s="27"/>
      <c r="BI699" s="30">
        <f t="shared" si="298"/>
        <v>564</v>
      </c>
      <c r="BJ699" s="31">
        <f t="shared" si="299"/>
        <v>45930</v>
      </c>
      <c r="BK699" s="27"/>
      <c r="BL699" s="16"/>
      <c r="BM699" s="27"/>
      <c r="BN699" s="16"/>
      <c r="BO699" s="27"/>
      <c r="BP699" s="16"/>
      <c r="BQ699" s="27"/>
      <c r="BR699" s="24"/>
      <c r="BS699" s="24"/>
      <c r="BT699" s="32"/>
      <c r="BU699" s="27"/>
      <c r="BV699" s="24"/>
      <c r="BW699" s="24"/>
      <c r="BX699" s="16"/>
      <c r="BY699" s="27"/>
      <c r="BZ699" s="24"/>
      <c r="CA699" s="24"/>
      <c r="CB699" s="16"/>
      <c r="CC699" s="49">
        <f t="shared" si="294"/>
        <v>0</v>
      </c>
      <c r="CD699" s="24"/>
      <c r="CE699" s="49">
        <f t="shared" si="293"/>
        <v>49504000</v>
      </c>
      <c r="CF699" s="50"/>
      <c r="CG699" s="49">
        <f t="shared" ca="1" si="301"/>
        <v>49504000</v>
      </c>
      <c r="CH699" s="33">
        <f t="shared" ca="1" si="291"/>
        <v>1</v>
      </c>
      <c r="CI699" s="33">
        <f t="shared" ca="1" si="292"/>
        <v>1</v>
      </c>
      <c r="CJ699" s="36">
        <f t="shared" ca="1" si="287"/>
        <v>100</v>
      </c>
      <c r="CK699" s="34">
        <f t="shared" si="288"/>
        <v>0</v>
      </c>
      <c r="CL699" s="21"/>
      <c r="CM699" s="35" t="str">
        <f t="shared" ca="1" si="300"/>
        <v>TERMINADO</v>
      </c>
      <c r="CN699" s="82"/>
      <c r="CO699" s="145" t="s">
        <v>5628</v>
      </c>
      <c r="CP699" s="83" t="s">
        <v>1424</v>
      </c>
    </row>
    <row r="700" spans="1:98" s="156" customFormat="1" ht="24.75" customHeight="1">
      <c r="A700" s="48"/>
      <c r="B700" s="345" t="s">
        <v>5629</v>
      </c>
      <c r="C700" s="345" t="s">
        <v>1583</v>
      </c>
      <c r="D700" s="18"/>
      <c r="E700" s="17"/>
      <c r="F700" s="17"/>
      <c r="G700" s="17"/>
      <c r="H700" s="78"/>
      <c r="I700" s="74"/>
      <c r="J700" s="16" t="s">
        <v>5630</v>
      </c>
      <c r="K700" s="16">
        <v>51704713</v>
      </c>
      <c r="L700" s="96" t="s">
        <v>5631</v>
      </c>
      <c r="M700" s="16" t="s">
        <v>111</v>
      </c>
      <c r="N700" s="22"/>
      <c r="O700" s="22"/>
      <c r="P700" s="22"/>
      <c r="Q700" s="23"/>
      <c r="R700" s="17"/>
      <c r="S700" s="16"/>
      <c r="T700" s="16"/>
      <c r="U700" s="67"/>
      <c r="V700" s="16"/>
      <c r="W700" s="24"/>
      <c r="X700" s="24"/>
      <c r="Y700" s="24"/>
      <c r="Z700" s="24"/>
      <c r="AA700" s="17"/>
      <c r="AB700" s="23"/>
      <c r="AC700" s="23"/>
      <c r="AD700" s="17"/>
      <c r="AE700" s="17"/>
      <c r="AF700" s="23"/>
      <c r="AG700" s="23"/>
      <c r="AH700" s="17"/>
      <c r="AI700" s="65"/>
      <c r="AJ700" s="25"/>
      <c r="AK700" s="26"/>
      <c r="AL700" s="26"/>
      <c r="AM700" s="90"/>
      <c r="AN700" s="105"/>
      <c r="AO700" s="91"/>
      <c r="AP700" s="26"/>
      <c r="AQ700" s="26"/>
      <c r="AR700" s="89"/>
      <c r="AS700" s="27"/>
      <c r="AT700" s="16"/>
      <c r="AU700" s="27"/>
      <c r="AV700" s="86"/>
      <c r="AW700" s="27"/>
      <c r="AX700" s="27"/>
      <c r="AY700" s="27"/>
      <c r="AZ700" s="27"/>
      <c r="BA700" s="27"/>
      <c r="BB700" s="27"/>
      <c r="BC700" s="97"/>
      <c r="BD700" s="27"/>
      <c r="BE700" s="16"/>
      <c r="BF700" s="28">
        <f t="shared" si="297"/>
        <v>0</v>
      </c>
      <c r="BG700" s="29"/>
      <c r="BH700" s="27"/>
      <c r="BI700" s="30">
        <f t="shared" si="298"/>
        <v>0</v>
      </c>
      <c r="BJ700" s="31">
        <f t="shared" si="299"/>
        <v>0</v>
      </c>
      <c r="BK700" s="27"/>
      <c r="BL700" s="16"/>
      <c r="BM700" s="27"/>
      <c r="BN700" s="16"/>
      <c r="BO700" s="27"/>
      <c r="BP700" s="16"/>
      <c r="BQ700" s="27"/>
      <c r="BR700" s="24"/>
      <c r="BS700" s="24"/>
      <c r="BT700" s="32"/>
      <c r="BU700" s="27"/>
      <c r="BV700" s="24"/>
      <c r="BW700" s="24"/>
      <c r="BX700" s="16"/>
      <c r="BY700" s="27"/>
      <c r="BZ700" s="24"/>
      <c r="CA700" s="24"/>
      <c r="CB700" s="16"/>
      <c r="CC700" s="49">
        <f t="shared" si="294"/>
        <v>0</v>
      </c>
      <c r="CD700" s="24"/>
      <c r="CE700" s="49">
        <f t="shared" si="293"/>
        <v>0</v>
      </c>
      <c r="CF700" s="50"/>
      <c r="CG700" s="49" t="str">
        <f t="shared" ca="1" si="301"/>
        <v/>
      </c>
      <c r="CH700" s="33">
        <f t="shared" ca="1" si="291"/>
        <v>1</v>
      </c>
      <c r="CI700" s="33">
        <f t="shared" ca="1" si="292"/>
        <v>1</v>
      </c>
      <c r="CJ700" s="36" t="str">
        <f t="shared" ca="1" si="287"/>
        <v/>
      </c>
      <c r="CK700" s="34" t="str">
        <f t="shared" si="288"/>
        <v/>
      </c>
      <c r="CL700" s="21"/>
      <c r="CM700" s="35" t="str">
        <f t="shared" ca="1" si="300"/>
        <v/>
      </c>
      <c r="CN700" s="82"/>
      <c r="CO700" s="145" t="s">
        <v>5632</v>
      </c>
      <c r="CP700" s="26" t="s">
        <v>1424</v>
      </c>
      <c r="CQ700" s="83"/>
      <c r="CR700" s="83"/>
      <c r="CS700" s="48"/>
      <c r="CT700" s="345"/>
    </row>
    <row r="701" spans="1:98" ht="24.75" customHeight="1">
      <c r="A701" s="48" t="s">
        <v>1424</v>
      </c>
      <c r="B701" s="77" t="s">
        <v>5633</v>
      </c>
      <c r="C701" s="17" t="s">
        <v>2927</v>
      </c>
      <c r="D701" s="18" t="s">
        <v>5634</v>
      </c>
      <c r="E701" s="17" t="s">
        <v>2929</v>
      </c>
      <c r="F701" s="17" t="s">
        <v>1426</v>
      </c>
      <c r="G701" s="17" t="s">
        <v>1427</v>
      </c>
      <c r="H701" s="78" t="s">
        <v>5635</v>
      </c>
      <c r="I701" s="74" t="s">
        <v>5636</v>
      </c>
      <c r="J701" s="16" t="s">
        <v>5637</v>
      </c>
      <c r="K701" s="16">
        <v>52833644</v>
      </c>
      <c r="L701" s="20" t="s">
        <v>5291</v>
      </c>
      <c r="M701" s="16"/>
      <c r="N701" s="22">
        <v>45365</v>
      </c>
      <c r="O701" s="22">
        <v>45365</v>
      </c>
      <c r="P701" s="22">
        <v>45730</v>
      </c>
      <c r="Q701" s="23">
        <f t="shared" si="295"/>
        <v>365</v>
      </c>
      <c r="R701" s="17" t="s">
        <v>2934</v>
      </c>
      <c r="S701" s="117" t="s">
        <v>1424</v>
      </c>
      <c r="T701" s="16" t="s">
        <v>1424</v>
      </c>
      <c r="U701" s="67" t="s">
        <v>1424</v>
      </c>
      <c r="V701" s="16" t="s">
        <v>1424</v>
      </c>
      <c r="W701" s="224">
        <v>0</v>
      </c>
      <c r="X701" s="24"/>
      <c r="Y701" s="24" t="s">
        <v>2935</v>
      </c>
      <c r="Z701" s="24"/>
      <c r="AA701" s="17" t="s">
        <v>406</v>
      </c>
      <c r="AB701" s="23" t="str">
        <f>IFERROR(VLOOKUP(AA701,Listas!$A$1:$C$14,2,FALSE),"")</f>
        <v>EDUARDO ELÍAS BARCHA BOLÍVAR</v>
      </c>
      <c r="AC701" s="23">
        <f>IFERROR(VLOOKUP(AA701,Listas!$A$1:$C$14,3,FALSE),"")</f>
        <v>72133921</v>
      </c>
      <c r="AD701" s="17" t="s">
        <v>1533</v>
      </c>
      <c r="AE701" s="17" t="s">
        <v>1534</v>
      </c>
      <c r="AF701" s="23" t="str">
        <f>IFERROR(VLOOKUP(AE701,Listas!$AD$1:$AF$65,2,FALSE),"")</f>
        <v>ESTEBAN GUERRERO ALVAREZ</v>
      </c>
      <c r="AG701" s="23">
        <f>IFERROR(VLOOKUP(AE701,Listas!$AD$1:$AF$65,3,FALSE),"")</f>
        <v>1032460552</v>
      </c>
      <c r="AH701" s="17" t="s">
        <v>2936</v>
      </c>
      <c r="AI701" s="65"/>
      <c r="AJ701" s="25" t="s">
        <v>1435</v>
      </c>
      <c r="AK701" s="26" t="s">
        <v>2071</v>
      </c>
      <c r="AL701" s="26" t="s">
        <v>2071</v>
      </c>
      <c r="AM701" s="90" t="s">
        <v>1435</v>
      </c>
      <c r="AN701" s="105"/>
      <c r="AO701" s="91" t="str">
        <f t="shared" ca="1" si="296"/>
        <v xml:space="preserve"> </v>
      </c>
      <c r="AP701" s="26" t="s">
        <v>2937</v>
      </c>
      <c r="AQ701" s="26" t="s">
        <v>2938</v>
      </c>
      <c r="AR701" s="89"/>
      <c r="AS701" s="27"/>
      <c r="AT701" s="16"/>
      <c r="AU701" s="27"/>
      <c r="AV701" s="86"/>
      <c r="AW701" s="27"/>
      <c r="AX701" s="27"/>
      <c r="AY701" s="27"/>
      <c r="AZ701" s="27"/>
      <c r="BA701" s="27"/>
      <c r="BB701" s="27">
        <v>45729</v>
      </c>
      <c r="BC701" s="97">
        <v>292</v>
      </c>
      <c r="BD701" s="27"/>
      <c r="BE701" s="16"/>
      <c r="BF701" s="28">
        <f t="shared" si="297"/>
        <v>292</v>
      </c>
      <c r="BG701" s="29"/>
      <c r="BH701" s="27"/>
      <c r="BI701" s="30">
        <f t="shared" si="298"/>
        <v>657</v>
      </c>
      <c r="BJ701" s="31">
        <f t="shared" si="299"/>
        <v>46022</v>
      </c>
      <c r="BK701" s="27">
        <v>45729</v>
      </c>
      <c r="BL701" s="16" t="s">
        <v>5638</v>
      </c>
      <c r="BM701" s="27"/>
      <c r="BN701" s="16"/>
      <c r="BO701" s="27"/>
      <c r="BP701" s="16"/>
      <c r="BQ701" s="27"/>
      <c r="BR701" s="24"/>
      <c r="BS701" s="24"/>
      <c r="BT701" s="32"/>
      <c r="BU701" s="27"/>
      <c r="BV701" s="24"/>
      <c r="BW701" s="24"/>
      <c r="BX701" s="16"/>
      <c r="BY701" s="27"/>
      <c r="BZ701" s="24"/>
      <c r="CA701" s="24"/>
      <c r="CB701" s="16"/>
      <c r="CC701" s="49">
        <f t="shared" si="294"/>
        <v>0</v>
      </c>
      <c r="CD701" s="24"/>
      <c r="CE701" s="49" t="str">
        <f>IFERROR(IF(Y701=0,(W701+CC701)-CD701,IF(Y701&gt;0,(Y701+CC701)-CD701)),"")</f>
        <v/>
      </c>
      <c r="CF701" s="50">
        <v>124222071</v>
      </c>
      <c r="CG701" s="49" t="str">
        <f t="shared" ca="1" si="301"/>
        <v/>
      </c>
      <c r="CH701" s="33">
        <f t="shared" ca="1" si="291"/>
        <v>0.89026275115919629</v>
      </c>
      <c r="CI701" s="33">
        <f t="shared" ca="1" si="292"/>
        <v>0.89026275115919629</v>
      </c>
      <c r="CJ701" s="36" t="str">
        <f t="shared" ca="1" si="287"/>
        <v/>
      </c>
      <c r="CK701" s="34" t="str">
        <f t="shared" si="288"/>
        <v/>
      </c>
      <c r="CL701" s="21"/>
      <c r="CM701" s="35" t="str">
        <f t="shared" ca="1" si="300"/>
        <v>VIGENTE</v>
      </c>
      <c r="CN701" s="82"/>
      <c r="CP701" s="83" t="s">
        <v>1424</v>
      </c>
    </row>
    <row r="702" spans="1:98" ht="24.75" customHeight="1">
      <c r="A702" s="48" t="s">
        <v>1424</v>
      </c>
      <c r="B702" s="77" t="s">
        <v>5639</v>
      </c>
      <c r="C702" s="17" t="s">
        <v>2927</v>
      </c>
      <c r="D702" s="18" t="s">
        <v>5640</v>
      </c>
      <c r="E702" s="17" t="s">
        <v>2929</v>
      </c>
      <c r="F702" s="17" t="s">
        <v>1426</v>
      </c>
      <c r="G702" s="17" t="s">
        <v>1427</v>
      </c>
      <c r="H702" s="78" t="s">
        <v>5641</v>
      </c>
      <c r="I702" s="74" t="s">
        <v>5642</v>
      </c>
      <c r="J702" s="16" t="s">
        <v>5643</v>
      </c>
      <c r="K702" s="16">
        <v>19480678</v>
      </c>
      <c r="L702" s="20" t="s">
        <v>5644</v>
      </c>
      <c r="M702" s="16"/>
      <c r="N702" s="22">
        <v>45365</v>
      </c>
      <c r="O702" s="22">
        <v>45365</v>
      </c>
      <c r="P702" s="22">
        <v>45730</v>
      </c>
      <c r="Q702" s="23">
        <f t="shared" si="295"/>
        <v>365</v>
      </c>
      <c r="R702" s="17" t="s">
        <v>2934</v>
      </c>
      <c r="S702" s="117" t="s">
        <v>1424</v>
      </c>
      <c r="T702" s="16" t="s">
        <v>1424</v>
      </c>
      <c r="U702" s="67" t="s">
        <v>1424</v>
      </c>
      <c r="V702" s="16" t="s">
        <v>1424</v>
      </c>
      <c r="W702" s="224">
        <v>0</v>
      </c>
      <c r="X702" s="24"/>
      <c r="Y702" s="24" t="s">
        <v>2935</v>
      </c>
      <c r="Z702" s="24"/>
      <c r="AA702" s="17" t="s">
        <v>406</v>
      </c>
      <c r="AB702" s="23" t="str">
        <f>IFERROR(VLOOKUP(AA702,Listas!$A$1:$C$14,2,FALSE),"")</f>
        <v>EDUARDO ELÍAS BARCHA BOLÍVAR</v>
      </c>
      <c r="AC702" s="23">
        <f>IFERROR(VLOOKUP(AA702,Listas!$A$1:$C$14,3,FALSE),"")</f>
        <v>72133921</v>
      </c>
      <c r="AD702" s="17" t="s">
        <v>1533</v>
      </c>
      <c r="AE702" s="17" t="s">
        <v>1534</v>
      </c>
      <c r="AF702" s="23" t="str">
        <f>IFERROR(VLOOKUP(AE702,Listas!$AD$1:$AF$65,2,FALSE),"")</f>
        <v>ESTEBAN GUERRERO ALVAREZ</v>
      </c>
      <c r="AG702" s="23">
        <f>IFERROR(VLOOKUP(AE702,Listas!$AD$1:$AF$65,3,FALSE),"")</f>
        <v>1032460552</v>
      </c>
      <c r="AH702" s="17" t="s">
        <v>2936</v>
      </c>
      <c r="AI702" s="65"/>
      <c r="AJ702" s="25" t="s">
        <v>1435</v>
      </c>
      <c r="AK702" s="26" t="s">
        <v>2071</v>
      </c>
      <c r="AL702" s="26" t="s">
        <v>2071</v>
      </c>
      <c r="AM702" s="90" t="s">
        <v>1435</v>
      </c>
      <c r="AN702" s="105"/>
      <c r="AO702" s="91" t="str">
        <f t="shared" ca="1" si="296"/>
        <v xml:space="preserve"> </v>
      </c>
      <c r="AP702" s="26" t="s">
        <v>2937</v>
      </c>
      <c r="AQ702" s="26" t="s">
        <v>3437</v>
      </c>
      <c r="AR702" s="89"/>
      <c r="AS702" s="27"/>
      <c r="AT702" s="16"/>
      <c r="AU702" s="27"/>
      <c r="AV702" s="86"/>
      <c r="AW702" s="27"/>
      <c r="AX702" s="27"/>
      <c r="AY702" s="27"/>
      <c r="AZ702" s="27"/>
      <c r="BA702" s="27"/>
      <c r="BB702" s="27">
        <v>45681</v>
      </c>
      <c r="BC702" s="97">
        <v>292</v>
      </c>
      <c r="BD702" s="27"/>
      <c r="BE702" s="16"/>
      <c r="BF702" s="28">
        <f t="shared" si="297"/>
        <v>292</v>
      </c>
      <c r="BG702" s="29"/>
      <c r="BH702" s="27"/>
      <c r="BI702" s="30">
        <f t="shared" si="298"/>
        <v>657</v>
      </c>
      <c r="BJ702" s="31">
        <f t="shared" si="299"/>
        <v>46022</v>
      </c>
      <c r="BK702" s="27">
        <v>45681</v>
      </c>
      <c r="BL702" s="16" t="s">
        <v>5645</v>
      </c>
      <c r="BM702" s="27"/>
      <c r="BN702" s="16"/>
      <c r="BO702" s="27"/>
      <c r="BP702" s="16"/>
      <c r="BQ702" s="27"/>
      <c r="BR702" s="24"/>
      <c r="BS702" s="24"/>
      <c r="BT702" s="32"/>
      <c r="BU702" s="27"/>
      <c r="BV702" s="24"/>
      <c r="BW702" s="24"/>
      <c r="BX702" s="16"/>
      <c r="BY702" s="27"/>
      <c r="BZ702" s="24"/>
      <c r="CA702" s="24"/>
      <c r="CB702" s="16"/>
      <c r="CC702" s="49">
        <f t="shared" si="294"/>
        <v>0</v>
      </c>
      <c r="CD702" s="24"/>
      <c r="CE702" s="49" t="str">
        <f>IFERROR(IF(Y702=0,(W702+CC702)-CD702,IF(Y702&gt;0,(Y702+CC702)-CD702)),"")</f>
        <v/>
      </c>
      <c r="CF702" s="50">
        <v>1287018876.5799999</v>
      </c>
      <c r="CG702" s="49" t="str">
        <f t="shared" ca="1" si="301"/>
        <v/>
      </c>
      <c r="CH702" s="33">
        <f t="shared" ca="1" si="291"/>
        <v>0.89026275115919629</v>
      </c>
      <c r="CI702" s="33">
        <f t="shared" ca="1" si="292"/>
        <v>0.89026275115919629</v>
      </c>
      <c r="CJ702" s="36" t="str">
        <f t="shared" ca="1" si="287"/>
        <v/>
      </c>
      <c r="CK702" s="34" t="str">
        <f t="shared" si="288"/>
        <v/>
      </c>
      <c r="CL702" s="21"/>
      <c r="CM702" s="35" t="str">
        <f t="shared" ca="1" si="300"/>
        <v>VIGENTE</v>
      </c>
      <c r="CN702" s="82"/>
      <c r="CP702" s="83" t="s">
        <v>1424</v>
      </c>
    </row>
    <row r="703" spans="1:98" ht="24.75" customHeight="1">
      <c r="A703" s="48" t="s">
        <v>1424</v>
      </c>
      <c r="B703" s="77" t="s">
        <v>5646</v>
      </c>
      <c r="C703" s="17" t="s">
        <v>2927</v>
      </c>
      <c r="D703" s="18" t="s">
        <v>5647</v>
      </c>
      <c r="E703" s="17" t="s">
        <v>2929</v>
      </c>
      <c r="F703" s="17" t="s">
        <v>1426</v>
      </c>
      <c r="G703" s="17" t="s">
        <v>1427</v>
      </c>
      <c r="H703" s="78" t="s">
        <v>5377</v>
      </c>
      <c r="I703" s="74" t="s">
        <v>5648</v>
      </c>
      <c r="J703" s="16" t="s">
        <v>5649</v>
      </c>
      <c r="K703" s="16">
        <v>91350636</v>
      </c>
      <c r="L703" s="20" t="s">
        <v>5650</v>
      </c>
      <c r="M703" s="16"/>
      <c r="N703" s="22">
        <v>45365</v>
      </c>
      <c r="O703" s="22">
        <v>45365</v>
      </c>
      <c r="P703" s="22">
        <v>45730</v>
      </c>
      <c r="Q703" s="23">
        <f t="shared" si="295"/>
        <v>365</v>
      </c>
      <c r="R703" s="17" t="s">
        <v>2934</v>
      </c>
      <c r="S703" s="117" t="s">
        <v>1424</v>
      </c>
      <c r="T703" s="16" t="s">
        <v>1424</v>
      </c>
      <c r="U703" s="67" t="s">
        <v>1424</v>
      </c>
      <c r="V703" s="16" t="s">
        <v>1424</v>
      </c>
      <c r="W703" s="224">
        <v>0</v>
      </c>
      <c r="X703" s="24"/>
      <c r="Y703" s="24" t="s">
        <v>2935</v>
      </c>
      <c r="Z703" s="24"/>
      <c r="AA703" s="17" t="s">
        <v>406</v>
      </c>
      <c r="AB703" s="23" t="str">
        <f>IFERROR(VLOOKUP(AA703,Listas!$A$1:$C$14,2,FALSE),"")</f>
        <v>EDUARDO ELÍAS BARCHA BOLÍVAR</v>
      </c>
      <c r="AC703" s="23">
        <f>IFERROR(VLOOKUP(AA703,Listas!$A$1:$C$14,3,FALSE),"")</f>
        <v>72133921</v>
      </c>
      <c r="AD703" s="17" t="s">
        <v>1523</v>
      </c>
      <c r="AE703" s="17" t="s">
        <v>1524</v>
      </c>
      <c r="AF703" s="23" t="str">
        <f>IFERROR(VLOOKUP(AE703,Listas!$AD$1:$AF$65,2,FALSE),"")</f>
        <v>IVETTE FRASSER SÁNCHEZ</v>
      </c>
      <c r="AG703" s="23">
        <f>IFERROR(VLOOKUP(AE703,Listas!$AD$1:$AF$65,3,FALSE),"")</f>
        <v>38285903</v>
      </c>
      <c r="AH703" s="17" t="s">
        <v>2936</v>
      </c>
      <c r="AI703" s="65"/>
      <c r="AJ703" s="25" t="s">
        <v>1435</v>
      </c>
      <c r="AK703" s="26" t="s">
        <v>2071</v>
      </c>
      <c r="AL703" s="26" t="s">
        <v>2071</v>
      </c>
      <c r="AM703" s="90" t="s">
        <v>1435</v>
      </c>
      <c r="AN703" s="105"/>
      <c r="AO703" s="91" t="str">
        <f t="shared" ca="1" si="296"/>
        <v xml:space="preserve"> </v>
      </c>
      <c r="AP703" s="26" t="s">
        <v>2937</v>
      </c>
      <c r="AQ703" s="26" t="s">
        <v>3453</v>
      </c>
      <c r="AR703" s="89"/>
      <c r="AS703" s="27"/>
      <c r="AT703" s="16"/>
      <c r="AU703" s="27"/>
      <c r="AV703" s="86"/>
      <c r="AW703" s="27"/>
      <c r="AX703" s="27"/>
      <c r="AY703" s="27"/>
      <c r="AZ703" s="27"/>
      <c r="BA703" s="27"/>
      <c r="BB703" s="27">
        <v>45702</v>
      </c>
      <c r="BC703" s="97">
        <v>292</v>
      </c>
      <c r="BD703" s="27"/>
      <c r="BE703" s="16"/>
      <c r="BF703" s="28">
        <f t="shared" si="297"/>
        <v>292</v>
      </c>
      <c r="BG703" s="29"/>
      <c r="BH703" s="27"/>
      <c r="BI703" s="30">
        <f t="shared" si="298"/>
        <v>657</v>
      </c>
      <c r="BJ703" s="31">
        <f t="shared" si="299"/>
        <v>46022</v>
      </c>
      <c r="BK703" s="27">
        <v>45702</v>
      </c>
      <c r="BL703" s="16" t="s">
        <v>5651</v>
      </c>
      <c r="BM703" s="27"/>
      <c r="BN703" s="16"/>
      <c r="BO703" s="27"/>
      <c r="BP703" s="16"/>
      <c r="BQ703" s="27"/>
      <c r="BR703" s="24"/>
      <c r="BS703" s="24"/>
      <c r="BT703" s="32"/>
      <c r="BU703" s="27"/>
      <c r="BV703" s="24"/>
      <c r="BW703" s="24"/>
      <c r="BX703" s="16"/>
      <c r="BY703" s="27"/>
      <c r="BZ703" s="24"/>
      <c r="CA703" s="24"/>
      <c r="CB703" s="16"/>
      <c r="CC703" s="49">
        <f t="shared" si="294"/>
        <v>0</v>
      </c>
      <c r="CD703" s="24"/>
      <c r="CE703" s="49" t="str">
        <f>IFERROR(IF(Y703=0,(W703+CC703)-CD703,IF(Y703&gt;0,(Y703+CC703)-CD703)),"")</f>
        <v/>
      </c>
      <c r="CF703" s="50">
        <v>287859115.47000003</v>
      </c>
      <c r="CG703" s="49" t="str">
        <f t="shared" ca="1" si="301"/>
        <v/>
      </c>
      <c r="CH703" s="33">
        <f t="shared" ca="1" si="291"/>
        <v>0.89026275115919629</v>
      </c>
      <c r="CI703" s="33">
        <f t="shared" ca="1" si="292"/>
        <v>0.89026275115919629</v>
      </c>
      <c r="CJ703" s="36" t="str">
        <f t="shared" ca="1" si="287"/>
        <v/>
      </c>
      <c r="CK703" s="34" t="str">
        <f t="shared" si="288"/>
        <v/>
      </c>
      <c r="CL703" s="21"/>
      <c r="CM703" s="35" t="str">
        <f t="shared" ca="1" si="300"/>
        <v>VIGENTE</v>
      </c>
      <c r="CN703" s="82"/>
      <c r="CP703" s="83" t="s">
        <v>1424</v>
      </c>
    </row>
    <row r="704" spans="1:98" ht="24.75" customHeight="1">
      <c r="A704" s="48" t="s">
        <v>1424</v>
      </c>
      <c r="B704" s="77" t="s">
        <v>5652</v>
      </c>
      <c r="C704" s="17" t="s">
        <v>2927</v>
      </c>
      <c r="D704" s="18" t="s">
        <v>5653</v>
      </c>
      <c r="E704" s="17" t="s">
        <v>2929</v>
      </c>
      <c r="F704" s="17" t="s">
        <v>1426</v>
      </c>
      <c r="G704" s="17" t="s">
        <v>1427</v>
      </c>
      <c r="H704" s="78" t="s">
        <v>5654</v>
      </c>
      <c r="I704" s="74" t="s">
        <v>5655</v>
      </c>
      <c r="J704" s="16" t="s">
        <v>5656</v>
      </c>
      <c r="K704" s="16">
        <v>9078693</v>
      </c>
      <c r="L704" s="20" t="s">
        <v>5650</v>
      </c>
      <c r="M704" s="16"/>
      <c r="N704" s="22">
        <v>45365</v>
      </c>
      <c r="O704" s="22">
        <v>45365</v>
      </c>
      <c r="P704" s="22">
        <v>45730</v>
      </c>
      <c r="Q704" s="23">
        <f>P704-O704</f>
        <v>365</v>
      </c>
      <c r="R704" s="17" t="s">
        <v>2934</v>
      </c>
      <c r="S704" s="117" t="s">
        <v>1424</v>
      </c>
      <c r="T704" s="16" t="s">
        <v>1424</v>
      </c>
      <c r="U704" s="67" t="s">
        <v>1424</v>
      </c>
      <c r="V704" s="16" t="s">
        <v>1424</v>
      </c>
      <c r="W704" s="224">
        <v>0</v>
      </c>
      <c r="X704" s="24"/>
      <c r="Y704" s="24" t="s">
        <v>2935</v>
      </c>
      <c r="Z704" s="24"/>
      <c r="AA704" s="17" t="s">
        <v>406</v>
      </c>
      <c r="AB704" s="23" t="str">
        <f>IFERROR(VLOOKUP(AA704,Listas!$A$1:$C$14,2,FALSE),"")</f>
        <v>EDUARDO ELÍAS BARCHA BOLÍVAR</v>
      </c>
      <c r="AC704" s="23">
        <f>IFERROR(VLOOKUP(AA704,Listas!$A$1:$C$14,3,FALSE),"")</f>
        <v>72133921</v>
      </c>
      <c r="AD704" s="17" t="s">
        <v>903</v>
      </c>
      <c r="AE704" s="17" t="s">
        <v>904</v>
      </c>
      <c r="AF704" s="23" t="str">
        <f>IFERROR(VLOOKUP(AE704,Listas!$AD$1:$AF$65,2,FALSE),"")</f>
        <v>VIVIANA MARGARITA ROMERO</v>
      </c>
      <c r="AG704" s="23">
        <f>IFERROR(VLOOKUP(AE704,Listas!$AD$1:$AF$65,3,FALSE),"")</f>
        <v>32794946</v>
      </c>
      <c r="AH704" s="17" t="s">
        <v>2936</v>
      </c>
      <c r="AI704" s="65"/>
      <c r="AJ704" s="25" t="s">
        <v>1435</v>
      </c>
      <c r="AK704" s="26" t="s">
        <v>2071</v>
      </c>
      <c r="AL704" s="26" t="s">
        <v>2071</v>
      </c>
      <c r="AM704" s="90" t="s">
        <v>1435</v>
      </c>
      <c r="AN704" s="105"/>
      <c r="AO704" s="91" t="str">
        <f t="shared" ca="1" si="296"/>
        <v xml:space="preserve"> </v>
      </c>
      <c r="AP704" s="26" t="s">
        <v>2937</v>
      </c>
      <c r="AQ704" s="26" t="s">
        <v>2938</v>
      </c>
      <c r="AR704" s="89"/>
      <c r="AS704" s="27"/>
      <c r="AT704" s="16"/>
      <c r="AU704" s="27"/>
      <c r="AV704" s="86"/>
      <c r="AW704" s="27"/>
      <c r="AX704" s="27"/>
      <c r="AY704" s="27"/>
      <c r="AZ704" s="27"/>
      <c r="BA704" s="27"/>
      <c r="BB704" s="27">
        <v>45687</v>
      </c>
      <c r="BC704" s="97">
        <v>292</v>
      </c>
      <c r="BD704" s="27"/>
      <c r="BE704" s="16"/>
      <c r="BF704" s="28">
        <f t="shared" si="297"/>
        <v>292</v>
      </c>
      <c r="BG704" s="29"/>
      <c r="BH704" s="27"/>
      <c r="BI704" s="30">
        <f t="shared" si="298"/>
        <v>657</v>
      </c>
      <c r="BJ704" s="31">
        <f>IF(BH704="",P704+BF704,BH704)</f>
        <v>46022</v>
      </c>
      <c r="BK704" s="27">
        <v>45687</v>
      </c>
      <c r="BL704" s="16" t="s">
        <v>5657</v>
      </c>
      <c r="BM704" s="27"/>
      <c r="BN704" s="16"/>
      <c r="BO704" s="27"/>
      <c r="BP704" s="16"/>
      <c r="BQ704" s="27"/>
      <c r="BR704" s="24"/>
      <c r="BS704" s="24"/>
      <c r="BT704" s="32"/>
      <c r="BU704" s="27"/>
      <c r="BV704" s="24"/>
      <c r="BW704" s="24"/>
      <c r="BX704" s="16"/>
      <c r="BY704" s="27"/>
      <c r="BZ704" s="24"/>
      <c r="CA704" s="24"/>
      <c r="CB704" s="16"/>
      <c r="CC704" s="49">
        <f t="shared" si="294"/>
        <v>0</v>
      </c>
      <c r="CD704" s="24"/>
      <c r="CE704" s="49" t="str">
        <f>IFERROR(IF(Y704=0,(W704+CC704)-CD704,IF(Y704&gt;0,(Y704+CC704)-CD704)),"")</f>
        <v/>
      </c>
      <c r="CF704" s="50">
        <v>61972141</v>
      </c>
      <c r="CG704" s="49" t="str">
        <f t="shared" ca="1" si="301"/>
        <v/>
      </c>
      <c r="CH704" s="33">
        <f t="shared" ca="1" si="291"/>
        <v>0.89026275115919629</v>
      </c>
      <c r="CI704" s="33">
        <f t="shared" ca="1" si="292"/>
        <v>0.89026275115919629</v>
      </c>
      <c r="CJ704" s="36" t="str">
        <f t="shared" ca="1" si="287"/>
        <v/>
      </c>
      <c r="CK704" s="34" t="str">
        <f t="shared" si="288"/>
        <v/>
      </c>
      <c r="CL704" s="21"/>
      <c r="CM704" s="35" t="str">
        <f t="shared" ca="1" si="300"/>
        <v>VIGENTE</v>
      </c>
      <c r="CN704" s="82"/>
      <c r="CP704" s="83" t="s">
        <v>1424</v>
      </c>
    </row>
    <row r="705" spans="1:96" ht="24.75" customHeight="1">
      <c r="A705" s="48" t="s">
        <v>5658</v>
      </c>
      <c r="B705" s="77" t="s">
        <v>5659</v>
      </c>
      <c r="C705" s="17" t="s">
        <v>104</v>
      </c>
      <c r="D705" s="18" t="s">
        <v>5660</v>
      </c>
      <c r="E705" s="17" t="s">
        <v>106</v>
      </c>
      <c r="F705" s="17" t="s">
        <v>107</v>
      </c>
      <c r="G705" s="17" t="s">
        <v>108</v>
      </c>
      <c r="H705" s="78">
        <v>1007393708</v>
      </c>
      <c r="I705" s="74" t="s">
        <v>5661</v>
      </c>
      <c r="J705" s="16"/>
      <c r="K705" s="16"/>
      <c r="L705" s="20" t="s">
        <v>5662</v>
      </c>
      <c r="M705" s="16" t="s">
        <v>111</v>
      </c>
      <c r="N705" s="22">
        <v>45365</v>
      </c>
      <c r="O705" s="22">
        <v>45369</v>
      </c>
      <c r="P705" s="22">
        <v>45656</v>
      </c>
      <c r="Q705" s="23">
        <f t="shared" si="295"/>
        <v>287</v>
      </c>
      <c r="R705" s="17" t="s">
        <v>242</v>
      </c>
      <c r="S705" s="117" t="s">
        <v>5663</v>
      </c>
      <c r="T705" s="16" t="s">
        <v>1145</v>
      </c>
      <c r="U705" s="67">
        <v>81319584</v>
      </c>
      <c r="V705" s="16" t="s">
        <v>4752</v>
      </c>
      <c r="W705" s="224">
        <v>64380750</v>
      </c>
      <c r="X705" s="24">
        <v>6131500</v>
      </c>
      <c r="Y705" s="24"/>
      <c r="Z705" s="24"/>
      <c r="AA705" s="17" t="s">
        <v>427</v>
      </c>
      <c r="AB705" s="23" t="str">
        <f>IFERROR(VLOOKUP(AA705,Listas!$A$1:$C$14,2,FALSE),"")</f>
        <v>DINORAH PATRICIA ABADIA MURILLO</v>
      </c>
      <c r="AC705" s="23">
        <f>IFERROR(VLOOKUP(AA705,Listas!$A$1:$C$14,3,FALSE),"")</f>
        <v>52220857</v>
      </c>
      <c r="AD705" s="17" t="s">
        <v>427</v>
      </c>
      <c r="AE705" s="17" t="s">
        <v>428</v>
      </c>
      <c r="AF705" s="23" t="str">
        <f>IFERROR(VLOOKUP(AE705,Listas!$AD$1:$AF$65,2,FALSE),"")</f>
        <v>DINORAH PATRICIA ABADIA MURILLO</v>
      </c>
      <c r="AG705" s="23">
        <f>IFERROR(VLOOKUP(AE705,Listas!$AD$1:$AF$65,3,FALSE),"")</f>
        <v>52220857</v>
      </c>
      <c r="AH705" s="17" t="s">
        <v>118</v>
      </c>
      <c r="AI705" s="65" t="s">
        <v>5664</v>
      </c>
      <c r="AJ705" s="25" t="s">
        <v>119</v>
      </c>
      <c r="AK705" s="26" t="s">
        <v>120</v>
      </c>
      <c r="AL705" s="26" t="s">
        <v>120</v>
      </c>
      <c r="AM705" s="90" t="s">
        <v>119</v>
      </c>
      <c r="AN705" s="105">
        <v>36799</v>
      </c>
      <c r="AO705" s="91">
        <f t="shared" ca="1" si="296"/>
        <v>25</v>
      </c>
      <c r="AP705" s="26" t="s">
        <v>121</v>
      </c>
      <c r="AQ705" s="26" t="s">
        <v>122</v>
      </c>
      <c r="AR705" s="89"/>
      <c r="AS705" s="27"/>
      <c r="AT705" s="16"/>
      <c r="AU705" s="27"/>
      <c r="AV705" s="86"/>
      <c r="AW705" s="27"/>
      <c r="AX705" s="27"/>
      <c r="AY705" s="27"/>
      <c r="AZ705" s="27"/>
      <c r="BA705" s="27"/>
      <c r="BB705" s="27"/>
      <c r="BC705" s="97"/>
      <c r="BD705" s="27"/>
      <c r="BE705" s="16"/>
      <c r="BF705" s="28">
        <f t="shared" si="297"/>
        <v>0</v>
      </c>
      <c r="BG705" s="29"/>
      <c r="BH705" s="27"/>
      <c r="BI705" s="30">
        <f t="shared" si="298"/>
        <v>287</v>
      </c>
      <c r="BJ705" s="31">
        <f t="shared" si="299"/>
        <v>45656</v>
      </c>
      <c r="BK705" s="27"/>
      <c r="BL705" s="16"/>
      <c r="BM705" s="27"/>
      <c r="BN705" s="16"/>
      <c r="BO705" s="27"/>
      <c r="BP705" s="16"/>
      <c r="BQ705" s="27"/>
      <c r="BR705" s="24"/>
      <c r="BS705" s="24"/>
      <c r="BT705" s="32"/>
      <c r="BU705" s="27"/>
      <c r="BV705" s="24"/>
      <c r="BW705" s="24"/>
      <c r="BX705" s="16"/>
      <c r="BY705" s="27"/>
      <c r="BZ705" s="24"/>
      <c r="CA705" s="24"/>
      <c r="CB705" s="16"/>
      <c r="CC705" s="49">
        <f t="shared" si="294"/>
        <v>0</v>
      </c>
      <c r="CD705" s="24"/>
      <c r="CE705" s="49">
        <f t="shared" ref="CE705:CE732" si="302">IF(Y705=0,(W705+CC705)-CD705,IF(Y705&gt;0,(Y705+CC705)-CD705))</f>
        <v>64380750</v>
      </c>
      <c r="CF705" s="50"/>
      <c r="CG705" s="49">
        <f t="shared" ca="1" si="301"/>
        <v>64380750</v>
      </c>
      <c r="CH705" s="33">
        <f t="shared" ca="1" si="291"/>
        <v>1</v>
      </c>
      <c r="CI705" s="33">
        <f t="shared" ca="1" si="292"/>
        <v>1</v>
      </c>
      <c r="CJ705" s="36">
        <f t="shared" ca="1" si="287"/>
        <v>100</v>
      </c>
      <c r="CK705" s="34">
        <f t="shared" si="288"/>
        <v>0</v>
      </c>
      <c r="CL705" s="21"/>
      <c r="CM705" s="35" t="str">
        <f t="shared" ca="1" si="300"/>
        <v>TERMINADO</v>
      </c>
      <c r="CN705" s="82"/>
      <c r="CP705" s="26" t="s">
        <v>142</v>
      </c>
    </row>
    <row r="706" spans="1:96" ht="24.75" customHeight="1">
      <c r="A706" s="48" t="s">
        <v>5665</v>
      </c>
      <c r="B706" s="77" t="s">
        <v>5666</v>
      </c>
      <c r="C706" s="17" t="s">
        <v>104</v>
      </c>
      <c r="D706" s="18" t="s">
        <v>5667</v>
      </c>
      <c r="E706" s="17" t="s">
        <v>106</v>
      </c>
      <c r="F706" s="17" t="s">
        <v>107</v>
      </c>
      <c r="G706" s="17" t="s">
        <v>108</v>
      </c>
      <c r="H706" s="78">
        <v>1014258174</v>
      </c>
      <c r="I706" s="74" t="s">
        <v>5668</v>
      </c>
      <c r="J706" s="16"/>
      <c r="K706" s="16"/>
      <c r="L706" s="20" t="s">
        <v>5669</v>
      </c>
      <c r="M706" s="16" t="s">
        <v>111</v>
      </c>
      <c r="N706" s="22">
        <v>45365</v>
      </c>
      <c r="O706" s="22">
        <v>45369</v>
      </c>
      <c r="P706" s="22">
        <v>45656</v>
      </c>
      <c r="Q706" s="23">
        <f t="shared" si="295"/>
        <v>287</v>
      </c>
      <c r="R706" s="17" t="s">
        <v>242</v>
      </c>
      <c r="S706" s="117" t="s">
        <v>5670</v>
      </c>
      <c r="T706" s="16" t="s">
        <v>1145</v>
      </c>
      <c r="U706" s="67">
        <v>106468267</v>
      </c>
      <c r="V706" s="16" t="s">
        <v>4752</v>
      </c>
      <c r="W706" s="224">
        <v>87715334</v>
      </c>
      <c r="X706" s="24">
        <v>9074000</v>
      </c>
      <c r="Y706" s="24"/>
      <c r="Z706" s="24"/>
      <c r="AA706" s="17" t="s">
        <v>427</v>
      </c>
      <c r="AB706" s="23" t="str">
        <f>IFERROR(VLOOKUP(AA706,Listas!$A$1:$C$14,2,FALSE),"")</f>
        <v>DINORAH PATRICIA ABADIA MURILLO</v>
      </c>
      <c r="AC706" s="23">
        <f>IFERROR(VLOOKUP(AA706,Listas!$A$1:$C$14,3,FALSE),"")</f>
        <v>52220857</v>
      </c>
      <c r="AD706" s="17" t="s">
        <v>427</v>
      </c>
      <c r="AE706" s="17" t="s">
        <v>428</v>
      </c>
      <c r="AF706" s="23" t="str">
        <f>IFERROR(VLOOKUP(AE706,Listas!$AD$1:$AF$65,2,FALSE),"")</f>
        <v>DINORAH PATRICIA ABADIA MURILLO</v>
      </c>
      <c r="AG706" s="23">
        <f>IFERROR(VLOOKUP(AE706,Listas!$AD$1:$AF$65,3,FALSE),"")</f>
        <v>52220857</v>
      </c>
      <c r="AH706" s="17" t="s">
        <v>118</v>
      </c>
      <c r="AI706" s="65" t="s">
        <v>5671</v>
      </c>
      <c r="AJ706" s="25" t="s">
        <v>119</v>
      </c>
      <c r="AK706" s="26" t="s">
        <v>120</v>
      </c>
      <c r="AL706" s="26" t="s">
        <v>120</v>
      </c>
      <c r="AM706" s="90" t="s">
        <v>119</v>
      </c>
      <c r="AN706" s="105">
        <v>34593</v>
      </c>
      <c r="AO706" s="91">
        <f t="shared" ca="1" si="296"/>
        <v>31</v>
      </c>
      <c r="AP706" s="26" t="s">
        <v>121</v>
      </c>
      <c r="AQ706" s="26" t="s">
        <v>122</v>
      </c>
      <c r="AR706" s="89"/>
      <c r="AS706" s="27"/>
      <c r="AT706" s="16"/>
      <c r="AU706" s="27"/>
      <c r="AV706" s="86"/>
      <c r="AW706" s="27"/>
      <c r="AX706" s="27"/>
      <c r="AY706" s="27"/>
      <c r="AZ706" s="27"/>
      <c r="BA706" s="27"/>
      <c r="BB706" s="27"/>
      <c r="BC706" s="97"/>
      <c r="BD706" s="27"/>
      <c r="BE706" s="16"/>
      <c r="BF706" s="28">
        <f t="shared" si="297"/>
        <v>0</v>
      </c>
      <c r="BG706" s="29"/>
      <c r="BH706" s="27"/>
      <c r="BI706" s="30">
        <f t="shared" si="298"/>
        <v>287</v>
      </c>
      <c r="BJ706" s="31">
        <f t="shared" si="299"/>
        <v>45656</v>
      </c>
      <c r="BK706" s="27"/>
      <c r="BL706" s="16"/>
      <c r="BM706" s="27"/>
      <c r="BN706" s="16"/>
      <c r="BO706" s="27"/>
      <c r="BP706" s="16"/>
      <c r="BQ706" s="27"/>
      <c r="BR706" s="24"/>
      <c r="BS706" s="24"/>
      <c r="BT706" s="32"/>
      <c r="BU706" s="27"/>
      <c r="BV706" s="24"/>
      <c r="BW706" s="24"/>
      <c r="BX706" s="16"/>
      <c r="BY706" s="27"/>
      <c r="BZ706" s="24"/>
      <c r="CA706" s="24"/>
      <c r="CB706" s="16"/>
      <c r="CC706" s="49">
        <f t="shared" si="294"/>
        <v>0</v>
      </c>
      <c r="CD706" s="24"/>
      <c r="CE706" s="49">
        <f t="shared" si="302"/>
        <v>87715334</v>
      </c>
      <c r="CF706" s="50"/>
      <c r="CG706" s="49">
        <f t="shared" ca="1" si="301"/>
        <v>87715334</v>
      </c>
      <c r="CH706" s="33">
        <f t="shared" ca="1" si="291"/>
        <v>1</v>
      </c>
      <c r="CI706" s="33">
        <f t="shared" ca="1" si="292"/>
        <v>1</v>
      </c>
      <c r="CJ706" s="36">
        <f t="shared" ca="1" si="287"/>
        <v>100</v>
      </c>
      <c r="CK706" s="34">
        <f t="shared" si="288"/>
        <v>0</v>
      </c>
      <c r="CL706" s="21"/>
      <c r="CM706" s="35" t="str">
        <f t="shared" ca="1" si="300"/>
        <v>TERMINADO</v>
      </c>
      <c r="CN706" s="82"/>
      <c r="CP706" s="26" t="s">
        <v>123</v>
      </c>
    </row>
    <row r="707" spans="1:96" ht="24.75" customHeight="1">
      <c r="A707" s="48" t="s">
        <v>1424</v>
      </c>
      <c r="B707" s="77" t="s">
        <v>5672</v>
      </c>
      <c r="C707" s="17" t="s">
        <v>2927</v>
      </c>
      <c r="D707" s="18" t="s">
        <v>5673</v>
      </c>
      <c r="E707" s="17" t="s">
        <v>2929</v>
      </c>
      <c r="F707" s="17" t="s">
        <v>1426</v>
      </c>
      <c r="G707" s="17" t="s">
        <v>1427</v>
      </c>
      <c r="H707" s="78" t="s">
        <v>5674</v>
      </c>
      <c r="I707" s="74" t="s">
        <v>5675</v>
      </c>
      <c r="J707" s="16" t="s">
        <v>5676</v>
      </c>
      <c r="K707" s="16">
        <v>79946146</v>
      </c>
      <c r="L707" s="20" t="s">
        <v>5291</v>
      </c>
      <c r="M707" s="16"/>
      <c r="N707" s="22">
        <v>45369</v>
      </c>
      <c r="O707" s="22">
        <v>45369</v>
      </c>
      <c r="P707" s="22">
        <v>45734</v>
      </c>
      <c r="Q707" s="23">
        <f t="shared" si="295"/>
        <v>365</v>
      </c>
      <c r="R707" s="17" t="s">
        <v>2934</v>
      </c>
      <c r="S707" s="117" t="s">
        <v>1424</v>
      </c>
      <c r="T707" s="16" t="s">
        <v>1424</v>
      </c>
      <c r="U707" s="67" t="s">
        <v>1424</v>
      </c>
      <c r="V707" s="16" t="s">
        <v>1424</v>
      </c>
      <c r="W707" s="224">
        <v>0</v>
      </c>
      <c r="X707" s="24"/>
      <c r="Y707" s="24" t="s">
        <v>2935</v>
      </c>
      <c r="Z707" s="24"/>
      <c r="AA707" s="17" t="s">
        <v>406</v>
      </c>
      <c r="AB707" s="23" t="str">
        <f>IFERROR(VLOOKUP(AA707,Listas!$A$1:$C$14,2,FALSE),"")</f>
        <v>EDUARDO ELÍAS BARCHA BOLÍVAR</v>
      </c>
      <c r="AC707" s="23">
        <f>IFERROR(VLOOKUP(AA707,Listas!$A$1:$C$14,3,FALSE),"")</f>
        <v>72133921</v>
      </c>
      <c r="AD707" s="17" t="s">
        <v>1533</v>
      </c>
      <c r="AE707" s="17" t="s">
        <v>1534</v>
      </c>
      <c r="AF707" s="23" t="str">
        <f>IFERROR(VLOOKUP(AE707,Listas!$AD$1:$AF$65,2,FALSE),"")</f>
        <v>ESTEBAN GUERRERO ALVAREZ</v>
      </c>
      <c r="AG707" s="23">
        <f>IFERROR(VLOOKUP(AE707,Listas!$AD$1:$AF$65,3,FALSE),"")</f>
        <v>1032460552</v>
      </c>
      <c r="AH707" s="17" t="s">
        <v>2936</v>
      </c>
      <c r="AI707" s="65"/>
      <c r="AJ707" s="25" t="s">
        <v>1435</v>
      </c>
      <c r="AK707" s="26" t="s">
        <v>2071</v>
      </c>
      <c r="AL707" s="26" t="s">
        <v>2071</v>
      </c>
      <c r="AM707" s="90" t="s">
        <v>1435</v>
      </c>
      <c r="AN707" s="105"/>
      <c r="AO707" s="91" t="str">
        <f t="shared" ca="1" si="296"/>
        <v xml:space="preserve"> </v>
      </c>
      <c r="AP707" s="26" t="s">
        <v>2937</v>
      </c>
      <c r="AQ707" s="26" t="s">
        <v>3501</v>
      </c>
      <c r="AR707" s="89"/>
      <c r="AS707" s="27"/>
      <c r="AT707" s="16"/>
      <c r="AU707" s="27"/>
      <c r="AV707" s="86"/>
      <c r="AW707" s="27"/>
      <c r="AX707" s="27"/>
      <c r="AY707" s="27"/>
      <c r="AZ707" s="27"/>
      <c r="BA707" s="27"/>
      <c r="BB707" s="27">
        <v>45681</v>
      </c>
      <c r="BC707" s="97">
        <v>288</v>
      </c>
      <c r="BD707" s="27"/>
      <c r="BE707" s="16"/>
      <c r="BF707" s="28">
        <f t="shared" si="297"/>
        <v>288</v>
      </c>
      <c r="BG707" s="29"/>
      <c r="BH707" s="27"/>
      <c r="BI707" s="30">
        <f t="shared" si="298"/>
        <v>653</v>
      </c>
      <c r="BJ707" s="31">
        <f t="shared" si="299"/>
        <v>46022</v>
      </c>
      <c r="BK707" s="27">
        <v>45681</v>
      </c>
      <c r="BL707" s="16" t="s">
        <v>5677</v>
      </c>
      <c r="BM707" s="27"/>
      <c r="BN707" s="16"/>
      <c r="BO707" s="27"/>
      <c r="BP707" s="16"/>
      <c r="BQ707" s="27"/>
      <c r="BR707" s="24"/>
      <c r="BS707" s="24"/>
      <c r="BT707" s="32"/>
      <c r="BU707" s="27"/>
      <c r="BV707" s="24"/>
      <c r="BW707" s="24"/>
      <c r="BX707" s="16"/>
      <c r="BY707" s="27"/>
      <c r="BZ707" s="24"/>
      <c r="CA707" s="24"/>
      <c r="CB707" s="16"/>
      <c r="CC707" s="49">
        <f t="shared" ref="CC707:CC738" si="303">BR707+BV707+BZ707</f>
        <v>0</v>
      </c>
      <c r="CD707" s="24"/>
      <c r="CE707" s="49" t="str">
        <f>IFERROR(IF(Y707=0,(W707+CC707)-CD707,IF(Y707&gt;0,(Y707+CC707)-CD707)),"")</f>
        <v/>
      </c>
      <c r="CF707" s="50">
        <v>627985923.85000098</v>
      </c>
      <c r="CG707" s="49" t="str">
        <f t="shared" ca="1" si="301"/>
        <v/>
      </c>
      <c r="CH707" s="33">
        <f t="shared" ca="1" si="291"/>
        <v>0.88958009331259724</v>
      </c>
      <c r="CI707" s="33">
        <f t="shared" ca="1" si="292"/>
        <v>0.88958009331259724</v>
      </c>
      <c r="CJ707" s="36" t="str">
        <f t="shared" ca="1" si="287"/>
        <v/>
      </c>
      <c r="CK707" s="34" t="str">
        <f t="shared" si="288"/>
        <v/>
      </c>
      <c r="CL707" s="21"/>
      <c r="CM707" s="35" t="str">
        <f t="shared" ca="1" si="300"/>
        <v>VIGENTE</v>
      </c>
      <c r="CN707" s="82"/>
      <c r="CP707" s="83" t="s">
        <v>1424</v>
      </c>
    </row>
    <row r="708" spans="1:96" ht="24.75" customHeight="1">
      <c r="A708" s="48" t="s">
        <v>1424</v>
      </c>
      <c r="B708" s="77" t="s">
        <v>5678</v>
      </c>
      <c r="C708" s="17" t="s">
        <v>2927</v>
      </c>
      <c r="D708" s="18" t="s">
        <v>5679</v>
      </c>
      <c r="E708" s="17" t="s">
        <v>2929</v>
      </c>
      <c r="F708" s="17" t="s">
        <v>1426</v>
      </c>
      <c r="G708" s="17" t="s">
        <v>1427</v>
      </c>
      <c r="H708" s="78" t="s">
        <v>5680</v>
      </c>
      <c r="I708" s="74" t="s">
        <v>5681</v>
      </c>
      <c r="J708" s="16" t="s">
        <v>5682</v>
      </c>
      <c r="K708" s="16">
        <v>6970911</v>
      </c>
      <c r="L708" s="20" t="s">
        <v>5291</v>
      </c>
      <c r="M708" s="16"/>
      <c r="N708" s="22">
        <v>45370</v>
      </c>
      <c r="O708" s="22">
        <v>45370</v>
      </c>
      <c r="P708" s="22">
        <v>45735</v>
      </c>
      <c r="Q708" s="23">
        <f t="shared" si="295"/>
        <v>365</v>
      </c>
      <c r="R708" s="17" t="s">
        <v>2934</v>
      </c>
      <c r="S708" s="117" t="s">
        <v>1424</v>
      </c>
      <c r="T708" s="16" t="s">
        <v>1424</v>
      </c>
      <c r="U708" s="67" t="s">
        <v>1424</v>
      </c>
      <c r="V708" s="16" t="s">
        <v>1424</v>
      </c>
      <c r="W708" s="224">
        <v>0</v>
      </c>
      <c r="X708" s="24"/>
      <c r="Y708" s="24" t="s">
        <v>2935</v>
      </c>
      <c r="Z708" s="24"/>
      <c r="AA708" s="17" t="s">
        <v>406</v>
      </c>
      <c r="AB708" s="23" t="str">
        <f>IFERROR(VLOOKUP(AA708,Listas!$A$1:$C$14,2,FALSE),"")</f>
        <v>EDUARDO ELÍAS BARCHA BOLÍVAR</v>
      </c>
      <c r="AC708" s="23">
        <f>IFERROR(VLOOKUP(AA708,Listas!$A$1:$C$14,3,FALSE),"")</f>
        <v>72133921</v>
      </c>
      <c r="AD708" s="17" t="s">
        <v>1533</v>
      </c>
      <c r="AE708" s="17" t="s">
        <v>1534</v>
      </c>
      <c r="AF708" s="23" t="str">
        <f>IFERROR(VLOOKUP(AE708,Listas!$AD$1:$AF$66,2,FALSE),"")</f>
        <v>ESTEBAN GUERRERO ALVAREZ</v>
      </c>
      <c r="AG708" s="23">
        <f>IFERROR(VLOOKUP(AE708,Listas!$AD$1:$AF$65,3,FALSE),"")</f>
        <v>1032460552</v>
      </c>
      <c r="AH708" s="17" t="s">
        <v>2936</v>
      </c>
      <c r="AI708" s="65"/>
      <c r="AJ708" s="25" t="s">
        <v>1435</v>
      </c>
      <c r="AK708" s="26" t="s">
        <v>2071</v>
      </c>
      <c r="AL708" s="26" t="s">
        <v>2071</v>
      </c>
      <c r="AM708" s="90" t="s">
        <v>1435</v>
      </c>
      <c r="AN708" s="105"/>
      <c r="AO708" s="91" t="str">
        <f t="shared" ca="1" si="296"/>
        <v xml:space="preserve"> </v>
      </c>
      <c r="AP708" s="26" t="s">
        <v>2937</v>
      </c>
      <c r="AQ708" s="26" t="s">
        <v>3501</v>
      </c>
      <c r="AR708" s="89"/>
      <c r="AS708" s="27"/>
      <c r="AT708" s="16"/>
      <c r="AU708" s="27"/>
      <c r="AV708" s="86"/>
      <c r="AW708" s="27"/>
      <c r="AX708" s="27"/>
      <c r="AY708" s="27"/>
      <c r="AZ708" s="27"/>
      <c r="BA708" s="27"/>
      <c r="BB708" s="27">
        <v>45707</v>
      </c>
      <c r="BC708" s="97">
        <v>287</v>
      </c>
      <c r="BD708" s="27"/>
      <c r="BE708" s="16"/>
      <c r="BF708" s="28">
        <f t="shared" si="297"/>
        <v>287</v>
      </c>
      <c r="BG708" s="29"/>
      <c r="BH708" s="27"/>
      <c r="BI708" s="30">
        <f t="shared" si="298"/>
        <v>652</v>
      </c>
      <c r="BJ708" s="31">
        <f t="shared" si="299"/>
        <v>46022</v>
      </c>
      <c r="BK708" s="27">
        <v>45707</v>
      </c>
      <c r="BL708" s="16" t="s">
        <v>5683</v>
      </c>
      <c r="BM708" s="27"/>
      <c r="BN708" s="16"/>
      <c r="BO708" s="27"/>
      <c r="BP708" s="16"/>
      <c r="BQ708" s="27"/>
      <c r="BR708" s="24"/>
      <c r="BS708" s="24"/>
      <c r="BT708" s="32"/>
      <c r="BU708" s="27"/>
      <c r="BV708" s="24"/>
      <c r="BW708" s="24"/>
      <c r="BX708" s="16"/>
      <c r="BY708" s="27"/>
      <c r="BZ708" s="24"/>
      <c r="CA708" s="24"/>
      <c r="CB708" s="16"/>
      <c r="CC708" s="49">
        <f t="shared" si="303"/>
        <v>0</v>
      </c>
      <c r="CD708" s="24"/>
      <c r="CE708" s="49" t="str">
        <f>IFERROR(IF(Y708=0,(W708+CC708)-CD708,IF(Y708&gt;0,(Y708+CC708)-CD708)),"")</f>
        <v/>
      </c>
      <c r="CF708" s="50">
        <v>458517471.49000001</v>
      </c>
      <c r="CG708" s="49" t="str">
        <f t="shared" ca="1" si="301"/>
        <v/>
      </c>
      <c r="CH708" s="33">
        <f t="shared" ca="1" si="291"/>
        <v>0.88940809968847356</v>
      </c>
      <c r="CI708" s="33">
        <f t="shared" ca="1" si="292"/>
        <v>0.88940809968847356</v>
      </c>
      <c r="CJ708" s="36" t="str">
        <f t="shared" ca="1" si="287"/>
        <v/>
      </c>
      <c r="CK708" s="34" t="str">
        <f t="shared" si="288"/>
        <v/>
      </c>
      <c r="CL708" s="21"/>
      <c r="CM708" s="35" t="str">
        <f t="shared" ca="1" si="300"/>
        <v>VIGENTE</v>
      </c>
      <c r="CN708" s="82"/>
      <c r="CP708" s="83" t="s">
        <v>1424</v>
      </c>
    </row>
    <row r="709" spans="1:96" ht="24.75" customHeight="1">
      <c r="A709" s="48" t="s">
        <v>1424</v>
      </c>
      <c r="B709" s="77" t="s">
        <v>5684</v>
      </c>
      <c r="C709" s="17" t="s">
        <v>2927</v>
      </c>
      <c r="D709" s="18" t="s">
        <v>5685</v>
      </c>
      <c r="E709" s="17" t="s">
        <v>2929</v>
      </c>
      <c r="F709" s="17" t="s">
        <v>1426</v>
      </c>
      <c r="G709" s="17" t="s">
        <v>1427</v>
      </c>
      <c r="H709" s="78" t="s">
        <v>5686</v>
      </c>
      <c r="I709" s="74" t="s">
        <v>5687</v>
      </c>
      <c r="J709" s="16" t="s">
        <v>5688</v>
      </c>
      <c r="K709" s="16">
        <v>1130598000</v>
      </c>
      <c r="L709" s="20" t="s">
        <v>5291</v>
      </c>
      <c r="M709" s="16"/>
      <c r="N709" s="22">
        <v>45370</v>
      </c>
      <c r="O709" s="22">
        <v>45370</v>
      </c>
      <c r="P709" s="22">
        <v>45735</v>
      </c>
      <c r="Q709" s="23">
        <f t="shared" si="295"/>
        <v>365</v>
      </c>
      <c r="R709" s="17" t="s">
        <v>2934</v>
      </c>
      <c r="S709" s="117" t="s">
        <v>1424</v>
      </c>
      <c r="T709" s="16" t="s">
        <v>1424</v>
      </c>
      <c r="U709" s="67" t="s">
        <v>1424</v>
      </c>
      <c r="V709" s="16" t="s">
        <v>1424</v>
      </c>
      <c r="W709" s="224">
        <v>0</v>
      </c>
      <c r="X709" s="24"/>
      <c r="Y709" s="24" t="s">
        <v>2935</v>
      </c>
      <c r="Z709" s="24"/>
      <c r="AA709" s="17" t="s">
        <v>406</v>
      </c>
      <c r="AB709" s="23" t="str">
        <f>IFERROR(VLOOKUP(AA709,Listas!$A$1:$C$14,2,FALSE),"")</f>
        <v>EDUARDO ELÍAS BARCHA BOLÍVAR</v>
      </c>
      <c r="AC709" s="23">
        <f>IFERROR(VLOOKUP(AA709,Listas!$A$1:$C$14,3,FALSE),"")</f>
        <v>72133921</v>
      </c>
      <c r="AD709" s="17" t="s">
        <v>559</v>
      </c>
      <c r="AE709" s="17" t="s">
        <v>560</v>
      </c>
      <c r="AF709" s="23" t="str">
        <f>IFERROR(VLOOKUP(AE709,Listas!$AD$1:$AF$65,2,FALSE),"")</f>
        <v>CESAR AUGUSTO LÓPEZ LÓPEZ</v>
      </c>
      <c r="AG709" s="23">
        <f>IFERROR(VLOOKUP(AE709,Listas!$AD$1:$AF$65,3,FALSE),"")</f>
        <v>6103856</v>
      </c>
      <c r="AH709" s="17" t="s">
        <v>2936</v>
      </c>
      <c r="AI709" s="65"/>
      <c r="AJ709" s="25" t="s">
        <v>1435</v>
      </c>
      <c r="AK709" s="26" t="s">
        <v>2071</v>
      </c>
      <c r="AL709" s="26" t="s">
        <v>2071</v>
      </c>
      <c r="AM709" s="90" t="s">
        <v>1435</v>
      </c>
      <c r="AN709" s="105"/>
      <c r="AO709" s="91" t="str">
        <f t="shared" ca="1" si="296"/>
        <v xml:space="preserve"> </v>
      </c>
      <c r="AP709" s="26" t="s">
        <v>2937</v>
      </c>
      <c r="AQ709" s="26" t="s">
        <v>4526</v>
      </c>
      <c r="AR709" s="89"/>
      <c r="AS709" s="27"/>
      <c r="AT709" s="16"/>
      <c r="AU709" s="27"/>
      <c r="AV709" s="86"/>
      <c r="AW709" s="27"/>
      <c r="AX709" s="27"/>
      <c r="AY709" s="27"/>
      <c r="AZ709" s="27"/>
      <c r="BA709" s="27"/>
      <c r="BB709" s="27">
        <v>45735</v>
      </c>
      <c r="BC709" s="97">
        <v>287</v>
      </c>
      <c r="BD709" s="27"/>
      <c r="BE709" s="16"/>
      <c r="BF709" s="28">
        <f t="shared" si="297"/>
        <v>287</v>
      </c>
      <c r="BG709" s="29"/>
      <c r="BH709" s="27"/>
      <c r="BI709" s="30">
        <f t="shared" si="298"/>
        <v>652</v>
      </c>
      <c r="BJ709" s="31">
        <f t="shared" si="299"/>
        <v>46022</v>
      </c>
      <c r="BK709" s="27">
        <v>45735</v>
      </c>
      <c r="BL709" s="16" t="s">
        <v>5689</v>
      </c>
      <c r="BM709" s="27"/>
      <c r="BN709" s="16"/>
      <c r="BO709" s="27"/>
      <c r="BP709" s="16"/>
      <c r="BQ709" s="27"/>
      <c r="BR709" s="24"/>
      <c r="BS709" s="24"/>
      <c r="BT709" s="32"/>
      <c r="BU709" s="27"/>
      <c r="BV709" s="24"/>
      <c r="BW709" s="24"/>
      <c r="BX709" s="16"/>
      <c r="BY709" s="27"/>
      <c r="BZ709" s="24"/>
      <c r="CA709" s="24"/>
      <c r="CB709" s="16"/>
      <c r="CC709" s="49">
        <f t="shared" si="303"/>
        <v>0</v>
      </c>
      <c r="CD709" s="24"/>
      <c r="CE709" s="49" t="str">
        <f>IFERROR(IF(Y709=0,(W709+CC709)-CD709,IF(Y709&gt;0,(Y709+CC709)-CD709)),"")</f>
        <v/>
      </c>
      <c r="CF709" s="50">
        <v>0</v>
      </c>
      <c r="CG709" s="49" t="str">
        <f t="shared" ca="1" si="301"/>
        <v/>
      </c>
      <c r="CH709" s="33">
        <f t="shared" ca="1" si="291"/>
        <v>0.88940809968847356</v>
      </c>
      <c r="CI709" s="33">
        <f t="shared" ca="1" si="292"/>
        <v>0.88940809968847356</v>
      </c>
      <c r="CJ709" s="36" t="str">
        <f t="shared" ca="1" si="287"/>
        <v/>
      </c>
      <c r="CK709" s="34" t="str">
        <f t="shared" si="288"/>
        <v/>
      </c>
      <c r="CL709" s="21"/>
      <c r="CM709" s="35" t="str">
        <f t="shared" ca="1" si="300"/>
        <v>VIGENTE</v>
      </c>
      <c r="CN709" s="82"/>
      <c r="CP709" s="83" t="s">
        <v>1424</v>
      </c>
    </row>
    <row r="710" spans="1:96" ht="24.75" customHeight="1">
      <c r="A710" s="48" t="s">
        <v>5690</v>
      </c>
      <c r="B710" s="77" t="s">
        <v>5691</v>
      </c>
      <c r="C710" s="17" t="s">
        <v>104</v>
      </c>
      <c r="D710" s="18" t="s">
        <v>5692</v>
      </c>
      <c r="E710" s="17" t="s">
        <v>106</v>
      </c>
      <c r="F710" s="17" t="s">
        <v>107</v>
      </c>
      <c r="G710" s="17" t="s">
        <v>108</v>
      </c>
      <c r="H710" s="78">
        <v>1023872182</v>
      </c>
      <c r="I710" s="74" t="s">
        <v>5693</v>
      </c>
      <c r="J710" s="16"/>
      <c r="K710" s="16"/>
      <c r="L710" s="20" t="s">
        <v>5694</v>
      </c>
      <c r="M710" s="16" t="s">
        <v>111</v>
      </c>
      <c r="N710" s="22">
        <v>45370</v>
      </c>
      <c r="O710" s="22">
        <v>45371</v>
      </c>
      <c r="P710" s="22">
        <v>45656</v>
      </c>
      <c r="Q710" s="23">
        <f t="shared" si="295"/>
        <v>285</v>
      </c>
      <c r="R710" s="17" t="s">
        <v>242</v>
      </c>
      <c r="S710" s="117" t="s">
        <v>5695</v>
      </c>
      <c r="T710" s="16" t="s">
        <v>1145</v>
      </c>
      <c r="U710" s="67">
        <v>92529967</v>
      </c>
      <c r="V710" s="16" t="s">
        <v>4752</v>
      </c>
      <c r="W710" s="224">
        <v>92529967</v>
      </c>
      <c r="X710" s="24">
        <v>8093000</v>
      </c>
      <c r="Y710" s="24"/>
      <c r="Z710" s="24"/>
      <c r="AA710" s="17" t="s">
        <v>116</v>
      </c>
      <c r="AB710" s="23" t="str">
        <f>IFERROR(VLOOKUP(AA710,Listas!$A$1:$C$14,2,FALSE),"")</f>
        <v>FREDY CÉSPEDES VILLA</v>
      </c>
      <c r="AC710" s="23">
        <f>IFERROR(VLOOKUP(AA710,Listas!$A$1:$C$14,3,FALSE),"")</f>
        <v>93363483</v>
      </c>
      <c r="AD710" s="17" t="s">
        <v>427</v>
      </c>
      <c r="AE710" s="17" t="s">
        <v>2341</v>
      </c>
      <c r="AF710" s="23" t="str">
        <f>IFERROR(VLOOKUP(AE710,Listas!$AD$1:$AF$65,2,FALSE),"")</f>
        <v>LUIS ALFONSO NIÑO MANCILLA</v>
      </c>
      <c r="AG710" s="23">
        <f>IFERROR(VLOOKUP(AE710,Listas!$AD$1:$AF$65,3,FALSE),"")</f>
        <v>79719453</v>
      </c>
      <c r="AH710" s="17" t="s">
        <v>118</v>
      </c>
      <c r="AI710" s="65" t="s">
        <v>5696</v>
      </c>
      <c r="AJ710" s="25" t="s">
        <v>119</v>
      </c>
      <c r="AK710" s="26" t="s">
        <v>120</v>
      </c>
      <c r="AL710" s="26" t="s">
        <v>120</v>
      </c>
      <c r="AM710" s="90" t="s">
        <v>119</v>
      </c>
      <c r="AN710" s="105">
        <v>31924</v>
      </c>
      <c r="AO710" s="91">
        <f t="shared" ca="1" si="296"/>
        <v>38</v>
      </c>
      <c r="AP710" s="26" t="s">
        <v>121</v>
      </c>
      <c r="AQ710" s="26" t="s">
        <v>122</v>
      </c>
      <c r="AR710" s="89">
        <v>45597</v>
      </c>
      <c r="AS710" s="27" t="s">
        <v>1865</v>
      </c>
      <c r="AT710" s="16">
        <v>1023001940</v>
      </c>
      <c r="AU710" s="20" t="s">
        <v>5694</v>
      </c>
      <c r="AV710" s="86">
        <v>16186004</v>
      </c>
      <c r="AW710" s="27"/>
      <c r="AX710" s="27"/>
      <c r="AY710" s="27"/>
      <c r="AZ710" s="27"/>
      <c r="BA710" s="27"/>
      <c r="BB710" s="27"/>
      <c r="BC710" s="97"/>
      <c r="BD710" s="27"/>
      <c r="BE710" s="16"/>
      <c r="BF710" s="28">
        <f t="shared" si="297"/>
        <v>0</v>
      </c>
      <c r="BG710" s="29"/>
      <c r="BH710" s="27"/>
      <c r="BI710" s="30">
        <f t="shared" si="298"/>
        <v>285</v>
      </c>
      <c r="BJ710" s="31">
        <f t="shared" si="299"/>
        <v>45656</v>
      </c>
      <c r="BK710" s="27"/>
      <c r="BL710" s="16"/>
      <c r="BM710" s="27"/>
      <c r="BN710" s="16"/>
      <c r="BO710" s="27"/>
      <c r="BP710" s="16"/>
      <c r="BQ710" s="27"/>
      <c r="BR710" s="24"/>
      <c r="BS710" s="24"/>
      <c r="BT710" s="32"/>
      <c r="BU710" s="27"/>
      <c r="BV710" s="24"/>
      <c r="BW710" s="24"/>
      <c r="BX710" s="16"/>
      <c r="BY710" s="27"/>
      <c r="BZ710" s="24"/>
      <c r="CA710" s="24"/>
      <c r="CB710" s="16"/>
      <c r="CC710" s="49">
        <f t="shared" si="303"/>
        <v>0</v>
      </c>
      <c r="CD710" s="24"/>
      <c r="CE710" s="49">
        <f t="shared" si="302"/>
        <v>92529967</v>
      </c>
      <c r="CF710" s="50"/>
      <c r="CG710" s="49">
        <f t="shared" ca="1" si="301"/>
        <v>92529967</v>
      </c>
      <c r="CH710" s="33">
        <f t="shared" ca="1" si="291"/>
        <v>1</v>
      </c>
      <c r="CI710" s="33">
        <f t="shared" ca="1" si="292"/>
        <v>1</v>
      </c>
      <c r="CJ710" s="36">
        <f t="shared" ca="1" si="287"/>
        <v>100</v>
      </c>
      <c r="CK710" s="34">
        <f t="shared" si="288"/>
        <v>0</v>
      </c>
      <c r="CL710" s="21"/>
      <c r="CM710" s="35" t="str">
        <f t="shared" ca="1" si="300"/>
        <v>TERMINADO</v>
      </c>
      <c r="CN710" s="82"/>
      <c r="CO710" s="145" t="s">
        <v>5697</v>
      </c>
      <c r="CP710" s="26" t="s">
        <v>123</v>
      </c>
    </row>
    <row r="711" spans="1:96" ht="24.75" customHeight="1">
      <c r="A711" s="48" t="s">
        <v>5698</v>
      </c>
      <c r="B711" s="77" t="s">
        <v>5699</v>
      </c>
      <c r="C711" s="17" t="s">
        <v>104</v>
      </c>
      <c r="D711" s="18" t="s">
        <v>5700</v>
      </c>
      <c r="E711" s="17" t="s">
        <v>106</v>
      </c>
      <c r="F711" s="17" t="s">
        <v>107</v>
      </c>
      <c r="G711" s="17" t="s">
        <v>108</v>
      </c>
      <c r="H711" s="78">
        <v>50939595</v>
      </c>
      <c r="I711" s="74" t="s">
        <v>5701</v>
      </c>
      <c r="J711" s="16"/>
      <c r="K711" s="16"/>
      <c r="L711" s="20" t="s">
        <v>5702</v>
      </c>
      <c r="M711" s="16" t="s">
        <v>111</v>
      </c>
      <c r="N711" s="22">
        <v>45370</v>
      </c>
      <c r="O711" s="22">
        <v>45373</v>
      </c>
      <c r="P711" s="22">
        <v>45656</v>
      </c>
      <c r="Q711" s="23">
        <f t="shared" si="295"/>
        <v>283</v>
      </c>
      <c r="R711" s="17" t="s">
        <v>242</v>
      </c>
      <c r="S711" s="117" t="s">
        <v>5703</v>
      </c>
      <c r="T711" s="16" t="s">
        <v>2751</v>
      </c>
      <c r="U711" s="67">
        <v>65116205</v>
      </c>
      <c r="V711" s="16" t="s">
        <v>344</v>
      </c>
      <c r="W711" s="224">
        <v>65116205</v>
      </c>
      <c r="X711" s="24">
        <v>5762496</v>
      </c>
      <c r="Y711" s="24"/>
      <c r="Z711" s="24"/>
      <c r="AA711" s="17" t="s">
        <v>116</v>
      </c>
      <c r="AB711" s="23" t="str">
        <f>IFERROR(VLOOKUP(AA711,Listas!$A$1:$C$14,2,FALSE),"")</f>
        <v>FREDY CÉSPEDES VILLA</v>
      </c>
      <c r="AC711" s="23">
        <f>IFERROR(VLOOKUP(AA711,Listas!$A$1:$C$14,3,FALSE),"")</f>
        <v>93363483</v>
      </c>
      <c r="AD711" s="17" t="s">
        <v>345</v>
      </c>
      <c r="AE711" s="17" t="s">
        <v>346</v>
      </c>
      <c r="AF711" s="23" t="str">
        <f>IFERROR(VLOOKUP(AE711,Listas!$AD$1:$AF$65,2,FALSE),"")</f>
        <v>RODOLFO GIOVANNI CANCHILA SUÁREZ</v>
      </c>
      <c r="AG711" s="23">
        <f>IFERROR(VLOOKUP(AE711,Listas!$AD$1:$AF$65,3,FALSE),"")</f>
        <v>79672493</v>
      </c>
      <c r="AH711" s="17" t="s">
        <v>118</v>
      </c>
      <c r="AI711" s="65" t="s">
        <v>5704</v>
      </c>
      <c r="AJ711" s="25" t="s">
        <v>119</v>
      </c>
      <c r="AK711" s="26" t="s">
        <v>120</v>
      </c>
      <c r="AL711" s="26" t="s">
        <v>120</v>
      </c>
      <c r="AM711" s="90" t="s">
        <v>119</v>
      </c>
      <c r="AN711" s="105">
        <v>30123</v>
      </c>
      <c r="AO711" s="91">
        <f t="shared" ca="1" si="296"/>
        <v>43</v>
      </c>
      <c r="AP711" s="26" t="s">
        <v>121</v>
      </c>
      <c r="AQ711" s="26" t="s">
        <v>347</v>
      </c>
      <c r="AR711" s="89"/>
      <c r="AS711" s="27"/>
      <c r="AT711" s="16"/>
      <c r="AU711" s="27"/>
      <c r="AV711" s="86"/>
      <c r="AW711" s="27"/>
      <c r="AX711" s="27"/>
      <c r="AY711" s="27"/>
      <c r="AZ711" s="27"/>
      <c r="BA711" s="27"/>
      <c r="BB711" s="27"/>
      <c r="BC711" s="97"/>
      <c r="BD711" s="27"/>
      <c r="BE711" s="16"/>
      <c r="BF711" s="28">
        <f t="shared" si="297"/>
        <v>0</v>
      </c>
      <c r="BG711" s="29"/>
      <c r="BH711" s="27"/>
      <c r="BI711" s="30">
        <f t="shared" si="298"/>
        <v>283</v>
      </c>
      <c r="BJ711" s="31">
        <f t="shared" si="299"/>
        <v>45656</v>
      </c>
      <c r="BK711" s="27"/>
      <c r="BL711" s="16"/>
      <c r="BM711" s="27"/>
      <c r="BN711" s="16"/>
      <c r="BO711" s="27"/>
      <c r="BP711" s="16"/>
      <c r="BQ711" s="27"/>
      <c r="BR711" s="24"/>
      <c r="BS711" s="24"/>
      <c r="BT711" s="32"/>
      <c r="BU711" s="27"/>
      <c r="BV711" s="24"/>
      <c r="BW711" s="24"/>
      <c r="BX711" s="16"/>
      <c r="BY711" s="27"/>
      <c r="BZ711" s="24"/>
      <c r="CA711" s="24"/>
      <c r="CB711" s="16"/>
      <c r="CC711" s="49">
        <f t="shared" si="303"/>
        <v>0</v>
      </c>
      <c r="CD711" s="24"/>
      <c r="CE711" s="49">
        <f t="shared" si="302"/>
        <v>65116205</v>
      </c>
      <c r="CF711" s="50"/>
      <c r="CG711" s="49">
        <f t="shared" ca="1" si="301"/>
        <v>65116205</v>
      </c>
      <c r="CH711" s="33">
        <f t="shared" ca="1" si="291"/>
        <v>1</v>
      </c>
      <c r="CI711" s="33">
        <f t="shared" ca="1" si="292"/>
        <v>1</v>
      </c>
      <c r="CJ711" s="36">
        <f t="shared" ca="1" si="287"/>
        <v>100</v>
      </c>
      <c r="CK711" s="34">
        <f t="shared" si="288"/>
        <v>0</v>
      </c>
      <c r="CL711" s="21"/>
      <c r="CM711" s="35" t="str">
        <f t="shared" ca="1" si="300"/>
        <v>TERMINADO</v>
      </c>
      <c r="CN711" s="82"/>
      <c r="CO711" s="145" t="s">
        <v>5705</v>
      </c>
      <c r="CP711" s="26" t="s">
        <v>123</v>
      </c>
    </row>
    <row r="712" spans="1:96" ht="24.75" customHeight="1">
      <c r="A712" s="48" t="s">
        <v>5706</v>
      </c>
      <c r="B712" s="77" t="s">
        <v>5707</v>
      </c>
      <c r="C712" s="17" t="s">
        <v>104</v>
      </c>
      <c r="D712" s="18" t="s">
        <v>5708</v>
      </c>
      <c r="E712" s="17" t="s">
        <v>4162</v>
      </c>
      <c r="F712" s="17" t="s">
        <v>1426</v>
      </c>
      <c r="G712" s="17" t="s">
        <v>1427</v>
      </c>
      <c r="H712" s="78" t="s">
        <v>5709</v>
      </c>
      <c r="I712" s="74" t="s">
        <v>5710</v>
      </c>
      <c r="J712" s="16" t="s">
        <v>5711</v>
      </c>
      <c r="K712" s="16">
        <v>79782221</v>
      </c>
      <c r="L712" s="20" t="s">
        <v>5712</v>
      </c>
      <c r="M712" s="16" t="s">
        <v>111</v>
      </c>
      <c r="N712" s="22">
        <v>45386</v>
      </c>
      <c r="O712" s="22">
        <v>45387</v>
      </c>
      <c r="P712" s="22">
        <v>45657</v>
      </c>
      <c r="Q712" s="23">
        <f t="shared" ref="Q712:Q743" si="304">P712-O712</f>
        <v>270</v>
      </c>
      <c r="R712" s="17" t="s">
        <v>112</v>
      </c>
      <c r="S712" s="117" t="s">
        <v>5713</v>
      </c>
      <c r="T712" s="16" t="s">
        <v>5714</v>
      </c>
      <c r="U712" s="67">
        <v>120000000</v>
      </c>
      <c r="V712" s="16" t="s">
        <v>5715</v>
      </c>
      <c r="W712" s="224">
        <v>99973388</v>
      </c>
      <c r="X712" s="24"/>
      <c r="Y712" s="24"/>
      <c r="Z712" s="24"/>
      <c r="AA712" s="17" t="s">
        <v>217</v>
      </c>
      <c r="AB712" s="23" t="str">
        <f>IFERROR(VLOOKUP(AA712,Listas!$A$1:$C$14,2,FALSE),"")</f>
        <v>EDGAR ANTONIO GÓMEZ ÁLVAREZ</v>
      </c>
      <c r="AC712" s="23">
        <f>IFERROR(VLOOKUP(AA712,Listas!$A$1:$C$14,3,FALSE),"")</f>
        <v>2231755</v>
      </c>
      <c r="AD712" s="17" t="s">
        <v>217</v>
      </c>
      <c r="AE712" s="17" t="s">
        <v>539</v>
      </c>
      <c r="AF712" s="23" t="str">
        <f>IFERROR(VLOOKUP(AE712,Listas!$AD$1:$AF$65,2,FALSE),"")</f>
        <v>DORIS POVEDA BELTRÁN</v>
      </c>
      <c r="AG712" s="23">
        <f>IFERROR(VLOOKUP(AE712,Listas!$AD$1:$AF$65,3,FALSE),"")</f>
        <v>52049845</v>
      </c>
      <c r="AH712" s="17" t="s">
        <v>118</v>
      </c>
      <c r="AI712" s="65"/>
      <c r="AJ712" s="25" t="s">
        <v>1435</v>
      </c>
      <c r="AK712" s="26" t="s">
        <v>2071</v>
      </c>
      <c r="AL712" s="26" t="s">
        <v>2071</v>
      </c>
      <c r="AM712" s="90" t="s">
        <v>1435</v>
      </c>
      <c r="AN712" s="105"/>
      <c r="AO712" s="91" t="str">
        <f t="shared" ref="AO712:AO743" ca="1" si="305">IF(YEAR(TODAY())-YEAR(AN712)&gt;100," ",YEAR(TODAY())-YEAR(AN712))</f>
        <v xml:space="preserve"> </v>
      </c>
      <c r="AP712" s="26" t="s">
        <v>121</v>
      </c>
      <c r="AQ712" s="26" t="s">
        <v>1272</v>
      </c>
      <c r="AR712" s="89"/>
      <c r="AS712" s="27"/>
      <c r="AT712" s="16"/>
      <c r="AU712" s="27"/>
      <c r="AV712" s="86"/>
      <c r="AW712" s="27"/>
      <c r="AX712" s="27"/>
      <c r="AY712" s="27"/>
      <c r="AZ712" s="27"/>
      <c r="BA712" s="27"/>
      <c r="BB712" s="27">
        <v>45639</v>
      </c>
      <c r="BC712" s="97">
        <v>273</v>
      </c>
      <c r="BD712" s="27"/>
      <c r="BE712" s="16"/>
      <c r="BF712" s="28">
        <f t="shared" ref="BF712:BF743" si="306">BC712+BE712</f>
        <v>273</v>
      </c>
      <c r="BG712" s="29"/>
      <c r="BH712" s="27"/>
      <c r="BI712" s="30">
        <f t="shared" ref="BI712:BI743" si="307">BF712+Q712</f>
        <v>543</v>
      </c>
      <c r="BJ712" s="31">
        <f t="shared" ref="BJ712:BJ743" si="308">IF(BH712="",P712+BF712,BH712)</f>
        <v>45930</v>
      </c>
      <c r="BK712" s="27"/>
      <c r="BL712" s="16"/>
      <c r="BM712" s="27"/>
      <c r="BN712" s="16"/>
      <c r="BO712" s="27"/>
      <c r="BP712" s="16"/>
      <c r="BQ712" s="27"/>
      <c r="BR712" s="24"/>
      <c r="BS712" s="24"/>
      <c r="BT712" s="32"/>
      <c r="BU712" s="27"/>
      <c r="BV712" s="24"/>
      <c r="BW712" s="24"/>
      <c r="BX712" s="16"/>
      <c r="BY712" s="27"/>
      <c r="BZ712" s="24"/>
      <c r="CA712" s="24"/>
      <c r="CB712" s="16"/>
      <c r="CC712" s="49">
        <f t="shared" si="303"/>
        <v>0</v>
      </c>
      <c r="CD712" s="24"/>
      <c r="CE712" s="49">
        <f t="shared" si="302"/>
        <v>99973388</v>
      </c>
      <c r="CF712" s="50"/>
      <c r="CG712" s="49">
        <f t="shared" ca="1" si="301"/>
        <v>99973388</v>
      </c>
      <c r="CH712" s="33">
        <f t="shared" ca="1" si="291"/>
        <v>1</v>
      </c>
      <c r="CI712" s="33">
        <f t="shared" ca="1" si="292"/>
        <v>1</v>
      </c>
      <c r="CJ712" s="36">
        <f t="shared" ref="CJ712:CJ775" ca="1" si="309">IFERROR(IF(((CG712/CE712)*100)&gt;100,100,((CG712/CE712)*100)),"")</f>
        <v>100</v>
      </c>
      <c r="CK712" s="34">
        <f t="shared" ref="CK712:CK775" si="310">IFERROR((CF712/CE712)*100,"")</f>
        <v>0</v>
      </c>
      <c r="CL712" s="21"/>
      <c r="CM712" s="35" t="str">
        <f t="shared" ref="CM712:CM743" ca="1" si="311">IF(CL712&gt;1/1/6,"LIQUIDADO",IF(BJ712=$BE$20003,"",IF(BJ712&gt;=TODAY(),"VIGENTE",IF(BJ712&lt;TODAY(),"TERMINADO",))))</f>
        <v>TERMINADO</v>
      </c>
      <c r="CN712" s="82"/>
      <c r="CP712" s="83" t="s">
        <v>1424</v>
      </c>
    </row>
    <row r="713" spans="1:96" s="85" customFormat="1" ht="24.75" customHeight="1">
      <c r="A713" s="48" t="s">
        <v>1424</v>
      </c>
      <c r="B713" s="77" t="s">
        <v>5716</v>
      </c>
      <c r="C713" s="17" t="s">
        <v>2927</v>
      </c>
      <c r="D713" s="18" t="s">
        <v>5717</v>
      </c>
      <c r="E713" s="17" t="s">
        <v>2929</v>
      </c>
      <c r="F713" s="17" t="s">
        <v>1426</v>
      </c>
      <c r="G713" s="17" t="s">
        <v>1427</v>
      </c>
      <c r="H713" s="78" t="s">
        <v>5718</v>
      </c>
      <c r="I713" s="74" t="s">
        <v>5719</v>
      </c>
      <c r="J713" s="16" t="s">
        <v>5720</v>
      </c>
      <c r="K713" s="16">
        <v>73167849</v>
      </c>
      <c r="L713" s="20" t="s">
        <v>5291</v>
      </c>
      <c r="M713" s="16"/>
      <c r="N713" s="22">
        <v>45372</v>
      </c>
      <c r="O713" s="22">
        <v>45372</v>
      </c>
      <c r="P713" s="22">
        <v>45737</v>
      </c>
      <c r="Q713" s="23">
        <f t="shared" si="304"/>
        <v>365</v>
      </c>
      <c r="R713" s="17" t="s">
        <v>2934</v>
      </c>
      <c r="S713" s="117" t="s">
        <v>1424</v>
      </c>
      <c r="T713" s="16" t="s">
        <v>1424</v>
      </c>
      <c r="U713" s="67" t="s">
        <v>1424</v>
      </c>
      <c r="V713" s="16" t="s">
        <v>1424</v>
      </c>
      <c r="W713" s="224">
        <v>0</v>
      </c>
      <c r="X713" s="24"/>
      <c r="Y713" s="24" t="s">
        <v>2935</v>
      </c>
      <c r="Z713" s="24"/>
      <c r="AA713" s="17" t="s">
        <v>406</v>
      </c>
      <c r="AB713" s="23" t="str">
        <f>IFERROR(VLOOKUP(AA713,Listas!$A$1:$C$14,2,FALSE),"")</f>
        <v>EDUARDO ELÍAS BARCHA BOLÍVAR</v>
      </c>
      <c r="AC713" s="23">
        <f>IFERROR(VLOOKUP(AA713,Listas!$A$1:$C$14,3,FALSE),"")</f>
        <v>72133921</v>
      </c>
      <c r="AD713" s="17" t="s">
        <v>903</v>
      </c>
      <c r="AE713" s="17" t="s">
        <v>904</v>
      </c>
      <c r="AF713" s="23" t="str">
        <f>IFERROR(VLOOKUP(AE713,Listas!$AD$1:$AF$65,2,FALSE),"")</f>
        <v>VIVIANA MARGARITA ROMERO</v>
      </c>
      <c r="AG713" s="23">
        <f>IFERROR(VLOOKUP(AE713,Listas!$AD$1:$AF$65,3,FALSE),"")</f>
        <v>32794946</v>
      </c>
      <c r="AH713" s="17" t="s">
        <v>2936</v>
      </c>
      <c r="AI713" s="65"/>
      <c r="AJ713" s="25" t="s">
        <v>1435</v>
      </c>
      <c r="AK713" s="26" t="s">
        <v>2071</v>
      </c>
      <c r="AL713" s="26" t="s">
        <v>2071</v>
      </c>
      <c r="AM713" s="90" t="s">
        <v>1435</v>
      </c>
      <c r="AN713" s="105"/>
      <c r="AO713" s="91" t="str">
        <f t="shared" ca="1" si="305"/>
        <v xml:space="preserve"> </v>
      </c>
      <c r="AP713" s="26" t="s">
        <v>2937</v>
      </c>
      <c r="AQ713" s="26" t="s">
        <v>3453</v>
      </c>
      <c r="AR713" s="89"/>
      <c r="AS713" s="27"/>
      <c r="AT713" s="16"/>
      <c r="AU713" s="27"/>
      <c r="AV713" s="86"/>
      <c r="AW713" s="27"/>
      <c r="AX713" s="27"/>
      <c r="AY713" s="27"/>
      <c r="AZ713" s="27"/>
      <c r="BA713" s="27"/>
      <c r="BB713" s="27">
        <v>45679</v>
      </c>
      <c r="BC713" s="97">
        <v>285</v>
      </c>
      <c r="BD713" s="27"/>
      <c r="BE713" s="16"/>
      <c r="BF713" s="28">
        <f t="shared" si="306"/>
        <v>285</v>
      </c>
      <c r="BG713" s="29"/>
      <c r="BH713" s="27"/>
      <c r="BI713" s="30">
        <f t="shared" si="307"/>
        <v>650</v>
      </c>
      <c r="BJ713" s="31">
        <f t="shared" si="308"/>
        <v>46022</v>
      </c>
      <c r="BK713" s="27">
        <v>45679</v>
      </c>
      <c r="BL713" s="16" t="s">
        <v>5721</v>
      </c>
      <c r="BM713" s="27"/>
      <c r="BN713" s="16"/>
      <c r="BO713" s="27"/>
      <c r="BP713" s="16"/>
      <c r="BQ713" s="27"/>
      <c r="BR713" s="24"/>
      <c r="BS713" s="24"/>
      <c r="BT713" s="32"/>
      <c r="BU713" s="27"/>
      <c r="BV713" s="24"/>
      <c r="BW713" s="24"/>
      <c r="BX713" s="16"/>
      <c r="BY713" s="27"/>
      <c r="BZ713" s="24"/>
      <c r="CA713" s="24"/>
      <c r="CB713" s="16"/>
      <c r="CC713" s="49">
        <f t="shared" si="303"/>
        <v>0</v>
      </c>
      <c r="CD713" s="24"/>
      <c r="CE713" s="49" t="str">
        <f>IFERROR(IF(Y713=0,(W713+CC713)-CD713,IF(Y713&gt;0,(Y713+CC713)-CD713)),"")</f>
        <v/>
      </c>
      <c r="CF713" s="50">
        <v>806585620</v>
      </c>
      <c r="CG713" s="49" t="str">
        <f t="shared" ca="1" si="301"/>
        <v/>
      </c>
      <c r="CH713" s="33">
        <f t="shared" ca="1" si="291"/>
        <v>0.88906249999999998</v>
      </c>
      <c r="CI713" s="33">
        <f t="shared" ca="1" si="292"/>
        <v>0.88906249999999998</v>
      </c>
      <c r="CJ713" s="36" t="str">
        <f t="shared" ca="1" si="309"/>
        <v/>
      </c>
      <c r="CK713" s="34" t="str">
        <f t="shared" si="310"/>
        <v/>
      </c>
      <c r="CL713" s="21"/>
      <c r="CM713" s="35" t="str">
        <f t="shared" ca="1" si="311"/>
        <v>VIGENTE</v>
      </c>
      <c r="CN713" s="82"/>
      <c r="CO713" s="145"/>
      <c r="CP713" s="83" t="s">
        <v>1424</v>
      </c>
      <c r="CQ713" s="83"/>
      <c r="CR713" s="83"/>
    </row>
    <row r="714" spans="1:96" s="85" customFormat="1" ht="24.75" customHeight="1">
      <c r="A714" s="48" t="s">
        <v>1424</v>
      </c>
      <c r="B714" s="77" t="s">
        <v>5722</v>
      </c>
      <c r="C714" s="17" t="s">
        <v>2927</v>
      </c>
      <c r="D714" s="18" t="s">
        <v>5723</v>
      </c>
      <c r="E714" s="17" t="s">
        <v>2929</v>
      </c>
      <c r="F714" s="17" t="s">
        <v>1426</v>
      </c>
      <c r="G714" s="17" t="s">
        <v>1427</v>
      </c>
      <c r="H714" s="78" t="s">
        <v>5724</v>
      </c>
      <c r="I714" s="74" t="s">
        <v>5725</v>
      </c>
      <c r="J714" s="16" t="s">
        <v>5726</v>
      </c>
      <c r="K714" s="16">
        <v>80808648</v>
      </c>
      <c r="L714" s="20" t="s">
        <v>5291</v>
      </c>
      <c r="M714" s="16"/>
      <c r="N714" s="22">
        <v>45373</v>
      </c>
      <c r="O714" s="22">
        <v>45373</v>
      </c>
      <c r="P714" s="22">
        <v>45738</v>
      </c>
      <c r="Q714" s="23">
        <f t="shared" si="304"/>
        <v>365</v>
      </c>
      <c r="R714" s="17" t="s">
        <v>2934</v>
      </c>
      <c r="S714" s="117" t="s">
        <v>1424</v>
      </c>
      <c r="T714" s="16" t="s">
        <v>1424</v>
      </c>
      <c r="U714" s="67" t="s">
        <v>1424</v>
      </c>
      <c r="V714" s="16" t="s">
        <v>1424</v>
      </c>
      <c r="W714" s="224">
        <v>0</v>
      </c>
      <c r="X714" s="24"/>
      <c r="Y714" s="24" t="s">
        <v>2935</v>
      </c>
      <c r="Z714" s="24"/>
      <c r="AA714" s="17" t="s">
        <v>406</v>
      </c>
      <c r="AB714" s="23" t="str">
        <f>IFERROR(VLOOKUP(AA714,Listas!$A$1:$C$14,2,FALSE),"")</f>
        <v>EDUARDO ELÍAS BARCHA BOLÍVAR</v>
      </c>
      <c r="AC714" s="23">
        <f>IFERROR(VLOOKUP(AA714,Listas!$A$1:$C$14,3,FALSE),"")</f>
        <v>72133921</v>
      </c>
      <c r="AD714" s="17" t="s">
        <v>1533</v>
      </c>
      <c r="AE714" s="17" t="s">
        <v>1534</v>
      </c>
      <c r="AF714" s="23" t="str">
        <f>IFERROR(VLOOKUP(AE714,Listas!$AD$1:$AF$65,2,FALSE),"")</f>
        <v>ESTEBAN GUERRERO ALVAREZ</v>
      </c>
      <c r="AG714" s="23">
        <f>IFERROR(VLOOKUP(AE714,Listas!$AD$1:$AF$65,3,FALSE),"")</f>
        <v>1032460552</v>
      </c>
      <c r="AH714" s="17" t="s">
        <v>2936</v>
      </c>
      <c r="AI714" s="65"/>
      <c r="AJ714" s="25" t="s">
        <v>1435</v>
      </c>
      <c r="AK714" s="26" t="s">
        <v>2071</v>
      </c>
      <c r="AL714" s="26" t="s">
        <v>2071</v>
      </c>
      <c r="AM714" s="90" t="s">
        <v>1435</v>
      </c>
      <c r="AN714" s="105"/>
      <c r="AO714" s="91" t="str">
        <f t="shared" ca="1" si="305"/>
        <v xml:space="preserve"> </v>
      </c>
      <c r="AP714" s="26" t="s">
        <v>2937</v>
      </c>
      <c r="AQ714" s="26" t="s">
        <v>2938</v>
      </c>
      <c r="AR714" s="89"/>
      <c r="AS714" s="27"/>
      <c r="AT714" s="16"/>
      <c r="AU714" s="27"/>
      <c r="AV714" s="86"/>
      <c r="AW714" s="27"/>
      <c r="AX714" s="27"/>
      <c r="AY714" s="27"/>
      <c r="AZ714" s="27"/>
      <c r="BA714" s="27"/>
      <c r="BB714" s="27">
        <v>45709</v>
      </c>
      <c r="BC714" s="97">
        <v>284</v>
      </c>
      <c r="BD714" s="27"/>
      <c r="BE714" s="16"/>
      <c r="BF714" s="28">
        <f t="shared" si="306"/>
        <v>284</v>
      </c>
      <c r="BG714" s="29"/>
      <c r="BH714" s="27"/>
      <c r="BI714" s="30">
        <f t="shared" si="307"/>
        <v>649</v>
      </c>
      <c r="BJ714" s="31">
        <f t="shared" si="308"/>
        <v>46022</v>
      </c>
      <c r="BK714" s="27">
        <v>45709</v>
      </c>
      <c r="BL714" s="16" t="s">
        <v>5727</v>
      </c>
      <c r="BM714" s="27"/>
      <c r="BN714" s="16"/>
      <c r="BO714" s="27"/>
      <c r="BP714" s="16"/>
      <c r="BQ714" s="27"/>
      <c r="BR714" s="24"/>
      <c r="BS714" s="24"/>
      <c r="BT714" s="32"/>
      <c r="BU714" s="27"/>
      <c r="BV714" s="24"/>
      <c r="BW714" s="24"/>
      <c r="BX714" s="16"/>
      <c r="BY714" s="27"/>
      <c r="BZ714" s="24"/>
      <c r="CA714" s="24"/>
      <c r="CB714" s="16"/>
      <c r="CC714" s="49">
        <f t="shared" si="303"/>
        <v>0</v>
      </c>
      <c r="CD714" s="24"/>
      <c r="CE714" s="49" t="str">
        <f>IFERROR(IF(Y714=0,(W714+CC714)-CD714,IF(Y714&gt;0,(Y714+CC714)-CD714)),"")</f>
        <v/>
      </c>
      <c r="CF714" s="50">
        <v>26903696.41</v>
      </c>
      <c r="CG714" s="49" t="str">
        <f t="shared" ca="1" si="301"/>
        <v/>
      </c>
      <c r="CH714" s="33">
        <f t="shared" ca="1" si="291"/>
        <v>0.88888888888888884</v>
      </c>
      <c r="CI714" s="33">
        <f t="shared" ca="1" si="292"/>
        <v>0.88888888888888884</v>
      </c>
      <c r="CJ714" s="36" t="str">
        <f t="shared" ca="1" si="309"/>
        <v/>
      </c>
      <c r="CK714" s="34" t="str">
        <f t="shared" si="310"/>
        <v/>
      </c>
      <c r="CL714" s="21"/>
      <c r="CM714" s="35" t="str">
        <f t="shared" ca="1" si="311"/>
        <v>VIGENTE</v>
      </c>
      <c r="CN714" s="82"/>
      <c r="CO714" s="145"/>
      <c r="CP714" s="83" t="s">
        <v>1424</v>
      </c>
      <c r="CQ714" s="83"/>
      <c r="CR714" s="83"/>
    </row>
    <row r="715" spans="1:96" ht="24.75" customHeight="1">
      <c r="A715" s="48" t="s">
        <v>5728</v>
      </c>
      <c r="B715" s="77" t="s">
        <v>5729</v>
      </c>
      <c r="C715" s="17" t="s">
        <v>104</v>
      </c>
      <c r="D715" s="18" t="s">
        <v>5730</v>
      </c>
      <c r="E715" s="17" t="s">
        <v>106</v>
      </c>
      <c r="F715" s="17" t="s">
        <v>107</v>
      </c>
      <c r="G715" s="17" t="s">
        <v>5731</v>
      </c>
      <c r="H715" s="78">
        <v>407525</v>
      </c>
      <c r="I715" s="74" t="s">
        <v>5732</v>
      </c>
      <c r="J715" s="16"/>
      <c r="K715" s="16"/>
      <c r="L715" s="20" t="s">
        <v>5733</v>
      </c>
      <c r="M715" s="16" t="s">
        <v>111</v>
      </c>
      <c r="N715" s="22">
        <v>45373</v>
      </c>
      <c r="O715" s="22">
        <v>45384</v>
      </c>
      <c r="P715" s="22">
        <v>45656</v>
      </c>
      <c r="Q715" s="23">
        <f t="shared" si="304"/>
        <v>272</v>
      </c>
      <c r="R715" s="17" t="s">
        <v>242</v>
      </c>
      <c r="S715" s="117" t="s">
        <v>5734</v>
      </c>
      <c r="T715" s="16" t="s">
        <v>1345</v>
      </c>
      <c r="U715" s="67">
        <v>63579539</v>
      </c>
      <c r="V715" s="16" t="s">
        <v>344</v>
      </c>
      <c r="W715" s="224">
        <v>50268580</v>
      </c>
      <c r="X715" s="24">
        <v>5026858</v>
      </c>
      <c r="Y715" s="24"/>
      <c r="Z715" s="24"/>
      <c r="AA715" s="17" t="s">
        <v>116</v>
      </c>
      <c r="AB715" s="23" t="str">
        <f>IFERROR(VLOOKUP(AA715,Listas!$A$1:$C$14,2,FALSE),"")</f>
        <v>FREDY CÉSPEDES VILLA</v>
      </c>
      <c r="AC715" s="23">
        <f>IFERROR(VLOOKUP(AA715,Listas!$A$1:$C$14,3,FALSE),"")</f>
        <v>93363483</v>
      </c>
      <c r="AD715" s="17" t="s">
        <v>1533</v>
      </c>
      <c r="AE715" s="17" t="s">
        <v>1534</v>
      </c>
      <c r="AF715" s="23" t="str">
        <f>IFERROR(VLOOKUP(AE715,Listas!$AD$1:$AF$65,2,FALSE),"")</f>
        <v>ESTEBAN GUERRERO ALVAREZ</v>
      </c>
      <c r="AG715" s="23">
        <f>IFERROR(VLOOKUP(AE715,Listas!$AD$1:$AF$65,3,FALSE),"")</f>
        <v>1032460552</v>
      </c>
      <c r="AH715" s="17" t="s">
        <v>118</v>
      </c>
      <c r="AI715" s="65" t="s">
        <v>5735</v>
      </c>
      <c r="AJ715" s="25" t="s">
        <v>119</v>
      </c>
      <c r="AK715" s="26" t="s">
        <v>120</v>
      </c>
      <c r="AL715" s="26" t="s">
        <v>120</v>
      </c>
      <c r="AM715" s="90" t="s">
        <v>119</v>
      </c>
      <c r="AN715" s="105">
        <v>30181</v>
      </c>
      <c r="AO715" s="91">
        <f t="shared" ca="1" si="305"/>
        <v>43</v>
      </c>
      <c r="AP715" s="26" t="s">
        <v>121</v>
      </c>
      <c r="AQ715" s="26" t="s">
        <v>367</v>
      </c>
      <c r="AR715" s="89"/>
      <c r="AS715" s="27"/>
      <c r="AT715" s="16"/>
      <c r="AU715" s="27"/>
      <c r="AV715" s="86"/>
      <c r="AW715" s="27"/>
      <c r="AX715" s="27"/>
      <c r="AY715" s="27"/>
      <c r="AZ715" s="27"/>
      <c r="BA715" s="27"/>
      <c r="BB715" s="27"/>
      <c r="BC715" s="97"/>
      <c r="BD715" s="27"/>
      <c r="BE715" s="16"/>
      <c r="BF715" s="28">
        <f t="shared" si="306"/>
        <v>0</v>
      </c>
      <c r="BG715" s="29"/>
      <c r="BH715" s="27"/>
      <c r="BI715" s="30">
        <f t="shared" si="307"/>
        <v>272</v>
      </c>
      <c r="BJ715" s="31">
        <f t="shared" si="308"/>
        <v>45656</v>
      </c>
      <c r="BK715" s="27"/>
      <c r="BL715" s="16"/>
      <c r="BM715" s="27"/>
      <c r="BN715" s="16"/>
      <c r="BO715" s="27"/>
      <c r="BP715" s="16"/>
      <c r="BQ715" s="27"/>
      <c r="BR715" s="24"/>
      <c r="BS715" s="24"/>
      <c r="BT715" s="32"/>
      <c r="BU715" s="27"/>
      <c r="BV715" s="24"/>
      <c r="BW715" s="24"/>
      <c r="BX715" s="16"/>
      <c r="BY715" s="27"/>
      <c r="BZ715" s="24"/>
      <c r="CA715" s="24"/>
      <c r="CB715" s="16"/>
      <c r="CC715" s="49">
        <f t="shared" si="303"/>
        <v>0</v>
      </c>
      <c r="CD715" s="24"/>
      <c r="CE715" s="49">
        <f t="shared" si="302"/>
        <v>50268580</v>
      </c>
      <c r="CF715" s="50"/>
      <c r="CG715" s="49">
        <f t="shared" ca="1" si="301"/>
        <v>50268580</v>
      </c>
      <c r="CH715" s="33">
        <f t="shared" ca="1" si="291"/>
        <v>1</v>
      </c>
      <c r="CI715" s="33">
        <f t="shared" ca="1" si="292"/>
        <v>1</v>
      </c>
      <c r="CJ715" s="36">
        <f t="shared" ca="1" si="309"/>
        <v>100</v>
      </c>
      <c r="CK715" s="34">
        <f t="shared" si="310"/>
        <v>0</v>
      </c>
      <c r="CL715" s="21"/>
      <c r="CM715" s="35" t="str">
        <f t="shared" ca="1" si="311"/>
        <v>TERMINADO</v>
      </c>
      <c r="CN715" s="82"/>
      <c r="CO715" s="145" t="s">
        <v>5736</v>
      </c>
      <c r="CP715" s="26" t="s">
        <v>123</v>
      </c>
    </row>
    <row r="716" spans="1:96" ht="24.75" customHeight="1">
      <c r="A716" s="48" t="s">
        <v>1424</v>
      </c>
      <c r="B716" s="77" t="s">
        <v>5737</v>
      </c>
      <c r="C716" s="17" t="s">
        <v>2927</v>
      </c>
      <c r="D716" s="18" t="s">
        <v>5738</v>
      </c>
      <c r="E716" s="17" t="s">
        <v>2929</v>
      </c>
      <c r="F716" s="17" t="s">
        <v>1426</v>
      </c>
      <c r="G716" s="17" t="s">
        <v>1427</v>
      </c>
      <c r="H716" s="78" t="s">
        <v>5739</v>
      </c>
      <c r="I716" s="74" t="s">
        <v>5740</v>
      </c>
      <c r="J716" s="16" t="s">
        <v>5741</v>
      </c>
      <c r="K716" s="104">
        <v>41655882</v>
      </c>
      <c r="L716" s="20" t="s">
        <v>5291</v>
      </c>
      <c r="M716" s="16"/>
      <c r="N716" s="22">
        <v>45373</v>
      </c>
      <c r="O716" s="22">
        <v>45373</v>
      </c>
      <c r="P716" s="22">
        <v>45738</v>
      </c>
      <c r="Q716" s="23">
        <f t="shared" si="304"/>
        <v>365</v>
      </c>
      <c r="R716" s="17" t="s">
        <v>2934</v>
      </c>
      <c r="S716" s="117" t="s">
        <v>1424</v>
      </c>
      <c r="T716" s="16" t="s">
        <v>1424</v>
      </c>
      <c r="U716" s="67" t="s">
        <v>1424</v>
      </c>
      <c r="V716" s="16" t="s">
        <v>1424</v>
      </c>
      <c r="W716" s="224">
        <v>0</v>
      </c>
      <c r="X716" s="24"/>
      <c r="Y716" s="24" t="s">
        <v>2935</v>
      </c>
      <c r="Z716" s="24"/>
      <c r="AA716" s="17" t="s">
        <v>406</v>
      </c>
      <c r="AB716" s="23" t="str">
        <f>IFERROR(VLOOKUP(AA716,Listas!$A$1:$C$14,2,FALSE),"")</f>
        <v>EDUARDO ELÍAS BARCHA BOLÍVAR</v>
      </c>
      <c r="AC716" s="23">
        <f>IFERROR(VLOOKUP(AA716,Listas!$A$1:$C$14,3,FALSE),"")</f>
        <v>72133921</v>
      </c>
      <c r="AD716" s="17" t="s">
        <v>1533</v>
      </c>
      <c r="AE716" s="17" t="s">
        <v>1534</v>
      </c>
      <c r="AF716" s="23" t="str">
        <f>IFERROR(VLOOKUP(AE716,Listas!$AD$1:$AF$65,2,FALSE),"")</f>
        <v>ESTEBAN GUERRERO ALVAREZ</v>
      </c>
      <c r="AG716" s="23">
        <f>IFERROR(VLOOKUP(AE716,Listas!$AD$1:$AF$65,3,FALSE),"")</f>
        <v>1032460552</v>
      </c>
      <c r="AH716" s="17" t="s">
        <v>2936</v>
      </c>
      <c r="AI716" s="65"/>
      <c r="AJ716" s="25" t="s">
        <v>1435</v>
      </c>
      <c r="AK716" s="26" t="s">
        <v>2071</v>
      </c>
      <c r="AL716" s="26" t="s">
        <v>2071</v>
      </c>
      <c r="AM716" s="90" t="s">
        <v>1435</v>
      </c>
      <c r="AN716" s="105"/>
      <c r="AO716" s="91" t="str">
        <f t="shared" ca="1" si="305"/>
        <v xml:space="preserve"> </v>
      </c>
      <c r="AP716" s="26" t="s">
        <v>2937</v>
      </c>
      <c r="AQ716" s="26" t="s">
        <v>3453</v>
      </c>
      <c r="AR716" s="89"/>
      <c r="AS716" s="27"/>
      <c r="AT716" s="16"/>
      <c r="AU716" s="27"/>
      <c r="AV716" s="86"/>
      <c r="AW716" s="27"/>
      <c r="AX716" s="27"/>
      <c r="AY716" s="27"/>
      <c r="AZ716" s="27"/>
      <c r="BA716" s="27"/>
      <c r="BB716" s="27">
        <v>45737</v>
      </c>
      <c r="BC716" s="97">
        <v>284</v>
      </c>
      <c r="BD716" s="27"/>
      <c r="BE716" s="16"/>
      <c r="BF716" s="28">
        <f t="shared" si="306"/>
        <v>284</v>
      </c>
      <c r="BG716" s="29"/>
      <c r="BH716" s="27"/>
      <c r="BI716" s="30">
        <f t="shared" si="307"/>
        <v>649</v>
      </c>
      <c r="BJ716" s="31">
        <f t="shared" si="308"/>
        <v>46022</v>
      </c>
      <c r="BK716" s="27">
        <v>45737</v>
      </c>
      <c r="BL716" s="16" t="s">
        <v>5742</v>
      </c>
      <c r="BM716" s="27"/>
      <c r="BN716" s="16"/>
      <c r="BO716" s="27"/>
      <c r="BP716" s="16"/>
      <c r="BQ716" s="27"/>
      <c r="BR716" s="24"/>
      <c r="BS716" s="24"/>
      <c r="BT716" s="32"/>
      <c r="BU716" s="27"/>
      <c r="BV716" s="24"/>
      <c r="BW716" s="24"/>
      <c r="BX716" s="16"/>
      <c r="BY716" s="27"/>
      <c r="BZ716" s="24"/>
      <c r="CA716" s="24"/>
      <c r="CB716" s="16"/>
      <c r="CC716" s="49">
        <f t="shared" si="303"/>
        <v>0</v>
      </c>
      <c r="CD716" s="24"/>
      <c r="CE716" s="49" t="str">
        <f>IFERROR(IF(Y716=0,(W716+CC716)-CD716,IF(Y716&gt;0,(Y716+CC716)-CD716)),"")</f>
        <v/>
      </c>
      <c r="CF716" s="50">
        <v>1118806051</v>
      </c>
      <c r="CG716" s="49" t="str">
        <f t="shared" ca="1" si="301"/>
        <v/>
      </c>
      <c r="CH716" s="33">
        <f t="shared" ca="1" si="291"/>
        <v>0.88888888888888884</v>
      </c>
      <c r="CI716" s="33">
        <f t="shared" ca="1" si="292"/>
        <v>0.88888888888888884</v>
      </c>
      <c r="CJ716" s="36" t="str">
        <f t="shared" ca="1" si="309"/>
        <v/>
      </c>
      <c r="CK716" s="34" t="str">
        <f t="shared" si="310"/>
        <v/>
      </c>
      <c r="CL716" s="21"/>
      <c r="CM716" s="35" t="str">
        <f t="shared" ca="1" si="311"/>
        <v>VIGENTE</v>
      </c>
      <c r="CN716" s="82"/>
      <c r="CP716" s="83" t="s">
        <v>1424</v>
      </c>
    </row>
    <row r="717" spans="1:96" ht="24.75" customHeight="1">
      <c r="A717" s="48" t="s">
        <v>1424</v>
      </c>
      <c r="B717" s="77" t="s">
        <v>5743</v>
      </c>
      <c r="C717" s="17" t="s">
        <v>2927</v>
      </c>
      <c r="D717" s="18" t="s">
        <v>5744</v>
      </c>
      <c r="E717" s="17" t="s">
        <v>2929</v>
      </c>
      <c r="F717" s="17" t="s">
        <v>1426</v>
      </c>
      <c r="G717" s="17" t="s">
        <v>1427</v>
      </c>
      <c r="H717" s="78" t="s">
        <v>5745</v>
      </c>
      <c r="I717" s="74" t="s">
        <v>5746</v>
      </c>
      <c r="J717" s="16" t="s">
        <v>5747</v>
      </c>
      <c r="K717" s="104">
        <v>71786515</v>
      </c>
      <c r="L717" s="20" t="s">
        <v>5525</v>
      </c>
      <c r="M717" s="16"/>
      <c r="N717" s="22">
        <v>45377</v>
      </c>
      <c r="O717" s="22">
        <v>45377</v>
      </c>
      <c r="P717" s="22">
        <v>45742</v>
      </c>
      <c r="Q717" s="23">
        <f t="shared" si="304"/>
        <v>365</v>
      </c>
      <c r="R717" s="17" t="s">
        <v>2934</v>
      </c>
      <c r="S717" s="117" t="s">
        <v>1424</v>
      </c>
      <c r="T717" s="16" t="s">
        <v>1424</v>
      </c>
      <c r="U717" s="67" t="s">
        <v>1424</v>
      </c>
      <c r="V717" s="16" t="s">
        <v>1424</v>
      </c>
      <c r="W717" s="224">
        <v>0</v>
      </c>
      <c r="X717" s="24"/>
      <c r="Y717" s="24" t="s">
        <v>2935</v>
      </c>
      <c r="Z717" s="24"/>
      <c r="AA717" s="17" t="s">
        <v>406</v>
      </c>
      <c r="AB717" s="23" t="str">
        <f>IFERROR(VLOOKUP(AA717,Listas!$A$1:$C$14,2,FALSE),"")</f>
        <v>EDUARDO ELÍAS BARCHA BOLÍVAR</v>
      </c>
      <c r="AC717" s="23">
        <f>IFERROR(VLOOKUP(AA717,Listas!$A$1:$C$14,3,FALSE),"")</f>
        <v>72133921</v>
      </c>
      <c r="AD717" s="17" t="s">
        <v>472</v>
      </c>
      <c r="AE717" s="17" t="s">
        <v>473</v>
      </c>
      <c r="AF717" s="23" t="str">
        <f>IFERROR(VLOOKUP(AE717,Listas!$AD$1:$AF$65,2,FALSE),"")</f>
        <v>DANIEL ALBERTO CASTAÑO LOPEZ</v>
      </c>
      <c r="AG717" s="23">
        <f>IFERROR(VLOOKUP(AE717,Listas!$AD$1:$AF$65,3,FALSE),"")</f>
        <v>7544385</v>
      </c>
      <c r="AH717" s="17" t="s">
        <v>2936</v>
      </c>
      <c r="AI717" s="65"/>
      <c r="AJ717" s="25" t="s">
        <v>1435</v>
      </c>
      <c r="AK717" s="26" t="s">
        <v>2071</v>
      </c>
      <c r="AL717" s="26" t="s">
        <v>2071</v>
      </c>
      <c r="AM717" s="90" t="s">
        <v>1435</v>
      </c>
      <c r="AN717" s="105"/>
      <c r="AO717" s="91" t="str">
        <f t="shared" ca="1" si="305"/>
        <v xml:space="preserve"> </v>
      </c>
      <c r="AP717" s="26" t="s">
        <v>2937</v>
      </c>
      <c r="AQ717" s="26" t="s">
        <v>4526</v>
      </c>
      <c r="AR717" s="89"/>
      <c r="AS717" s="27"/>
      <c r="AT717" s="16"/>
      <c r="AU717" s="27"/>
      <c r="AV717" s="86"/>
      <c r="AW717" s="27"/>
      <c r="AX717" s="27"/>
      <c r="AY717" s="27"/>
      <c r="AZ717" s="27"/>
      <c r="BA717" s="27"/>
      <c r="BB717" s="27">
        <v>45741</v>
      </c>
      <c r="BC717" s="97">
        <v>280</v>
      </c>
      <c r="BD717" s="27"/>
      <c r="BE717" s="16"/>
      <c r="BF717" s="28">
        <f t="shared" si="306"/>
        <v>280</v>
      </c>
      <c r="BG717" s="29"/>
      <c r="BH717" s="27"/>
      <c r="BI717" s="30">
        <f t="shared" si="307"/>
        <v>645</v>
      </c>
      <c r="BJ717" s="31">
        <f t="shared" si="308"/>
        <v>46022</v>
      </c>
      <c r="BK717" s="27">
        <v>45741</v>
      </c>
      <c r="BL717" s="16" t="s">
        <v>5748</v>
      </c>
      <c r="BM717" s="27"/>
      <c r="BN717" s="16"/>
      <c r="BO717" s="27"/>
      <c r="BP717" s="16"/>
      <c r="BQ717" s="27"/>
      <c r="BR717" s="24"/>
      <c r="BS717" s="24"/>
      <c r="BT717" s="32"/>
      <c r="BU717" s="27"/>
      <c r="BV717" s="24"/>
      <c r="BW717" s="24"/>
      <c r="BX717" s="16"/>
      <c r="BY717" s="27"/>
      <c r="BZ717" s="24"/>
      <c r="CA717" s="24"/>
      <c r="CB717" s="16"/>
      <c r="CC717" s="49">
        <f t="shared" si="303"/>
        <v>0</v>
      </c>
      <c r="CD717" s="24"/>
      <c r="CE717" s="49" t="str">
        <f>IFERROR(IF(Y717=0,(W717+CC717)-CD717,IF(Y717&gt;0,(Y717+CC717)-CD717)),"")</f>
        <v/>
      </c>
      <c r="CF717" s="50">
        <v>1118806051</v>
      </c>
      <c r="CG717" s="49" t="str">
        <f t="shared" ca="1" si="301"/>
        <v/>
      </c>
      <c r="CH717" s="33">
        <f t="shared" ca="1" si="291"/>
        <v>0.8881889763779528</v>
      </c>
      <c r="CI717" s="33">
        <f t="shared" ca="1" si="292"/>
        <v>0.8881889763779528</v>
      </c>
      <c r="CJ717" s="36" t="str">
        <f t="shared" ca="1" si="309"/>
        <v/>
      </c>
      <c r="CK717" s="34" t="str">
        <f t="shared" si="310"/>
        <v/>
      </c>
      <c r="CL717" s="21"/>
      <c r="CM717" s="35" t="str">
        <f t="shared" ca="1" si="311"/>
        <v>VIGENTE</v>
      </c>
      <c r="CN717" s="82"/>
      <c r="CP717" s="83" t="s">
        <v>1424</v>
      </c>
    </row>
    <row r="718" spans="1:96" ht="24.75" customHeight="1">
      <c r="A718" s="48" t="s">
        <v>5749</v>
      </c>
      <c r="B718" s="77" t="s">
        <v>5750</v>
      </c>
      <c r="C718" s="17" t="s">
        <v>104</v>
      </c>
      <c r="D718" s="18" t="s">
        <v>5751</v>
      </c>
      <c r="E718" s="17" t="s">
        <v>106</v>
      </c>
      <c r="F718" s="17" t="s">
        <v>107</v>
      </c>
      <c r="G718" s="17" t="s">
        <v>108</v>
      </c>
      <c r="H718" s="78">
        <v>1073516092</v>
      </c>
      <c r="I718" s="74" t="s">
        <v>5752</v>
      </c>
      <c r="J718" s="16"/>
      <c r="K718" s="16"/>
      <c r="L718" s="20" t="s">
        <v>2851</v>
      </c>
      <c r="M718" s="16" t="s">
        <v>111</v>
      </c>
      <c r="N718" s="22">
        <v>45385</v>
      </c>
      <c r="O718" s="22">
        <v>45387</v>
      </c>
      <c r="P718" s="22">
        <v>45656</v>
      </c>
      <c r="Q718" s="23">
        <f t="shared" si="304"/>
        <v>269</v>
      </c>
      <c r="R718" s="17" t="s">
        <v>242</v>
      </c>
      <c r="S718" s="16" t="s">
        <v>5753</v>
      </c>
      <c r="T718" s="16" t="s">
        <v>1128</v>
      </c>
      <c r="U718" s="67">
        <v>59520000</v>
      </c>
      <c r="V718" s="16" t="s">
        <v>815</v>
      </c>
      <c r="W718" s="224">
        <v>59520000</v>
      </c>
      <c r="X718" s="24">
        <v>6400000</v>
      </c>
      <c r="Y718" s="24"/>
      <c r="Z718" s="24"/>
      <c r="AA718" s="17" t="s">
        <v>116</v>
      </c>
      <c r="AB718" s="23" t="str">
        <f>IFERROR(VLOOKUP(AA718,Listas!$A$1:$C$14,2,FALSE),"")</f>
        <v>FREDY CÉSPEDES VILLA</v>
      </c>
      <c r="AC718" s="23">
        <f>IFERROR(VLOOKUP(AA718,Listas!$A$1:$C$14,3,FALSE),"")</f>
        <v>93363483</v>
      </c>
      <c r="AD718" s="17" t="s">
        <v>816</v>
      </c>
      <c r="AE718" s="17" t="s">
        <v>817</v>
      </c>
      <c r="AF718" s="23" t="str">
        <f>IFERROR(VLOOKUP(AE718,Listas!$AD$1:$AF$65,2,FALSE),"")</f>
        <v>JOSÉ EDUARDO PARADA JIMÉNEZ</v>
      </c>
      <c r="AG718" s="23">
        <f>IFERROR(VLOOKUP(AE718,Listas!$AD$1:$AF$65,3,FALSE),"")</f>
        <v>79434805</v>
      </c>
      <c r="AH718" s="17" t="s">
        <v>118</v>
      </c>
      <c r="AI718" s="65" t="s">
        <v>4173</v>
      </c>
      <c r="AJ718" s="25" t="s">
        <v>119</v>
      </c>
      <c r="AK718" s="26" t="s">
        <v>120</v>
      </c>
      <c r="AL718" s="26" t="s">
        <v>120</v>
      </c>
      <c r="AM718" s="90" t="s">
        <v>119</v>
      </c>
      <c r="AN718" s="105">
        <v>34701</v>
      </c>
      <c r="AO718" s="91">
        <f t="shared" ca="1" si="305"/>
        <v>30</v>
      </c>
      <c r="AP718" s="26" t="s">
        <v>121</v>
      </c>
      <c r="AQ718" s="26" t="s">
        <v>819</v>
      </c>
      <c r="AR718" s="89"/>
      <c r="AS718" s="27"/>
      <c r="AT718" s="16"/>
      <c r="AU718" s="27"/>
      <c r="AV718" s="86"/>
      <c r="AW718" s="27"/>
      <c r="AX718" s="27"/>
      <c r="AY718" s="27"/>
      <c r="AZ718" s="27"/>
      <c r="BA718" s="27"/>
      <c r="BB718" s="27"/>
      <c r="BC718" s="97"/>
      <c r="BD718" s="27"/>
      <c r="BE718" s="16"/>
      <c r="BF718" s="28">
        <f t="shared" si="306"/>
        <v>0</v>
      </c>
      <c r="BG718" s="29"/>
      <c r="BH718" s="27"/>
      <c r="BI718" s="30">
        <f t="shared" si="307"/>
        <v>269</v>
      </c>
      <c r="BJ718" s="31">
        <f t="shared" si="308"/>
        <v>45656</v>
      </c>
      <c r="BK718" s="27"/>
      <c r="BL718" s="16"/>
      <c r="BM718" s="27"/>
      <c r="BN718" s="16"/>
      <c r="BO718" s="27"/>
      <c r="BP718" s="16"/>
      <c r="BQ718" s="27"/>
      <c r="BR718" s="24"/>
      <c r="BS718" s="24"/>
      <c r="BT718" s="32"/>
      <c r="BU718" s="27"/>
      <c r="BV718" s="24"/>
      <c r="BW718" s="24"/>
      <c r="BX718" s="16"/>
      <c r="BY718" s="27"/>
      <c r="BZ718" s="24"/>
      <c r="CA718" s="24"/>
      <c r="CB718" s="16"/>
      <c r="CC718" s="49">
        <f t="shared" si="303"/>
        <v>0</v>
      </c>
      <c r="CD718" s="24"/>
      <c r="CE718" s="49">
        <f t="shared" si="302"/>
        <v>59520000</v>
      </c>
      <c r="CF718" s="50"/>
      <c r="CG718" s="49">
        <f t="shared" ca="1" si="301"/>
        <v>59520000</v>
      </c>
      <c r="CH718" s="33">
        <f t="shared" ca="1" si="291"/>
        <v>1</v>
      </c>
      <c r="CI718" s="33">
        <f t="shared" ca="1" si="292"/>
        <v>1</v>
      </c>
      <c r="CJ718" s="36">
        <f t="shared" ca="1" si="309"/>
        <v>100</v>
      </c>
      <c r="CK718" s="34">
        <f t="shared" si="310"/>
        <v>0</v>
      </c>
      <c r="CL718" s="21"/>
      <c r="CM718" s="35" t="str">
        <f t="shared" ca="1" si="311"/>
        <v>TERMINADO</v>
      </c>
      <c r="CN718" s="82"/>
      <c r="CO718" s="145" t="s">
        <v>5754</v>
      </c>
      <c r="CP718" s="26" t="s">
        <v>123</v>
      </c>
    </row>
    <row r="719" spans="1:96" ht="24.75" customHeight="1">
      <c r="A719" s="48" t="s">
        <v>1424</v>
      </c>
      <c r="B719" s="77" t="s">
        <v>5755</v>
      </c>
      <c r="C719" s="17" t="s">
        <v>2927</v>
      </c>
      <c r="D719" s="18" t="s">
        <v>5756</v>
      </c>
      <c r="E719" s="17" t="s">
        <v>2929</v>
      </c>
      <c r="F719" s="17" t="s">
        <v>1426</v>
      </c>
      <c r="G719" s="17" t="s">
        <v>1427</v>
      </c>
      <c r="H719" s="78" t="s">
        <v>5757</v>
      </c>
      <c r="I719" s="74" t="s">
        <v>5758</v>
      </c>
      <c r="J719" s="16" t="s">
        <v>5759</v>
      </c>
      <c r="K719" s="16">
        <v>63485765</v>
      </c>
      <c r="L719" s="96" t="s">
        <v>5525</v>
      </c>
      <c r="M719" s="16"/>
      <c r="N719" s="22">
        <v>45384</v>
      </c>
      <c r="O719" s="22">
        <v>45384</v>
      </c>
      <c r="P719" s="22">
        <v>45749</v>
      </c>
      <c r="Q719" s="23">
        <f t="shared" si="304"/>
        <v>365</v>
      </c>
      <c r="R719" s="17" t="s">
        <v>2934</v>
      </c>
      <c r="S719" s="117" t="s">
        <v>1424</v>
      </c>
      <c r="T719" s="16" t="s">
        <v>1424</v>
      </c>
      <c r="U719" s="67" t="s">
        <v>1424</v>
      </c>
      <c r="V719" s="16" t="s">
        <v>1424</v>
      </c>
      <c r="W719" s="224">
        <v>0</v>
      </c>
      <c r="X719" s="24"/>
      <c r="Y719" s="24" t="s">
        <v>2935</v>
      </c>
      <c r="Z719" s="24"/>
      <c r="AA719" s="17" t="s">
        <v>406</v>
      </c>
      <c r="AB719" s="23" t="str">
        <f>IFERROR(VLOOKUP(AA719,Listas!$A$1:$C$14,2,FALSE),"")</f>
        <v>EDUARDO ELÍAS BARCHA BOLÍVAR</v>
      </c>
      <c r="AC719" s="23">
        <f>IFERROR(VLOOKUP(AA719,Listas!$A$1:$C$14,3,FALSE),"")</f>
        <v>72133921</v>
      </c>
      <c r="AD719" s="17" t="s">
        <v>1523</v>
      </c>
      <c r="AE719" s="17" t="s">
        <v>1524</v>
      </c>
      <c r="AF719" s="23" t="str">
        <f>IFERROR(VLOOKUP(AE719,Listas!$AD$1:$AF$65,2,FALSE),"")</f>
        <v>IVETTE FRASSER SÁNCHEZ</v>
      </c>
      <c r="AG719" s="23">
        <f>IFERROR(VLOOKUP(AE719,Listas!$AD$1:$AF$65,3,FALSE),"")</f>
        <v>38285903</v>
      </c>
      <c r="AH719" s="17" t="s">
        <v>2936</v>
      </c>
      <c r="AI719" s="65"/>
      <c r="AJ719" s="25" t="s">
        <v>1435</v>
      </c>
      <c r="AK719" s="26" t="s">
        <v>2071</v>
      </c>
      <c r="AL719" s="26" t="s">
        <v>2071</v>
      </c>
      <c r="AM719" s="90" t="s">
        <v>1435</v>
      </c>
      <c r="AN719" s="105"/>
      <c r="AO719" s="91" t="str">
        <f t="shared" ca="1" si="305"/>
        <v xml:space="preserve"> </v>
      </c>
      <c r="AP719" s="26" t="s">
        <v>2937</v>
      </c>
      <c r="AQ719" s="26" t="s">
        <v>3453</v>
      </c>
      <c r="AR719" s="89"/>
      <c r="AS719" s="27"/>
      <c r="AT719" s="16"/>
      <c r="AU719" s="27"/>
      <c r="AV719" s="86"/>
      <c r="AW719" s="27"/>
      <c r="AX719" s="27"/>
      <c r="AY719" s="27"/>
      <c r="AZ719" s="27"/>
      <c r="BA719" s="27"/>
      <c r="BB719" s="27">
        <v>45701</v>
      </c>
      <c r="BC719" s="97">
        <v>273</v>
      </c>
      <c r="BD719" s="27"/>
      <c r="BE719" s="16"/>
      <c r="BF719" s="28">
        <f t="shared" si="306"/>
        <v>273</v>
      </c>
      <c r="BG719" s="29"/>
      <c r="BH719" s="27"/>
      <c r="BI719" s="30">
        <f t="shared" si="307"/>
        <v>638</v>
      </c>
      <c r="BJ719" s="31">
        <f t="shared" si="308"/>
        <v>46022</v>
      </c>
      <c r="BK719" s="27">
        <v>45701</v>
      </c>
      <c r="BL719" s="16" t="s">
        <v>5760</v>
      </c>
      <c r="BM719" s="27"/>
      <c r="BN719" s="16"/>
      <c r="BO719" s="27"/>
      <c r="BP719" s="16"/>
      <c r="BQ719" s="27"/>
      <c r="BR719" s="24"/>
      <c r="BS719" s="24"/>
      <c r="BT719" s="32"/>
      <c r="BU719" s="27"/>
      <c r="BV719" s="24"/>
      <c r="BW719" s="24"/>
      <c r="BX719" s="16"/>
      <c r="BY719" s="27"/>
      <c r="BZ719" s="24"/>
      <c r="CA719" s="24"/>
      <c r="CB719" s="16"/>
      <c r="CC719" s="49">
        <f t="shared" si="303"/>
        <v>0</v>
      </c>
      <c r="CD719" s="24"/>
      <c r="CE719" s="49" t="str">
        <f>IFERROR(IF(Y719=0,(W719+CC719)-CD719,IF(Y719&gt;0,(Y719+CC719)-CD719)),"")</f>
        <v/>
      </c>
      <c r="CF719" s="50">
        <v>217762498.96000001</v>
      </c>
      <c r="CG719" s="49" t="str">
        <f t="shared" ca="1" si="301"/>
        <v/>
      </c>
      <c r="CH719" s="33">
        <f t="shared" ca="1" si="291"/>
        <v>0.88712241653418122</v>
      </c>
      <c r="CI719" s="33">
        <f t="shared" ca="1" si="292"/>
        <v>0.88712241653418122</v>
      </c>
      <c r="CJ719" s="36" t="str">
        <f t="shared" ca="1" si="309"/>
        <v/>
      </c>
      <c r="CK719" s="34" t="str">
        <f t="shared" si="310"/>
        <v/>
      </c>
      <c r="CL719" s="21"/>
      <c r="CM719" s="35" t="str">
        <f t="shared" ca="1" si="311"/>
        <v>VIGENTE</v>
      </c>
      <c r="CN719" s="82"/>
      <c r="CP719" s="83" t="s">
        <v>1424</v>
      </c>
    </row>
    <row r="720" spans="1:96" ht="24.75" customHeight="1">
      <c r="A720" s="48" t="s">
        <v>5761</v>
      </c>
      <c r="B720" s="77" t="s">
        <v>5762</v>
      </c>
      <c r="C720" s="17" t="s">
        <v>104</v>
      </c>
      <c r="D720" s="18" t="s">
        <v>5763</v>
      </c>
      <c r="E720" s="17" t="s">
        <v>106</v>
      </c>
      <c r="F720" s="17" t="s">
        <v>107</v>
      </c>
      <c r="G720" s="17" t="s">
        <v>108</v>
      </c>
      <c r="H720" s="78">
        <v>1018420277</v>
      </c>
      <c r="I720" s="74" t="s">
        <v>5764</v>
      </c>
      <c r="J720" s="16"/>
      <c r="K720" s="16"/>
      <c r="L720" s="20" t="s">
        <v>5765</v>
      </c>
      <c r="M720" s="16" t="s">
        <v>111</v>
      </c>
      <c r="N720" s="22">
        <v>45406</v>
      </c>
      <c r="O720" s="22">
        <v>45406</v>
      </c>
      <c r="P720" s="22">
        <v>45656</v>
      </c>
      <c r="Q720" s="23">
        <f t="shared" si="304"/>
        <v>250</v>
      </c>
      <c r="R720" s="17" t="s">
        <v>242</v>
      </c>
      <c r="S720" s="117" t="s">
        <v>5766</v>
      </c>
      <c r="T720" s="16" t="s">
        <v>5767</v>
      </c>
      <c r="U720" s="67">
        <v>55908468</v>
      </c>
      <c r="V720" s="16" t="s">
        <v>245</v>
      </c>
      <c r="W720" s="224">
        <v>41931351</v>
      </c>
      <c r="X720" s="24">
        <v>4659039</v>
      </c>
      <c r="Y720" s="24"/>
      <c r="Z720" s="24"/>
      <c r="AA720" s="17" t="s">
        <v>116</v>
      </c>
      <c r="AB720" s="23" t="str">
        <f>IFERROR(VLOOKUP(AA720,Listas!$A$1:$C$14,2,FALSE),"")</f>
        <v>FREDY CÉSPEDES VILLA</v>
      </c>
      <c r="AC720" s="23">
        <f>IFERROR(VLOOKUP(AA720,Listas!$A$1:$C$14,3,FALSE),"")</f>
        <v>93363483</v>
      </c>
      <c r="AD720" s="17" t="s">
        <v>217</v>
      </c>
      <c r="AE720" s="17" t="s">
        <v>218</v>
      </c>
      <c r="AF720" s="23" t="str">
        <f>IFERROR(VLOOKUP(AE720,Listas!$AD$1:$AF$65,2,FALSE),"")</f>
        <v>GISSET XIMENA BARRETO VILLAMIL</v>
      </c>
      <c r="AG720" s="23">
        <f>IFERROR(VLOOKUP(AE720,Listas!$AD$1:$AF$65,3,FALSE),"")</f>
        <v>1015408521</v>
      </c>
      <c r="AH720" s="17" t="s">
        <v>118</v>
      </c>
      <c r="AI720" s="65" t="s">
        <v>5768</v>
      </c>
      <c r="AJ720" s="25" t="s">
        <v>119</v>
      </c>
      <c r="AK720" s="26" t="s">
        <v>120</v>
      </c>
      <c r="AL720" s="26" t="s">
        <v>120</v>
      </c>
      <c r="AM720" s="90" t="s">
        <v>119</v>
      </c>
      <c r="AN720" s="105">
        <v>32474</v>
      </c>
      <c r="AO720" s="91">
        <f t="shared" ca="1" si="305"/>
        <v>37</v>
      </c>
      <c r="AP720" s="26" t="s">
        <v>121</v>
      </c>
      <c r="AQ720" s="26" t="s">
        <v>220</v>
      </c>
      <c r="AR720" s="89"/>
      <c r="AS720" s="27"/>
      <c r="AT720" s="16"/>
      <c r="AU720" s="27"/>
      <c r="AV720" s="86"/>
      <c r="AW720" s="27"/>
      <c r="AX720" s="27"/>
      <c r="AY720" s="27"/>
      <c r="AZ720" s="27"/>
      <c r="BA720" s="27"/>
      <c r="BB720" s="27"/>
      <c r="BC720" s="97"/>
      <c r="BD720" s="27"/>
      <c r="BE720" s="16"/>
      <c r="BF720" s="28">
        <f t="shared" si="306"/>
        <v>0</v>
      </c>
      <c r="BG720" s="29"/>
      <c r="BH720" s="27"/>
      <c r="BI720" s="30">
        <f t="shared" si="307"/>
        <v>250</v>
      </c>
      <c r="BJ720" s="31">
        <f t="shared" si="308"/>
        <v>45656</v>
      </c>
      <c r="BK720" s="27"/>
      <c r="BL720" s="16"/>
      <c r="BM720" s="27"/>
      <c r="BN720" s="16"/>
      <c r="BO720" s="27"/>
      <c r="BP720" s="16"/>
      <c r="BQ720" s="27"/>
      <c r="BR720" s="24"/>
      <c r="BS720" s="24"/>
      <c r="BT720" s="32"/>
      <c r="BU720" s="27"/>
      <c r="BV720" s="24"/>
      <c r="BW720" s="24"/>
      <c r="BX720" s="16"/>
      <c r="BY720" s="27"/>
      <c r="BZ720" s="24"/>
      <c r="CA720" s="24"/>
      <c r="CB720" s="16"/>
      <c r="CC720" s="49">
        <f t="shared" si="303"/>
        <v>0</v>
      </c>
      <c r="CD720" s="24"/>
      <c r="CE720" s="49">
        <f t="shared" si="302"/>
        <v>41931351</v>
      </c>
      <c r="CF720" s="50"/>
      <c r="CG720" s="49">
        <f t="shared" ca="1" si="301"/>
        <v>41931351</v>
      </c>
      <c r="CH720" s="33">
        <f t="shared" ca="1" si="291"/>
        <v>1</v>
      </c>
      <c r="CI720" s="33">
        <f t="shared" ca="1" si="292"/>
        <v>1</v>
      </c>
      <c r="CJ720" s="36">
        <f t="shared" ca="1" si="309"/>
        <v>100</v>
      </c>
      <c r="CK720" s="34">
        <f t="shared" si="310"/>
        <v>0</v>
      </c>
      <c r="CL720" s="21"/>
      <c r="CM720" s="35" t="str">
        <f t="shared" ca="1" si="311"/>
        <v>TERMINADO</v>
      </c>
      <c r="CN720" s="82"/>
      <c r="CO720" s="145" t="s">
        <v>5769</v>
      </c>
      <c r="CP720" s="26" t="s">
        <v>123</v>
      </c>
    </row>
    <row r="721" spans="1:96" ht="24.75" customHeight="1">
      <c r="A721" s="48" t="s">
        <v>5770</v>
      </c>
      <c r="B721" s="77" t="s">
        <v>5771</v>
      </c>
      <c r="C721" s="17" t="s">
        <v>104</v>
      </c>
      <c r="D721" s="18" t="s">
        <v>5772</v>
      </c>
      <c r="E721" s="17" t="s">
        <v>106</v>
      </c>
      <c r="F721" s="17" t="s">
        <v>107</v>
      </c>
      <c r="G721" s="17" t="s">
        <v>108</v>
      </c>
      <c r="H721" s="78">
        <v>52930121</v>
      </c>
      <c r="I721" s="74" t="s">
        <v>5773</v>
      </c>
      <c r="J721" s="16"/>
      <c r="K721" s="16"/>
      <c r="L721" s="20" t="s">
        <v>5774</v>
      </c>
      <c r="M721" s="16" t="s">
        <v>111</v>
      </c>
      <c r="N721" s="22">
        <v>45384</v>
      </c>
      <c r="O721" s="22">
        <v>45386</v>
      </c>
      <c r="P721" s="22">
        <v>45397</v>
      </c>
      <c r="Q721" s="23">
        <f t="shared" si="304"/>
        <v>11</v>
      </c>
      <c r="R721" s="17" t="s">
        <v>242</v>
      </c>
      <c r="S721" s="117" t="s">
        <v>5775</v>
      </c>
      <c r="T721" s="16" t="s">
        <v>5776</v>
      </c>
      <c r="U721" s="67">
        <v>44000000</v>
      </c>
      <c r="V721" s="16" t="s">
        <v>303</v>
      </c>
      <c r="W721" s="224">
        <v>39732300</v>
      </c>
      <c r="X721" s="24">
        <v>4414700</v>
      </c>
      <c r="Y721" s="24"/>
      <c r="Z721" s="24"/>
      <c r="AA721" s="17" t="s">
        <v>116</v>
      </c>
      <c r="AB721" s="23" t="str">
        <f>IFERROR(VLOOKUP(AA721,Listas!$A$1:$C$14,2,FALSE),"")</f>
        <v>FREDY CÉSPEDES VILLA</v>
      </c>
      <c r="AC721" s="23">
        <f>IFERROR(VLOOKUP(AA721,Listas!$A$1:$C$14,3,FALSE),"")</f>
        <v>93363483</v>
      </c>
      <c r="AD721" s="17" t="s">
        <v>304</v>
      </c>
      <c r="AE721" s="17" t="s">
        <v>305</v>
      </c>
      <c r="AF721" s="23" t="str">
        <f>IFERROR(VLOOKUP(AE721,Listas!$AD$1:$AF$65,2,FALSE),"")</f>
        <v>ALVARO HERNAN URQUIJO GOMEZ</v>
      </c>
      <c r="AG721" s="23">
        <v>80505520</v>
      </c>
      <c r="AH721" s="17" t="s">
        <v>118</v>
      </c>
      <c r="AI721" s="65" t="s">
        <v>5777</v>
      </c>
      <c r="AJ721" s="25" t="s">
        <v>119</v>
      </c>
      <c r="AK721" s="26" t="s">
        <v>120</v>
      </c>
      <c r="AL721" s="26" t="s">
        <v>120</v>
      </c>
      <c r="AM721" s="90" t="s">
        <v>119</v>
      </c>
      <c r="AN721" s="105">
        <v>30059</v>
      </c>
      <c r="AO721" s="91">
        <f t="shared" ca="1" si="305"/>
        <v>43</v>
      </c>
      <c r="AP721" s="26" t="s">
        <v>121</v>
      </c>
      <c r="AQ721" s="26" t="s">
        <v>122</v>
      </c>
      <c r="AR721" s="89"/>
      <c r="AS721" s="27"/>
      <c r="AT721" s="16"/>
      <c r="AU721" s="27"/>
      <c r="AV721" s="86"/>
      <c r="AW721" s="27"/>
      <c r="AX721" s="27"/>
      <c r="AY721" s="27"/>
      <c r="AZ721" s="27"/>
      <c r="BA721" s="27"/>
      <c r="BB721" s="27"/>
      <c r="BC721" s="97"/>
      <c r="BD721" s="27"/>
      <c r="BE721" s="16"/>
      <c r="BF721" s="28">
        <f t="shared" si="306"/>
        <v>0</v>
      </c>
      <c r="BG721" s="29"/>
      <c r="BH721" s="27">
        <v>45394</v>
      </c>
      <c r="BI721" s="30">
        <f t="shared" si="307"/>
        <v>11</v>
      </c>
      <c r="BJ721" s="31">
        <f t="shared" si="308"/>
        <v>45394</v>
      </c>
      <c r="BK721" s="27"/>
      <c r="BL721" s="16"/>
      <c r="BM721" s="27"/>
      <c r="BN721" s="16"/>
      <c r="BO721" s="27"/>
      <c r="BP721" s="16"/>
      <c r="BQ721" s="27"/>
      <c r="BR721" s="24"/>
      <c r="BS721" s="24"/>
      <c r="BT721" s="32"/>
      <c r="BU721" s="27"/>
      <c r="BV721" s="24"/>
      <c r="BW721" s="24"/>
      <c r="BX721" s="16"/>
      <c r="BY721" s="27"/>
      <c r="BZ721" s="24"/>
      <c r="CA721" s="24"/>
      <c r="CB721" s="16"/>
      <c r="CC721" s="49">
        <f t="shared" si="303"/>
        <v>0</v>
      </c>
      <c r="CD721" s="24"/>
      <c r="CE721" s="49">
        <f t="shared" si="302"/>
        <v>39732300</v>
      </c>
      <c r="CF721" s="50"/>
      <c r="CG721" s="49">
        <f t="shared" ca="1" si="301"/>
        <v>39732300</v>
      </c>
      <c r="CH721" s="33">
        <f t="shared" ca="1" si="291"/>
        <v>1</v>
      </c>
      <c r="CI721" s="33">
        <f t="shared" ca="1" si="292"/>
        <v>1</v>
      </c>
      <c r="CJ721" s="36">
        <f t="shared" ca="1" si="309"/>
        <v>100</v>
      </c>
      <c r="CK721" s="34">
        <f t="shared" si="310"/>
        <v>0</v>
      </c>
      <c r="CL721" s="21"/>
      <c r="CM721" s="35" t="str">
        <f t="shared" ca="1" si="311"/>
        <v>TERMINADO</v>
      </c>
      <c r="CN721" s="82"/>
      <c r="CO721" s="145" t="s">
        <v>5778</v>
      </c>
      <c r="CP721" s="26" t="s">
        <v>123</v>
      </c>
    </row>
    <row r="722" spans="1:96" ht="24.75" customHeight="1">
      <c r="A722" s="48" t="s">
        <v>5779</v>
      </c>
      <c r="B722" s="77" t="s">
        <v>5780</v>
      </c>
      <c r="C722" s="17" t="s">
        <v>104</v>
      </c>
      <c r="D722" s="18" t="s">
        <v>5781</v>
      </c>
      <c r="E722" s="17" t="s">
        <v>106</v>
      </c>
      <c r="F722" s="17" t="s">
        <v>107</v>
      </c>
      <c r="G722" s="17" t="s">
        <v>108</v>
      </c>
      <c r="H722" s="78">
        <v>1033777791</v>
      </c>
      <c r="I722" s="74" t="s">
        <v>5782</v>
      </c>
      <c r="J722" s="16"/>
      <c r="K722" s="16"/>
      <c r="L722" s="20" t="s">
        <v>1440</v>
      </c>
      <c r="M722" s="16" t="s">
        <v>111</v>
      </c>
      <c r="N722" s="22">
        <v>45385</v>
      </c>
      <c r="O722" s="22">
        <v>45412</v>
      </c>
      <c r="P722" s="22">
        <v>45656</v>
      </c>
      <c r="Q722" s="23">
        <f t="shared" si="304"/>
        <v>244</v>
      </c>
      <c r="R722" s="17" t="s">
        <v>242</v>
      </c>
      <c r="S722" s="117" t="s">
        <v>5783</v>
      </c>
      <c r="T722" s="16" t="s">
        <v>1128</v>
      </c>
      <c r="U722" s="67">
        <v>65920000</v>
      </c>
      <c r="V722" s="16" t="s">
        <v>815</v>
      </c>
      <c r="W722" s="224">
        <v>65920000</v>
      </c>
      <c r="X722" s="24">
        <v>6400000</v>
      </c>
      <c r="Y722" s="24"/>
      <c r="Z722" s="24"/>
      <c r="AA722" s="17" t="s">
        <v>116</v>
      </c>
      <c r="AB722" s="23" t="str">
        <f>IFERROR(VLOOKUP(AA722,Listas!$A$1:$C$14,2,FALSE),"")</f>
        <v>FREDY CÉSPEDES VILLA</v>
      </c>
      <c r="AC722" s="23">
        <f>IFERROR(VLOOKUP(AA722,Listas!$A$1:$C$14,3,FALSE),"")</f>
        <v>93363483</v>
      </c>
      <c r="AD722" s="17" t="s">
        <v>816</v>
      </c>
      <c r="AE722" s="17" t="s">
        <v>817</v>
      </c>
      <c r="AF722" s="23" t="str">
        <f>IFERROR(VLOOKUP(AE722,Listas!$AD$1:$AF$65,2,FALSE),"")</f>
        <v>JOSÉ EDUARDO PARADA JIMÉNEZ</v>
      </c>
      <c r="AG722" s="23">
        <f>IFERROR(VLOOKUP(AE722,Listas!$AD$1:$AF$65,3,FALSE),"")</f>
        <v>79434805</v>
      </c>
      <c r="AH722" s="17" t="s">
        <v>118</v>
      </c>
      <c r="AI722" s="65" t="s">
        <v>2592</v>
      </c>
      <c r="AJ722" s="25" t="s">
        <v>119</v>
      </c>
      <c r="AK722" s="26" t="s">
        <v>120</v>
      </c>
      <c r="AL722" s="26" t="s">
        <v>120</v>
      </c>
      <c r="AM722" s="90" t="s">
        <v>119</v>
      </c>
      <c r="AN722" s="105">
        <v>34889</v>
      </c>
      <c r="AO722" s="91">
        <f t="shared" ca="1" si="305"/>
        <v>30</v>
      </c>
      <c r="AP722" s="26" t="s">
        <v>121</v>
      </c>
      <c r="AQ722" s="26" t="s">
        <v>819</v>
      </c>
      <c r="AR722" s="89"/>
      <c r="AS722" s="27"/>
      <c r="AT722" s="16"/>
      <c r="AU722" s="27"/>
      <c r="AV722" s="86"/>
      <c r="AW722" s="27"/>
      <c r="AX722" s="27"/>
      <c r="AY722" s="27"/>
      <c r="AZ722" s="27"/>
      <c r="BA722" s="27"/>
      <c r="BB722" s="27"/>
      <c r="BC722" s="97"/>
      <c r="BD722" s="27"/>
      <c r="BE722" s="16"/>
      <c r="BF722" s="28">
        <f t="shared" si="306"/>
        <v>0</v>
      </c>
      <c r="BG722" s="29"/>
      <c r="BH722" s="27"/>
      <c r="BI722" s="30">
        <f t="shared" si="307"/>
        <v>244</v>
      </c>
      <c r="BJ722" s="31">
        <f t="shared" si="308"/>
        <v>45656</v>
      </c>
      <c r="BK722" s="27"/>
      <c r="BL722" s="16"/>
      <c r="BM722" s="27"/>
      <c r="BN722" s="16"/>
      <c r="BO722" s="27"/>
      <c r="BP722" s="16"/>
      <c r="BQ722" s="27"/>
      <c r="BR722" s="24"/>
      <c r="BS722" s="24"/>
      <c r="BT722" s="32"/>
      <c r="BU722" s="27"/>
      <c r="BV722" s="24"/>
      <c r="BW722" s="24"/>
      <c r="BX722" s="16"/>
      <c r="BY722" s="27"/>
      <c r="BZ722" s="24"/>
      <c r="CA722" s="24"/>
      <c r="CB722" s="16"/>
      <c r="CC722" s="49">
        <f t="shared" si="303"/>
        <v>0</v>
      </c>
      <c r="CD722" s="24"/>
      <c r="CE722" s="49">
        <f t="shared" si="302"/>
        <v>65920000</v>
      </c>
      <c r="CF722" s="50">
        <v>0</v>
      </c>
      <c r="CG722" s="49">
        <f t="shared" ca="1" si="301"/>
        <v>65920000</v>
      </c>
      <c r="CH722" s="33">
        <f t="shared" ca="1" si="291"/>
        <v>1</v>
      </c>
      <c r="CI722" s="33">
        <f t="shared" ca="1" si="292"/>
        <v>1</v>
      </c>
      <c r="CJ722" s="36">
        <f t="shared" ca="1" si="309"/>
        <v>100</v>
      </c>
      <c r="CK722" s="34">
        <f t="shared" si="310"/>
        <v>0</v>
      </c>
      <c r="CL722" s="21"/>
      <c r="CM722" s="35" t="str">
        <f t="shared" ca="1" si="311"/>
        <v>TERMINADO</v>
      </c>
      <c r="CN722" s="82"/>
      <c r="CO722" s="145" t="s">
        <v>5784</v>
      </c>
      <c r="CP722" s="26" t="s">
        <v>142</v>
      </c>
    </row>
    <row r="723" spans="1:96" ht="24.75" customHeight="1">
      <c r="A723" s="48" t="s">
        <v>5785</v>
      </c>
      <c r="B723" s="77" t="s">
        <v>5786</v>
      </c>
      <c r="C723" s="17" t="s">
        <v>104</v>
      </c>
      <c r="D723" s="18" t="s">
        <v>5787</v>
      </c>
      <c r="E723" s="17" t="s">
        <v>106</v>
      </c>
      <c r="F723" s="17" t="s">
        <v>107</v>
      </c>
      <c r="G723" s="17" t="s">
        <v>108</v>
      </c>
      <c r="H723" s="78">
        <v>1117547884</v>
      </c>
      <c r="I723" s="74" t="s">
        <v>5788</v>
      </c>
      <c r="J723" s="16"/>
      <c r="K723" s="16"/>
      <c r="L723" s="20" t="s">
        <v>5789</v>
      </c>
      <c r="M723" s="16" t="s">
        <v>111</v>
      </c>
      <c r="N723" s="22">
        <v>45385</v>
      </c>
      <c r="O723" s="22">
        <v>45406</v>
      </c>
      <c r="P723" s="22">
        <v>45656</v>
      </c>
      <c r="Q723" s="23">
        <f t="shared" si="304"/>
        <v>250</v>
      </c>
      <c r="R723" s="17" t="s">
        <v>112</v>
      </c>
      <c r="S723" s="117" t="s">
        <v>5790</v>
      </c>
      <c r="T723" s="16" t="s">
        <v>537</v>
      </c>
      <c r="U723" s="67">
        <v>48561700</v>
      </c>
      <c r="V723" s="16" t="s">
        <v>216</v>
      </c>
      <c r="W723" s="224">
        <v>48561700</v>
      </c>
      <c r="X723" s="24">
        <v>4414700</v>
      </c>
      <c r="Y723" s="24"/>
      <c r="Z723" s="24"/>
      <c r="AA723" s="17" t="s">
        <v>116</v>
      </c>
      <c r="AB723" s="23" t="str">
        <f>IFERROR(VLOOKUP(AA723,Listas!$A$1:$C$14,2,FALSE),"")</f>
        <v>FREDY CÉSPEDES VILLA</v>
      </c>
      <c r="AC723" s="23">
        <f>IFERROR(VLOOKUP(AA723,Listas!$A$1:$C$14,3,FALSE),"")</f>
        <v>93363483</v>
      </c>
      <c r="AD723" s="17" t="s">
        <v>217</v>
      </c>
      <c r="AE723" s="17" t="s">
        <v>539</v>
      </c>
      <c r="AF723" s="23" t="str">
        <f>IFERROR(VLOOKUP(AE723,Listas!$AD$1:$AF$65,2,FALSE),"")</f>
        <v>DORIS POVEDA BELTRÁN</v>
      </c>
      <c r="AG723" s="23">
        <f>IFERROR(VLOOKUP(AE723,Listas!$AD$1:$AF$65,3,FALSE),"")</f>
        <v>52049845</v>
      </c>
      <c r="AH723" s="17" t="s">
        <v>118</v>
      </c>
      <c r="AI723" s="65" t="s">
        <v>5791</v>
      </c>
      <c r="AJ723" s="25" t="s">
        <v>119</v>
      </c>
      <c r="AK723" s="26" t="s">
        <v>120</v>
      </c>
      <c r="AL723" s="26" t="s">
        <v>120</v>
      </c>
      <c r="AM723" s="90" t="s">
        <v>119</v>
      </c>
      <c r="AN723" s="105">
        <v>35646</v>
      </c>
      <c r="AO723" s="91">
        <f t="shared" ca="1" si="305"/>
        <v>28</v>
      </c>
      <c r="AP723" s="26" t="s">
        <v>121</v>
      </c>
      <c r="AQ723" s="26" t="s">
        <v>220</v>
      </c>
      <c r="AR723" s="89"/>
      <c r="AS723" s="27"/>
      <c r="AT723" s="16"/>
      <c r="AU723" s="27"/>
      <c r="AV723" s="86"/>
      <c r="AW723" s="27"/>
      <c r="AX723" s="27"/>
      <c r="AY723" s="27"/>
      <c r="AZ723" s="27"/>
      <c r="BA723" s="27"/>
      <c r="BB723" s="27"/>
      <c r="BC723" s="97"/>
      <c r="BD723" s="27"/>
      <c r="BE723" s="16"/>
      <c r="BF723" s="28">
        <f t="shared" si="306"/>
        <v>0</v>
      </c>
      <c r="BG723" s="29"/>
      <c r="BH723" s="27"/>
      <c r="BI723" s="30">
        <f t="shared" si="307"/>
        <v>250</v>
      </c>
      <c r="BJ723" s="31">
        <f t="shared" si="308"/>
        <v>45656</v>
      </c>
      <c r="BK723" s="27"/>
      <c r="BL723" s="16"/>
      <c r="BM723" s="27"/>
      <c r="BN723" s="16"/>
      <c r="BO723" s="27"/>
      <c r="BP723" s="16"/>
      <c r="BQ723" s="27"/>
      <c r="BR723" s="24"/>
      <c r="BS723" s="24"/>
      <c r="BT723" s="32"/>
      <c r="BU723" s="27"/>
      <c r="BV723" s="24"/>
      <c r="BW723" s="24"/>
      <c r="BX723" s="16"/>
      <c r="BY723" s="27"/>
      <c r="BZ723" s="24"/>
      <c r="CA723" s="24"/>
      <c r="CB723" s="16"/>
      <c r="CC723" s="49">
        <f t="shared" si="303"/>
        <v>0</v>
      </c>
      <c r="CD723" s="24"/>
      <c r="CE723" s="49">
        <f t="shared" si="302"/>
        <v>48561700</v>
      </c>
      <c r="CF723" s="50">
        <v>0</v>
      </c>
      <c r="CG723" s="49">
        <f t="shared" ca="1" si="301"/>
        <v>48561700</v>
      </c>
      <c r="CH723" s="33">
        <f t="shared" ca="1" si="291"/>
        <v>1</v>
      </c>
      <c r="CI723" s="33">
        <f t="shared" ca="1" si="292"/>
        <v>1</v>
      </c>
      <c r="CJ723" s="36">
        <f t="shared" ca="1" si="309"/>
        <v>100</v>
      </c>
      <c r="CK723" s="34">
        <f t="shared" si="310"/>
        <v>0</v>
      </c>
      <c r="CL723" s="21"/>
      <c r="CM723" s="35" t="str">
        <f t="shared" ca="1" si="311"/>
        <v>TERMINADO</v>
      </c>
      <c r="CN723" s="82"/>
      <c r="CO723" s="145" t="s">
        <v>5792</v>
      </c>
      <c r="CP723" s="26" t="s">
        <v>123</v>
      </c>
    </row>
    <row r="724" spans="1:96" ht="24.75" customHeight="1">
      <c r="A724" s="48" t="s">
        <v>5793</v>
      </c>
      <c r="B724" s="77" t="s">
        <v>5794</v>
      </c>
      <c r="C724" s="17" t="s">
        <v>104</v>
      </c>
      <c r="D724" s="18" t="s">
        <v>5795</v>
      </c>
      <c r="E724" s="17" t="s">
        <v>106</v>
      </c>
      <c r="F724" s="17" t="s">
        <v>1426</v>
      </c>
      <c r="G724" s="17" t="s">
        <v>1427</v>
      </c>
      <c r="H724" s="78" t="s">
        <v>5796</v>
      </c>
      <c r="I724" s="74" t="s">
        <v>5797</v>
      </c>
      <c r="J724" s="16" t="s">
        <v>5798</v>
      </c>
      <c r="K724" s="16">
        <v>8127774</v>
      </c>
      <c r="L724" s="20" t="s">
        <v>5799</v>
      </c>
      <c r="M724" s="16" t="s">
        <v>111</v>
      </c>
      <c r="N724" s="22">
        <v>45385</v>
      </c>
      <c r="O724" s="22">
        <v>45411</v>
      </c>
      <c r="P724" s="22">
        <v>45656</v>
      </c>
      <c r="Q724" s="23">
        <f t="shared" si="304"/>
        <v>245</v>
      </c>
      <c r="R724" s="17" t="s">
        <v>242</v>
      </c>
      <c r="S724" s="117" t="s">
        <v>5800</v>
      </c>
      <c r="T724" s="16" t="s">
        <v>5801</v>
      </c>
      <c r="U724" s="67">
        <v>228667181</v>
      </c>
      <c r="V724" s="16" t="s">
        <v>5802</v>
      </c>
      <c r="W724" s="224">
        <v>222649432</v>
      </c>
      <c r="X724" s="24">
        <v>20059164</v>
      </c>
      <c r="Y724" s="24"/>
      <c r="Z724" s="24"/>
      <c r="AA724" s="17" t="s">
        <v>116</v>
      </c>
      <c r="AB724" s="23" t="str">
        <f>IFERROR(VLOOKUP(AA724,Listas!$A$1:$C$14,2,FALSE),"")</f>
        <v>FREDY CÉSPEDES VILLA</v>
      </c>
      <c r="AC724" s="23">
        <f>IFERROR(VLOOKUP(AA724,Listas!$A$1:$C$14,3,FALSE),"")</f>
        <v>93363483</v>
      </c>
      <c r="AD724" s="17" t="s">
        <v>816</v>
      </c>
      <c r="AE724" s="17" t="s">
        <v>3787</v>
      </c>
      <c r="AF724" s="23" t="str">
        <f>IFERROR(VLOOKUP(AE724,Listas!$AD$1:$AF$65,2,FALSE),"")</f>
        <v>FREDY GONZALO FONTECHA BERNAL</v>
      </c>
      <c r="AG724" s="23">
        <f>IFERROR(VLOOKUP(AE724,Listas!$AD$1:$AF$65,3,FALSE),"")</f>
        <v>80006563</v>
      </c>
      <c r="AH724" s="17" t="s">
        <v>118</v>
      </c>
      <c r="AI724" s="65"/>
      <c r="AJ724" s="25" t="s">
        <v>1435</v>
      </c>
      <c r="AK724" s="26" t="s">
        <v>2071</v>
      </c>
      <c r="AL724" s="26" t="s">
        <v>2071</v>
      </c>
      <c r="AM724" s="90" t="s">
        <v>1435</v>
      </c>
      <c r="AN724" s="105"/>
      <c r="AO724" s="91" t="str">
        <f t="shared" ca="1" si="305"/>
        <v xml:space="preserve"> </v>
      </c>
      <c r="AP724" s="26" t="s">
        <v>121</v>
      </c>
      <c r="AQ724" s="26" t="s">
        <v>327</v>
      </c>
      <c r="AR724" s="89"/>
      <c r="AS724" s="27"/>
      <c r="AT724" s="16"/>
      <c r="AU724" s="27"/>
      <c r="AV724" s="86"/>
      <c r="AW724" s="27"/>
      <c r="AX724" s="27"/>
      <c r="AY724" s="27"/>
      <c r="AZ724" s="27"/>
      <c r="BA724" s="27"/>
      <c r="BB724" s="27"/>
      <c r="BC724" s="97"/>
      <c r="BD724" s="27"/>
      <c r="BE724" s="16"/>
      <c r="BF724" s="28">
        <f t="shared" si="306"/>
        <v>0</v>
      </c>
      <c r="BG724" s="29"/>
      <c r="BH724" s="27"/>
      <c r="BI724" s="30">
        <f t="shared" si="307"/>
        <v>245</v>
      </c>
      <c r="BJ724" s="31">
        <f t="shared" si="308"/>
        <v>45656</v>
      </c>
      <c r="BK724" s="27"/>
      <c r="BL724" s="16"/>
      <c r="BM724" s="27"/>
      <c r="BN724" s="16"/>
      <c r="BO724" s="27"/>
      <c r="BP724" s="16"/>
      <c r="BQ724" s="27"/>
      <c r="BR724" s="24"/>
      <c r="BS724" s="24"/>
      <c r="BT724" s="32"/>
      <c r="BU724" s="27"/>
      <c r="BV724" s="24"/>
      <c r="BW724" s="24"/>
      <c r="BX724" s="16"/>
      <c r="BY724" s="27"/>
      <c r="BZ724" s="24"/>
      <c r="CA724" s="24"/>
      <c r="CB724" s="16"/>
      <c r="CC724" s="49">
        <f t="shared" si="303"/>
        <v>0</v>
      </c>
      <c r="CD724" s="24"/>
      <c r="CE724" s="49">
        <f t="shared" si="302"/>
        <v>222649432</v>
      </c>
      <c r="CF724" s="50"/>
      <c r="CG724" s="49">
        <f t="shared" ca="1" si="301"/>
        <v>222649432</v>
      </c>
      <c r="CH724" s="33">
        <f t="shared" ca="1" si="291"/>
        <v>1</v>
      </c>
      <c r="CI724" s="33">
        <f t="shared" ca="1" si="292"/>
        <v>1</v>
      </c>
      <c r="CJ724" s="36">
        <f t="shared" ca="1" si="309"/>
        <v>100</v>
      </c>
      <c r="CK724" s="34">
        <f t="shared" si="310"/>
        <v>0</v>
      </c>
      <c r="CL724" s="21"/>
      <c r="CM724" s="35" t="str">
        <f t="shared" ca="1" si="311"/>
        <v>TERMINADO</v>
      </c>
      <c r="CN724" s="82"/>
      <c r="CO724" s="145" t="s">
        <v>5803</v>
      </c>
      <c r="CP724" s="83" t="s">
        <v>1424</v>
      </c>
    </row>
    <row r="725" spans="1:96" ht="24.75" customHeight="1">
      <c r="A725" s="48" t="s">
        <v>5804</v>
      </c>
      <c r="B725" s="77" t="s">
        <v>5805</v>
      </c>
      <c r="C725" s="17" t="s">
        <v>104</v>
      </c>
      <c r="D725" s="18" t="s">
        <v>5806</v>
      </c>
      <c r="E725" s="17" t="s">
        <v>106</v>
      </c>
      <c r="F725" s="17" t="s">
        <v>107</v>
      </c>
      <c r="G725" s="17" t="s">
        <v>108</v>
      </c>
      <c r="H725" s="78">
        <v>52961765</v>
      </c>
      <c r="I725" s="74" t="s">
        <v>5807</v>
      </c>
      <c r="J725" s="16"/>
      <c r="K725" s="16"/>
      <c r="L725" s="20" t="s">
        <v>5808</v>
      </c>
      <c r="M725" s="16" t="s">
        <v>111</v>
      </c>
      <c r="N725" s="22">
        <v>45386</v>
      </c>
      <c r="O725" s="22">
        <v>45406</v>
      </c>
      <c r="P725" s="22">
        <v>45656</v>
      </c>
      <c r="Q725" s="23">
        <f t="shared" si="304"/>
        <v>250</v>
      </c>
      <c r="R725" s="17" t="s">
        <v>112</v>
      </c>
      <c r="S725" s="117" t="s">
        <v>5809</v>
      </c>
      <c r="T725" s="16" t="s">
        <v>364</v>
      </c>
      <c r="U725" s="67">
        <v>50268580</v>
      </c>
      <c r="V725" s="16" t="s">
        <v>1590</v>
      </c>
      <c r="W725" s="224">
        <v>50268580</v>
      </c>
      <c r="X725" s="24">
        <v>5026858</v>
      </c>
      <c r="Y725" s="24"/>
      <c r="Z725" s="24"/>
      <c r="AA725" s="17" t="s">
        <v>116</v>
      </c>
      <c r="AB725" s="23" t="str">
        <f>IFERROR(VLOOKUP(AA725,Listas!$A$1:$C$14,2,FALSE),"")</f>
        <v>FREDY CÉSPEDES VILLA</v>
      </c>
      <c r="AC725" s="23">
        <f>IFERROR(VLOOKUP(AA725,Listas!$A$1:$C$14,3,FALSE),"")</f>
        <v>93363483</v>
      </c>
      <c r="AD725" s="17" t="s">
        <v>345</v>
      </c>
      <c r="AE725" s="17" t="s">
        <v>346</v>
      </c>
      <c r="AF725" s="23" t="str">
        <f>IFERROR(VLOOKUP(AE725,Listas!$AD$1:$AF$65,2,FALSE),"")</f>
        <v>RODOLFO GIOVANNI CANCHILA SUÁREZ</v>
      </c>
      <c r="AG725" s="23">
        <f>IFERROR(VLOOKUP(AE725,Listas!$AD$1:$AF$65,3,FALSE),"")</f>
        <v>79672493</v>
      </c>
      <c r="AH725" s="17" t="s">
        <v>118</v>
      </c>
      <c r="AI725" s="65" t="s">
        <v>5810</v>
      </c>
      <c r="AJ725" s="25" t="s">
        <v>119</v>
      </c>
      <c r="AK725" s="26" t="s">
        <v>120</v>
      </c>
      <c r="AL725" s="26" t="s">
        <v>120</v>
      </c>
      <c r="AM725" s="90" t="s">
        <v>119</v>
      </c>
      <c r="AN725" s="105">
        <v>30345</v>
      </c>
      <c r="AO725" s="91">
        <f t="shared" ca="1" si="305"/>
        <v>42</v>
      </c>
      <c r="AP725" s="26" t="s">
        <v>121</v>
      </c>
      <c r="AQ725" s="26" t="s">
        <v>367</v>
      </c>
      <c r="AR725" s="89"/>
      <c r="AS725" s="27"/>
      <c r="AT725" s="16"/>
      <c r="AU725" s="27"/>
      <c r="AV725" s="86"/>
      <c r="AW725" s="27"/>
      <c r="AX725" s="27"/>
      <c r="AY725" s="27"/>
      <c r="AZ725" s="27"/>
      <c r="BA725" s="27"/>
      <c r="BB725" s="27"/>
      <c r="BC725" s="97"/>
      <c r="BD725" s="27"/>
      <c r="BE725" s="16"/>
      <c r="BF725" s="28">
        <f t="shared" si="306"/>
        <v>0</v>
      </c>
      <c r="BG725" s="29"/>
      <c r="BH725" s="27"/>
      <c r="BI725" s="30">
        <f t="shared" si="307"/>
        <v>250</v>
      </c>
      <c r="BJ725" s="31">
        <f t="shared" si="308"/>
        <v>45656</v>
      </c>
      <c r="BK725" s="27"/>
      <c r="BL725" s="16"/>
      <c r="BM725" s="27"/>
      <c r="BN725" s="16"/>
      <c r="BO725" s="27"/>
      <c r="BP725" s="16"/>
      <c r="BQ725" s="27"/>
      <c r="BR725" s="24"/>
      <c r="BS725" s="24"/>
      <c r="BT725" s="32"/>
      <c r="BU725" s="27"/>
      <c r="BV725" s="24"/>
      <c r="BW725" s="24"/>
      <c r="BX725" s="16"/>
      <c r="BY725" s="27"/>
      <c r="BZ725" s="24"/>
      <c r="CA725" s="24"/>
      <c r="CB725" s="16"/>
      <c r="CC725" s="49">
        <f t="shared" si="303"/>
        <v>0</v>
      </c>
      <c r="CD725" s="24"/>
      <c r="CE725" s="49">
        <f t="shared" si="302"/>
        <v>50268580</v>
      </c>
      <c r="CF725" s="50"/>
      <c r="CG725" s="49">
        <f t="shared" ca="1" si="301"/>
        <v>50268580</v>
      </c>
      <c r="CH725" s="33">
        <f t="shared" ca="1" si="291"/>
        <v>1</v>
      </c>
      <c r="CI725" s="33">
        <f t="shared" ca="1" si="292"/>
        <v>1</v>
      </c>
      <c r="CJ725" s="36">
        <f t="shared" ca="1" si="309"/>
        <v>100</v>
      </c>
      <c r="CK725" s="34">
        <f t="shared" si="310"/>
        <v>0</v>
      </c>
      <c r="CL725" s="21"/>
      <c r="CM725" s="35" t="str">
        <f t="shared" ca="1" si="311"/>
        <v>TERMINADO</v>
      </c>
      <c r="CN725" s="82"/>
      <c r="CO725" s="145" t="s">
        <v>5811</v>
      </c>
      <c r="CP725" s="26" t="s">
        <v>123</v>
      </c>
    </row>
    <row r="726" spans="1:96" ht="24.75" customHeight="1">
      <c r="A726" s="48" t="s">
        <v>5812</v>
      </c>
      <c r="B726" s="77" t="s">
        <v>5813</v>
      </c>
      <c r="C726" s="17" t="s">
        <v>5814</v>
      </c>
      <c r="D726" s="18" t="s">
        <v>5815</v>
      </c>
      <c r="E726" s="17" t="s">
        <v>106</v>
      </c>
      <c r="F726" s="17" t="s">
        <v>1426</v>
      </c>
      <c r="G726" s="17" t="s">
        <v>1427</v>
      </c>
      <c r="H726" s="78" t="s">
        <v>5816</v>
      </c>
      <c r="I726" s="74" t="s">
        <v>5817</v>
      </c>
      <c r="J726" s="16" t="s">
        <v>5818</v>
      </c>
      <c r="K726" s="16">
        <v>1037572523</v>
      </c>
      <c r="L726" s="20" t="s">
        <v>5819</v>
      </c>
      <c r="M726" s="16" t="s">
        <v>111</v>
      </c>
      <c r="N726" s="22">
        <v>45386</v>
      </c>
      <c r="O726" s="22">
        <v>45397</v>
      </c>
      <c r="P726" s="22">
        <v>45657</v>
      </c>
      <c r="Q726" s="23">
        <f t="shared" si="304"/>
        <v>260</v>
      </c>
      <c r="R726" s="17" t="s">
        <v>242</v>
      </c>
      <c r="S726" s="117" t="s">
        <v>5820</v>
      </c>
      <c r="T726" s="16" t="s">
        <v>364</v>
      </c>
      <c r="U726" s="67">
        <v>20691720</v>
      </c>
      <c r="V726" s="16" t="s">
        <v>2812</v>
      </c>
      <c r="W726" s="224">
        <v>14832530</v>
      </c>
      <c r="X726" s="24"/>
      <c r="Y726" s="24"/>
      <c r="Z726" s="24"/>
      <c r="AA726" s="17" t="s">
        <v>116</v>
      </c>
      <c r="AB726" s="23" t="str">
        <f>IFERROR(VLOOKUP(AA726,Listas!$A$1:$C$14,2,FALSE),"")</f>
        <v>FREDY CÉSPEDES VILLA</v>
      </c>
      <c r="AC726" s="23">
        <f>IFERROR(VLOOKUP(AA726,Listas!$A$1:$C$14,3,FALSE),"")</f>
        <v>93363483</v>
      </c>
      <c r="AD726" s="17" t="s">
        <v>816</v>
      </c>
      <c r="AE726" s="17" t="s">
        <v>2577</v>
      </c>
      <c r="AF726" s="23" t="str">
        <f>IFERROR(VLOOKUP(AE726,Listas!$AD$1:$AF$65,2,FALSE),"")</f>
        <v>VICTOR RAUL BAUTISTA GALINDO</v>
      </c>
      <c r="AG726" s="23">
        <f>IFERROR(VLOOKUP(AE726,Listas!$AD$1:$AF$65,3,FALSE),"")</f>
        <v>79352968</v>
      </c>
      <c r="AH726" s="17" t="s">
        <v>5821</v>
      </c>
      <c r="AI726" s="65"/>
      <c r="AJ726" s="25" t="s">
        <v>1435</v>
      </c>
      <c r="AK726" s="26" t="s">
        <v>2071</v>
      </c>
      <c r="AL726" s="26" t="s">
        <v>2071</v>
      </c>
      <c r="AM726" s="90" t="s">
        <v>1435</v>
      </c>
      <c r="AN726" s="105"/>
      <c r="AO726" s="91" t="str">
        <f t="shared" ca="1" si="305"/>
        <v xml:space="preserve"> </v>
      </c>
      <c r="AP726" s="26" t="s">
        <v>121</v>
      </c>
      <c r="AQ726" s="26" t="s">
        <v>1641</v>
      </c>
      <c r="AR726" s="89"/>
      <c r="AS726" s="27"/>
      <c r="AT726" s="16"/>
      <c r="AU726" s="27"/>
      <c r="AV726" s="86"/>
      <c r="AW726" s="27"/>
      <c r="AX726" s="27"/>
      <c r="AY726" s="27"/>
      <c r="AZ726" s="27"/>
      <c r="BA726" s="27"/>
      <c r="BB726" s="27"/>
      <c r="BC726" s="97"/>
      <c r="BD726" s="27"/>
      <c r="BE726" s="16"/>
      <c r="BF726" s="28">
        <f t="shared" si="306"/>
        <v>0</v>
      </c>
      <c r="BG726" s="29"/>
      <c r="BH726" s="27"/>
      <c r="BI726" s="30">
        <f t="shared" si="307"/>
        <v>260</v>
      </c>
      <c r="BJ726" s="31">
        <f t="shared" si="308"/>
        <v>45657</v>
      </c>
      <c r="BK726" s="27"/>
      <c r="BL726" s="16"/>
      <c r="BM726" s="27"/>
      <c r="BN726" s="16"/>
      <c r="BO726" s="27"/>
      <c r="BP726" s="16"/>
      <c r="BQ726" s="27"/>
      <c r="BR726" s="24"/>
      <c r="BS726" s="24"/>
      <c r="BT726" s="32"/>
      <c r="BU726" s="27"/>
      <c r="BV726" s="24"/>
      <c r="BW726" s="24"/>
      <c r="BX726" s="16"/>
      <c r="BY726" s="27"/>
      <c r="BZ726" s="24"/>
      <c r="CA726" s="24"/>
      <c r="CB726" s="16"/>
      <c r="CC726" s="49">
        <f t="shared" si="303"/>
        <v>0</v>
      </c>
      <c r="CD726" s="24"/>
      <c r="CE726" s="49">
        <f t="shared" si="302"/>
        <v>14832530</v>
      </c>
      <c r="CF726" s="50"/>
      <c r="CG726" s="49">
        <f t="shared" ca="1" si="301"/>
        <v>14832530</v>
      </c>
      <c r="CH726" s="33">
        <f t="shared" ca="1" si="291"/>
        <v>1</v>
      </c>
      <c r="CI726" s="33">
        <f t="shared" ca="1" si="292"/>
        <v>1</v>
      </c>
      <c r="CJ726" s="36">
        <f t="shared" ca="1" si="309"/>
        <v>100</v>
      </c>
      <c r="CK726" s="34">
        <f t="shared" si="310"/>
        <v>0</v>
      </c>
      <c r="CL726" s="21"/>
      <c r="CM726" s="35" t="str">
        <f t="shared" ca="1" si="311"/>
        <v>TERMINADO</v>
      </c>
      <c r="CN726" s="82"/>
      <c r="CP726" s="83" t="s">
        <v>1424</v>
      </c>
    </row>
    <row r="727" spans="1:96" ht="24.75" customHeight="1">
      <c r="A727" s="48" t="s">
        <v>5822</v>
      </c>
      <c r="B727" s="77" t="s">
        <v>5823</v>
      </c>
      <c r="C727" s="17" t="s">
        <v>104</v>
      </c>
      <c r="D727" s="18" t="s">
        <v>5824</v>
      </c>
      <c r="E727" s="17" t="s">
        <v>106</v>
      </c>
      <c r="F727" s="17" t="s">
        <v>107</v>
      </c>
      <c r="G727" s="17" t="s">
        <v>108</v>
      </c>
      <c r="H727" s="78">
        <v>79855459</v>
      </c>
      <c r="I727" s="74" t="s">
        <v>5825</v>
      </c>
      <c r="J727" s="16"/>
      <c r="K727" s="16"/>
      <c r="L727" s="20" t="s">
        <v>5351</v>
      </c>
      <c r="M727" s="16" t="s">
        <v>111</v>
      </c>
      <c r="N727" s="22">
        <v>45387</v>
      </c>
      <c r="O727" s="22">
        <v>45399</v>
      </c>
      <c r="P727" s="22">
        <v>45657</v>
      </c>
      <c r="Q727" s="23">
        <f t="shared" si="304"/>
        <v>258</v>
      </c>
      <c r="R727" s="17" t="s">
        <v>242</v>
      </c>
      <c r="S727" s="117" t="s">
        <v>5826</v>
      </c>
      <c r="T727" s="16" t="s">
        <v>997</v>
      </c>
      <c r="U727" s="67">
        <v>93600000</v>
      </c>
      <c r="V727" s="16" t="s">
        <v>815</v>
      </c>
      <c r="W727" s="224">
        <v>93600000</v>
      </c>
      <c r="X727" s="24">
        <v>10400000</v>
      </c>
      <c r="Y727" s="24"/>
      <c r="Z727" s="24"/>
      <c r="AA727" s="17" t="s">
        <v>116</v>
      </c>
      <c r="AB727" s="23" t="str">
        <f>IFERROR(VLOOKUP(AA727,Listas!$A$1:$C$14,2,FALSE),"")</f>
        <v>FREDY CÉSPEDES VILLA</v>
      </c>
      <c r="AC727" s="23">
        <f>IFERROR(VLOOKUP(AA727,Listas!$A$1:$C$14,3,FALSE),"")</f>
        <v>93363483</v>
      </c>
      <c r="AD727" s="17" t="s">
        <v>816</v>
      </c>
      <c r="AE727" s="17" t="s">
        <v>1450</v>
      </c>
      <c r="AF727" s="23" t="str">
        <f>IFERROR(VLOOKUP(AE727,Listas!$AD$1:$AF$65,2,FALSE),"")</f>
        <v>LINA MARIA CRUZ SILVA</v>
      </c>
      <c r="AG727" s="23">
        <f>IFERROR(VLOOKUP(AE727,Listas!$AD$1:$AF$65,3,FALSE),"")</f>
        <v>52423537</v>
      </c>
      <c r="AH727" s="17" t="s">
        <v>118</v>
      </c>
      <c r="AI727" s="65" t="s">
        <v>5827</v>
      </c>
      <c r="AJ727" s="25" t="s">
        <v>119</v>
      </c>
      <c r="AK727" s="26" t="s">
        <v>120</v>
      </c>
      <c r="AL727" s="26" t="s">
        <v>120</v>
      </c>
      <c r="AM727" s="90" t="s">
        <v>119</v>
      </c>
      <c r="AN727" s="105">
        <v>28730</v>
      </c>
      <c r="AO727" s="91">
        <f t="shared" ca="1" si="305"/>
        <v>47</v>
      </c>
      <c r="AP727" s="26" t="s">
        <v>121</v>
      </c>
      <c r="AQ727" s="26" t="s">
        <v>1641</v>
      </c>
      <c r="AR727" s="89"/>
      <c r="AS727" s="27"/>
      <c r="AT727" s="16"/>
      <c r="AU727" s="27"/>
      <c r="AV727" s="86"/>
      <c r="AW727" s="27"/>
      <c r="AX727" s="27"/>
      <c r="AY727" s="27"/>
      <c r="AZ727" s="27"/>
      <c r="BA727" s="27"/>
      <c r="BB727" s="27"/>
      <c r="BC727" s="97"/>
      <c r="BD727" s="27"/>
      <c r="BE727" s="16"/>
      <c r="BF727" s="28">
        <f t="shared" si="306"/>
        <v>0</v>
      </c>
      <c r="BG727" s="29"/>
      <c r="BH727" s="27"/>
      <c r="BI727" s="30">
        <f t="shared" si="307"/>
        <v>258</v>
      </c>
      <c r="BJ727" s="31">
        <f t="shared" si="308"/>
        <v>45657</v>
      </c>
      <c r="BK727" s="27"/>
      <c r="BL727" s="16"/>
      <c r="BM727" s="27"/>
      <c r="BN727" s="16"/>
      <c r="BO727" s="27"/>
      <c r="BP727" s="16"/>
      <c r="BQ727" s="27"/>
      <c r="BR727" s="24"/>
      <c r="BS727" s="24"/>
      <c r="BT727" s="32"/>
      <c r="BU727" s="27"/>
      <c r="BV727" s="24"/>
      <c r="BW727" s="24"/>
      <c r="BX727" s="16"/>
      <c r="BY727" s="27"/>
      <c r="BZ727" s="24"/>
      <c r="CA727" s="24"/>
      <c r="CB727" s="16"/>
      <c r="CC727" s="49">
        <f t="shared" si="303"/>
        <v>0</v>
      </c>
      <c r="CD727" s="24"/>
      <c r="CE727" s="49">
        <f t="shared" si="302"/>
        <v>93600000</v>
      </c>
      <c r="CF727" s="50"/>
      <c r="CG727" s="49">
        <f t="shared" ca="1" si="301"/>
        <v>93600000</v>
      </c>
      <c r="CH727" s="33">
        <f t="shared" ca="1" si="291"/>
        <v>1</v>
      </c>
      <c r="CI727" s="33">
        <f t="shared" ca="1" si="292"/>
        <v>1</v>
      </c>
      <c r="CJ727" s="36">
        <f t="shared" ca="1" si="309"/>
        <v>100</v>
      </c>
      <c r="CK727" s="34">
        <f t="shared" si="310"/>
        <v>0</v>
      </c>
      <c r="CL727" s="21"/>
      <c r="CM727" s="35" t="str">
        <f t="shared" ca="1" si="311"/>
        <v>TERMINADO</v>
      </c>
      <c r="CN727" s="82"/>
      <c r="CO727" s="145" t="s">
        <v>5828</v>
      </c>
      <c r="CP727" s="26" t="s">
        <v>142</v>
      </c>
    </row>
    <row r="728" spans="1:96" ht="24.75" customHeight="1">
      <c r="A728" s="48" t="s">
        <v>5829</v>
      </c>
      <c r="B728" s="77" t="s">
        <v>5830</v>
      </c>
      <c r="C728" s="17" t="s">
        <v>104</v>
      </c>
      <c r="D728" s="18" t="s">
        <v>5831</v>
      </c>
      <c r="E728" s="17" t="s">
        <v>106</v>
      </c>
      <c r="F728" s="17" t="s">
        <v>107</v>
      </c>
      <c r="G728" s="17" t="s">
        <v>108</v>
      </c>
      <c r="H728" s="78">
        <v>1044425211</v>
      </c>
      <c r="I728" s="74" t="s">
        <v>5832</v>
      </c>
      <c r="J728" s="16"/>
      <c r="K728" s="16"/>
      <c r="L728" s="20" t="s">
        <v>3902</v>
      </c>
      <c r="M728" s="16" t="s">
        <v>111</v>
      </c>
      <c r="N728" s="22">
        <v>45387</v>
      </c>
      <c r="O728" s="22">
        <v>45401</v>
      </c>
      <c r="P728" s="22">
        <v>45657</v>
      </c>
      <c r="Q728" s="23">
        <f t="shared" si="304"/>
        <v>256</v>
      </c>
      <c r="R728" s="17" t="s">
        <v>242</v>
      </c>
      <c r="S728" s="117" t="s">
        <v>5833</v>
      </c>
      <c r="T728" s="16" t="s">
        <v>997</v>
      </c>
      <c r="U728" s="67">
        <v>93600000</v>
      </c>
      <c r="V728" s="16" t="s">
        <v>815</v>
      </c>
      <c r="W728" s="224">
        <v>94746667</v>
      </c>
      <c r="X728" s="24">
        <v>8800000</v>
      </c>
      <c r="Y728" s="24"/>
      <c r="Z728" s="24"/>
      <c r="AA728" s="17" t="s">
        <v>116</v>
      </c>
      <c r="AB728" s="23" t="str">
        <f>IFERROR(VLOOKUP(AA728,Listas!$A$1:$C$14,2,FALSE),"")</f>
        <v>FREDY CÉSPEDES VILLA</v>
      </c>
      <c r="AC728" s="23">
        <f>IFERROR(VLOOKUP(AA728,Listas!$A$1:$C$14,3,FALSE),"")</f>
        <v>93363483</v>
      </c>
      <c r="AD728" s="17" t="s">
        <v>816</v>
      </c>
      <c r="AE728" s="17" t="s">
        <v>2835</v>
      </c>
      <c r="AF728" s="23" t="str">
        <f>IFERROR(VLOOKUP(AE728,Listas!$AD$1:$AF$65,2,FALSE),"")</f>
        <v>GUILLERMO ANDRES CARDONA HERRERA</v>
      </c>
      <c r="AG728" s="23">
        <f>IFERROR(VLOOKUP(AE728,Listas!$AD$1:$AF$65,3,FALSE),"")</f>
        <v>80018909</v>
      </c>
      <c r="AH728" s="17" t="s">
        <v>118</v>
      </c>
      <c r="AI728" s="65" t="s">
        <v>5834</v>
      </c>
      <c r="AJ728" s="25" t="s">
        <v>119</v>
      </c>
      <c r="AK728" s="26" t="s">
        <v>120</v>
      </c>
      <c r="AL728" s="26" t="s">
        <v>120</v>
      </c>
      <c r="AM728" s="90" t="s">
        <v>119</v>
      </c>
      <c r="AN728" s="105">
        <v>32753</v>
      </c>
      <c r="AO728" s="91">
        <f t="shared" ca="1" si="305"/>
        <v>36</v>
      </c>
      <c r="AP728" s="26" t="s">
        <v>121</v>
      </c>
      <c r="AQ728" s="26" t="s">
        <v>1641</v>
      </c>
      <c r="AR728" s="89"/>
      <c r="AS728" s="27"/>
      <c r="AT728" s="16"/>
      <c r="AU728" s="27"/>
      <c r="AV728" s="86"/>
      <c r="AW728" s="27"/>
      <c r="AX728" s="27"/>
      <c r="AY728" s="27"/>
      <c r="AZ728" s="27"/>
      <c r="BA728" s="27"/>
      <c r="BB728" s="27"/>
      <c r="BC728" s="97"/>
      <c r="BD728" s="27"/>
      <c r="BE728" s="16"/>
      <c r="BF728" s="28">
        <f t="shared" si="306"/>
        <v>0</v>
      </c>
      <c r="BG728" s="29"/>
      <c r="BH728" s="27"/>
      <c r="BI728" s="30">
        <f t="shared" si="307"/>
        <v>256</v>
      </c>
      <c r="BJ728" s="31">
        <f t="shared" si="308"/>
        <v>45657</v>
      </c>
      <c r="BK728" s="27"/>
      <c r="BL728" s="16"/>
      <c r="BM728" s="27"/>
      <c r="BN728" s="16"/>
      <c r="BO728" s="27"/>
      <c r="BP728" s="16"/>
      <c r="BQ728" s="27"/>
      <c r="BR728" s="24"/>
      <c r="BS728" s="24"/>
      <c r="BT728" s="32"/>
      <c r="BU728" s="27"/>
      <c r="BV728" s="24"/>
      <c r="BW728" s="24"/>
      <c r="BX728" s="16"/>
      <c r="BY728" s="27"/>
      <c r="BZ728" s="24"/>
      <c r="CA728" s="24"/>
      <c r="CB728" s="16"/>
      <c r="CC728" s="49">
        <f t="shared" si="303"/>
        <v>0</v>
      </c>
      <c r="CD728" s="24"/>
      <c r="CE728" s="49">
        <f t="shared" si="302"/>
        <v>94746667</v>
      </c>
      <c r="CF728" s="50"/>
      <c r="CG728" s="49">
        <f t="shared" ca="1" si="301"/>
        <v>94746667</v>
      </c>
      <c r="CH728" s="33">
        <f t="shared" ca="1" si="291"/>
        <v>1</v>
      </c>
      <c r="CI728" s="33">
        <f t="shared" ca="1" si="292"/>
        <v>1</v>
      </c>
      <c r="CJ728" s="36">
        <f t="shared" ca="1" si="309"/>
        <v>100</v>
      </c>
      <c r="CK728" s="34">
        <f t="shared" si="310"/>
        <v>0</v>
      </c>
      <c r="CL728" s="21"/>
      <c r="CM728" s="35" t="str">
        <f t="shared" ca="1" si="311"/>
        <v>TERMINADO</v>
      </c>
      <c r="CN728" s="82"/>
      <c r="CO728" s="145" t="s">
        <v>5828</v>
      </c>
      <c r="CP728" s="26" t="s">
        <v>142</v>
      </c>
    </row>
    <row r="729" spans="1:96" ht="24.75" customHeight="1">
      <c r="A729" s="48" t="s">
        <v>1424</v>
      </c>
      <c r="B729" s="77" t="s">
        <v>5835</v>
      </c>
      <c r="C729" s="17" t="s">
        <v>2927</v>
      </c>
      <c r="D729" s="18" t="s">
        <v>5836</v>
      </c>
      <c r="E729" s="17" t="s">
        <v>2929</v>
      </c>
      <c r="F729" s="17" t="s">
        <v>1426</v>
      </c>
      <c r="G729" s="17" t="s">
        <v>1427</v>
      </c>
      <c r="H729" s="78" t="s">
        <v>5837</v>
      </c>
      <c r="I729" s="74" t="s">
        <v>5838</v>
      </c>
      <c r="J729" s="16" t="s">
        <v>5839</v>
      </c>
      <c r="K729" s="16">
        <v>11426680</v>
      </c>
      <c r="L729" s="20" t="s">
        <v>5525</v>
      </c>
      <c r="M729" s="16"/>
      <c r="N729" s="22">
        <v>45390</v>
      </c>
      <c r="O729" s="22">
        <v>45390</v>
      </c>
      <c r="P729" s="22">
        <v>45755</v>
      </c>
      <c r="Q729" s="23">
        <f t="shared" si="304"/>
        <v>365</v>
      </c>
      <c r="R729" s="17" t="s">
        <v>2934</v>
      </c>
      <c r="S729" s="117" t="s">
        <v>1424</v>
      </c>
      <c r="T729" s="16" t="s">
        <v>1424</v>
      </c>
      <c r="U729" s="67" t="s">
        <v>1424</v>
      </c>
      <c r="V729" s="16" t="s">
        <v>1424</v>
      </c>
      <c r="W729" s="224">
        <v>0</v>
      </c>
      <c r="X729" s="24"/>
      <c r="Y729" s="24" t="s">
        <v>2935</v>
      </c>
      <c r="Z729" s="24"/>
      <c r="AA729" s="17" t="s">
        <v>406</v>
      </c>
      <c r="AB729" s="23" t="str">
        <f>IFERROR(VLOOKUP(AA729,Listas!$A$1:$C$14,2,FALSE),"")</f>
        <v>EDUARDO ELÍAS BARCHA BOLÍVAR</v>
      </c>
      <c r="AC729" s="23">
        <f>IFERROR(VLOOKUP(AA729,Listas!$A$1:$C$14,3,FALSE),"")</f>
        <v>72133921</v>
      </c>
      <c r="AD729" s="17" t="s">
        <v>1533</v>
      </c>
      <c r="AE729" s="17" t="s">
        <v>1534</v>
      </c>
      <c r="AF729" s="23" t="str">
        <f>IFERROR(VLOOKUP(AE729,Listas!$AD$1:$AF$65,2,FALSE),"")</f>
        <v>ESTEBAN GUERRERO ALVAREZ</v>
      </c>
      <c r="AG729" s="23">
        <f>IFERROR(VLOOKUP(AE729,Listas!$AD$1:$AF$65,3,FALSE),"")</f>
        <v>1032460552</v>
      </c>
      <c r="AH729" s="17" t="s">
        <v>2936</v>
      </c>
      <c r="AI729" s="65"/>
      <c r="AJ729" s="25" t="s">
        <v>1435</v>
      </c>
      <c r="AK729" s="26" t="s">
        <v>2071</v>
      </c>
      <c r="AL729" s="26" t="s">
        <v>2071</v>
      </c>
      <c r="AM729" s="90" t="s">
        <v>1435</v>
      </c>
      <c r="AN729" s="105"/>
      <c r="AO729" s="91" t="str">
        <f t="shared" ca="1" si="305"/>
        <v xml:space="preserve"> </v>
      </c>
      <c r="AP729" s="26" t="s">
        <v>2937</v>
      </c>
      <c r="AQ729" s="26" t="s">
        <v>3067</v>
      </c>
      <c r="AR729" s="89"/>
      <c r="AS729" s="27"/>
      <c r="AT729" s="16"/>
      <c r="AU729" s="27"/>
      <c r="AV729" s="86"/>
      <c r="AW729" s="27"/>
      <c r="AX729" s="27"/>
      <c r="AY729" s="27"/>
      <c r="AZ729" s="27"/>
      <c r="BA729" s="27"/>
      <c r="BB729" s="27"/>
      <c r="BC729" s="97"/>
      <c r="BD729" s="27"/>
      <c r="BE729" s="16"/>
      <c r="BF729" s="28">
        <f t="shared" si="306"/>
        <v>0</v>
      </c>
      <c r="BG729" s="29"/>
      <c r="BH729" s="27"/>
      <c r="BI729" s="30">
        <f t="shared" si="307"/>
        <v>365</v>
      </c>
      <c r="BJ729" s="31">
        <f t="shared" si="308"/>
        <v>45755</v>
      </c>
      <c r="BK729" s="27"/>
      <c r="BL729" s="16"/>
      <c r="BM729" s="27"/>
      <c r="BN729" s="16"/>
      <c r="BO729" s="27"/>
      <c r="BP729" s="16"/>
      <c r="BQ729" s="27"/>
      <c r="BR729" s="24"/>
      <c r="BS729" s="24"/>
      <c r="BT729" s="32"/>
      <c r="BU729" s="27"/>
      <c r="BV729" s="24"/>
      <c r="BW729" s="24"/>
      <c r="BX729" s="16"/>
      <c r="BY729" s="27"/>
      <c r="BZ729" s="24"/>
      <c r="CA729" s="24"/>
      <c r="CB729" s="16"/>
      <c r="CC729" s="49">
        <f t="shared" si="303"/>
        <v>0</v>
      </c>
      <c r="CD729" s="24"/>
      <c r="CE729" s="49" t="str">
        <f>IFERROR(IF(Y729=0,(W729+CC729)-CD729,IF(Y729&gt;0,(Y729+CC729)-CD729)),"")</f>
        <v/>
      </c>
      <c r="CF729" s="50">
        <v>5339792163</v>
      </c>
      <c r="CG729" s="49" t="str">
        <f t="shared" ca="1" si="301"/>
        <v/>
      </c>
      <c r="CH729" s="33">
        <f t="shared" ref="CH729:CH792" ca="1" si="312">IF(TODAY()&gt;BJ729,1,+(DAYS360(O729,TODAY())/DAYS360(O729,BJ729)))</f>
        <v>1</v>
      </c>
      <c r="CI729" s="33">
        <f t="shared" ref="CI729:CI792" ca="1" si="313">+IF(CL729&gt;0,DAYS360(O729,CL729)/DAYS360(O729,BJ729),CH729)</f>
        <v>1</v>
      </c>
      <c r="CJ729" s="36" t="str">
        <f t="shared" ca="1" si="309"/>
        <v/>
      </c>
      <c r="CK729" s="34" t="str">
        <f t="shared" si="310"/>
        <v/>
      </c>
      <c r="CL729" s="21"/>
      <c r="CM729" s="35" t="str">
        <f t="shared" ca="1" si="311"/>
        <v>TERMINADO</v>
      </c>
      <c r="CN729" s="82"/>
      <c r="CP729" s="83" t="s">
        <v>1424</v>
      </c>
    </row>
    <row r="730" spans="1:96" ht="24.75" customHeight="1">
      <c r="A730" s="48" t="s">
        <v>5840</v>
      </c>
      <c r="B730" s="77" t="s">
        <v>5841</v>
      </c>
      <c r="C730" s="17" t="s">
        <v>104</v>
      </c>
      <c r="D730" s="18" t="s">
        <v>5842</v>
      </c>
      <c r="E730" s="17" t="s">
        <v>106</v>
      </c>
      <c r="F730" s="17" t="s">
        <v>107</v>
      </c>
      <c r="G730" s="17" t="s">
        <v>108</v>
      </c>
      <c r="H730" s="78">
        <v>1033723370</v>
      </c>
      <c r="I730" s="74" t="s">
        <v>5843</v>
      </c>
      <c r="J730" s="16"/>
      <c r="K730" s="16"/>
      <c r="L730" s="20" t="s">
        <v>5844</v>
      </c>
      <c r="M730" s="16" t="s">
        <v>111</v>
      </c>
      <c r="N730" s="22">
        <v>45390</v>
      </c>
      <c r="O730" s="22">
        <v>45406</v>
      </c>
      <c r="P730" s="22">
        <v>45656</v>
      </c>
      <c r="Q730" s="23">
        <f t="shared" si="304"/>
        <v>250</v>
      </c>
      <c r="R730" s="17" t="s">
        <v>242</v>
      </c>
      <c r="S730" s="117" t="s">
        <v>5845</v>
      </c>
      <c r="T730" s="16" t="s">
        <v>997</v>
      </c>
      <c r="U730" s="67">
        <v>72636667</v>
      </c>
      <c r="V730" s="16" t="s">
        <v>815</v>
      </c>
      <c r="W730" s="224">
        <v>72636667</v>
      </c>
      <c r="X730" s="24">
        <v>7700000</v>
      </c>
      <c r="Y730" s="24"/>
      <c r="Z730" s="24"/>
      <c r="AA730" s="17" t="s">
        <v>116</v>
      </c>
      <c r="AB730" s="23" t="str">
        <f>IFERROR(VLOOKUP(AA730,Listas!$A$1:$C$14,2,FALSE),"")</f>
        <v>FREDY CÉSPEDES VILLA</v>
      </c>
      <c r="AC730" s="23">
        <f>IFERROR(VLOOKUP(AA730,Listas!$A$1:$C$14,3,FALSE),"")</f>
        <v>93363483</v>
      </c>
      <c r="AD730" s="17" t="s">
        <v>816</v>
      </c>
      <c r="AE730" s="17" t="s">
        <v>2835</v>
      </c>
      <c r="AF730" s="23" t="str">
        <f>IFERROR(VLOOKUP(AE730,Listas!$AD$1:$AF$65,2,FALSE),"")</f>
        <v>GUILLERMO ANDRES CARDONA HERRERA</v>
      </c>
      <c r="AG730" s="23">
        <f>IFERROR(VLOOKUP(AE730,Listas!$AD$1:$AF$65,3,FALSE),"")</f>
        <v>80018909</v>
      </c>
      <c r="AH730" s="17" t="s">
        <v>118</v>
      </c>
      <c r="AI730" s="65" t="s">
        <v>5846</v>
      </c>
      <c r="AJ730" s="25" t="s">
        <v>119</v>
      </c>
      <c r="AK730" s="26" t="s">
        <v>120</v>
      </c>
      <c r="AL730" s="26" t="s">
        <v>120</v>
      </c>
      <c r="AM730" s="90" t="s">
        <v>119</v>
      </c>
      <c r="AN730" s="105">
        <v>32981</v>
      </c>
      <c r="AO730" s="91">
        <f t="shared" ca="1" si="305"/>
        <v>35</v>
      </c>
      <c r="AP730" s="26" t="s">
        <v>121</v>
      </c>
      <c r="AQ730" s="26" t="s">
        <v>1641</v>
      </c>
      <c r="AR730" s="89"/>
      <c r="AS730" s="27"/>
      <c r="AT730" s="16"/>
      <c r="AU730" s="27"/>
      <c r="AV730" s="86"/>
      <c r="AW730" s="27"/>
      <c r="AX730" s="27"/>
      <c r="AY730" s="27"/>
      <c r="AZ730" s="27"/>
      <c r="BA730" s="27"/>
      <c r="BB730" s="27"/>
      <c r="BC730" s="97"/>
      <c r="BD730" s="27"/>
      <c r="BE730" s="16"/>
      <c r="BF730" s="28">
        <f t="shared" si="306"/>
        <v>0</v>
      </c>
      <c r="BG730" s="29"/>
      <c r="BH730" s="27"/>
      <c r="BI730" s="30">
        <f t="shared" si="307"/>
        <v>250</v>
      </c>
      <c r="BJ730" s="31">
        <f t="shared" si="308"/>
        <v>45656</v>
      </c>
      <c r="BK730" s="27"/>
      <c r="BL730" s="16"/>
      <c r="BM730" s="27"/>
      <c r="BN730" s="16"/>
      <c r="BO730" s="27"/>
      <c r="BP730" s="16"/>
      <c r="BQ730" s="27"/>
      <c r="BR730" s="24"/>
      <c r="BS730" s="24"/>
      <c r="BT730" s="32"/>
      <c r="BU730" s="27"/>
      <c r="BV730" s="24"/>
      <c r="BW730" s="24"/>
      <c r="BX730" s="16"/>
      <c r="BY730" s="27"/>
      <c r="BZ730" s="24"/>
      <c r="CA730" s="24"/>
      <c r="CB730" s="16"/>
      <c r="CC730" s="49">
        <f t="shared" si="303"/>
        <v>0</v>
      </c>
      <c r="CD730" s="24"/>
      <c r="CE730" s="49">
        <f t="shared" si="302"/>
        <v>72636667</v>
      </c>
      <c r="CF730" s="50"/>
      <c r="CG730" s="49">
        <f t="shared" ca="1" si="301"/>
        <v>72636667</v>
      </c>
      <c r="CH730" s="33">
        <f t="shared" ca="1" si="312"/>
        <v>1</v>
      </c>
      <c r="CI730" s="33">
        <f t="shared" ca="1" si="313"/>
        <v>1</v>
      </c>
      <c r="CJ730" s="36">
        <f t="shared" ca="1" si="309"/>
        <v>100</v>
      </c>
      <c r="CK730" s="34">
        <f t="shared" si="310"/>
        <v>0</v>
      </c>
      <c r="CL730" s="21"/>
      <c r="CM730" s="35" t="str">
        <f t="shared" ca="1" si="311"/>
        <v>TERMINADO</v>
      </c>
      <c r="CN730" s="82"/>
      <c r="CO730" s="145" t="s">
        <v>5847</v>
      </c>
      <c r="CP730" s="26" t="s">
        <v>123</v>
      </c>
    </row>
    <row r="731" spans="1:96" s="85" customFormat="1" ht="24.75" customHeight="1">
      <c r="A731" s="48" t="s">
        <v>1424</v>
      </c>
      <c r="B731" s="77" t="s">
        <v>5848</v>
      </c>
      <c r="C731" s="17" t="s">
        <v>2927</v>
      </c>
      <c r="D731" s="18" t="s">
        <v>5849</v>
      </c>
      <c r="E731" s="17" t="s">
        <v>2929</v>
      </c>
      <c r="F731" s="17" t="s">
        <v>1426</v>
      </c>
      <c r="G731" s="17" t="s">
        <v>1427</v>
      </c>
      <c r="H731" s="78" t="s">
        <v>5850</v>
      </c>
      <c r="I731" s="74" t="s">
        <v>5851</v>
      </c>
      <c r="J731" s="16" t="s">
        <v>5852</v>
      </c>
      <c r="K731" s="16">
        <v>79151838</v>
      </c>
      <c r="L731" s="20" t="s">
        <v>5525</v>
      </c>
      <c r="M731" s="16"/>
      <c r="N731" s="22">
        <v>45391</v>
      </c>
      <c r="O731" s="22">
        <v>45391</v>
      </c>
      <c r="P731" s="22">
        <v>45756</v>
      </c>
      <c r="Q731" s="23">
        <f t="shared" si="304"/>
        <v>365</v>
      </c>
      <c r="R731" s="17" t="s">
        <v>2934</v>
      </c>
      <c r="S731" s="117" t="s">
        <v>1424</v>
      </c>
      <c r="T731" s="16" t="s">
        <v>1424</v>
      </c>
      <c r="U731" s="67" t="s">
        <v>1424</v>
      </c>
      <c r="V731" s="16" t="s">
        <v>1424</v>
      </c>
      <c r="W731" s="224">
        <v>0</v>
      </c>
      <c r="X731" s="24"/>
      <c r="Y731" s="24" t="s">
        <v>2935</v>
      </c>
      <c r="Z731" s="24"/>
      <c r="AA731" s="17" t="s">
        <v>406</v>
      </c>
      <c r="AB731" s="23" t="str">
        <f>IFERROR(VLOOKUP(AA731,Listas!$A$1:$C$14,2,FALSE),"")</f>
        <v>EDUARDO ELÍAS BARCHA BOLÍVAR</v>
      </c>
      <c r="AC731" s="23">
        <f>IFERROR(VLOOKUP(AA731,Listas!$A$1:$C$14,3,FALSE),"")</f>
        <v>72133921</v>
      </c>
      <c r="AD731" s="17" t="s">
        <v>1533</v>
      </c>
      <c r="AE731" s="17" t="s">
        <v>1534</v>
      </c>
      <c r="AF731" s="23" t="str">
        <f>IFERROR(VLOOKUP(AE731,Listas!$AD$1:$AF$65,2,FALSE),"")</f>
        <v>ESTEBAN GUERRERO ALVAREZ</v>
      </c>
      <c r="AG731" s="23">
        <f>IFERROR(VLOOKUP(AE731,Listas!$AD$1:$AF$65,3,FALSE),"")</f>
        <v>1032460552</v>
      </c>
      <c r="AH731" s="17" t="s">
        <v>2936</v>
      </c>
      <c r="AI731" s="65"/>
      <c r="AJ731" s="25" t="s">
        <v>1435</v>
      </c>
      <c r="AK731" s="26" t="s">
        <v>2071</v>
      </c>
      <c r="AL731" s="26" t="s">
        <v>2071</v>
      </c>
      <c r="AM731" s="90" t="s">
        <v>1435</v>
      </c>
      <c r="AN731" s="105"/>
      <c r="AO731" s="91" t="str">
        <f t="shared" ca="1" si="305"/>
        <v xml:space="preserve"> </v>
      </c>
      <c r="AP731" s="26" t="s">
        <v>2937</v>
      </c>
      <c r="AQ731" s="26" t="s">
        <v>3133</v>
      </c>
      <c r="AR731" s="89"/>
      <c r="AS731" s="27"/>
      <c r="AT731" s="16"/>
      <c r="AU731" s="27"/>
      <c r="AV731" s="86"/>
      <c r="AW731" s="27"/>
      <c r="AX731" s="27"/>
      <c r="AY731" s="27"/>
      <c r="AZ731" s="27"/>
      <c r="BA731" s="27"/>
      <c r="BB731" s="27">
        <v>45732</v>
      </c>
      <c r="BC731" s="97">
        <v>266</v>
      </c>
      <c r="BD731" s="27"/>
      <c r="BE731" s="16"/>
      <c r="BF731" s="28">
        <f t="shared" si="306"/>
        <v>266</v>
      </c>
      <c r="BG731" s="29"/>
      <c r="BH731" s="27"/>
      <c r="BI731" s="30">
        <f t="shared" si="307"/>
        <v>631</v>
      </c>
      <c r="BJ731" s="31">
        <f t="shared" si="308"/>
        <v>46022</v>
      </c>
      <c r="BK731" s="27">
        <v>45732</v>
      </c>
      <c r="BL731" s="16" t="s">
        <v>5853</v>
      </c>
      <c r="BM731" s="27"/>
      <c r="BN731" s="16"/>
      <c r="BO731" s="27"/>
      <c r="BP731" s="16"/>
      <c r="BQ731" s="27"/>
      <c r="BR731" s="24"/>
      <c r="BS731" s="24"/>
      <c r="BT731" s="32"/>
      <c r="BU731" s="27"/>
      <c r="BV731" s="24"/>
      <c r="BW731" s="24"/>
      <c r="BX731" s="16"/>
      <c r="BY731" s="27"/>
      <c r="BZ731" s="24"/>
      <c r="CA731" s="24"/>
      <c r="CB731" s="16"/>
      <c r="CC731" s="49">
        <f t="shared" si="303"/>
        <v>0</v>
      </c>
      <c r="CD731" s="24"/>
      <c r="CE731" s="49" t="str">
        <f>IFERROR(IF(Y731=0,(W731+CC731)-CD731,IF(Y731&gt;0,(Y731+CC731)-CD731)),"")</f>
        <v/>
      </c>
      <c r="CF731" s="50">
        <v>1025452269.3</v>
      </c>
      <c r="CG731" s="49" t="str">
        <f t="shared" ca="1" si="301"/>
        <v/>
      </c>
      <c r="CH731" s="33">
        <f t="shared" ca="1" si="312"/>
        <v>0.88585209003215437</v>
      </c>
      <c r="CI731" s="33">
        <f t="shared" ca="1" si="313"/>
        <v>0.88585209003215437</v>
      </c>
      <c r="CJ731" s="36" t="str">
        <f t="shared" ca="1" si="309"/>
        <v/>
      </c>
      <c r="CK731" s="34" t="str">
        <f t="shared" si="310"/>
        <v/>
      </c>
      <c r="CL731" s="21"/>
      <c r="CM731" s="35" t="str">
        <f t="shared" ca="1" si="311"/>
        <v>VIGENTE</v>
      </c>
      <c r="CN731" s="82"/>
      <c r="CO731" s="145"/>
      <c r="CP731" s="83" t="s">
        <v>1424</v>
      </c>
      <c r="CQ731" s="83"/>
      <c r="CR731" s="83"/>
    </row>
    <row r="732" spans="1:96" ht="24.75" customHeight="1">
      <c r="A732" s="48" t="s">
        <v>5854</v>
      </c>
      <c r="B732" s="77" t="s">
        <v>5855</v>
      </c>
      <c r="C732" s="17" t="s">
        <v>5814</v>
      </c>
      <c r="D732" s="18" t="s">
        <v>5856</v>
      </c>
      <c r="E732" s="17" t="s">
        <v>106</v>
      </c>
      <c r="F732" s="17" t="s">
        <v>1426</v>
      </c>
      <c r="G732" s="17" t="s">
        <v>1427</v>
      </c>
      <c r="H732" s="78" t="s">
        <v>5857</v>
      </c>
      <c r="I732" s="74" t="s">
        <v>5858</v>
      </c>
      <c r="J732" s="16" t="s">
        <v>5859</v>
      </c>
      <c r="K732" s="16">
        <v>79502667</v>
      </c>
      <c r="L732" s="20" t="s">
        <v>5860</v>
      </c>
      <c r="M732" s="16" t="s">
        <v>111</v>
      </c>
      <c r="N732" s="22">
        <v>45392</v>
      </c>
      <c r="O732" s="22">
        <v>45399</v>
      </c>
      <c r="P732" s="22">
        <v>45656</v>
      </c>
      <c r="Q732" s="23">
        <f t="shared" si="304"/>
        <v>257</v>
      </c>
      <c r="R732" s="17" t="s">
        <v>242</v>
      </c>
      <c r="S732" s="117" t="s">
        <v>5861</v>
      </c>
      <c r="T732" s="16" t="s">
        <v>5862</v>
      </c>
      <c r="U732" s="67">
        <v>10000000</v>
      </c>
      <c r="V732" s="16" t="s">
        <v>5863</v>
      </c>
      <c r="W732" s="224">
        <v>9963700</v>
      </c>
      <c r="X732" s="24"/>
      <c r="Y732" s="24"/>
      <c r="Z732" s="24"/>
      <c r="AA732" s="17" t="s">
        <v>116</v>
      </c>
      <c r="AB732" s="23" t="str">
        <f>IFERROR(VLOOKUP(AA732,Listas!$A$1:$C$14,2,FALSE),"")</f>
        <v>FREDY CÉSPEDES VILLA</v>
      </c>
      <c r="AC732" s="23">
        <f>IFERROR(VLOOKUP(AA732,Listas!$A$1:$C$14,3,FALSE),"")</f>
        <v>93363483</v>
      </c>
      <c r="AD732" s="17" t="s">
        <v>116</v>
      </c>
      <c r="AE732" s="17" t="s">
        <v>2309</v>
      </c>
      <c r="AF732" s="23" t="str">
        <f>IFERROR(VLOOKUP(AE732,Listas!$AD$1:$AF$65,2,FALSE),"")</f>
        <v>YURY NAYIBE LADINO</v>
      </c>
      <c r="AG732" s="23">
        <f>IFERROR(VLOOKUP(AE732,Listas!$AD$1:$AF$65,3,FALSE),"")</f>
        <v>1013587191</v>
      </c>
      <c r="AH732" s="17" t="s">
        <v>118</v>
      </c>
      <c r="AI732" s="65"/>
      <c r="AJ732" s="25" t="s">
        <v>1435</v>
      </c>
      <c r="AK732" s="26" t="s">
        <v>2071</v>
      </c>
      <c r="AL732" s="26" t="s">
        <v>2071</v>
      </c>
      <c r="AM732" s="90" t="s">
        <v>1435</v>
      </c>
      <c r="AN732" s="105"/>
      <c r="AO732" s="91" t="str">
        <f t="shared" ca="1" si="305"/>
        <v xml:space="preserve"> </v>
      </c>
      <c r="AP732" s="26" t="s">
        <v>121</v>
      </c>
      <c r="AQ732" s="26" t="s">
        <v>486</v>
      </c>
      <c r="AR732" s="89"/>
      <c r="AS732" s="27"/>
      <c r="AT732" s="16"/>
      <c r="AU732" s="27"/>
      <c r="AV732" s="86"/>
      <c r="AW732" s="27"/>
      <c r="AX732" s="27"/>
      <c r="AY732" s="27"/>
      <c r="AZ732" s="27"/>
      <c r="BA732" s="27"/>
      <c r="BB732" s="27"/>
      <c r="BC732" s="97"/>
      <c r="BD732" s="27"/>
      <c r="BE732" s="16"/>
      <c r="BF732" s="28">
        <f t="shared" si="306"/>
        <v>0</v>
      </c>
      <c r="BG732" s="29"/>
      <c r="BH732" s="27"/>
      <c r="BI732" s="30">
        <f t="shared" si="307"/>
        <v>257</v>
      </c>
      <c r="BJ732" s="31">
        <f t="shared" si="308"/>
        <v>45656</v>
      </c>
      <c r="BK732" s="27"/>
      <c r="BL732" s="16"/>
      <c r="BM732" s="27"/>
      <c r="BN732" s="16"/>
      <c r="BO732" s="27"/>
      <c r="BP732" s="16"/>
      <c r="BQ732" s="27"/>
      <c r="BR732" s="24"/>
      <c r="BS732" s="24"/>
      <c r="BT732" s="32"/>
      <c r="BU732" s="27"/>
      <c r="BV732" s="24"/>
      <c r="BW732" s="24"/>
      <c r="BX732" s="16"/>
      <c r="BY732" s="27"/>
      <c r="BZ732" s="24"/>
      <c r="CA732" s="24"/>
      <c r="CB732" s="16"/>
      <c r="CC732" s="49">
        <f t="shared" si="303"/>
        <v>0</v>
      </c>
      <c r="CD732" s="24"/>
      <c r="CE732" s="49">
        <f t="shared" si="302"/>
        <v>9963700</v>
      </c>
      <c r="CF732" s="50"/>
      <c r="CG732" s="49">
        <f t="shared" ca="1" si="301"/>
        <v>9963700</v>
      </c>
      <c r="CH732" s="33">
        <f t="shared" ca="1" si="312"/>
        <v>1</v>
      </c>
      <c r="CI732" s="33">
        <f t="shared" ca="1" si="313"/>
        <v>1</v>
      </c>
      <c r="CJ732" s="36">
        <f t="shared" ca="1" si="309"/>
        <v>100</v>
      </c>
      <c r="CK732" s="34">
        <f t="shared" si="310"/>
        <v>0</v>
      </c>
      <c r="CL732" s="21"/>
      <c r="CM732" s="35" t="str">
        <f t="shared" ca="1" si="311"/>
        <v>TERMINADO</v>
      </c>
      <c r="CN732" s="82"/>
      <c r="CP732" s="83" t="s">
        <v>1424</v>
      </c>
    </row>
    <row r="733" spans="1:96" s="85" customFormat="1" ht="24.75" customHeight="1">
      <c r="A733" s="48" t="s">
        <v>1424</v>
      </c>
      <c r="B733" s="77" t="s">
        <v>5864</v>
      </c>
      <c r="C733" s="17" t="s">
        <v>2927</v>
      </c>
      <c r="D733" s="18" t="s">
        <v>5865</v>
      </c>
      <c r="E733" s="17" t="s">
        <v>5866</v>
      </c>
      <c r="F733" s="17" t="s">
        <v>1426</v>
      </c>
      <c r="G733" s="17" t="s">
        <v>1427</v>
      </c>
      <c r="H733" s="78" t="s">
        <v>5867</v>
      </c>
      <c r="I733" s="74" t="s">
        <v>5868</v>
      </c>
      <c r="J733" s="16" t="s">
        <v>5869</v>
      </c>
      <c r="K733" s="16">
        <v>79232756</v>
      </c>
      <c r="L733" s="20" t="s">
        <v>5870</v>
      </c>
      <c r="M733" s="16" t="s">
        <v>111</v>
      </c>
      <c r="N733" s="22">
        <v>45392</v>
      </c>
      <c r="O733" s="22">
        <v>45392</v>
      </c>
      <c r="P733" s="22">
        <v>46427</v>
      </c>
      <c r="Q733" s="23">
        <f t="shared" si="304"/>
        <v>1035</v>
      </c>
      <c r="R733" s="17" t="s">
        <v>112</v>
      </c>
      <c r="S733" s="117" t="s">
        <v>5871</v>
      </c>
      <c r="T733" s="16" t="s">
        <v>5872</v>
      </c>
      <c r="U733" s="67">
        <v>41443513048</v>
      </c>
      <c r="V733" s="16" t="s">
        <v>5873</v>
      </c>
      <c r="W733" s="224">
        <v>1011333333</v>
      </c>
      <c r="X733" s="24"/>
      <c r="Y733" s="24">
        <v>2360283333</v>
      </c>
      <c r="Z733" s="24"/>
      <c r="AA733" s="17" t="s">
        <v>607</v>
      </c>
      <c r="AB733" s="23" t="str">
        <f>IFERROR(VLOOKUP(AA733,Listas!$A$1:$C$14,2,FALSE),"")</f>
        <v>MARÍA FRANCISCA CEPEDA QUINTERO</v>
      </c>
      <c r="AC733" s="23">
        <f>IFERROR(VLOOKUP(AA733,Listas!$A$1:$C$14,3,FALSE),"")</f>
        <v>53062608</v>
      </c>
      <c r="AD733" s="17" t="s">
        <v>607</v>
      </c>
      <c r="AE733" s="17" t="s">
        <v>1155</v>
      </c>
      <c r="AF733" s="23" t="str">
        <f>IFERROR(VLOOKUP(AE733,Listas!$AD$1:$AF$65,2,FALSE),"")</f>
        <v>MARÍA FRANCISCA CEPEDA QUINTERO</v>
      </c>
      <c r="AG733" s="23">
        <f>IFERROR(VLOOKUP(AE733,Listas!$AD$1:$AF$65,3,FALSE),"")</f>
        <v>53062608</v>
      </c>
      <c r="AH733" s="17" t="s">
        <v>2936</v>
      </c>
      <c r="AI733" s="65"/>
      <c r="AJ733" s="25" t="s">
        <v>1435</v>
      </c>
      <c r="AK733" s="26" t="s">
        <v>2071</v>
      </c>
      <c r="AL733" s="26" t="s">
        <v>2071</v>
      </c>
      <c r="AM733" s="90" t="s">
        <v>1435</v>
      </c>
      <c r="AN733" s="105"/>
      <c r="AO733" s="91" t="str">
        <f t="shared" ca="1" si="305"/>
        <v xml:space="preserve"> </v>
      </c>
      <c r="AP733" s="26" t="s">
        <v>2937</v>
      </c>
      <c r="AQ733" s="26" t="s">
        <v>4526</v>
      </c>
      <c r="AR733" s="89"/>
      <c r="AS733" s="27"/>
      <c r="AT733" s="16"/>
      <c r="AU733" s="27"/>
      <c r="AV733" s="86"/>
      <c r="AW733" s="27"/>
      <c r="AX733" s="27"/>
      <c r="AY733" s="27"/>
      <c r="AZ733" s="27"/>
      <c r="BA733" s="27"/>
      <c r="BB733" s="27"/>
      <c r="BC733" s="97"/>
      <c r="BD733" s="27"/>
      <c r="BE733" s="16"/>
      <c r="BF733" s="28">
        <f t="shared" si="306"/>
        <v>0</v>
      </c>
      <c r="BG733" s="29"/>
      <c r="BH733" s="27"/>
      <c r="BI733" s="30">
        <f t="shared" si="307"/>
        <v>1035</v>
      </c>
      <c r="BJ733" s="31">
        <f t="shared" si="308"/>
        <v>46427</v>
      </c>
      <c r="BK733" s="27"/>
      <c r="BL733" s="16"/>
      <c r="BM733" s="27"/>
      <c r="BN733" s="16"/>
      <c r="BO733" s="27"/>
      <c r="BP733" s="16"/>
      <c r="BQ733" s="27"/>
      <c r="BR733" s="24"/>
      <c r="BS733" s="24"/>
      <c r="BT733" s="32"/>
      <c r="BU733" s="27"/>
      <c r="BV733" s="24"/>
      <c r="BW733" s="24"/>
      <c r="BX733" s="16"/>
      <c r="BY733" s="27"/>
      <c r="BZ733" s="24"/>
      <c r="CA733" s="24"/>
      <c r="CB733" s="16"/>
      <c r="CC733" s="49">
        <f t="shared" si="303"/>
        <v>0</v>
      </c>
      <c r="CD733" s="24"/>
      <c r="CE733" s="49">
        <f t="shared" ref="CE733:CE734" si="314">IF(Y733=0,(W733+CC733)-CD733,IF(Y733&gt;0,(Y733+CC733)-CD733))</f>
        <v>2360283333</v>
      </c>
      <c r="CF733" s="50">
        <v>1011333333</v>
      </c>
      <c r="CG733" s="49">
        <f t="shared" ca="1" si="301"/>
        <v>1272500579.5304348</v>
      </c>
      <c r="CH733" s="33">
        <f t="shared" ca="1" si="312"/>
        <v>0.53974484789008836</v>
      </c>
      <c r="CI733" s="33">
        <f t="shared" ca="1" si="313"/>
        <v>0.53974484789008836</v>
      </c>
      <c r="CJ733" s="36">
        <f t="shared" ca="1" si="309"/>
        <v>53.913043478260867</v>
      </c>
      <c r="CK733" s="34">
        <f t="shared" si="310"/>
        <v>42.847963160192343</v>
      </c>
      <c r="CL733" s="21"/>
      <c r="CM733" s="35" t="str">
        <f t="shared" ca="1" si="311"/>
        <v>VIGENTE</v>
      </c>
      <c r="CN733" s="82"/>
      <c r="CO733" s="145"/>
      <c r="CP733" s="83" t="s">
        <v>1424</v>
      </c>
      <c r="CQ733" s="83">
        <v>85514</v>
      </c>
      <c r="CR733" s="83"/>
    </row>
    <row r="734" spans="1:96" ht="24.75" customHeight="1">
      <c r="A734" s="48" t="s">
        <v>5874</v>
      </c>
      <c r="B734" s="77" t="s">
        <v>5875</v>
      </c>
      <c r="C734" s="17" t="s">
        <v>104</v>
      </c>
      <c r="D734" s="18" t="s">
        <v>5876</v>
      </c>
      <c r="E734" s="17" t="s">
        <v>106</v>
      </c>
      <c r="F734" s="17" t="s">
        <v>107</v>
      </c>
      <c r="G734" s="17" t="s">
        <v>108</v>
      </c>
      <c r="H734" s="78">
        <v>1016050786</v>
      </c>
      <c r="I734" s="74" t="s">
        <v>5877</v>
      </c>
      <c r="J734" s="16"/>
      <c r="K734" s="16"/>
      <c r="L734" s="20" t="s">
        <v>5878</v>
      </c>
      <c r="M734" s="16" t="s">
        <v>111</v>
      </c>
      <c r="N734" s="22">
        <v>45394</v>
      </c>
      <c r="O734" s="22">
        <v>45407</v>
      </c>
      <c r="P734" s="22">
        <v>45656</v>
      </c>
      <c r="Q734" s="23">
        <f t="shared" si="304"/>
        <v>249</v>
      </c>
      <c r="R734" s="17" t="s">
        <v>242</v>
      </c>
      <c r="S734" s="117" t="s">
        <v>5879</v>
      </c>
      <c r="T734" s="16" t="s">
        <v>949</v>
      </c>
      <c r="U734" s="67">
        <v>60000000</v>
      </c>
      <c r="V734" s="16" t="s">
        <v>1071</v>
      </c>
      <c r="W734" s="224">
        <v>54000000</v>
      </c>
      <c r="X734" s="24">
        <v>6000000</v>
      </c>
      <c r="Y734" s="24"/>
      <c r="Z734" s="24"/>
      <c r="AA734" s="17" t="s">
        <v>116</v>
      </c>
      <c r="AB734" s="23" t="str">
        <f>IFERROR(VLOOKUP(AA734,Listas!$A$1:$C$14,2,FALSE),"")</f>
        <v>FREDY CÉSPEDES VILLA</v>
      </c>
      <c r="AC734" s="23">
        <f>IFERROR(VLOOKUP(AA734,Listas!$A$1:$C$14,3,FALSE),"")</f>
        <v>93363483</v>
      </c>
      <c r="AD734" s="17" t="s">
        <v>951</v>
      </c>
      <c r="AE734" s="17" t="s">
        <v>952</v>
      </c>
      <c r="AF734" s="23" t="str">
        <f>IFERROR(VLOOKUP(AE734,Listas!$AD$1:$AF$65,2,FALSE),"")</f>
        <v>ANDRES MAURICIO LUQUE AYALA</v>
      </c>
      <c r="AG734" s="23">
        <f>IFERROR(VLOOKUP(AE734,Listas!$AD$1:$AF$65,3,FALSE),"")</f>
        <v>11443937</v>
      </c>
      <c r="AH734" s="17" t="s">
        <v>118</v>
      </c>
      <c r="AI734" s="65" t="s">
        <v>5880</v>
      </c>
      <c r="AJ734" s="25" t="s">
        <v>119</v>
      </c>
      <c r="AK734" s="26" t="s">
        <v>120</v>
      </c>
      <c r="AL734" s="26" t="s">
        <v>120</v>
      </c>
      <c r="AM734" s="90" t="s">
        <v>119</v>
      </c>
      <c r="AN734" s="105">
        <v>33924</v>
      </c>
      <c r="AO734" s="91">
        <f t="shared" ca="1" si="305"/>
        <v>33</v>
      </c>
      <c r="AP734" s="26" t="s">
        <v>121</v>
      </c>
      <c r="AQ734" s="26" t="s">
        <v>886</v>
      </c>
      <c r="AR734" s="89"/>
      <c r="AS734" s="27"/>
      <c r="AT734" s="16"/>
      <c r="AU734" s="27"/>
      <c r="AV734" s="86"/>
      <c r="AW734" s="27"/>
      <c r="AX734" s="27"/>
      <c r="AY734" s="27"/>
      <c r="AZ734" s="27"/>
      <c r="BA734" s="27"/>
      <c r="BB734" s="27"/>
      <c r="BC734" s="97"/>
      <c r="BD734" s="27"/>
      <c r="BE734" s="16"/>
      <c r="BF734" s="28">
        <f t="shared" si="306"/>
        <v>0</v>
      </c>
      <c r="BG734" s="29"/>
      <c r="BH734" s="27"/>
      <c r="BI734" s="30">
        <f t="shared" si="307"/>
        <v>249</v>
      </c>
      <c r="BJ734" s="31">
        <f t="shared" si="308"/>
        <v>45656</v>
      </c>
      <c r="BK734" s="27"/>
      <c r="BL734" s="16"/>
      <c r="BM734" s="27"/>
      <c r="BN734" s="16"/>
      <c r="BO734" s="27"/>
      <c r="BP734" s="16"/>
      <c r="BQ734" s="27"/>
      <c r="BR734" s="24"/>
      <c r="BS734" s="24"/>
      <c r="BT734" s="32"/>
      <c r="BU734" s="27"/>
      <c r="BV734" s="24"/>
      <c r="BW734" s="24"/>
      <c r="BX734" s="16"/>
      <c r="BY734" s="27"/>
      <c r="BZ734" s="24"/>
      <c r="CA734" s="24"/>
      <c r="CB734" s="16"/>
      <c r="CC734" s="49">
        <f t="shared" si="303"/>
        <v>0</v>
      </c>
      <c r="CD734" s="24"/>
      <c r="CE734" s="49">
        <f t="shared" si="314"/>
        <v>54000000</v>
      </c>
      <c r="CF734" s="50"/>
      <c r="CG734" s="49">
        <f t="shared" ca="1" si="301"/>
        <v>54000000</v>
      </c>
      <c r="CH734" s="33">
        <f t="shared" ca="1" si="312"/>
        <v>1</v>
      </c>
      <c r="CI734" s="33">
        <f t="shared" ca="1" si="313"/>
        <v>1</v>
      </c>
      <c r="CJ734" s="36">
        <f t="shared" ca="1" si="309"/>
        <v>100</v>
      </c>
      <c r="CK734" s="34">
        <f t="shared" si="310"/>
        <v>0</v>
      </c>
      <c r="CL734" s="21"/>
      <c r="CM734" s="35" t="str">
        <f t="shared" ca="1" si="311"/>
        <v>TERMINADO</v>
      </c>
      <c r="CN734" s="82"/>
      <c r="CO734" s="145" t="s">
        <v>5881</v>
      </c>
      <c r="CP734" s="26" t="s">
        <v>123</v>
      </c>
    </row>
    <row r="735" spans="1:96" s="170" customFormat="1" ht="24.75" customHeight="1">
      <c r="A735" s="48" t="s">
        <v>1424</v>
      </c>
      <c r="B735" s="77" t="s">
        <v>5882</v>
      </c>
      <c r="C735" s="17" t="s">
        <v>2927</v>
      </c>
      <c r="D735" s="18" t="s">
        <v>5883</v>
      </c>
      <c r="E735" s="17" t="s">
        <v>2929</v>
      </c>
      <c r="F735" s="17" t="s">
        <v>1426</v>
      </c>
      <c r="G735" s="17" t="s">
        <v>1427</v>
      </c>
      <c r="H735" s="78" t="s">
        <v>5884</v>
      </c>
      <c r="I735" s="74" t="s">
        <v>5885</v>
      </c>
      <c r="J735" s="16" t="s">
        <v>5886</v>
      </c>
      <c r="K735" s="16">
        <v>79157459</v>
      </c>
      <c r="L735" s="20" t="s">
        <v>5291</v>
      </c>
      <c r="M735" s="16"/>
      <c r="N735" s="22">
        <v>45394</v>
      </c>
      <c r="O735" s="22">
        <v>45394</v>
      </c>
      <c r="P735" s="22">
        <v>45759</v>
      </c>
      <c r="Q735" s="23">
        <f t="shared" si="304"/>
        <v>365</v>
      </c>
      <c r="R735" s="17" t="s">
        <v>2934</v>
      </c>
      <c r="S735" s="117" t="s">
        <v>1424</v>
      </c>
      <c r="T735" s="16" t="s">
        <v>1424</v>
      </c>
      <c r="U735" s="67" t="s">
        <v>1424</v>
      </c>
      <c r="V735" s="16" t="s">
        <v>1424</v>
      </c>
      <c r="W735" s="224">
        <v>0</v>
      </c>
      <c r="X735" s="24"/>
      <c r="Y735" s="24" t="s">
        <v>2935</v>
      </c>
      <c r="Z735" s="24"/>
      <c r="AA735" s="17" t="s">
        <v>406</v>
      </c>
      <c r="AB735" s="23" t="str">
        <f>IFERROR(VLOOKUP(AA735,Listas!$A$1:$C$14,2,FALSE),"")</f>
        <v>EDUARDO ELÍAS BARCHA BOLÍVAR</v>
      </c>
      <c r="AC735" s="23">
        <f>IFERROR(VLOOKUP(AA735,Listas!$A$1:$C$14,3,FALSE),"")</f>
        <v>72133921</v>
      </c>
      <c r="AD735" s="17" t="s">
        <v>1533</v>
      </c>
      <c r="AE735" s="17" t="s">
        <v>1534</v>
      </c>
      <c r="AF735" s="23" t="str">
        <f>IFERROR(VLOOKUP(AE735,Listas!$AD$1:$AF$65,2,FALSE),"")</f>
        <v>ESTEBAN GUERRERO ALVAREZ</v>
      </c>
      <c r="AG735" s="23">
        <f>IFERROR(VLOOKUP(AE735,Listas!$AD$1:$AF$65,3,FALSE),"")</f>
        <v>1032460552</v>
      </c>
      <c r="AH735" s="17" t="s">
        <v>2936</v>
      </c>
      <c r="AI735" s="65"/>
      <c r="AJ735" s="25" t="s">
        <v>1435</v>
      </c>
      <c r="AK735" s="26" t="s">
        <v>2071</v>
      </c>
      <c r="AL735" s="26" t="s">
        <v>2071</v>
      </c>
      <c r="AM735" s="90" t="s">
        <v>1435</v>
      </c>
      <c r="AN735" s="105"/>
      <c r="AO735" s="91" t="str">
        <f t="shared" ca="1" si="305"/>
        <v xml:space="preserve"> </v>
      </c>
      <c r="AP735" s="26" t="s">
        <v>2937</v>
      </c>
      <c r="AQ735" s="26" t="s">
        <v>3437</v>
      </c>
      <c r="AR735" s="89"/>
      <c r="AS735" s="27"/>
      <c r="AT735" s="16"/>
      <c r="AU735" s="27"/>
      <c r="AV735" s="86"/>
      <c r="AW735" s="27"/>
      <c r="AX735" s="27"/>
      <c r="AY735" s="27"/>
      <c r="AZ735" s="27"/>
      <c r="BA735" s="27"/>
      <c r="BB735" s="27">
        <v>45747</v>
      </c>
      <c r="BC735" s="97">
        <v>263</v>
      </c>
      <c r="BD735" s="27"/>
      <c r="BE735" s="16"/>
      <c r="BF735" s="28">
        <f t="shared" si="306"/>
        <v>263</v>
      </c>
      <c r="BG735" s="29"/>
      <c r="BH735" s="27"/>
      <c r="BI735" s="30">
        <f t="shared" si="307"/>
        <v>628</v>
      </c>
      <c r="BJ735" s="31">
        <f t="shared" si="308"/>
        <v>46022</v>
      </c>
      <c r="BK735" s="27">
        <v>45747</v>
      </c>
      <c r="BL735" s="16" t="s">
        <v>5887</v>
      </c>
      <c r="BM735" s="27"/>
      <c r="BN735" s="16"/>
      <c r="BO735" s="27"/>
      <c r="BP735" s="16"/>
      <c r="BQ735" s="27"/>
      <c r="BR735" s="24"/>
      <c r="BS735" s="24"/>
      <c r="BT735" s="32"/>
      <c r="BU735" s="27"/>
      <c r="BV735" s="24"/>
      <c r="BW735" s="24"/>
      <c r="BX735" s="16"/>
      <c r="BY735" s="27"/>
      <c r="BZ735" s="24"/>
      <c r="CA735" s="24"/>
      <c r="CB735" s="16"/>
      <c r="CC735" s="49">
        <f t="shared" si="303"/>
        <v>0</v>
      </c>
      <c r="CD735" s="24"/>
      <c r="CE735" s="49" t="str">
        <f>IFERROR(IF(Y735=0,(W735+CC735)-CD735,IF(Y735&gt;0,(Y735+CC735)-CD735)),"")</f>
        <v/>
      </c>
      <c r="CF735" s="50">
        <v>644077206.26999998</v>
      </c>
      <c r="CG735" s="49" t="str">
        <f t="shared" ca="1" si="301"/>
        <v/>
      </c>
      <c r="CH735" s="33">
        <f t="shared" ca="1" si="312"/>
        <v>0.88529886914378031</v>
      </c>
      <c r="CI735" s="33">
        <f t="shared" ca="1" si="313"/>
        <v>0.88529886914378031</v>
      </c>
      <c r="CJ735" s="36" t="str">
        <f t="shared" ca="1" si="309"/>
        <v/>
      </c>
      <c r="CK735" s="34" t="str">
        <f t="shared" si="310"/>
        <v/>
      </c>
      <c r="CL735" s="21"/>
      <c r="CM735" s="35" t="str">
        <f t="shared" ca="1" si="311"/>
        <v>VIGENTE</v>
      </c>
      <c r="CN735" s="82"/>
      <c r="CO735" s="145"/>
      <c r="CP735" s="83" t="s">
        <v>1424</v>
      </c>
      <c r="CQ735" s="83"/>
      <c r="CR735" s="83"/>
    </row>
    <row r="736" spans="1:96" s="85" customFormat="1" ht="24.75" customHeight="1">
      <c r="A736" s="48" t="s">
        <v>1424</v>
      </c>
      <c r="B736" s="77" t="s">
        <v>5888</v>
      </c>
      <c r="C736" s="17" t="s">
        <v>2927</v>
      </c>
      <c r="D736" s="18" t="s">
        <v>5889</v>
      </c>
      <c r="E736" s="17" t="s">
        <v>2929</v>
      </c>
      <c r="F736" s="17" t="s">
        <v>1426</v>
      </c>
      <c r="G736" s="17" t="s">
        <v>1427</v>
      </c>
      <c r="H736" s="78">
        <v>8903058811</v>
      </c>
      <c r="I736" s="74" t="s">
        <v>5890</v>
      </c>
      <c r="J736" s="16" t="s">
        <v>5891</v>
      </c>
      <c r="K736" s="16">
        <v>16267500</v>
      </c>
      <c r="L736" s="20" t="s">
        <v>5291</v>
      </c>
      <c r="M736" s="16"/>
      <c r="N736" s="22">
        <v>45397</v>
      </c>
      <c r="O736" s="22">
        <v>45397</v>
      </c>
      <c r="P736" s="22">
        <v>45762</v>
      </c>
      <c r="Q736" s="23">
        <f t="shared" si="304"/>
        <v>365</v>
      </c>
      <c r="R736" s="17" t="s">
        <v>2934</v>
      </c>
      <c r="S736" s="117" t="s">
        <v>1424</v>
      </c>
      <c r="T736" s="16" t="s">
        <v>1424</v>
      </c>
      <c r="U736" s="67" t="s">
        <v>1424</v>
      </c>
      <c r="V736" s="16" t="s">
        <v>1424</v>
      </c>
      <c r="W736" s="224">
        <v>0</v>
      </c>
      <c r="X736" s="24"/>
      <c r="Y736" s="24" t="s">
        <v>2935</v>
      </c>
      <c r="Z736" s="24"/>
      <c r="AA736" s="17" t="s">
        <v>406</v>
      </c>
      <c r="AB736" s="23" t="str">
        <f>IFERROR(VLOOKUP(AA736,Listas!$A$1:$C$14,2,FALSE),"")</f>
        <v>EDUARDO ELÍAS BARCHA BOLÍVAR</v>
      </c>
      <c r="AC736" s="23">
        <f>IFERROR(VLOOKUP(AA736,Listas!$A$1:$C$14,3,FALSE),"")</f>
        <v>72133921</v>
      </c>
      <c r="AD736" s="17" t="s">
        <v>559</v>
      </c>
      <c r="AE736" s="17" t="s">
        <v>560</v>
      </c>
      <c r="AF736" s="23" t="str">
        <f>IFERROR(VLOOKUP(AE736,Listas!$AD$1:$AF$65,2,FALSE),"")</f>
        <v>CESAR AUGUSTO LÓPEZ LÓPEZ</v>
      </c>
      <c r="AG736" s="23">
        <f>IFERROR(VLOOKUP(AE736,Listas!$AD$1:$AF$65,3,FALSE),"")</f>
        <v>6103856</v>
      </c>
      <c r="AH736" s="17" t="s">
        <v>2936</v>
      </c>
      <c r="AI736" s="65"/>
      <c r="AJ736" s="25" t="s">
        <v>1435</v>
      </c>
      <c r="AK736" s="26" t="s">
        <v>2071</v>
      </c>
      <c r="AL736" s="26" t="s">
        <v>2071</v>
      </c>
      <c r="AM736" s="90" t="s">
        <v>1435</v>
      </c>
      <c r="AN736" s="105"/>
      <c r="AO736" s="91" t="str">
        <f t="shared" ca="1" si="305"/>
        <v xml:space="preserve"> </v>
      </c>
      <c r="AP736" s="26" t="s">
        <v>2937</v>
      </c>
      <c r="AQ736" s="26" t="s">
        <v>3453</v>
      </c>
      <c r="AR736" s="89"/>
      <c r="AS736" s="27"/>
      <c r="AT736" s="16"/>
      <c r="AU736" s="27"/>
      <c r="AV736" s="86"/>
      <c r="AW736" s="27"/>
      <c r="AX736" s="27"/>
      <c r="AY736" s="27"/>
      <c r="AZ736" s="27"/>
      <c r="BA736" s="27"/>
      <c r="BB736" s="27">
        <v>45652</v>
      </c>
      <c r="BC736" s="78">
        <v>260</v>
      </c>
      <c r="BD736" s="27"/>
      <c r="BE736" s="16"/>
      <c r="BF736" s="28">
        <f t="shared" si="306"/>
        <v>260</v>
      </c>
      <c r="BG736" s="29"/>
      <c r="BH736" s="27"/>
      <c r="BI736" s="30">
        <f t="shared" si="307"/>
        <v>625</v>
      </c>
      <c r="BJ736" s="31">
        <f t="shared" si="308"/>
        <v>46022</v>
      </c>
      <c r="BK736" s="27">
        <v>45652</v>
      </c>
      <c r="BL736" s="16" t="s">
        <v>5892</v>
      </c>
      <c r="BM736" s="27"/>
      <c r="BN736" s="16"/>
      <c r="BO736" s="27"/>
      <c r="BP736" s="16"/>
      <c r="BQ736" s="27"/>
      <c r="BR736" s="24"/>
      <c r="BS736" s="24"/>
      <c r="BT736" s="32"/>
      <c r="BU736" s="27"/>
      <c r="BV736" s="24"/>
      <c r="BW736" s="24"/>
      <c r="BX736" s="16"/>
      <c r="BY736" s="27"/>
      <c r="BZ736" s="24"/>
      <c r="CA736" s="24"/>
      <c r="CB736" s="16"/>
      <c r="CC736" s="49">
        <f t="shared" si="303"/>
        <v>0</v>
      </c>
      <c r="CD736" s="24"/>
      <c r="CE736" s="49" t="str">
        <f>IFERROR(IF(Y736=0,(W736+CC736)-CD736,IF(Y736&gt;0,(Y736+CC736)-CD736)),"")</f>
        <v/>
      </c>
      <c r="CF736" s="50">
        <v>1074883303.76</v>
      </c>
      <c r="CG736" s="49" t="str">
        <f t="shared" ca="1" si="301"/>
        <v/>
      </c>
      <c r="CH736" s="33">
        <f t="shared" ca="1" si="312"/>
        <v>0.88474025974025972</v>
      </c>
      <c r="CI736" s="33">
        <f t="shared" ca="1" si="313"/>
        <v>0.88474025974025972</v>
      </c>
      <c r="CJ736" s="36" t="str">
        <f t="shared" ca="1" si="309"/>
        <v/>
      </c>
      <c r="CK736" s="34" t="str">
        <f t="shared" si="310"/>
        <v/>
      </c>
      <c r="CL736" s="21"/>
      <c r="CM736" s="35" t="str">
        <f t="shared" ca="1" si="311"/>
        <v>VIGENTE</v>
      </c>
      <c r="CN736" s="82"/>
      <c r="CO736" s="145"/>
      <c r="CP736" s="83" t="s">
        <v>1424</v>
      </c>
      <c r="CQ736" s="83"/>
      <c r="CR736" s="83"/>
    </row>
    <row r="737" spans="1:96" s="85" customFormat="1" ht="24.75" customHeight="1">
      <c r="A737" s="48" t="s">
        <v>1424</v>
      </c>
      <c r="B737" s="77" t="s">
        <v>5893</v>
      </c>
      <c r="C737" s="17" t="s">
        <v>2927</v>
      </c>
      <c r="D737" s="18" t="s">
        <v>5894</v>
      </c>
      <c r="E737" s="17" t="s">
        <v>2929</v>
      </c>
      <c r="F737" s="17" t="s">
        <v>1426</v>
      </c>
      <c r="G737" s="17" t="s">
        <v>1427</v>
      </c>
      <c r="H737" s="78" t="s">
        <v>5895</v>
      </c>
      <c r="I737" s="74" t="s">
        <v>5896</v>
      </c>
      <c r="J737" s="16" t="s">
        <v>5897</v>
      </c>
      <c r="K737" s="16">
        <v>79944889</v>
      </c>
      <c r="L737" s="20" t="s">
        <v>5291</v>
      </c>
      <c r="M737" s="16"/>
      <c r="N737" s="22">
        <v>45397</v>
      </c>
      <c r="O737" s="22">
        <v>45397</v>
      </c>
      <c r="P737" s="22">
        <v>45762</v>
      </c>
      <c r="Q737" s="23">
        <f t="shared" si="304"/>
        <v>365</v>
      </c>
      <c r="R737" s="17" t="s">
        <v>2934</v>
      </c>
      <c r="S737" s="117" t="s">
        <v>1424</v>
      </c>
      <c r="T737" s="16" t="s">
        <v>1424</v>
      </c>
      <c r="U737" s="67" t="s">
        <v>1424</v>
      </c>
      <c r="V737" s="16" t="s">
        <v>1424</v>
      </c>
      <c r="W737" s="224">
        <v>0</v>
      </c>
      <c r="X737" s="24"/>
      <c r="Y737" s="24" t="s">
        <v>2935</v>
      </c>
      <c r="Z737" s="24"/>
      <c r="AA737" s="17" t="s">
        <v>406</v>
      </c>
      <c r="AB737" s="23" t="str">
        <f>IFERROR(VLOOKUP(AA737,Listas!$A$1:$C$14,2,FALSE),"")</f>
        <v>EDUARDO ELÍAS BARCHA BOLÍVAR</v>
      </c>
      <c r="AC737" s="23">
        <f>IFERROR(VLOOKUP(AA737,Listas!$A$1:$C$14,3,FALSE),"")</f>
        <v>72133921</v>
      </c>
      <c r="AD737" s="17" t="s">
        <v>1533</v>
      </c>
      <c r="AE737" s="17" t="s">
        <v>1534</v>
      </c>
      <c r="AF737" s="23" t="str">
        <f>IFERROR(VLOOKUP(AE737,Listas!$AD$1:$AF$65,2,FALSE),"")</f>
        <v>ESTEBAN GUERRERO ALVAREZ</v>
      </c>
      <c r="AG737" s="23">
        <f>IFERROR(VLOOKUP(AE737,Listas!$AD$1:$AF$65,3,FALSE),"")</f>
        <v>1032460552</v>
      </c>
      <c r="AH737" s="17" t="s">
        <v>2936</v>
      </c>
      <c r="AI737" s="65"/>
      <c r="AJ737" s="25" t="s">
        <v>1435</v>
      </c>
      <c r="AK737" s="26" t="s">
        <v>2071</v>
      </c>
      <c r="AL737" s="26" t="s">
        <v>2071</v>
      </c>
      <c r="AM737" s="90" t="s">
        <v>1435</v>
      </c>
      <c r="AN737" s="105"/>
      <c r="AO737" s="91" t="str">
        <f t="shared" ca="1" si="305"/>
        <v xml:space="preserve"> </v>
      </c>
      <c r="AP737" s="26" t="s">
        <v>2937</v>
      </c>
      <c r="AQ737" s="26" t="s">
        <v>3453</v>
      </c>
      <c r="AR737" s="89"/>
      <c r="AS737" s="27"/>
      <c r="AT737" s="16"/>
      <c r="AU737" s="27"/>
      <c r="AV737" s="86"/>
      <c r="AW737" s="27"/>
      <c r="AX737" s="27"/>
      <c r="AY737" s="27"/>
      <c r="AZ737" s="27"/>
      <c r="BA737" s="27"/>
      <c r="BB737" s="27">
        <v>45742</v>
      </c>
      <c r="BC737" s="97">
        <v>260</v>
      </c>
      <c r="BD737" s="27"/>
      <c r="BE737" s="16"/>
      <c r="BF737" s="28">
        <f t="shared" si="306"/>
        <v>260</v>
      </c>
      <c r="BG737" s="29"/>
      <c r="BH737" s="27"/>
      <c r="BI737" s="30">
        <f t="shared" si="307"/>
        <v>625</v>
      </c>
      <c r="BJ737" s="31">
        <f t="shared" si="308"/>
        <v>46022</v>
      </c>
      <c r="BK737" s="27">
        <v>45742</v>
      </c>
      <c r="BL737" s="16" t="s">
        <v>5898</v>
      </c>
      <c r="BM737" s="27"/>
      <c r="BN737" s="16"/>
      <c r="BO737" s="27"/>
      <c r="BP737" s="16"/>
      <c r="BQ737" s="27"/>
      <c r="BR737" s="24"/>
      <c r="BS737" s="24"/>
      <c r="BT737" s="32"/>
      <c r="BU737" s="27"/>
      <c r="BV737" s="24"/>
      <c r="BW737" s="24"/>
      <c r="BX737" s="16"/>
      <c r="BY737" s="27"/>
      <c r="BZ737" s="24"/>
      <c r="CA737" s="24"/>
      <c r="CB737" s="16"/>
      <c r="CC737" s="49">
        <f t="shared" si="303"/>
        <v>0</v>
      </c>
      <c r="CD737" s="24"/>
      <c r="CE737" s="49" t="str">
        <f>IFERROR(IF(Y737=0,(W737+CC737)-CD737,IF(Y737&gt;0,(Y737+CC737)-CD737)),"")</f>
        <v/>
      </c>
      <c r="CF737" s="50">
        <v>3204490867.4099898</v>
      </c>
      <c r="CG737" s="49" t="str">
        <f t="shared" ca="1" si="301"/>
        <v/>
      </c>
      <c r="CH737" s="33">
        <f t="shared" ca="1" si="312"/>
        <v>0.88474025974025972</v>
      </c>
      <c r="CI737" s="33">
        <f t="shared" ca="1" si="313"/>
        <v>0.88474025974025972</v>
      </c>
      <c r="CJ737" s="36" t="str">
        <f t="shared" ca="1" si="309"/>
        <v/>
      </c>
      <c r="CK737" s="34" t="str">
        <f t="shared" si="310"/>
        <v/>
      </c>
      <c r="CL737" s="21"/>
      <c r="CM737" s="35" t="str">
        <f t="shared" ca="1" si="311"/>
        <v>VIGENTE</v>
      </c>
      <c r="CN737" s="82"/>
      <c r="CO737" s="145"/>
      <c r="CP737" s="83" t="s">
        <v>1424</v>
      </c>
      <c r="CQ737" s="83"/>
      <c r="CR737" s="83"/>
    </row>
    <row r="738" spans="1:96" ht="24.75" customHeight="1">
      <c r="A738" s="48" t="s">
        <v>5899</v>
      </c>
      <c r="B738" s="77" t="s">
        <v>5900</v>
      </c>
      <c r="C738" s="17" t="s">
        <v>104</v>
      </c>
      <c r="D738" s="18" t="s">
        <v>5901</v>
      </c>
      <c r="E738" s="17" t="s">
        <v>106</v>
      </c>
      <c r="F738" s="17" t="s">
        <v>107</v>
      </c>
      <c r="G738" s="17" t="s">
        <v>108</v>
      </c>
      <c r="H738" s="78">
        <v>1070010459</v>
      </c>
      <c r="I738" s="74" t="s">
        <v>5902</v>
      </c>
      <c r="J738" s="16"/>
      <c r="K738" s="16"/>
      <c r="L738" s="20" t="s">
        <v>5903</v>
      </c>
      <c r="M738" s="16" t="s">
        <v>111</v>
      </c>
      <c r="N738" s="22">
        <v>45397</v>
      </c>
      <c r="O738" s="22">
        <v>45404</v>
      </c>
      <c r="P738" s="22">
        <v>45656</v>
      </c>
      <c r="Q738" s="23">
        <f t="shared" si="304"/>
        <v>252</v>
      </c>
      <c r="R738" s="17" t="s">
        <v>242</v>
      </c>
      <c r="S738" s="117" t="s">
        <v>5904</v>
      </c>
      <c r="T738" s="16" t="s">
        <v>997</v>
      </c>
      <c r="U738" s="24">
        <v>96000000</v>
      </c>
      <c r="V738" s="16" t="s">
        <v>815</v>
      </c>
      <c r="W738" s="227">
        <v>96000000</v>
      </c>
      <c r="X738" s="24">
        <v>10000000</v>
      </c>
      <c r="Y738" s="24"/>
      <c r="Z738" s="24"/>
      <c r="AA738" s="17" t="s">
        <v>116</v>
      </c>
      <c r="AB738" s="23" t="str">
        <f>IFERROR(VLOOKUP(AA738,Listas!$A$1:$C$14,2,FALSE),"")</f>
        <v>FREDY CÉSPEDES VILLA</v>
      </c>
      <c r="AC738" s="23">
        <f>IFERROR(VLOOKUP(AA738,Listas!$A$1:$C$14,3,FALSE),"")</f>
        <v>93363483</v>
      </c>
      <c r="AD738" s="17" t="s">
        <v>816</v>
      </c>
      <c r="AE738" s="17" t="s">
        <v>2577</v>
      </c>
      <c r="AF738" s="23" t="str">
        <f>IFERROR(VLOOKUP(AE738,Listas!$AD$1:$AF$65,2,FALSE),"")</f>
        <v>VICTOR RAUL BAUTISTA GALINDO</v>
      </c>
      <c r="AG738" s="23">
        <f>IFERROR(VLOOKUP(AE738,Listas!$AD$1:$AF$65,3,FALSE),"")</f>
        <v>79352968</v>
      </c>
      <c r="AH738" s="17" t="s">
        <v>118</v>
      </c>
      <c r="AI738" s="65" t="s">
        <v>5905</v>
      </c>
      <c r="AJ738" s="25" t="s">
        <v>119</v>
      </c>
      <c r="AK738" s="26" t="s">
        <v>120</v>
      </c>
      <c r="AL738" s="26" t="s">
        <v>120</v>
      </c>
      <c r="AM738" s="90" t="s">
        <v>119</v>
      </c>
      <c r="AN738" s="105">
        <v>33401</v>
      </c>
      <c r="AO738" s="91">
        <f t="shared" ca="1" si="305"/>
        <v>34</v>
      </c>
      <c r="AP738" s="26" t="s">
        <v>121</v>
      </c>
      <c r="AQ738" s="26" t="s">
        <v>1641</v>
      </c>
      <c r="AR738" s="89"/>
      <c r="AS738" s="27"/>
      <c r="AT738" s="16"/>
      <c r="AU738" s="27"/>
      <c r="AV738" s="86"/>
      <c r="AW738" s="27"/>
      <c r="AX738" s="27"/>
      <c r="AY738" s="27"/>
      <c r="AZ738" s="27"/>
      <c r="BA738" s="27"/>
      <c r="BB738" s="27"/>
      <c r="BC738" s="97"/>
      <c r="BD738" s="27"/>
      <c r="BE738" s="16"/>
      <c r="BF738" s="28">
        <f t="shared" si="306"/>
        <v>0</v>
      </c>
      <c r="BG738" s="29"/>
      <c r="BH738" s="27"/>
      <c r="BI738" s="30">
        <f t="shared" si="307"/>
        <v>252</v>
      </c>
      <c r="BJ738" s="31">
        <f t="shared" si="308"/>
        <v>45656</v>
      </c>
      <c r="BK738" s="27"/>
      <c r="BL738" s="16"/>
      <c r="BM738" s="27"/>
      <c r="BN738" s="16"/>
      <c r="BO738" s="27"/>
      <c r="BP738" s="16"/>
      <c r="BQ738" s="27"/>
      <c r="BR738" s="24"/>
      <c r="BS738" s="24"/>
      <c r="BT738" s="32"/>
      <c r="BU738" s="27"/>
      <c r="BV738" s="24"/>
      <c r="BW738" s="24"/>
      <c r="BX738" s="16"/>
      <c r="BY738" s="27"/>
      <c r="BZ738" s="24"/>
      <c r="CA738" s="24"/>
      <c r="CB738" s="16"/>
      <c r="CC738" s="49">
        <f t="shared" si="303"/>
        <v>0</v>
      </c>
      <c r="CD738" s="24"/>
      <c r="CE738" s="49">
        <f>IF(Y738=0,(X738+CC738)-CD738,IF(Y738&gt;0,(Y738+CC738)-CD738))</f>
        <v>10000000</v>
      </c>
      <c r="CF738" s="50"/>
      <c r="CG738" s="49">
        <f t="shared" ca="1" si="301"/>
        <v>10000000</v>
      </c>
      <c r="CH738" s="33">
        <f t="shared" ca="1" si="312"/>
        <v>1</v>
      </c>
      <c r="CI738" s="33">
        <f t="shared" ca="1" si="313"/>
        <v>1</v>
      </c>
      <c r="CJ738" s="36">
        <f t="shared" ca="1" si="309"/>
        <v>100</v>
      </c>
      <c r="CK738" s="34">
        <f t="shared" si="310"/>
        <v>0</v>
      </c>
      <c r="CL738" s="21"/>
      <c r="CM738" s="35" t="str">
        <f t="shared" ca="1" si="311"/>
        <v>TERMINADO</v>
      </c>
      <c r="CN738" s="82"/>
      <c r="CO738" s="145" t="s">
        <v>5906</v>
      </c>
      <c r="CP738" s="26" t="s">
        <v>142</v>
      </c>
    </row>
    <row r="739" spans="1:96" ht="24.75" customHeight="1">
      <c r="A739" s="48" t="s">
        <v>5907</v>
      </c>
      <c r="B739" s="77" t="s">
        <v>5908</v>
      </c>
      <c r="C739" s="17" t="s">
        <v>104</v>
      </c>
      <c r="D739" s="18" t="s">
        <v>5909</v>
      </c>
      <c r="E739" s="17" t="s">
        <v>106</v>
      </c>
      <c r="F739" s="17" t="s">
        <v>107</v>
      </c>
      <c r="G739" s="17" t="s">
        <v>108</v>
      </c>
      <c r="H739" s="78">
        <v>1010160522</v>
      </c>
      <c r="I739" s="74" t="s">
        <v>5910</v>
      </c>
      <c r="J739" s="16"/>
      <c r="K739" s="16"/>
      <c r="L739" s="20" t="s">
        <v>5911</v>
      </c>
      <c r="M739" s="16" t="s">
        <v>111</v>
      </c>
      <c r="N739" s="22">
        <v>45398</v>
      </c>
      <c r="O739" s="22">
        <v>45412</v>
      </c>
      <c r="P739" s="22">
        <v>45657</v>
      </c>
      <c r="Q739" s="23">
        <f t="shared" si="304"/>
        <v>245</v>
      </c>
      <c r="R739" s="17" t="s">
        <v>242</v>
      </c>
      <c r="S739" s="117" t="s">
        <v>5912</v>
      </c>
      <c r="T739" s="16" t="s">
        <v>425</v>
      </c>
      <c r="U739" s="67">
        <v>69285950</v>
      </c>
      <c r="V739" s="16" t="s">
        <v>426</v>
      </c>
      <c r="W739" s="224">
        <v>69285950</v>
      </c>
      <c r="X739" s="24">
        <v>6131500</v>
      </c>
      <c r="Y739" s="24"/>
      <c r="Z739" s="24"/>
      <c r="AA739" s="17" t="s">
        <v>116</v>
      </c>
      <c r="AB739" s="23" t="str">
        <f>IFERROR(VLOOKUP(AA739,Listas!$A$1:$C$14,2,FALSE),"")</f>
        <v>FREDY CÉSPEDES VILLA</v>
      </c>
      <c r="AC739" s="23">
        <f>IFERROR(VLOOKUP(AA739,Listas!$A$1:$C$14,3,FALSE),"")</f>
        <v>93363483</v>
      </c>
      <c r="AD739" s="17" t="s">
        <v>427</v>
      </c>
      <c r="AE739" s="17" t="s">
        <v>428</v>
      </c>
      <c r="AF739" s="23" t="str">
        <f>IFERROR(VLOOKUP(AE739,Listas!$AD$1:$AF$65,2,FALSE),"")</f>
        <v>DINORAH PATRICIA ABADIA MURILLO</v>
      </c>
      <c r="AG739" s="23">
        <f>IFERROR(VLOOKUP(AE739,Listas!$AD$1:$AF$65,3,FALSE),"")</f>
        <v>52220857</v>
      </c>
      <c r="AH739" s="17" t="s">
        <v>118</v>
      </c>
      <c r="AI739" s="65" t="s">
        <v>5913</v>
      </c>
      <c r="AJ739" s="25" t="s">
        <v>119</v>
      </c>
      <c r="AK739" s="26" t="s">
        <v>120</v>
      </c>
      <c r="AL739" s="26" t="s">
        <v>120</v>
      </c>
      <c r="AM739" s="90" t="s">
        <v>119</v>
      </c>
      <c r="AN739" s="105">
        <v>31374</v>
      </c>
      <c r="AO739" s="91">
        <f t="shared" ca="1" si="305"/>
        <v>40</v>
      </c>
      <c r="AP739" s="26" t="s">
        <v>121</v>
      </c>
      <c r="AQ739" s="26" t="s">
        <v>515</v>
      </c>
      <c r="AR739" s="89"/>
      <c r="AS739" s="27"/>
      <c r="AT739" s="16"/>
      <c r="AU739" s="27"/>
      <c r="AV739" s="86"/>
      <c r="AW739" s="27"/>
      <c r="AX739" s="27"/>
      <c r="AY739" s="27"/>
      <c r="AZ739" s="27"/>
      <c r="BA739" s="27"/>
      <c r="BB739" s="27"/>
      <c r="BC739" s="97"/>
      <c r="BD739" s="27"/>
      <c r="BE739" s="16"/>
      <c r="BF739" s="28">
        <f t="shared" si="306"/>
        <v>0</v>
      </c>
      <c r="BG739" s="29"/>
      <c r="BH739" s="27"/>
      <c r="BI739" s="30">
        <f t="shared" si="307"/>
        <v>245</v>
      </c>
      <c r="BJ739" s="31">
        <f t="shared" si="308"/>
        <v>45657</v>
      </c>
      <c r="BK739" s="27"/>
      <c r="BL739" s="16"/>
      <c r="BM739" s="27"/>
      <c r="BN739" s="16"/>
      <c r="BO739" s="27"/>
      <c r="BP739" s="16"/>
      <c r="BQ739" s="27"/>
      <c r="BR739" s="24"/>
      <c r="BS739" s="24"/>
      <c r="BT739" s="32"/>
      <c r="BU739" s="27"/>
      <c r="BV739" s="24"/>
      <c r="BW739" s="24"/>
      <c r="BX739" s="16"/>
      <c r="BY739" s="27"/>
      <c r="BZ739" s="24"/>
      <c r="CA739" s="24"/>
      <c r="CB739" s="16"/>
      <c r="CC739" s="49">
        <f t="shared" ref="CC739:CC770" si="315">BR739+BV739+BZ739</f>
        <v>0</v>
      </c>
      <c r="CD739" s="24"/>
      <c r="CE739" s="49">
        <f t="shared" ref="CE739:CE777" si="316">IF(Y739=0,(W739+CC739)-CD739,IF(Y739&gt;0,(Y739+CC739)-CD739))</f>
        <v>69285950</v>
      </c>
      <c r="CF739" s="50"/>
      <c r="CG739" s="49">
        <f t="shared" ca="1" si="301"/>
        <v>69285950</v>
      </c>
      <c r="CH739" s="33">
        <f t="shared" ca="1" si="312"/>
        <v>1</v>
      </c>
      <c r="CI739" s="33">
        <f t="shared" ca="1" si="313"/>
        <v>1</v>
      </c>
      <c r="CJ739" s="36">
        <f t="shared" ca="1" si="309"/>
        <v>100</v>
      </c>
      <c r="CK739" s="34">
        <f t="shared" si="310"/>
        <v>0</v>
      </c>
      <c r="CL739" s="21"/>
      <c r="CM739" s="35" t="str">
        <f t="shared" ca="1" si="311"/>
        <v>TERMINADO</v>
      </c>
      <c r="CN739" s="82"/>
      <c r="CO739" s="145" t="s">
        <v>5914</v>
      </c>
      <c r="CP739" s="26" t="s">
        <v>142</v>
      </c>
    </row>
    <row r="740" spans="1:96" s="85" customFormat="1" ht="24.75" customHeight="1">
      <c r="A740" s="48" t="s">
        <v>1424</v>
      </c>
      <c r="B740" s="77" t="s">
        <v>5915</v>
      </c>
      <c r="C740" s="17" t="s">
        <v>2927</v>
      </c>
      <c r="D740" s="171" t="s">
        <v>5916</v>
      </c>
      <c r="E740" s="17" t="s">
        <v>2929</v>
      </c>
      <c r="F740" s="17" t="s">
        <v>1426</v>
      </c>
      <c r="G740" s="17" t="s">
        <v>1427</v>
      </c>
      <c r="H740" s="78" t="s">
        <v>5917</v>
      </c>
      <c r="I740" s="74" t="s">
        <v>5918</v>
      </c>
      <c r="J740" s="16" t="s">
        <v>5919</v>
      </c>
      <c r="K740" s="16">
        <v>88159897</v>
      </c>
      <c r="L740" s="20" t="s">
        <v>5291</v>
      </c>
      <c r="M740" s="16"/>
      <c r="N740" s="22">
        <v>45399</v>
      </c>
      <c r="O740" s="22">
        <v>45399</v>
      </c>
      <c r="P740" s="22">
        <v>45764</v>
      </c>
      <c r="Q740" s="23">
        <f t="shared" si="304"/>
        <v>365</v>
      </c>
      <c r="R740" s="17" t="s">
        <v>2934</v>
      </c>
      <c r="S740" s="117" t="s">
        <v>1424</v>
      </c>
      <c r="T740" s="16" t="s">
        <v>1424</v>
      </c>
      <c r="U740" s="67" t="s">
        <v>1424</v>
      </c>
      <c r="V740" s="16" t="s">
        <v>1424</v>
      </c>
      <c r="W740" s="224">
        <v>0</v>
      </c>
      <c r="X740" s="24"/>
      <c r="Y740" s="24" t="s">
        <v>2935</v>
      </c>
      <c r="Z740" s="24"/>
      <c r="AA740" s="17" t="s">
        <v>406</v>
      </c>
      <c r="AB740" s="23" t="str">
        <f>IFERROR(VLOOKUP(AA740,Listas!$A$1:$C$14,2,FALSE),"")</f>
        <v>EDUARDO ELÍAS BARCHA BOLÍVAR</v>
      </c>
      <c r="AC740" s="23">
        <f>IFERROR(VLOOKUP(AA740,Listas!$A$1:$C$14,3,FALSE),"")</f>
        <v>72133921</v>
      </c>
      <c r="AD740" s="17" t="s">
        <v>1533</v>
      </c>
      <c r="AE740" s="17" t="s">
        <v>1534</v>
      </c>
      <c r="AF740" s="23" t="str">
        <f>IFERROR(VLOOKUP(AE740,Listas!$AD$1:$AF$65,2,FALSE),"")</f>
        <v>ESTEBAN GUERRERO ALVAREZ</v>
      </c>
      <c r="AG740" s="23">
        <f>IFERROR(VLOOKUP(AE740,Listas!$AD$1:$AF$65,3,FALSE),"")</f>
        <v>1032460552</v>
      </c>
      <c r="AH740" s="17" t="s">
        <v>2936</v>
      </c>
      <c r="AI740" s="65"/>
      <c r="AJ740" s="25" t="s">
        <v>1435</v>
      </c>
      <c r="AK740" s="26" t="s">
        <v>2071</v>
      </c>
      <c r="AL740" s="26" t="s">
        <v>2071</v>
      </c>
      <c r="AM740" s="90" t="s">
        <v>1435</v>
      </c>
      <c r="AN740" s="105"/>
      <c r="AO740" s="91" t="str">
        <f t="shared" ca="1" si="305"/>
        <v xml:space="preserve"> </v>
      </c>
      <c r="AP740" s="26" t="s">
        <v>2937</v>
      </c>
      <c r="AQ740" s="26" t="s">
        <v>3501</v>
      </c>
      <c r="AR740" s="89"/>
      <c r="AS740" s="27"/>
      <c r="AT740" s="16"/>
      <c r="AU740" s="27"/>
      <c r="AV740" s="86"/>
      <c r="AW740" s="27"/>
      <c r="AX740" s="27"/>
      <c r="AY740" s="27"/>
      <c r="AZ740" s="27"/>
      <c r="BA740" s="27"/>
      <c r="BB740" s="27">
        <v>45763</v>
      </c>
      <c r="BC740" s="97">
        <v>258</v>
      </c>
      <c r="BD740" s="27"/>
      <c r="BE740" s="16"/>
      <c r="BF740" s="28">
        <f t="shared" si="306"/>
        <v>258</v>
      </c>
      <c r="BG740" s="29"/>
      <c r="BH740" s="27"/>
      <c r="BI740" s="30">
        <f t="shared" si="307"/>
        <v>623</v>
      </c>
      <c r="BJ740" s="31">
        <f t="shared" si="308"/>
        <v>46022</v>
      </c>
      <c r="BK740" s="27">
        <v>45763</v>
      </c>
      <c r="BL740" s="16" t="s">
        <v>5920</v>
      </c>
      <c r="BM740" s="27"/>
      <c r="BN740" s="16"/>
      <c r="BO740" s="27"/>
      <c r="BP740" s="16"/>
      <c r="BQ740" s="27"/>
      <c r="BR740" s="24"/>
      <c r="BS740" s="24"/>
      <c r="BT740" s="32"/>
      <c r="BU740" s="27"/>
      <c r="BV740" s="24"/>
      <c r="BW740" s="24"/>
      <c r="BX740" s="16"/>
      <c r="BY740" s="27"/>
      <c r="BZ740" s="24"/>
      <c r="CA740" s="24"/>
      <c r="CB740" s="16"/>
      <c r="CC740" s="49">
        <f t="shared" si="315"/>
        <v>0</v>
      </c>
      <c r="CD740" s="24"/>
      <c r="CE740" s="49" t="str">
        <f>IFERROR(IF(Y740=0,(W740+CC740)-CD740,IF(Y740&gt;0,(Y740+CC740)-CD740)),"")</f>
        <v/>
      </c>
      <c r="CF740" s="50">
        <v>138249169.53999999</v>
      </c>
      <c r="CG740" s="49" t="str">
        <f t="shared" ca="1" si="301"/>
        <v/>
      </c>
      <c r="CH740" s="33">
        <f t="shared" ca="1" si="312"/>
        <v>0.88436482084690549</v>
      </c>
      <c r="CI740" s="33">
        <f t="shared" ca="1" si="313"/>
        <v>0.88436482084690549</v>
      </c>
      <c r="CJ740" s="36" t="str">
        <f t="shared" ca="1" si="309"/>
        <v/>
      </c>
      <c r="CK740" s="34" t="str">
        <f t="shared" si="310"/>
        <v/>
      </c>
      <c r="CL740" s="21"/>
      <c r="CM740" s="35" t="str">
        <f t="shared" ca="1" si="311"/>
        <v>VIGENTE</v>
      </c>
      <c r="CN740" s="82"/>
      <c r="CO740" s="145"/>
      <c r="CP740" s="83" t="s">
        <v>1424</v>
      </c>
      <c r="CQ740" s="83"/>
      <c r="CR740" s="83"/>
    </row>
    <row r="741" spans="1:96" ht="24.75" customHeight="1">
      <c r="A741" s="48" t="s">
        <v>5921</v>
      </c>
      <c r="B741" s="77" t="s">
        <v>5922</v>
      </c>
      <c r="C741" s="17" t="s">
        <v>5814</v>
      </c>
      <c r="D741" s="18" t="s">
        <v>5923</v>
      </c>
      <c r="E741" s="17" t="s">
        <v>3178</v>
      </c>
      <c r="F741" s="17" t="s">
        <v>1426</v>
      </c>
      <c r="G741" s="17" t="s">
        <v>1427</v>
      </c>
      <c r="H741" s="78" t="s">
        <v>5924</v>
      </c>
      <c r="I741" s="74" t="s">
        <v>5925</v>
      </c>
      <c r="J741" s="16" t="s">
        <v>5926</v>
      </c>
      <c r="K741" s="16">
        <v>80279162</v>
      </c>
      <c r="L741" s="20" t="s">
        <v>5927</v>
      </c>
      <c r="M741" s="16" t="s">
        <v>111</v>
      </c>
      <c r="N741" s="22">
        <v>45399</v>
      </c>
      <c r="O741" s="22">
        <v>45400</v>
      </c>
      <c r="P741" s="22">
        <v>45765</v>
      </c>
      <c r="Q741" s="23">
        <f t="shared" si="304"/>
        <v>365</v>
      </c>
      <c r="R741" s="17" t="s">
        <v>112</v>
      </c>
      <c r="S741" s="117" t="s">
        <v>5928</v>
      </c>
      <c r="T741" s="16" t="s">
        <v>5929</v>
      </c>
      <c r="U741" s="24">
        <v>10100000</v>
      </c>
      <c r="V741" s="16" t="s">
        <v>5930</v>
      </c>
      <c r="W741" s="227">
        <v>10075100</v>
      </c>
      <c r="X741" s="24"/>
      <c r="Y741" s="24"/>
      <c r="Z741" s="24"/>
      <c r="AA741" s="17" t="s">
        <v>116</v>
      </c>
      <c r="AB741" s="23" t="str">
        <f>IFERROR(VLOOKUP(AA741,Listas!$A$1:$C$14,2,FALSE),"")</f>
        <v>FREDY CÉSPEDES VILLA</v>
      </c>
      <c r="AC741" s="23">
        <f>IFERROR(VLOOKUP(AA741,Listas!$A$1:$C$14,3,FALSE),"")</f>
        <v>93363483</v>
      </c>
      <c r="AD741" s="17" t="s">
        <v>116</v>
      </c>
      <c r="AE741" s="17" t="s">
        <v>659</v>
      </c>
      <c r="AF741" s="23" t="str">
        <f>IFERROR(VLOOKUP(AE741,Listas!$AD$1:$AF$65,2,FALSE),"")</f>
        <v>TATIANA FORERO TORRES</v>
      </c>
      <c r="AG741" s="23">
        <f>IFERROR(VLOOKUP(AE741,Listas!$AD$1:$AF$65,3,FALSE),"")</f>
        <v>1072446921</v>
      </c>
      <c r="AH741" s="17" t="s">
        <v>5821</v>
      </c>
      <c r="AI741" s="65"/>
      <c r="AJ741" s="25" t="s">
        <v>1435</v>
      </c>
      <c r="AK741" s="26" t="s">
        <v>2071</v>
      </c>
      <c r="AL741" s="26" t="s">
        <v>2071</v>
      </c>
      <c r="AM741" s="90" t="s">
        <v>1435</v>
      </c>
      <c r="AN741" s="105"/>
      <c r="AO741" s="91" t="str">
        <f t="shared" ca="1" si="305"/>
        <v xml:space="preserve"> </v>
      </c>
      <c r="AP741" s="26" t="s">
        <v>121</v>
      </c>
      <c r="AQ741" s="26" t="s">
        <v>1641</v>
      </c>
      <c r="AR741" s="89"/>
      <c r="AS741" s="27"/>
      <c r="AT741" s="16"/>
      <c r="AU741" s="27"/>
      <c r="AV741" s="86"/>
      <c r="AW741" s="27"/>
      <c r="AX741" s="27"/>
      <c r="AY741" s="27"/>
      <c r="AZ741" s="27"/>
      <c r="BA741" s="27"/>
      <c r="BB741" s="27"/>
      <c r="BC741" s="97"/>
      <c r="BD741" s="27"/>
      <c r="BE741" s="16"/>
      <c r="BF741" s="28">
        <f t="shared" si="306"/>
        <v>0</v>
      </c>
      <c r="BG741" s="29"/>
      <c r="BH741" s="27"/>
      <c r="BI741" s="30">
        <f t="shared" si="307"/>
        <v>365</v>
      </c>
      <c r="BJ741" s="31">
        <f t="shared" si="308"/>
        <v>45765</v>
      </c>
      <c r="BK741" s="27"/>
      <c r="BL741" s="16"/>
      <c r="BM741" s="27"/>
      <c r="BN741" s="16"/>
      <c r="BO741" s="27"/>
      <c r="BP741" s="16"/>
      <c r="BQ741" s="27"/>
      <c r="BR741" s="24"/>
      <c r="BS741" s="24"/>
      <c r="BT741" s="32"/>
      <c r="BU741" s="27"/>
      <c r="BV741" s="24"/>
      <c r="BW741" s="24"/>
      <c r="BX741" s="16"/>
      <c r="BY741" s="27"/>
      <c r="BZ741" s="24"/>
      <c r="CA741" s="24"/>
      <c r="CB741" s="16"/>
      <c r="CC741" s="49">
        <f t="shared" si="315"/>
        <v>0</v>
      </c>
      <c r="CD741" s="24"/>
      <c r="CE741" s="49">
        <f t="shared" si="316"/>
        <v>10075100</v>
      </c>
      <c r="CF741" s="50"/>
      <c r="CG741" s="49">
        <f t="shared" ca="1" si="301"/>
        <v>10075100</v>
      </c>
      <c r="CH741" s="33">
        <f t="shared" ca="1" si="312"/>
        <v>1</v>
      </c>
      <c r="CI741" s="33">
        <f t="shared" ca="1" si="313"/>
        <v>1</v>
      </c>
      <c r="CJ741" s="36">
        <f t="shared" ca="1" si="309"/>
        <v>100</v>
      </c>
      <c r="CK741" s="34">
        <f t="shared" si="310"/>
        <v>0</v>
      </c>
      <c r="CL741" s="21"/>
      <c r="CM741" s="35" t="str">
        <f t="shared" ca="1" si="311"/>
        <v>TERMINADO</v>
      </c>
      <c r="CN741" s="82"/>
      <c r="CP741" s="83" t="s">
        <v>1424</v>
      </c>
    </row>
    <row r="742" spans="1:96" ht="24.75" customHeight="1">
      <c r="A742" s="48" t="s">
        <v>5931</v>
      </c>
      <c r="B742" s="77" t="s">
        <v>5932</v>
      </c>
      <c r="C742" s="17" t="s">
        <v>104</v>
      </c>
      <c r="D742" s="18" t="s">
        <v>5933</v>
      </c>
      <c r="E742" s="17" t="s">
        <v>106</v>
      </c>
      <c r="F742" s="17" t="s">
        <v>107</v>
      </c>
      <c r="G742" s="17" t="s">
        <v>108</v>
      </c>
      <c r="H742" s="78">
        <v>52195635</v>
      </c>
      <c r="I742" s="74" t="s">
        <v>5934</v>
      </c>
      <c r="J742" s="16"/>
      <c r="K742" s="16"/>
      <c r="L742" s="20" t="s">
        <v>5935</v>
      </c>
      <c r="M742" s="16" t="s">
        <v>111</v>
      </c>
      <c r="N742" s="22">
        <v>45399</v>
      </c>
      <c r="O742" s="22">
        <v>45410</v>
      </c>
      <c r="P742" s="22">
        <v>45657</v>
      </c>
      <c r="Q742" s="23">
        <f t="shared" si="304"/>
        <v>247</v>
      </c>
      <c r="R742" s="17" t="s">
        <v>242</v>
      </c>
      <c r="S742" s="117" t="s">
        <v>5936</v>
      </c>
      <c r="T742" s="16" t="s">
        <v>1201</v>
      </c>
      <c r="U742" s="67">
        <v>50474737</v>
      </c>
      <c r="V742" s="16" t="s">
        <v>1721</v>
      </c>
      <c r="W742" s="224">
        <v>39732300</v>
      </c>
      <c r="X742" s="24">
        <v>4414700</v>
      </c>
      <c r="Y742" s="24"/>
      <c r="Z742" s="24"/>
      <c r="AA742" s="17" t="s">
        <v>116</v>
      </c>
      <c r="AB742" s="23" t="str">
        <f>IFERROR(VLOOKUP(AA742,Listas!$A$1:$C$14,2,FALSE),"")</f>
        <v>FREDY CÉSPEDES VILLA</v>
      </c>
      <c r="AC742" s="23">
        <f>IFERROR(VLOOKUP(AA742,Listas!$A$1:$C$14,3,FALSE),"")</f>
        <v>93363483</v>
      </c>
      <c r="AD742" s="17" t="s">
        <v>427</v>
      </c>
      <c r="AE742" s="17" t="s">
        <v>428</v>
      </c>
      <c r="AF742" s="23" t="str">
        <f>IFERROR(VLOOKUP(AE742,Listas!$AD$1:$AF$65,2,FALSE),"")</f>
        <v>DINORAH PATRICIA ABADIA MURILLO</v>
      </c>
      <c r="AG742" s="23">
        <f>IFERROR(VLOOKUP(AE742,Listas!$AD$1:$AF$65,3,FALSE),"")</f>
        <v>52220857</v>
      </c>
      <c r="AH742" s="17" t="s">
        <v>118</v>
      </c>
      <c r="AI742" s="65" t="s">
        <v>5937</v>
      </c>
      <c r="AJ742" s="25" t="s">
        <v>119</v>
      </c>
      <c r="AK742" s="26" t="s">
        <v>120</v>
      </c>
      <c r="AL742" s="26" t="s">
        <v>120</v>
      </c>
      <c r="AM742" s="90" t="s">
        <v>119</v>
      </c>
      <c r="AN742" s="105">
        <v>25826</v>
      </c>
      <c r="AO742" s="91">
        <f t="shared" ca="1" si="305"/>
        <v>55</v>
      </c>
      <c r="AP742" s="26" t="s">
        <v>121</v>
      </c>
      <c r="AQ742" s="26" t="s">
        <v>515</v>
      </c>
      <c r="AR742" s="89"/>
      <c r="AS742" s="27"/>
      <c r="AT742" s="16"/>
      <c r="AU742" s="27"/>
      <c r="AV742" s="86"/>
      <c r="AW742" s="27"/>
      <c r="AX742" s="27"/>
      <c r="AY742" s="27"/>
      <c r="AZ742" s="27"/>
      <c r="BA742" s="27"/>
      <c r="BB742" s="27"/>
      <c r="BC742" s="97"/>
      <c r="BD742" s="27"/>
      <c r="BE742" s="16"/>
      <c r="BF742" s="28">
        <f t="shared" si="306"/>
        <v>0</v>
      </c>
      <c r="BG742" s="29"/>
      <c r="BH742" s="27"/>
      <c r="BI742" s="30">
        <f t="shared" si="307"/>
        <v>247</v>
      </c>
      <c r="BJ742" s="31">
        <f t="shared" si="308"/>
        <v>45657</v>
      </c>
      <c r="BK742" s="27"/>
      <c r="BL742" s="16"/>
      <c r="BM742" s="27"/>
      <c r="BN742" s="16"/>
      <c r="BO742" s="27"/>
      <c r="BP742" s="16"/>
      <c r="BQ742" s="27"/>
      <c r="BR742" s="24"/>
      <c r="BS742" s="24"/>
      <c r="BT742" s="32"/>
      <c r="BU742" s="27"/>
      <c r="BV742" s="24"/>
      <c r="BW742" s="24"/>
      <c r="BX742" s="16"/>
      <c r="BY742" s="27"/>
      <c r="BZ742" s="24"/>
      <c r="CA742" s="24"/>
      <c r="CB742" s="16"/>
      <c r="CC742" s="49">
        <f t="shared" si="315"/>
        <v>0</v>
      </c>
      <c r="CD742" s="24"/>
      <c r="CE742" s="49">
        <f t="shared" si="316"/>
        <v>39732300</v>
      </c>
      <c r="CF742" s="50"/>
      <c r="CG742" s="49">
        <f t="shared" ca="1" si="301"/>
        <v>39732300</v>
      </c>
      <c r="CH742" s="33">
        <f t="shared" ca="1" si="312"/>
        <v>1</v>
      </c>
      <c r="CI742" s="33">
        <f t="shared" ca="1" si="313"/>
        <v>1</v>
      </c>
      <c r="CJ742" s="36">
        <f t="shared" ca="1" si="309"/>
        <v>100</v>
      </c>
      <c r="CK742" s="34">
        <f t="shared" si="310"/>
        <v>0</v>
      </c>
      <c r="CL742" s="21"/>
      <c r="CM742" s="35" t="str">
        <f t="shared" ca="1" si="311"/>
        <v>TERMINADO</v>
      </c>
      <c r="CN742" s="82"/>
      <c r="CO742" s="145" t="s">
        <v>5938</v>
      </c>
      <c r="CP742" s="26" t="s">
        <v>123</v>
      </c>
    </row>
    <row r="743" spans="1:96" ht="135">
      <c r="A743" s="48" t="s">
        <v>1424</v>
      </c>
      <c r="B743" s="77" t="s">
        <v>5939</v>
      </c>
      <c r="C743" s="17" t="s">
        <v>2927</v>
      </c>
      <c r="D743" s="18" t="s">
        <v>5940</v>
      </c>
      <c r="E743" s="17" t="s">
        <v>5941</v>
      </c>
      <c r="F743" s="17" t="s">
        <v>1426</v>
      </c>
      <c r="G743" s="17" t="s">
        <v>1427</v>
      </c>
      <c r="H743" s="78" t="s">
        <v>5942</v>
      </c>
      <c r="I743" s="74" t="s">
        <v>5943</v>
      </c>
      <c r="J743" s="16" t="s">
        <v>5944</v>
      </c>
      <c r="K743" s="16" t="s">
        <v>5945</v>
      </c>
      <c r="L743" s="20" t="s">
        <v>5946</v>
      </c>
      <c r="M743" s="16"/>
      <c r="N743" s="22">
        <v>45400</v>
      </c>
      <c r="O743" s="22">
        <v>45400</v>
      </c>
      <c r="P743" s="22">
        <v>49052</v>
      </c>
      <c r="Q743" s="23">
        <f t="shared" si="304"/>
        <v>3652</v>
      </c>
      <c r="R743" s="17" t="s">
        <v>2934</v>
      </c>
      <c r="S743" s="117" t="s">
        <v>1424</v>
      </c>
      <c r="T743" s="16" t="s">
        <v>1424</v>
      </c>
      <c r="U743" s="67" t="s">
        <v>1424</v>
      </c>
      <c r="V743" s="16" t="s">
        <v>1424</v>
      </c>
      <c r="W743" s="224">
        <v>0</v>
      </c>
      <c r="X743" s="24"/>
      <c r="Y743" s="24" t="s">
        <v>2935</v>
      </c>
      <c r="Z743" s="24"/>
      <c r="AA743" s="17" t="s">
        <v>406</v>
      </c>
      <c r="AB743" s="23" t="str">
        <f>IFERROR(VLOOKUP(AA743,Listas!$A$1:$C$14,2,FALSE),"")</f>
        <v>EDUARDO ELÍAS BARCHA BOLÍVAR</v>
      </c>
      <c r="AC743" s="23">
        <f>IFERROR(VLOOKUP(AA743,Listas!$A$1:$C$14,3,FALSE),"")</f>
        <v>72133921</v>
      </c>
      <c r="AD743" s="17" t="s">
        <v>903</v>
      </c>
      <c r="AE743" s="17" t="s">
        <v>904</v>
      </c>
      <c r="AF743" s="23" t="str">
        <f>IFERROR(VLOOKUP(AE743,Listas!$AD$1:$AF$65,2,FALSE),"")</f>
        <v>VIVIANA MARGARITA ROMERO</v>
      </c>
      <c r="AG743" s="23">
        <f>IFERROR(VLOOKUP(AE743,Listas!$AD$1:$AF$65,3,FALSE),"")</f>
        <v>32794946</v>
      </c>
      <c r="AH743" s="17" t="s">
        <v>2936</v>
      </c>
      <c r="AI743" s="65"/>
      <c r="AJ743" s="25" t="s">
        <v>1435</v>
      </c>
      <c r="AK743" s="26" t="s">
        <v>2071</v>
      </c>
      <c r="AL743" s="26" t="s">
        <v>2071</v>
      </c>
      <c r="AM743" s="90" t="s">
        <v>1435</v>
      </c>
      <c r="AN743" s="105"/>
      <c r="AO743" s="91" t="str">
        <f t="shared" ca="1" si="305"/>
        <v xml:space="preserve"> </v>
      </c>
      <c r="AP743" s="26" t="s">
        <v>2937</v>
      </c>
      <c r="AQ743" s="26" t="s">
        <v>3453</v>
      </c>
      <c r="AR743" s="89"/>
      <c r="AS743" s="27"/>
      <c r="AT743" s="16"/>
      <c r="AU743" s="27"/>
      <c r="AV743" s="86"/>
      <c r="AW743" s="27"/>
      <c r="AX743" s="27"/>
      <c r="AY743" s="27"/>
      <c r="AZ743" s="27"/>
      <c r="BA743" s="27"/>
      <c r="BB743" s="27"/>
      <c r="BC743" s="97"/>
      <c r="BD743" s="27"/>
      <c r="BE743" s="16"/>
      <c r="BF743" s="28">
        <f t="shared" si="306"/>
        <v>0</v>
      </c>
      <c r="BG743" s="29"/>
      <c r="BH743" s="27"/>
      <c r="BI743" s="30">
        <f t="shared" si="307"/>
        <v>3652</v>
      </c>
      <c r="BJ743" s="31">
        <f t="shared" si="308"/>
        <v>49052</v>
      </c>
      <c r="BK743" s="27"/>
      <c r="BL743" s="16"/>
      <c r="BM743" s="27"/>
      <c r="BN743" s="16"/>
      <c r="BO743" s="27"/>
      <c r="BP743" s="16"/>
      <c r="BQ743" s="27"/>
      <c r="BR743" s="24"/>
      <c r="BS743" s="24"/>
      <c r="BT743" s="32"/>
      <c r="BU743" s="27"/>
      <c r="BV743" s="24"/>
      <c r="BW743" s="24"/>
      <c r="BX743" s="16"/>
      <c r="BY743" s="27"/>
      <c r="BZ743" s="24"/>
      <c r="CA743" s="24"/>
      <c r="CB743" s="16"/>
      <c r="CC743" s="49">
        <f t="shared" si="315"/>
        <v>0</v>
      </c>
      <c r="CD743" s="24"/>
      <c r="CE743" s="49" t="str">
        <f>IFERROR(IF(Y743=0,(W743+CC743)-CD743,IF(Y743&gt;0,(Y743+CC743)-CD743)),"")</f>
        <v/>
      </c>
      <c r="CF743" s="50">
        <v>0</v>
      </c>
      <c r="CG743" s="49" t="str">
        <f t="shared" ca="1" si="301"/>
        <v/>
      </c>
      <c r="CH743" s="33">
        <f t="shared" ca="1" si="312"/>
        <v>0.15055555555555555</v>
      </c>
      <c r="CI743" s="33">
        <f t="shared" ca="1" si="313"/>
        <v>0.15055555555555555</v>
      </c>
      <c r="CJ743" s="36" t="str">
        <f t="shared" ca="1" si="309"/>
        <v/>
      </c>
      <c r="CK743" s="34" t="str">
        <f t="shared" si="310"/>
        <v/>
      </c>
      <c r="CL743" s="21"/>
      <c r="CM743" s="35" t="str">
        <f t="shared" ca="1" si="311"/>
        <v>VIGENTE</v>
      </c>
      <c r="CN743" s="82"/>
      <c r="CP743" s="83" t="s">
        <v>1424</v>
      </c>
    </row>
    <row r="744" spans="1:96" s="85" customFormat="1" ht="24.75" customHeight="1">
      <c r="A744" s="48" t="s">
        <v>1424</v>
      </c>
      <c r="B744" s="77" t="s">
        <v>5947</v>
      </c>
      <c r="C744" s="17" t="s">
        <v>2927</v>
      </c>
      <c r="D744" s="18" t="s">
        <v>5948</v>
      </c>
      <c r="E744" s="17" t="s">
        <v>2929</v>
      </c>
      <c r="F744" s="17" t="s">
        <v>1426</v>
      </c>
      <c r="G744" s="17" t="s">
        <v>1427</v>
      </c>
      <c r="H744" s="78" t="s">
        <v>5949</v>
      </c>
      <c r="I744" s="74" t="s">
        <v>5950</v>
      </c>
      <c r="J744" s="16" t="s">
        <v>5951</v>
      </c>
      <c r="K744" s="16">
        <v>91478008</v>
      </c>
      <c r="L744" s="20" t="s">
        <v>5291</v>
      </c>
      <c r="M744" s="16"/>
      <c r="N744" s="22">
        <v>45400</v>
      </c>
      <c r="O744" s="22">
        <v>45400</v>
      </c>
      <c r="P744" s="22">
        <v>45765</v>
      </c>
      <c r="Q744" s="23">
        <f t="shared" ref="Q744:Q775" si="317">P744-O744</f>
        <v>365</v>
      </c>
      <c r="R744" s="17" t="s">
        <v>2934</v>
      </c>
      <c r="S744" s="117" t="s">
        <v>1424</v>
      </c>
      <c r="T744" s="16" t="s">
        <v>1424</v>
      </c>
      <c r="U744" s="67" t="s">
        <v>1424</v>
      </c>
      <c r="V744" s="16" t="s">
        <v>1424</v>
      </c>
      <c r="W744" s="224">
        <v>0</v>
      </c>
      <c r="X744" s="24"/>
      <c r="Y744" s="24" t="s">
        <v>2935</v>
      </c>
      <c r="Z744" s="24"/>
      <c r="AA744" s="17" t="s">
        <v>406</v>
      </c>
      <c r="AB744" s="23" t="str">
        <f>IFERROR(VLOOKUP(AA744,Listas!$A$1:$C$14,2,FALSE),"")</f>
        <v>EDUARDO ELÍAS BARCHA BOLÍVAR</v>
      </c>
      <c r="AC744" s="23">
        <f>IFERROR(VLOOKUP(AA744,Listas!$A$1:$C$14,3,FALSE),"")</f>
        <v>72133921</v>
      </c>
      <c r="AD744" s="17" t="s">
        <v>1523</v>
      </c>
      <c r="AE744" s="17" t="s">
        <v>1524</v>
      </c>
      <c r="AF744" s="23" t="str">
        <f>IFERROR(VLOOKUP(AE744,Listas!$AD$1:$AF$65,2,FALSE),"")</f>
        <v>IVETTE FRASSER SÁNCHEZ</v>
      </c>
      <c r="AG744" s="23">
        <f>IFERROR(VLOOKUP(AE744,Listas!$AD$1:$AF$65,3,FALSE),"")</f>
        <v>38285903</v>
      </c>
      <c r="AH744" s="17" t="s">
        <v>2936</v>
      </c>
      <c r="AI744" s="65"/>
      <c r="AJ744" s="25" t="s">
        <v>1435</v>
      </c>
      <c r="AK744" s="26" t="s">
        <v>2071</v>
      </c>
      <c r="AL744" s="26" t="s">
        <v>2071</v>
      </c>
      <c r="AM744" s="90" t="s">
        <v>1435</v>
      </c>
      <c r="AN744" s="105"/>
      <c r="AO744" s="91" t="str">
        <f t="shared" ref="AO744:AO775" ca="1" si="318">IF(YEAR(TODAY())-YEAR(AN744)&gt;100," ",YEAR(TODAY())-YEAR(AN744))</f>
        <v xml:space="preserve"> </v>
      </c>
      <c r="AP744" s="26" t="s">
        <v>2937</v>
      </c>
      <c r="AQ744" s="26" t="s">
        <v>3067</v>
      </c>
      <c r="AR744" s="89"/>
      <c r="AS744" s="27"/>
      <c r="AT744" s="16"/>
      <c r="AU744" s="27"/>
      <c r="AV744" s="86"/>
      <c r="AW744" s="27"/>
      <c r="AX744" s="27"/>
      <c r="AY744" s="27"/>
      <c r="AZ744" s="27"/>
      <c r="BA744" s="27"/>
      <c r="BB744" s="27">
        <v>45719</v>
      </c>
      <c r="BC744" s="97">
        <v>257</v>
      </c>
      <c r="BD744" s="27"/>
      <c r="BE744" s="16"/>
      <c r="BF744" s="28">
        <f t="shared" ref="BF744:BF775" si="319">BC744+BE744</f>
        <v>257</v>
      </c>
      <c r="BG744" s="29"/>
      <c r="BH744" s="27"/>
      <c r="BI744" s="30">
        <f t="shared" ref="BI744:BI777" si="320">BF744+Q744</f>
        <v>622</v>
      </c>
      <c r="BJ744" s="31">
        <f t="shared" ref="BJ744:BJ777" si="321">IF(BH744="",P744+BF744,BH744)</f>
        <v>46022</v>
      </c>
      <c r="BK744" s="27">
        <v>45719</v>
      </c>
      <c r="BL744" s="16" t="s">
        <v>5952</v>
      </c>
      <c r="BM744" s="27"/>
      <c r="BN744" s="16"/>
      <c r="BO744" s="27"/>
      <c r="BP744" s="16"/>
      <c r="BQ744" s="27"/>
      <c r="BR744" s="24"/>
      <c r="BS744" s="24"/>
      <c r="BT744" s="32"/>
      <c r="BU744" s="27"/>
      <c r="BV744" s="24"/>
      <c r="BW744" s="24"/>
      <c r="BX744" s="16"/>
      <c r="BY744" s="27"/>
      <c r="BZ744" s="24"/>
      <c r="CA744" s="24"/>
      <c r="CB744" s="16"/>
      <c r="CC744" s="49">
        <f t="shared" si="315"/>
        <v>0</v>
      </c>
      <c r="CD744" s="24"/>
      <c r="CE744" s="49" t="str">
        <f>IFERROR(IF(Y744=0,(W744+CC744)-CD744,IF(Y744&gt;0,(Y744+CC744)-CD744)),"")</f>
        <v/>
      </c>
      <c r="CF744" s="50">
        <v>182091</v>
      </c>
      <c r="CG744" s="49" t="str">
        <f t="shared" ca="1" si="301"/>
        <v/>
      </c>
      <c r="CH744" s="33">
        <f t="shared" ca="1" si="312"/>
        <v>0.88417618270799347</v>
      </c>
      <c r="CI744" s="33">
        <f t="shared" ca="1" si="313"/>
        <v>0.88417618270799347</v>
      </c>
      <c r="CJ744" s="36" t="str">
        <f t="shared" ca="1" si="309"/>
        <v/>
      </c>
      <c r="CK744" s="34" t="str">
        <f t="shared" si="310"/>
        <v/>
      </c>
      <c r="CL744" s="21"/>
      <c r="CM744" s="35" t="str">
        <f t="shared" ref="CM744:CM775" ca="1" si="322">IF(CL744&gt;1/1/6,"LIQUIDADO",IF(BJ744=$BE$20003,"",IF(BJ744&gt;=TODAY(),"VIGENTE",IF(BJ744&lt;TODAY(),"TERMINADO",))))</f>
        <v>VIGENTE</v>
      </c>
      <c r="CN744" s="82"/>
      <c r="CO744" s="145"/>
      <c r="CP744" s="83" t="s">
        <v>1424</v>
      </c>
      <c r="CQ744" s="83"/>
      <c r="CR744" s="83"/>
    </row>
    <row r="745" spans="1:96" ht="24.75" customHeight="1">
      <c r="A745" s="48" t="s">
        <v>5953</v>
      </c>
      <c r="B745" s="77" t="s">
        <v>5954</v>
      </c>
      <c r="C745" s="17" t="s">
        <v>104</v>
      </c>
      <c r="D745" s="18" t="s">
        <v>5955</v>
      </c>
      <c r="E745" s="17" t="s">
        <v>106</v>
      </c>
      <c r="F745" s="17" t="s">
        <v>107</v>
      </c>
      <c r="G745" s="17" t="s">
        <v>108</v>
      </c>
      <c r="H745" s="78">
        <v>1030534273</v>
      </c>
      <c r="I745" s="74" t="s">
        <v>5956</v>
      </c>
      <c r="J745" s="16"/>
      <c r="K745" s="16"/>
      <c r="L745" s="20" t="s">
        <v>5176</v>
      </c>
      <c r="M745" s="16" t="s">
        <v>111</v>
      </c>
      <c r="N745" s="22">
        <v>45405</v>
      </c>
      <c r="O745" s="22">
        <v>45412</v>
      </c>
      <c r="P745" s="22">
        <v>45657</v>
      </c>
      <c r="Q745" s="23">
        <f t="shared" si="317"/>
        <v>245</v>
      </c>
      <c r="R745" s="17" t="s">
        <v>242</v>
      </c>
      <c r="S745" s="117" t="s">
        <v>5957</v>
      </c>
      <c r="T745" s="16" t="s">
        <v>1145</v>
      </c>
      <c r="U745" s="67">
        <v>81082500</v>
      </c>
      <c r="V745" s="16" t="s">
        <v>1389</v>
      </c>
      <c r="W745" s="224">
        <v>64012500</v>
      </c>
      <c r="X745" s="24"/>
      <c r="Y745" s="24"/>
      <c r="Z745" s="24"/>
      <c r="AA745" s="17" t="s">
        <v>116</v>
      </c>
      <c r="AB745" s="23" t="str">
        <f>IFERROR(VLOOKUP(AA745,Listas!$A$1:$C$14,2,FALSE),"")</f>
        <v>FREDY CÉSPEDES VILLA</v>
      </c>
      <c r="AC745" s="23">
        <f>IFERROR(VLOOKUP(AA745,Listas!$A$1:$C$14,3,FALSE),"")</f>
        <v>93363483</v>
      </c>
      <c r="AD745" s="17" t="s">
        <v>427</v>
      </c>
      <c r="AE745" s="17" t="s">
        <v>428</v>
      </c>
      <c r="AF745" s="23" t="str">
        <f>IFERROR(VLOOKUP(AE745,Listas!$AD$1:$AF$65,2,FALSE),"")</f>
        <v>DINORAH PATRICIA ABADIA MURILLO</v>
      </c>
      <c r="AG745" s="23">
        <f>IFERROR(VLOOKUP(AE745,Listas!$AD$1:$AF$65,3,FALSE),"")</f>
        <v>52220857</v>
      </c>
      <c r="AH745" s="17" t="s">
        <v>118</v>
      </c>
      <c r="AI745" s="65" t="s">
        <v>5958</v>
      </c>
      <c r="AJ745" s="25" t="s">
        <v>119</v>
      </c>
      <c r="AK745" s="26" t="s">
        <v>120</v>
      </c>
      <c r="AL745" s="26" t="s">
        <v>120</v>
      </c>
      <c r="AM745" s="90" t="s">
        <v>119</v>
      </c>
      <c r="AN745" s="105">
        <v>31821</v>
      </c>
      <c r="AO745" s="91">
        <f t="shared" ca="1" si="318"/>
        <v>38</v>
      </c>
      <c r="AP745" s="26" t="s">
        <v>121</v>
      </c>
      <c r="AQ745" s="26" t="s">
        <v>515</v>
      </c>
      <c r="AR745" s="89">
        <v>45491</v>
      </c>
      <c r="AS745" s="27" t="s">
        <v>5959</v>
      </c>
      <c r="AT745" s="16">
        <v>52480330</v>
      </c>
      <c r="AU745" s="27" t="s">
        <v>5960</v>
      </c>
      <c r="AV745" s="86">
        <v>64012500</v>
      </c>
      <c r="AW745" s="27"/>
      <c r="AX745" s="27"/>
      <c r="AY745" s="27"/>
      <c r="AZ745" s="27"/>
      <c r="BA745" s="27"/>
      <c r="BB745" s="27"/>
      <c r="BC745" s="97"/>
      <c r="BD745" s="27"/>
      <c r="BE745" s="16"/>
      <c r="BF745" s="28">
        <f t="shared" si="319"/>
        <v>0</v>
      </c>
      <c r="BG745" s="29"/>
      <c r="BH745" s="27"/>
      <c r="BI745" s="30">
        <f t="shared" si="320"/>
        <v>245</v>
      </c>
      <c r="BJ745" s="31">
        <f t="shared" si="321"/>
        <v>45657</v>
      </c>
      <c r="BK745" s="27"/>
      <c r="BL745" s="16"/>
      <c r="BM745" s="27"/>
      <c r="BN745" s="16"/>
      <c r="BO745" s="27"/>
      <c r="BP745" s="16"/>
      <c r="BQ745" s="27"/>
      <c r="BR745" s="24"/>
      <c r="BS745" s="24"/>
      <c r="BT745" s="32"/>
      <c r="BU745" s="27"/>
      <c r="BV745" s="24"/>
      <c r="BW745" s="24"/>
      <c r="BX745" s="16"/>
      <c r="BY745" s="27"/>
      <c r="BZ745" s="24"/>
      <c r="CA745" s="24"/>
      <c r="CB745" s="16"/>
      <c r="CC745" s="49">
        <f t="shared" si="315"/>
        <v>0</v>
      </c>
      <c r="CD745" s="24"/>
      <c r="CE745" s="49">
        <f t="shared" si="316"/>
        <v>64012500</v>
      </c>
      <c r="CF745" s="50"/>
      <c r="CG745" s="49">
        <f t="shared" ca="1" si="301"/>
        <v>64012500</v>
      </c>
      <c r="CH745" s="33">
        <f t="shared" ca="1" si="312"/>
        <v>1</v>
      </c>
      <c r="CI745" s="33">
        <f t="shared" ca="1" si="313"/>
        <v>1</v>
      </c>
      <c r="CJ745" s="36">
        <f t="shared" ca="1" si="309"/>
        <v>100</v>
      </c>
      <c r="CK745" s="34">
        <f t="shared" si="310"/>
        <v>0</v>
      </c>
      <c r="CL745" s="21"/>
      <c r="CM745" s="35" t="str">
        <f t="shared" ca="1" si="322"/>
        <v>TERMINADO</v>
      </c>
      <c r="CN745" s="82"/>
      <c r="CO745" s="145" t="s">
        <v>5961</v>
      </c>
      <c r="CP745" s="26" t="s">
        <v>123</v>
      </c>
    </row>
    <row r="746" spans="1:96" ht="24.75" customHeight="1">
      <c r="A746" s="48" t="s">
        <v>5962</v>
      </c>
      <c r="B746" s="77" t="s">
        <v>5963</v>
      </c>
      <c r="C746" s="17" t="s">
        <v>104</v>
      </c>
      <c r="D746" s="18" t="s">
        <v>5964</v>
      </c>
      <c r="E746" s="17" t="s">
        <v>106</v>
      </c>
      <c r="F746" s="17" t="s">
        <v>107</v>
      </c>
      <c r="G746" s="17" t="s">
        <v>108</v>
      </c>
      <c r="H746" s="78">
        <v>65557007</v>
      </c>
      <c r="I746" s="74" t="s">
        <v>5965</v>
      </c>
      <c r="J746" s="16"/>
      <c r="K746" s="16"/>
      <c r="L746" s="20" t="s">
        <v>5966</v>
      </c>
      <c r="M746" s="16" t="s">
        <v>111</v>
      </c>
      <c r="N746" s="22">
        <v>45412</v>
      </c>
      <c r="O746" s="22">
        <v>45414</v>
      </c>
      <c r="P746" s="22">
        <v>45656</v>
      </c>
      <c r="Q746" s="23">
        <f t="shared" si="317"/>
        <v>242</v>
      </c>
      <c r="R746" s="17" t="s">
        <v>112</v>
      </c>
      <c r="S746" s="117" t="s">
        <v>5967</v>
      </c>
      <c r="T746" s="16" t="s">
        <v>5968</v>
      </c>
      <c r="U746" s="67">
        <v>72837000</v>
      </c>
      <c r="V746" s="16" t="s">
        <v>1318</v>
      </c>
      <c r="W746" s="224">
        <v>72837000</v>
      </c>
      <c r="X746" s="24">
        <v>8093000</v>
      </c>
      <c r="Y746" s="24"/>
      <c r="Z746" s="24"/>
      <c r="AA746" s="17" t="s">
        <v>116</v>
      </c>
      <c r="AB746" s="23" t="str">
        <f>IFERROR(VLOOKUP(AA746,Listas!$A$1:$C$14,2,FALSE),"")</f>
        <v>FREDY CÉSPEDES VILLA</v>
      </c>
      <c r="AC746" s="23">
        <f>IFERROR(VLOOKUP(AA746,Listas!$A$1:$C$14,3,FALSE),"")</f>
        <v>93363483</v>
      </c>
      <c r="AD746" s="17" t="s">
        <v>116</v>
      </c>
      <c r="AE746" s="17" t="s">
        <v>659</v>
      </c>
      <c r="AF746" s="23" t="str">
        <f>IFERROR(VLOOKUP(AE746,Listas!$AD$1:$AF$65,2,FALSE),"")</f>
        <v>TATIANA FORERO TORRES</v>
      </c>
      <c r="AG746" s="23">
        <f>IFERROR(VLOOKUP(AE746,Listas!$AD$1:$AF$65,3,FALSE),"")</f>
        <v>1072446921</v>
      </c>
      <c r="AH746" s="17" t="s">
        <v>118</v>
      </c>
      <c r="AI746" s="65" t="s">
        <v>5969</v>
      </c>
      <c r="AJ746" s="25" t="s">
        <v>4370</v>
      </c>
      <c r="AK746" s="26" t="s">
        <v>120</v>
      </c>
      <c r="AL746" s="26" t="s">
        <v>120</v>
      </c>
      <c r="AM746" s="90" t="s">
        <v>119</v>
      </c>
      <c r="AN746" s="105">
        <v>30087</v>
      </c>
      <c r="AO746" s="91">
        <f t="shared" ca="1" si="318"/>
        <v>43</v>
      </c>
      <c r="AP746" s="26" t="s">
        <v>121</v>
      </c>
      <c r="AQ746" s="26" t="s">
        <v>285</v>
      </c>
      <c r="AR746" s="89"/>
      <c r="AS746" s="27"/>
      <c r="AT746" s="16"/>
      <c r="AU746" s="27"/>
      <c r="AV746" s="86"/>
      <c r="AW746" s="27"/>
      <c r="AX746" s="27"/>
      <c r="AY746" s="27"/>
      <c r="AZ746" s="27"/>
      <c r="BA746" s="27"/>
      <c r="BB746" s="27"/>
      <c r="BC746" s="97"/>
      <c r="BD746" s="27"/>
      <c r="BE746" s="16"/>
      <c r="BF746" s="28">
        <f t="shared" si="319"/>
        <v>0</v>
      </c>
      <c r="BG746" s="29"/>
      <c r="BH746" s="27"/>
      <c r="BI746" s="30">
        <f t="shared" si="320"/>
        <v>242</v>
      </c>
      <c r="BJ746" s="31">
        <f t="shared" si="321"/>
        <v>45656</v>
      </c>
      <c r="BK746" s="27"/>
      <c r="BL746" s="16"/>
      <c r="BM746" s="27"/>
      <c r="BN746" s="16"/>
      <c r="BO746" s="27"/>
      <c r="BP746" s="16"/>
      <c r="BQ746" s="27"/>
      <c r="BR746" s="24"/>
      <c r="BS746" s="24"/>
      <c r="BT746" s="32"/>
      <c r="BU746" s="27"/>
      <c r="BV746" s="24"/>
      <c r="BW746" s="24"/>
      <c r="BX746" s="16"/>
      <c r="BY746" s="27"/>
      <c r="BZ746" s="24"/>
      <c r="CA746" s="24"/>
      <c r="CB746" s="16"/>
      <c r="CC746" s="49">
        <f t="shared" si="315"/>
        <v>0</v>
      </c>
      <c r="CD746" s="24"/>
      <c r="CE746" s="49">
        <f t="shared" si="316"/>
        <v>72837000</v>
      </c>
      <c r="CF746" s="50"/>
      <c r="CG746" s="49">
        <f t="shared" ca="1" si="301"/>
        <v>72837000</v>
      </c>
      <c r="CH746" s="33">
        <f t="shared" ca="1" si="312"/>
        <v>1</v>
      </c>
      <c r="CI746" s="33">
        <f t="shared" ca="1" si="313"/>
        <v>1</v>
      </c>
      <c r="CJ746" s="36">
        <f t="shared" ca="1" si="309"/>
        <v>100</v>
      </c>
      <c r="CK746" s="34">
        <f t="shared" si="310"/>
        <v>0</v>
      </c>
      <c r="CL746" s="21"/>
      <c r="CM746" s="35" t="str">
        <f t="shared" ca="1" si="322"/>
        <v>TERMINADO</v>
      </c>
      <c r="CN746" s="82"/>
      <c r="CP746" s="26" t="s">
        <v>123</v>
      </c>
    </row>
    <row r="747" spans="1:96" ht="24.75" customHeight="1">
      <c r="A747" s="48" t="s">
        <v>5970</v>
      </c>
      <c r="B747" s="77" t="s">
        <v>5971</v>
      </c>
      <c r="C747" s="17" t="s">
        <v>104</v>
      </c>
      <c r="D747" s="18" t="s">
        <v>5972</v>
      </c>
      <c r="E747" s="17" t="s">
        <v>106</v>
      </c>
      <c r="F747" s="17" t="s">
        <v>1426</v>
      </c>
      <c r="G747" s="17" t="s">
        <v>1427</v>
      </c>
      <c r="H747" s="78" t="s">
        <v>5973</v>
      </c>
      <c r="I747" s="74" t="s">
        <v>5974</v>
      </c>
      <c r="J747" s="16" t="s">
        <v>5975</v>
      </c>
      <c r="K747" s="16">
        <v>22551494</v>
      </c>
      <c r="L747" s="20" t="s">
        <v>5976</v>
      </c>
      <c r="M747" s="16" t="s">
        <v>111</v>
      </c>
      <c r="N747" s="22">
        <v>45407</v>
      </c>
      <c r="O747" s="22">
        <v>45413</v>
      </c>
      <c r="P747" s="22">
        <v>45961</v>
      </c>
      <c r="Q747" s="23">
        <f t="shared" si="317"/>
        <v>548</v>
      </c>
      <c r="R747" s="17" t="s">
        <v>112</v>
      </c>
      <c r="S747" s="117" t="s">
        <v>5977</v>
      </c>
      <c r="T747" s="16" t="s">
        <v>5978</v>
      </c>
      <c r="U747" s="67">
        <v>52412350</v>
      </c>
      <c r="V747" s="16" t="s">
        <v>5626</v>
      </c>
      <c r="W747" s="224">
        <v>47028800</v>
      </c>
      <c r="X747" s="24"/>
      <c r="Y747" s="24"/>
      <c r="Z747" s="24"/>
      <c r="AA747" s="17" t="s">
        <v>116</v>
      </c>
      <c r="AB747" s="23" t="str">
        <f>IFERROR(VLOOKUP(AA747,Listas!$A$1:$C$14,2,FALSE),"")</f>
        <v>FREDY CÉSPEDES VILLA</v>
      </c>
      <c r="AC747" s="23">
        <f>IFERROR(VLOOKUP(AA747,Listas!$A$1:$C$14,3,FALSE),"")</f>
        <v>93363483</v>
      </c>
      <c r="AD747" s="17" t="s">
        <v>217</v>
      </c>
      <c r="AE747" s="17" t="s">
        <v>265</v>
      </c>
      <c r="AF747" s="23" t="str">
        <f>IFERROR(VLOOKUP(AE747,Listas!$AD$1:$AF$65,2,FALSE),"")</f>
        <v>EDGAR ANTONIO GÓMEZ ÁLVAREZ</v>
      </c>
      <c r="AG747" s="23">
        <f>IFERROR(VLOOKUP(AE747,Listas!$AD$1:$AF$65,3,FALSE),"")</f>
        <v>2231755</v>
      </c>
      <c r="AH747" s="17" t="s">
        <v>118</v>
      </c>
      <c r="AI747" s="65"/>
      <c r="AJ747" s="25" t="s">
        <v>1435</v>
      </c>
      <c r="AK747" s="26" t="s">
        <v>2071</v>
      </c>
      <c r="AL747" s="26" t="s">
        <v>2071</v>
      </c>
      <c r="AM747" s="90" t="s">
        <v>1435</v>
      </c>
      <c r="AN747" s="105"/>
      <c r="AO747" s="91" t="str">
        <f t="shared" ca="1" si="318"/>
        <v xml:space="preserve"> </v>
      </c>
      <c r="AP747" s="26" t="s">
        <v>121</v>
      </c>
      <c r="AQ747" s="26" t="s">
        <v>1272</v>
      </c>
      <c r="AR747" s="89"/>
      <c r="AS747" s="27"/>
      <c r="AT747" s="16"/>
      <c r="AU747" s="27"/>
      <c r="AV747" s="86"/>
      <c r="AW747" s="27"/>
      <c r="AX747" s="27"/>
      <c r="AY747" s="27"/>
      <c r="AZ747" s="27"/>
      <c r="BA747" s="27"/>
      <c r="BB747" s="27"/>
      <c r="BC747" s="97"/>
      <c r="BD747" s="27"/>
      <c r="BE747" s="16"/>
      <c r="BF747" s="28">
        <f t="shared" si="319"/>
        <v>0</v>
      </c>
      <c r="BG747" s="29"/>
      <c r="BH747" s="27"/>
      <c r="BI747" s="30">
        <f t="shared" si="320"/>
        <v>548</v>
      </c>
      <c r="BJ747" s="31">
        <f t="shared" si="321"/>
        <v>45961</v>
      </c>
      <c r="BK747" s="27"/>
      <c r="BL747" s="16"/>
      <c r="BM747" s="27"/>
      <c r="BN747" s="16"/>
      <c r="BO747" s="27"/>
      <c r="BP747" s="16"/>
      <c r="BQ747" s="27"/>
      <c r="BR747" s="24"/>
      <c r="BS747" s="24"/>
      <c r="BT747" s="32"/>
      <c r="BU747" s="27"/>
      <c r="BV747" s="24"/>
      <c r="BW747" s="24"/>
      <c r="BX747" s="16"/>
      <c r="BY747" s="27"/>
      <c r="BZ747" s="24"/>
      <c r="CA747" s="24"/>
      <c r="CB747" s="16"/>
      <c r="CC747" s="49">
        <f t="shared" si="315"/>
        <v>0</v>
      </c>
      <c r="CD747" s="24"/>
      <c r="CE747" s="49">
        <f t="shared" si="316"/>
        <v>47028800</v>
      </c>
      <c r="CF747" s="50"/>
      <c r="CG747" s="49">
        <f t="shared" ca="1" si="301"/>
        <v>46599705.109489053</v>
      </c>
      <c r="CH747" s="33">
        <f t="shared" ca="1" si="312"/>
        <v>0.97962962962962963</v>
      </c>
      <c r="CI747" s="33">
        <f t="shared" ca="1" si="313"/>
        <v>0.97962962962962963</v>
      </c>
      <c r="CJ747" s="36">
        <f t="shared" ca="1" si="309"/>
        <v>99.087591240875923</v>
      </c>
      <c r="CK747" s="34">
        <f t="shared" si="310"/>
        <v>0</v>
      </c>
      <c r="CL747" s="21"/>
      <c r="CM747" s="35" t="str">
        <f t="shared" ca="1" si="322"/>
        <v>VIGENTE</v>
      </c>
      <c r="CN747" s="82"/>
      <c r="CP747" s="83" t="s">
        <v>1424</v>
      </c>
    </row>
    <row r="748" spans="1:96" ht="24.75" customHeight="1">
      <c r="A748" s="48" t="s">
        <v>5979</v>
      </c>
      <c r="B748" s="77" t="s">
        <v>5980</v>
      </c>
      <c r="C748" s="17" t="s">
        <v>104</v>
      </c>
      <c r="D748" s="18" t="s">
        <v>5981</v>
      </c>
      <c r="E748" s="17" t="s">
        <v>106</v>
      </c>
      <c r="F748" s="17" t="s">
        <v>1426</v>
      </c>
      <c r="G748" s="17" t="s">
        <v>1427</v>
      </c>
      <c r="H748" s="78" t="s">
        <v>5973</v>
      </c>
      <c r="I748" s="74" t="s">
        <v>5974</v>
      </c>
      <c r="J748" s="16" t="s">
        <v>5975</v>
      </c>
      <c r="K748" s="16">
        <v>22551494</v>
      </c>
      <c r="L748" s="20" t="s">
        <v>5976</v>
      </c>
      <c r="M748" s="16" t="s">
        <v>111</v>
      </c>
      <c r="N748" s="22">
        <v>45407</v>
      </c>
      <c r="O748" s="22">
        <v>45413</v>
      </c>
      <c r="P748" s="22">
        <v>45961</v>
      </c>
      <c r="Q748" s="23">
        <f t="shared" si="317"/>
        <v>548</v>
      </c>
      <c r="R748" s="17" t="s">
        <v>112</v>
      </c>
      <c r="S748" s="117" t="s">
        <v>5982</v>
      </c>
      <c r="T748" s="16" t="s">
        <v>5978</v>
      </c>
      <c r="U748" s="67">
        <v>52412350</v>
      </c>
      <c r="V748" s="16" t="s">
        <v>5626</v>
      </c>
      <c r="W748" s="224">
        <v>47028800</v>
      </c>
      <c r="X748" s="24"/>
      <c r="Y748" s="24"/>
      <c r="Z748" s="24"/>
      <c r="AA748" s="17" t="s">
        <v>116</v>
      </c>
      <c r="AB748" s="23" t="str">
        <f>IFERROR(VLOOKUP(AA748,Listas!$A$1:$C$14,2,FALSE),"")</f>
        <v>FREDY CÉSPEDES VILLA</v>
      </c>
      <c r="AC748" s="23">
        <f>IFERROR(VLOOKUP(AA748,Listas!$A$1:$C$14,3,FALSE),"")</f>
        <v>93363483</v>
      </c>
      <c r="AD748" s="17" t="s">
        <v>217</v>
      </c>
      <c r="AE748" s="17" t="s">
        <v>265</v>
      </c>
      <c r="AF748" s="23" t="str">
        <f>IFERROR(VLOOKUP(AE748,Listas!$AD$1:$AF$65,2,FALSE),"")</f>
        <v>EDGAR ANTONIO GÓMEZ ÁLVAREZ</v>
      </c>
      <c r="AG748" s="23">
        <f>IFERROR(VLOOKUP(AE748,Listas!$AD$1:$AF$65,3,FALSE),"")</f>
        <v>2231755</v>
      </c>
      <c r="AH748" s="17" t="s">
        <v>118</v>
      </c>
      <c r="AI748" s="65"/>
      <c r="AJ748" s="25" t="s">
        <v>1435</v>
      </c>
      <c r="AK748" s="26" t="s">
        <v>2071</v>
      </c>
      <c r="AL748" s="26" t="s">
        <v>2071</v>
      </c>
      <c r="AM748" s="90" t="s">
        <v>1435</v>
      </c>
      <c r="AN748" s="105"/>
      <c r="AO748" s="91" t="str">
        <f t="shared" ca="1" si="318"/>
        <v xml:space="preserve"> </v>
      </c>
      <c r="AP748" s="26" t="s">
        <v>121</v>
      </c>
      <c r="AQ748" s="26" t="s">
        <v>1272</v>
      </c>
      <c r="AR748" s="89"/>
      <c r="AS748" s="27"/>
      <c r="AT748" s="16"/>
      <c r="AU748" s="27"/>
      <c r="AV748" s="86"/>
      <c r="AW748" s="27"/>
      <c r="AX748" s="27"/>
      <c r="AY748" s="27"/>
      <c r="AZ748" s="27"/>
      <c r="BA748" s="27"/>
      <c r="BB748" s="27"/>
      <c r="BC748" s="97"/>
      <c r="BD748" s="27"/>
      <c r="BE748" s="16"/>
      <c r="BF748" s="28">
        <f t="shared" si="319"/>
        <v>0</v>
      </c>
      <c r="BG748" s="29"/>
      <c r="BH748" s="27"/>
      <c r="BI748" s="30">
        <f t="shared" si="320"/>
        <v>548</v>
      </c>
      <c r="BJ748" s="31">
        <f t="shared" si="321"/>
        <v>45961</v>
      </c>
      <c r="BK748" s="27"/>
      <c r="BL748" s="16"/>
      <c r="BM748" s="27"/>
      <c r="BN748" s="16"/>
      <c r="BO748" s="27"/>
      <c r="BP748" s="16"/>
      <c r="BQ748" s="27"/>
      <c r="BR748" s="24"/>
      <c r="BS748" s="24"/>
      <c r="BT748" s="32"/>
      <c r="BU748" s="27"/>
      <c r="BV748" s="24"/>
      <c r="BW748" s="24"/>
      <c r="BX748" s="16"/>
      <c r="BY748" s="27"/>
      <c r="BZ748" s="24"/>
      <c r="CA748" s="24"/>
      <c r="CB748" s="16"/>
      <c r="CC748" s="49">
        <f t="shared" si="315"/>
        <v>0</v>
      </c>
      <c r="CD748" s="24"/>
      <c r="CE748" s="49">
        <f t="shared" si="316"/>
        <v>47028800</v>
      </c>
      <c r="CF748" s="50"/>
      <c r="CG748" s="49">
        <f t="shared" ref="CG748:CG811" ca="1" si="323">IFERROR(IF(((CE748/BI748)*(TODAY()-N748))&gt;CE748,CE748,((CE748/BI748)*(TODAY()-N748))),"")</f>
        <v>46599705.109489053</v>
      </c>
      <c r="CH748" s="33">
        <f t="shared" ca="1" si="312"/>
        <v>0.97962962962962963</v>
      </c>
      <c r="CI748" s="33">
        <f t="shared" ca="1" si="313"/>
        <v>0.97962962962962963</v>
      </c>
      <c r="CJ748" s="36">
        <f t="shared" ca="1" si="309"/>
        <v>99.087591240875923</v>
      </c>
      <c r="CK748" s="34">
        <f t="shared" si="310"/>
        <v>0</v>
      </c>
      <c r="CL748" s="21"/>
      <c r="CM748" s="35" t="str">
        <f t="shared" ca="1" si="322"/>
        <v>VIGENTE</v>
      </c>
      <c r="CN748" s="82"/>
      <c r="CP748" s="83" t="s">
        <v>1424</v>
      </c>
    </row>
    <row r="749" spans="1:96" ht="24.75" customHeight="1">
      <c r="A749" s="48" t="s">
        <v>5983</v>
      </c>
      <c r="B749" s="77" t="s">
        <v>5984</v>
      </c>
      <c r="C749" s="17" t="s">
        <v>104</v>
      </c>
      <c r="D749" s="18" t="s">
        <v>5985</v>
      </c>
      <c r="E749" s="17" t="s">
        <v>106</v>
      </c>
      <c r="F749" s="17" t="s">
        <v>107</v>
      </c>
      <c r="G749" s="17" t="s">
        <v>108</v>
      </c>
      <c r="H749" s="78">
        <v>1019070874</v>
      </c>
      <c r="I749" s="74" t="s">
        <v>5986</v>
      </c>
      <c r="J749" s="16"/>
      <c r="K749" s="16"/>
      <c r="L749" s="20" t="s">
        <v>5987</v>
      </c>
      <c r="M749" s="16" t="s">
        <v>111</v>
      </c>
      <c r="N749" s="22">
        <v>45407</v>
      </c>
      <c r="O749" s="22">
        <v>45406</v>
      </c>
      <c r="P749" s="22">
        <v>45656</v>
      </c>
      <c r="Q749" s="23">
        <f t="shared" si="317"/>
        <v>250</v>
      </c>
      <c r="R749" s="17" t="s">
        <v>112</v>
      </c>
      <c r="S749" s="16" t="s">
        <v>5988</v>
      </c>
      <c r="T749" s="16" t="s">
        <v>364</v>
      </c>
      <c r="U749" s="67">
        <v>55462998</v>
      </c>
      <c r="V749" s="16" t="s">
        <v>5989</v>
      </c>
      <c r="W749" s="224">
        <v>42393168</v>
      </c>
      <c r="X749" s="24">
        <v>5026858</v>
      </c>
      <c r="Y749" s="24"/>
      <c r="Z749" s="24"/>
      <c r="AA749" s="17" t="s">
        <v>116</v>
      </c>
      <c r="AB749" s="23" t="str">
        <f>IFERROR(VLOOKUP(AA749,Listas!$A$1:$C$14,2,FALSE),"")</f>
        <v>FREDY CÉSPEDES VILLA</v>
      </c>
      <c r="AC749" s="23">
        <f>IFERROR(VLOOKUP(AA749,Listas!$A$1:$C$14,3,FALSE),"")</f>
        <v>93363483</v>
      </c>
      <c r="AD749" s="17" t="s">
        <v>345</v>
      </c>
      <c r="AE749" s="17" t="s">
        <v>346</v>
      </c>
      <c r="AF749" s="23" t="str">
        <f>IFERROR(VLOOKUP(AE749,Listas!$AD$1:$AF$65,2,FALSE),"")</f>
        <v>RODOLFO GIOVANNI CANCHILA SUÁREZ</v>
      </c>
      <c r="AG749" s="23">
        <f>IFERROR(VLOOKUP(AE749,Listas!$AD$1:$AF$65,3,FALSE),"")</f>
        <v>79672493</v>
      </c>
      <c r="AH749" s="17" t="s">
        <v>118</v>
      </c>
      <c r="AI749" s="65"/>
      <c r="AJ749" s="25" t="s">
        <v>4370</v>
      </c>
      <c r="AK749" s="26" t="s">
        <v>120</v>
      </c>
      <c r="AL749" s="26" t="s">
        <v>120</v>
      </c>
      <c r="AM749" s="90" t="s">
        <v>119</v>
      </c>
      <c r="AN749" s="105">
        <v>33714</v>
      </c>
      <c r="AO749" s="91">
        <f t="shared" ca="1" si="318"/>
        <v>33</v>
      </c>
      <c r="AP749" s="26" t="s">
        <v>121</v>
      </c>
      <c r="AQ749" s="26" t="s">
        <v>367</v>
      </c>
      <c r="AR749" s="89"/>
      <c r="AS749" s="27"/>
      <c r="AT749" s="16"/>
      <c r="AU749" s="27"/>
      <c r="AV749" s="86"/>
      <c r="AW749" s="27"/>
      <c r="AX749" s="27"/>
      <c r="AY749" s="27"/>
      <c r="AZ749" s="27"/>
      <c r="BA749" s="27"/>
      <c r="BB749" s="27"/>
      <c r="BC749" s="97"/>
      <c r="BD749" s="27"/>
      <c r="BE749" s="16"/>
      <c r="BF749" s="28">
        <f t="shared" si="319"/>
        <v>0</v>
      </c>
      <c r="BG749" s="29"/>
      <c r="BH749" s="27"/>
      <c r="BI749" s="30">
        <f t="shared" si="320"/>
        <v>250</v>
      </c>
      <c r="BJ749" s="31">
        <f t="shared" si="321"/>
        <v>45656</v>
      </c>
      <c r="BK749" s="27"/>
      <c r="BL749" s="16"/>
      <c r="BM749" s="27"/>
      <c r="BN749" s="16"/>
      <c r="BO749" s="27"/>
      <c r="BP749" s="16"/>
      <c r="BQ749" s="27"/>
      <c r="BR749" s="24"/>
      <c r="BS749" s="24"/>
      <c r="BT749" s="32"/>
      <c r="BU749" s="27"/>
      <c r="BV749" s="24"/>
      <c r="BW749" s="24"/>
      <c r="BX749" s="16"/>
      <c r="BY749" s="27"/>
      <c r="BZ749" s="24"/>
      <c r="CA749" s="24"/>
      <c r="CB749" s="16"/>
      <c r="CC749" s="49">
        <f t="shared" si="315"/>
        <v>0</v>
      </c>
      <c r="CD749" s="24"/>
      <c r="CE749" s="49">
        <f t="shared" si="316"/>
        <v>42393168</v>
      </c>
      <c r="CF749" s="50"/>
      <c r="CG749" s="49">
        <f t="shared" ca="1" si="323"/>
        <v>42393168</v>
      </c>
      <c r="CH749" s="33">
        <f t="shared" ca="1" si="312"/>
        <v>1</v>
      </c>
      <c r="CI749" s="33">
        <f t="shared" ca="1" si="313"/>
        <v>1</v>
      </c>
      <c r="CJ749" s="36">
        <f t="shared" ca="1" si="309"/>
        <v>100</v>
      </c>
      <c r="CK749" s="34">
        <f t="shared" si="310"/>
        <v>0</v>
      </c>
      <c r="CL749" s="21"/>
      <c r="CM749" s="35" t="str">
        <f t="shared" ca="1" si="322"/>
        <v>TERMINADO</v>
      </c>
      <c r="CN749" s="82"/>
      <c r="CP749" s="26" t="s">
        <v>123</v>
      </c>
    </row>
    <row r="750" spans="1:96" ht="24.75" customHeight="1">
      <c r="A750" s="48" t="s">
        <v>5990</v>
      </c>
      <c r="B750" s="77" t="s">
        <v>5991</v>
      </c>
      <c r="C750" s="17" t="s">
        <v>1423</v>
      </c>
      <c r="D750" s="18">
        <v>0</v>
      </c>
      <c r="E750" s="17" t="s">
        <v>1425</v>
      </c>
      <c r="F750" s="17" t="s">
        <v>1426</v>
      </c>
      <c r="G750" s="17" t="s">
        <v>1427</v>
      </c>
      <c r="H750" s="78" t="s">
        <v>5992</v>
      </c>
      <c r="I750" s="74" t="s">
        <v>5993</v>
      </c>
      <c r="J750" s="16" t="s">
        <v>5994</v>
      </c>
      <c r="K750" s="16"/>
      <c r="L750" s="20" t="s">
        <v>5995</v>
      </c>
      <c r="M750" s="16" t="s">
        <v>111</v>
      </c>
      <c r="N750" s="22">
        <v>45407</v>
      </c>
      <c r="O750" s="22">
        <v>45412</v>
      </c>
      <c r="P750" s="22">
        <v>45777</v>
      </c>
      <c r="Q750" s="23">
        <f t="shared" si="317"/>
        <v>365</v>
      </c>
      <c r="R750" s="17" t="s">
        <v>242</v>
      </c>
      <c r="S750" s="16"/>
      <c r="T750" s="16" t="s">
        <v>2811</v>
      </c>
      <c r="U750" s="67">
        <v>975252739</v>
      </c>
      <c r="V750" s="16" t="s">
        <v>5996</v>
      </c>
      <c r="W750" s="228">
        <v>975252739</v>
      </c>
      <c r="X750" s="24"/>
      <c r="Y750" s="24"/>
      <c r="Z750" s="24"/>
      <c r="AA750" s="17" t="s">
        <v>116</v>
      </c>
      <c r="AB750" s="23" t="str">
        <f>IFERROR(VLOOKUP(AA750,Listas!$A$1:$C$14,2,FALSE),"")</f>
        <v>FREDY CÉSPEDES VILLA</v>
      </c>
      <c r="AC750" s="23">
        <f>IFERROR(VLOOKUP(AA750,Listas!$A$1:$C$14,3,FALSE),"")</f>
        <v>93363483</v>
      </c>
      <c r="AD750" s="17" t="s">
        <v>816</v>
      </c>
      <c r="AE750" s="17" t="s">
        <v>2577</v>
      </c>
      <c r="AF750" s="23" t="str">
        <f>IFERROR(VLOOKUP(AE750,Listas!$AD$1:$AF$65,2,FALSE),"")</f>
        <v>VICTOR RAUL BAUTISTA GALINDO</v>
      </c>
      <c r="AG750" s="23">
        <f>IFERROR(VLOOKUP(AE750,Listas!$AD$1:$AF$65,3,FALSE),"")</f>
        <v>79352968</v>
      </c>
      <c r="AH750" s="17" t="s">
        <v>1434</v>
      </c>
      <c r="AI750" s="65"/>
      <c r="AJ750" s="25" t="s">
        <v>1435</v>
      </c>
      <c r="AK750" s="26" t="s">
        <v>2071</v>
      </c>
      <c r="AL750" s="26" t="s">
        <v>2071</v>
      </c>
      <c r="AM750" s="90" t="s">
        <v>1435</v>
      </c>
      <c r="AN750" s="105"/>
      <c r="AO750" s="91" t="str">
        <f t="shared" ca="1" si="318"/>
        <v xml:space="preserve"> </v>
      </c>
      <c r="AP750" s="26" t="s">
        <v>121</v>
      </c>
      <c r="AQ750" s="26" t="s">
        <v>122</v>
      </c>
      <c r="AR750" s="89"/>
      <c r="AS750" s="27"/>
      <c r="AT750" s="16"/>
      <c r="AU750" s="27"/>
      <c r="AV750" s="86"/>
      <c r="AW750" s="27"/>
      <c r="AX750" s="27"/>
      <c r="AY750" s="27"/>
      <c r="AZ750" s="27"/>
      <c r="BA750" s="27"/>
      <c r="BB750" s="27"/>
      <c r="BC750" s="97"/>
      <c r="BD750" s="27"/>
      <c r="BE750" s="16"/>
      <c r="BF750" s="28">
        <f t="shared" si="319"/>
        <v>0</v>
      </c>
      <c r="BG750" s="29"/>
      <c r="BH750" s="27"/>
      <c r="BI750" s="30">
        <f t="shared" si="320"/>
        <v>365</v>
      </c>
      <c r="BJ750" s="31">
        <f t="shared" si="321"/>
        <v>45777</v>
      </c>
      <c r="BK750" s="27"/>
      <c r="BL750" s="16"/>
      <c r="BM750" s="27"/>
      <c r="BN750" s="16"/>
      <c r="BO750" s="27"/>
      <c r="BP750" s="16"/>
      <c r="BQ750" s="27"/>
      <c r="BR750" s="24"/>
      <c r="BS750" s="24"/>
      <c r="BT750" s="32"/>
      <c r="BU750" s="27"/>
      <c r="BV750" s="24"/>
      <c r="BW750" s="24"/>
      <c r="BX750" s="16"/>
      <c r="BY750" s="27"/>
      <c r="BZ750" s="24"/>
      <c r="CA750" s="24"/>
      <c r="CB750" s="16"/>
      <c r="CC750" s="49">
        <f t="shared" si="315"/>
        <v>0</v>
      </c>
      <c r="CD750" s="24"/>
      <c r="CE750" s="49">
        <f t="shared" si="316"/>
        <v>975252739</v>
      </c>
      <c r="CF750" s="50"/>
      <c r="CG750" s="49">
        <f t="shared" ca="1" si="323"/>
        <v>975252739</v>
      </c>
      <c r="CH750" s="33">
        <f t="shared" ca="1" si="312"/>
        <v>1</v>
      </c>
      <c r="CI750" s="33">
        <f t="shared" ca="1" si="313"/>
        <v>1</v>
      </c>
      <c r="CJ750" s="36">
        <f t="shared" ca="1" si="309"/>
        <v>100</v>
      </c>
      <c r="CK750" s="34">
        <f t="shared" si="310"/>
        <v>0</v>
      </c>
      <c r="CL750" s="21"/>
      <c r="CM750" s="35" t="str">
        <f t="shared" ca="1" si="322"/>
        <v>TERMINADO</v>
      </c>
      <c r="CN750" s="82"/>
      <c r="CO750" s="145" t="s">
        <v>5997</v>
      </c>
      <c r="CP750" s="83" t="s">
        <v>1424</v>
      </c>
    </row>
    <row r="751" spans="1:96" ht="24.75" customHeight="1">
      <c r="A751" s="48" t="s">
        <v>5998</v>
      </c>
      <c r="B751" s="77" t="s">
        <v>5999</v>
      </c>
      <c r="C751" s="17" t="s">
        <v>104</v>
      </c>
      <c r="D751" s="18" t="s">
        <v>6000</v>
      </c>
      <c r="E751" s="17" t="s">
        <v>106</v>
      </c>
      <c r="F751" s="17" t="s">
        <v>107</v>
      </c>
      <c r="G751" s="17" t="s">
        <v>108</v>
      </c>
      <c r="H751" s="78">
        <v>79957887</v>
      </c>
      <c r="I751" s="74" t="s">
        <v>6001</v>
      </c>
      <c r="J751" s="16"/>
      <c r="K751" s="16"/>
      <c r="L751" s="20" t="s">
        <v>6002</v>
      </c>
      <c r="M751" s="16" t="s">
        <v>111</v>
      </c>
      <c r="N751" s="22">
        <v>45415</v>
      </c>
      <c r="O751" s="22">
        <v>45419</v>
      </c>
      <c r="P751" s="22">
        <v>45656</v>
      </c>
      <c r="Q751" s="23">
        <f t="shared" si="317"/>
        <v>237</v>
      </c>
      <c r="R751" s="17" t="s">
        <v>242</v>
      </c>
      <c r="S751" s="16" t="s">
        <v>6003</v>
      </c>
      <c r="T751" s="16" t="s">
        <v>364</v>
      </c>
      <c r="U751" s="67">
        <v>72828135</v>
      </c>
      <c r="V751" s="16" t="s">
        <v>365</v>
      </c>
      <c r="W751" s="224">
        <v>72828135</v>
      </c>
      <c r="X751" s="24">
        <v>8092015</v>
      </c>
      <c r="Y751" s="24"/>
      <c r="Z751" s="24"/>
      <c r="AA751" s="17" t="s">
        <v>116</v>
      </c>
      <c r="AB751" s="23" t="str">
        <f>IFERROR(VLOOKUP(AA751,Listas!$A$1:$C$14,2,FALSE),"")</f>
        <v>FREDY CÉSPEDES VILLA</v>
      </c>
      <c r="AC751" s="23">
        <f>IFERROR(VLOOKUP(AA751,Listas!$A$1:$C$14,3,FALSE),"")</f>
        <v>93363483</v>
      </c>
      <c r="AD751" s="17" t="s">
        <v>345</v>
      </c>
      <c r="AE751" s="17" t="s">
        <v>346</v>
      </c>
      <c r="AF751" s="23" t="str">
        <f>IFERROR(VLOOKUP(AE751,Listas!$AD$1:$AF$65,2,FALSE),"")</f>
        <v>RODOLFO GIOVANNI CANCHILA SUÁREZ</v>
      </c>
      <c r="AG751" s="23">
        <f>IFERROR(VLOOKUP(AE751,Listas!$AD$1:$AF$65,3,FALSE),"")</f>
        <v>79672493</v>
      </c>
      <c r="AH751" s="17" t="s">
        <v>118</v>
      </c>
      <c r="AI751" s="65" t="s">
        <v>6004</v>
      </c>
      <c r="AJ751" s="25" t="s">
        <v>4370</v>
      </c>
      <c r="AK751" s="26" t="s">
        <v>120</v>
      </c>
      <c r="AL751" s="26" t="s">
        <v>120</v>
      </c>
      <c r="AM751" s="90" t="s">
        <v>119</v>
      </c>
      <c r="AN751" s="105">
        <v>29637</v>
      </c>
      <c r="AO751" s="91">
        <f t="shared" ca="1" si="318"/>
        <v>44</v>
      </c>
      <c r="AP751" s="26" t="s">
        <v>121</v>
      </c>
      <c r="AQ751" s="26" t="s">
        <v>367</v>
      </c>
      <c r="AR751" s="89"/>
      <c r="AS751" s="27"/>
      <c r="AT751" s="16"/>
      <c r="AU751" s="27"/>
      <c r="AV751" s="86"/>
      <c r="AW751" s="27"/>
      <c r="AX751" s="27"/>
      <c r="AY751" s="27"/>
      <c r="AZ751" s="27"/>
      <c r="BA751" s="27"/>
      <c r="BB751" s="27"/>
      <c r="BC751" s="97"/>
      <c r="BD751" s="27"/>
      <c r="BE751" s="16"/>
      <c r="BF751" s="28">
        <f t="shared" si="319"/>
        <v>0</v>
      </c>
      <c r="BG751" s="29"/>
      <c r="BH751" s="27"/>
      <c r="BI751" s="30">
        <f t="shared" si="320"/>
        <v>237</v>
      </c>
      <c r="BJ751" s="31">
        <f t="shared" si="321"/>
        <v>45656</v>
      </c>
      <c r="BK751" s="27"/>
      <c r="BL751" s="16"/>
      <c r="BM751" s="27"/>
      <c r="BN751" s="16"/>
      <c r="BO751" s="27"/>
      <c r="BP751" s="16"/>
      <c r="BQ751" s="27"/>
      <c r="BR751" s="24"/>
      <c r="BS751" s="24"/>
      <c r="BT751" s="32"/>
      <c r="BU751" s="27"/>
      <c r="BV751" s="24"/>
      <c r="BW751" s="24"/>
      <c r="BX751" s="16"/>
      <c r="BY751" s="27"/>
      <c r="BZ751" s="24"/>
      <c r="CA751" s="24"/>
      <c r="CB751" s="16"/>
      <c r="CC751" s="49">
        <f t="shared" si="315"/>
        <v>0</v>
      </c>
      <c r="CD751" s="24"/>
      <c r="CE751" s="49">
        <f t="shared" si="316"/>
        <v>72828135</v>
      </c>
      <c r="CF751" s="50"/>
      <c r="CG751" s="49">
        <f t="shared" ca="1" si="323"/>
        <v>72828135</v>
      </c>
      <c r="CH751" s="33">
        <f t="shared" ca="1" si="312"/>
        <v>1</v>
      </c>
      <c r="CI751" s="33">
        <f t="shared" ca="1" si="313"/>
        <v>1</v>
      </c>
      <c r="CJ751" s="36">
        <f t="shared" ca="1" si="309"/>
        <v>100</v>
      </c>
      <c r="CK751" s="34">
        <f t="shared" si="310"/>
        <v>0</v>
      </c>
      <c r="CL751" s="21"/>
      <c r="CM751" s="35" t="str">
        <f t="shared" ca="1" si="322"/>
        <v>TERMINADO</v>
      </c>
      <c r="CN751" s="82"/>
      <c r="CP751" s="26" t="s">
        <v>142</v>
      </c>
    </row>
    <row r="752" spans="1:96" ht="24.75" customHeight="1">
      <c r="A752" s="48" t="s">
        <v>6005</v>
      </c>
      <c r="B752" s="77" t="s">
        <v>6006</v>
      </c>
      <c r="C752" s="17" t="s">
        <v>104</v>
      </c>
      <c r="D752" s="18" t="s">
        <v>6007</v>
      </c>
      <c r="E752" s="17" t="s">
        <v>106</v>
      </c>
      <c r="F752" s="17" t="s">
        <v>107</v>
      </c>
      <c r="G752" s="17" t="s">
        <v>108</v>
      </c>
      <c r="H752" s="78">
        <v>52790672</v>
      </c>
      <c r="I752" s="74" t="s">
        <v>6008</v>
      </c>
      <c r="J752" s="16"/>
      <c r="K752" s="16"/>
      <c r="L752" s="20" t="s">
        <v>6009</v>
      </c>
      <c r="M752" s="16" t="s">
        <v>111</v>
      </c>
      <c r="N752" s="22">
        <v>45419</v>
      </c>
      <c r="O752" s="22">
        <v>45426</v>
      </c>
      <c r="P752" s="22">
        <v>45656</v>
      </c>
      <c r="Q752" s="23">
        <f t="shared" si="317"/>
        <v>230</v>
      </c>
      <c r="R752" s="17" t="s">
        <v>242</v>
      </c>
      <c r="S752" s="16" t="s">
        <v>6010</v>
      </c>
      <c r="T752" s="16" t="s">
        <v>425</v>
      </c>
      <c r="U752" s="67">
        <v>104848200</v>
      </c>
      <c r="V752" s="16" t="s">
        <v>426</v>
      </c>
      <c r="W752" s="224">
        <v>93198400</v>
      </c>
      <c r="X752" s="24">
        <v>11649800</v>
      </c>
      <c r="Y752" s="24"/>
      <c r="Z752" s="24"/>
      <c r="AA752" s="17" t="s">
        <v>116</v>
      </c>
      <c r="AB752" s="23" t="str">
        <f>IFERROR(VLOOKUP(AA752,Listas!$A$1:$C$14,2,FALSE),"")</f>
        <v>FREDY CÉSPEDES VILLA</v>
      </c>
      <c r="AC752" s="23">
        <f>IFERROR(VLOOKUP(AA752,Listas!$A$1:$C$14,3,FALSE),"")</f>
        <v>93363483</v>
      </c>
      <c r="AD752" s="17" t="s">
        <v>427</v>
      </c>
      <c r="AE752" s="17" t="s">
        <v>428</v>
      </c>
      <c r="AF752" s="23" t="str">
        <f>IFERROR(VLOOKUP(AE752,Listas!$AD$1:$AF$65,2,FALSE),"")</f>
        <v>DINORAH PATRICIA ABADIA MURILLO</v>
      </c>
      <c r="AG752" s="23">
        <f>IFERROR(VLOOKUP(AE752,Listas!$AD$1:$AF$65,3,FALSE),"")</f>
        <v>52220857</v>
      </c>
      <c r="AH752" s="17" t="s">
        <v>118</v>
      </c>
      <c r="AI752" s="65" t="s">
        <v>6011</v>
      </c>
      <c r="AJ752" s="25" t="s">
        <v>4370</v>
      </c>
      <c r="AK752" s="26" t="s">
        <v>120</v>
      </c>
      <c r="AL752" s="26" t="s">
        <v>120</v>
      </c>
      <c r="AM752" s="90" t="s">
        <v>119</v>
      </c>
      <c r="AN752" s="105">
        <v>29568</v>
      </c>
      <c r="AO752" s="91">
        <f t="shared" ca="1" si="318"/>
        <v>45</v>
      </c>
      <c r="AP752" s="26" t="s">
        <v>121</v>
      </c>
      <c r="AQ752" s="26" t="s">
        <v>122</v>
      </c>
      <c r="AR752" s="89"/>
      <c r="AS752" s="27"/>
      <c r="AT752" s="16"/>
      <c r="AU752" s="27"/>
      <c r="AV752" s="86"/>
      <c r="AW752" s="27"/>
      <c r="AX752" s="27"/>
      <c r="AY752" s="27"/>
      <c r="AZ752" s="27"/>
      <c r="BA752" s="27"/>
      <c r="BB752" s="27"/>
      <c r="BC752" s="97"/>
      <c r="BD752" s="27"/>
      <c r="BE752" s="16"/>
      <c r="BF752" s="28">
        <f t="shared" si="319"/>
        <v>0</v>
      </c>
      <c r="BG752" s="29"/>
      <c r="BH752" s="27"/>
      <c r="BI752" s="30">
        <f t="shared" si="320"/>
        <v>230</v>
      </c>
      <c r="BJ752" s="31">
        <f t="shared" si="321"/>
        <v>45656</v>
      </c>
      <c r="BK752" s="27"/>
      <c r="BL752" s="16"/>
      <c r="BM752" s="27"/>
      <c r="BN752" s="16"/>
      <c r="BO752" s="27"/>
      <c r="BP752" s="16"/>
      <c r="BQ752" s="27"/>
      <c r="BR752" s="24"/>
      <c r="BS752" s="24"/>
      <c r="BT752" s="32"/>
      <c r="BU752" s="27"/>
      <c r="BV752" s="24"/>
      <c r="BW752" s="24"/>
      <c r="BX752" s="16"/>
      <c r="BY752" s="27"/>
      <c r="BZ752" s="24"/>
      <c r="CA752" s="24"/>
      <c r="CB752" s="16"/>
      <c r="CC752" s="49">
        <f t="shared" si="315"/>
        <v>0</v>
      </c>
      <c r="CD752" s="24"/>
      <c r="CE752" s="49">
        <f t="shared" si="316"/>
        <v>93198400</v>
      </c>
      <c r="CF752" s="50"/>
      <c r="CG752" s="49">
        <f t="shared" ca="1" si="323"/>
        <v>93198400</v>
      </c>
      <c r="CH752" s="33">
        <f t="shared" ca="1" si="312"/>
        <v>1</v>
      </c>
      <c r="CI752" s="33">
        <f t="shared" ca="1" si="313"/>
        <v>1</v>
      </c>
      <c r="CJ752" s="36">
        <f t="shared" ca="1" si="309"/>
        <v>100</v>
      </c>
      <c r="CK752" s="34">
        <f t="shared" si="310"/>
        <v>0</v>
      </c>
      <c r="CL752" s="21"/>
      <c r="CM752" s="35" t="str">
        <f t="shared" ca="1" si="322"/>
        <v>TERMINADO</v>
      </c>
      <c r="CN752" s="82"/>
      <c r="CO752" s="145" t="s">
        <v>6012</v>
      </c>
      <c r="CP752" s="26" t="s">
        <v>123</v>
      </c>
    </row>
    <row r="753" spans="1:96" ht="24.75" customHeight="1">
      <c r="A753" s="48" t="s">
        <v>6013</v>
      </c>
      <c r="B753" s="77" t="s">
        <v>6014</v>
      </c>
      <c r="C753" s="17" t="s">
        <v>104</v>
      </c>
      <c r="D753" s="18" t="s">
        <v>6015</v>
      </c>
      <c r="E753" s="17" t="s">
        <v>106</v>
      </c>
      <c r="F753" s="17" t="s">
        <v>107</v>
      </c>
      <c r="G753" s="17" t="s">
        <v>108</v>
      </c>
      <c r="H753" s="78">
        <v>1000380889</v>
      </c>
      <c r="I753" s="74" t="s">
        <v>6016</v>
      </c>
      <c r="J753" s="16"/>
      <c r="K753" s="16"/>
      <c r="L753" s="20" t="s">
        <v>6017</v>
      </c>
      <c r="M753" s="16" t="s">
        <v>111</v>
      </c>
      <c r="N753" s="22">
        <v>45426</v>
      </c>
      <c r="O753" s="22">
        <v>45426</v>
      </c>
      <c r="P753" s="22">
        <v>45656</v>
      </c>
      <c r="Q753" s="23">
        <f t="shared" si="317"/>
        <v>230</v>
      </c>
      <c r="R753" s="17" t="s">
        <v>242</v>
      </c>
      <c r="S753" s="16" t="s">
        <v>6018</v>
      </c>
      <c r="T753" s="16" t="s">
        <v>1460</v>
      </c>
      <c r="U753" s="67">
        <v>33877760</v>
      </c>
      <c r="V753" s="16" t="s">
        <v>5463</v>
      </c>
      <c r="W753" s="224">
        <v>33877760</v>
      </c>
      <c r="X753" s="24">
        <v>4234720</v>
      </c>
      <c r="Y753" s="24"/>
      <c r="Z753" s="24"/>
      <c r="AA753" s="17" t="s">
        <v>116</v>
      </c>
      <c r="AB753" s="23" t="str">
        <f>IFERROR(VLOOKUP(AA753,Listas!$A$1:$C$14,2,FALSE),"")</f>
        <v>FREDY CÉSPEDES VILLA</v>
      </c>
      <c r="AC753" s="23">
        <f>IFERROR(VLOOKUP(AA753,Listas!$A$1:$C$14,3,FALSE),"")</f>
        <v>93363483</v>
      </c>
      <c r="AD753" s="17" t="s">
        <v>607</v>
      </c>
      <c r="AE753" s="17" t="s">
        <v>1155</v>
      </c>
      <c r="AF753" s="23" t="str">
        <f>IFERROR(VLOOKUP(AE753,Listas!$AD$1:$AF$65,2,FALSE),"")</f>
        <v>MARÍA FRANCISCA CEPEDA QUINTERO</v>
      </c>
      <c r="AG753" s="23">
        <f>IFERROR(VLOOKUP(AE753,Listas!$AD$1:$AF$65,3,FALSE),"")</f>
        <v>53062608</v>
      </c>
      <c r="AH753" s="17" t="s">
        <v>118</v>
      </c>
      <c r="AI753" s="65" t="s">
        <v>6019</v>
      </c>
      <c r="AJ753" s="25" t="s">
        <v>4370</v>
      </c>
      <c r="AK753" s="26" t="s">
        <v>120</v>
      </c>
      <c r="AL753" s="26" t="s">
        <v>120</v>
      </c>
      <c r="AM753" s="90" t="s">
        <v>119</v>
      </c>
      <c r="AN753" s="105">
        <v>37442</v>
      </c>
      <c r="AO753" s="91">
        <f t="shared" ca="1" si="318"/>
        <v>23</v>
      </c>
      <c r="AP753" s="26" t="s">
        <v>121</v>
      </c>
      <c r="AQ753" s="26" t="s">
        <v>486</v>
      </c>
      <c r="AR753" s="89"/>
      <c r="AS753" s="27"/>
      <c r="AT753" s="16"/>
      <c r="AU753" s="27"/>
      <c r="AV753" s="86"/>
      <c r="AW753" s="27"/>
      <c r="AX753" s="27"/>
      <c r="AY753" s="27"/>
      <c r="AZ753" s="27"/>
      <c r="BA753" s="27"/>
      <c r="BB753" s="27"/>
      <c r="BC753" s="97"/>
      <c r="BD753" s="27"/>
      <c r="BE753" s="16"/>
      <c r="BF753" s="28">
        <f t="shared" si="319"/>
        <v>0</v>
      </c>
      <c r="BG753" s="29"/>
      <c r="BH753" s="27"/>
      <c r="BI753" s="30">
        <f t="shared" si="320"/>
        <v>230</v>
      </c>
      <c r="BJ753" s="31">
        <f t="shared" si="321"/>
        <v>45656</v>
      </c>
      <c r="BK753" s="27"/>
      <c r="BL753" s="16"/>
      <c r="BM753" s="27"/>
      <c r="BN753" s="16"/>
      <c r="BO753" s="27"/>
      <c r="BP753" s="16"/>
      <c r="BQ753" s="27"/>
      <c r="BR753" s="24"/>
      <c r="BS753" s="24"/>
      <c r="BT753" s="32"/>
      <c r="BU753" s="27"/>
      <c r="BV753" s="24"/>
      <c r="BW753" s="24"/>
      <c r="BX753" s="16"/>
      <c r="BY753" s="27"/>
      <c r="BZ753" s="24"/>
      <c r="CA753" s="24"/>
      <c r="CB753" s="16"/>
      <c r="CC753" s="49">
        <f t="shared" si="315"/>
        <v>0</v>
      </c>
      <c r="CD753" s="24"/>
      <c r="CE753" s="49">
        <f t="shared" si="316"/>
        <v>33877760</v>
      </c>
      <c r="CF753" s="50"/>
      <c r="CG753" s="49">
        <f t="shared" ca="1" si="323"/>
        <v>33877760</v>
      </c>
      <c r="CH753" s="33">
        <f t="shared" ca="1" si="312"/>
        <v>1</v>
      </c>
      <c r="CI753" s="33">
        <f t="shared" ca="1" si="313"/>
        <v>1</v>
      </c>
      <c r="CJ753" s="36">
        <f t="shared" ca="1" si="309"/>
        <v>100</v>
      </c>
      <c r="CK753" s="34">
        <f t="shared" si="310"/>
        <v>0</v>
      </c>
      <c r="CL753" s="21"/>
      <c r="CM753" s="35" t="str">
        <f t="shared" ca="1" si="322"/>
        <v>TERMINADO</v>
      </c>
      <c r="CN753" s="82"/>
      <c r="CO753" s="145" t="s">
        <v>6020</v>
      </c>
      <c r="CP753" s="26" t="s">
        <v>123</v>
      </c>
    </row>
    <row r="754" spans="1:96" ht="24.75" customHeight="1">
      <c r="A754" s="48" t="s">
        <v>6021</v>
      </c>
      <c r="B754" s="77" t="s">
        <v>6022</v>
      </c>
      <c r="C754" s="17" t="s">
        <v>104</v>
      </c>
      <c r="D754" s="18" t="s">
        <v>6023</v>
      </c>
      <c r="E754" s="17" t="s">
        <v>106</v>
      </c>
      <c r="F754" s="17" t="s">
        <v>107</v>
      </c>
      <c r="G754" s="17" t="s">
        <v>108</v>
      </c>
      <c r="H754" s="78">
        <v>1022382778</v>
      </c>
      <c r="I754" s="74" t="s">
        <v>6024</v>
      </c>
      <c r="J754" s="16"/>
      <c r="K754" s="16"/>
      <c r="L754" s="20" t="s">
        <v>6025</v>
      </c>
      <c r="M754" s="16" t="s">
        <v>111</v>
      </c>
      <c r="N754" s="22">
        <v>45421</v>
      </c>
      <c r="O754" s="22">
        <v>45428</v>
      </c>
      <c r="P754" s="22">
        <v>45656</v>
      </c>
      <c r="Q754" s="23">
        <f t="shared" si="317"/>
        <v>228</v>
      </c>
      <c r="R754" s="17" t="s">
        <v>242</v>
      </c>
      <c r="S754" s="16" t="s">
        <v>6026</v>
      </c>
      <c r="T754" s="16" t="s">
        <v>6027</v>
      </c>
      <c r="U754" s="67">
        <v>51249429</v>
      </c>
      <c r="V754" s="16" t="s">
        <v>669</v>
      </c>
      <c r="W754" s="224">
        <v>51249429</v>
      </c>
      <c r="X754" s="24">
        <v>4659039</v>
      </c>
      <c r="Y754" s="24"/>
      <c r="Z754" s="24"/>
      <c r="AA754" s="17" t="s">
        <v>116</v>
      </c>
      <c r="AB754" s="23" t="str">
        <f>IFERROR(VLOOKUP(AA754,Listas!$A$1:$C$14,2,FALSE),"")</f>
        <v>FREDY CÉSPEDES VILLA</v>
      </c>
      <c r="AC754" s="23">
        <f>IFERROR(VLOOKUP(AA754,Listas!$A$1:$C$14,3,FALSE),"")</f>
        <v>93363483</v>
      </c>
      <c r="AD754" s="17" t="s">
        <v>282</v>
      </c>
      <c r="AE754" s="17" t="s">
        <v>2513</v>
      </c>
      <c r="AF754" s="23" t="str">
        <f>IFERROR(VLOOKUP(AE754,Listas!$AD$1:$AF$65,2,FALSE),"")</f>
        <v>SANDRA MIREYA ARÉVALO RODRÍGUEZ</v>
      </c>
      <c r="AG754" s="23">
        <f>IFERROR(VLOOKUP(AE754,Listas!$AD$1:$AF$65,3,FALSE),"")</f>
        <v>51917861</v>
      </c>
      <c r="AH754" s="17" t="s">
        <v>118</v>
      </c>
      <c r="AI754" s="65" t="s">
        <v>6028</v>
      </c>
      <c r="AJ754" s="25" t="s">
        <v>4370</v>
      </c>
      <c r="AK754" s="26" t="s">
        <v>120</v>
      </c>
      <c r="AL754" s="26" t="s">
        <v>120</v>
      </c>
      <c r="AM754" s="90" t="s">
        <v>119</v>
      </c>
      <c r="AN754" s="105">
        <v>34063</v>
      </c>
      <c r="AO754" s="91">
        <f t="shared" ca="1" si="318"/>
        <v>32</v>
      </c>
      <c r="AP754" s="26" t="s">
        <v>121</v>
      </c>
      <c r="AQ754" s="26" t="s">
        <v>285</v>
      </c>
      <c r="AR754" s="89"/>
      <c r="AS754" s="27"/>
      <c r="AT754" s="16"/>
      <c r="AU754" s="27"/>
      <c r="AV754" s="86"/>
      <c r="AW754" s="27"/>
      <c r="AX754" s="27"/>
      <c r="AY754" s="27"/>
      <c r="AZ754" s="27"/>
      <c r="BA754" s="27"/>
      <c r="BB754" s="27"/>
      <c r="BC754" s="97"/>
      <c r="BD754" s="27"/>
      <c r="BE754" s="16"/>
      <c r="BF754" s="28">
        <f t="shared" si="319"/>
        <v>0</v>
      </c>
      <c r="BG754" s="29"/>
      <c r="BH754" s="27"/>
      <c r="BI754" s="30">
        <f t="shared" si="320"/>
        <v>228</v>
      </c>
      <c r="BJ754" s="31">
        <f t="shared" si="321"/>
        <v>45656</v>
      </c>
      <c r="BK754" s="27"/>
      <c r="BL754" s="16"/>
      <c r="BM754" s="27"/>
      <c r="BN754" s="16"/>
      <c r="BO754" s="27"/>
      <c r="BP754" s="16"/>
      <c r="BQ754" s="27"/>
      <c r="BR754" s="24"/>
      <c r="BS754" s="24"/>
      <c r="BT754" s="32"/>
      <c r="BU754" s="27"/>
      <c r="BV754" s="24"/>
      <c r="BW754" s="24"/>
      <c r="BX754" s="16"/>
      <c r="BY754" s="27"/>
      <c r="BZ754" s="24"/>
      <c r="CA754" s="24"/>
      <c r="CB754" s="16"/>
      <c r="CC754" s="49">
        <f t="shared" si="315"/>
        <v>0</v>
      </c>
      <c r="CD754" s="24"/>
      <c r="CE754" s="49">
        <f t="shared" si="316"/>
        <v>51249429</v>
      </c>
      <c r="CF754" s="50"/>
      <c r="CG754" s="49">
        <f t="shared" ca="1" si="323"/>
        <v>51249429</v>
      </c>
      <c r="CH754" s="33">
        <f t="shared" ca="1" si="312"/>
        <v>1</v>
      </c>
      <c r="CI754" s="33">
        <f t="shared" ca="1" si="313"/>
        <v>1</v>
      </c>
      <c r="CJ754" s="36">
        <f t="shared" ca="1" si="309"/>
        <v>100</v>
      </c>
      <c r="CK754" s="34">
        <f t="shared" si="310"/>
        <v>0</v>
      </c>
      <c r="CL754" s="21"/>
      <c r="CM754" s="35" t="str">
        <f t="shared" ca="1" si="322"/>
        <v>TERMINADO</v>
      </c>
      <c r="CN754" s="82"/>
      <c r="CO754" s="145" t="s">
        <v>6029</v>
      </c>
      <c r="CP754" s="26" t="s">
        <v>123</v>
      </c>
    </row>
    <row r="755" spans="1:96" ht="24.75" customHeight="1">
      <c r="A755" s="48" t="s">
        <v>6030</v>
      </c>
      <c r="B755" s="77" t="s">
        <v>6031</v>
      </c>
      <c r="C755" s="17" t="s">
        <v>104</v>
      </c>
      <c r="D755" s="18" t="s">
        <v>6032</v>
      </c>
      <c r="E755" s="17" t="s">
        <v>106</v>
      </c>
      <c r="F755" s="17" t="s">
        <v>107</v>
      </c>
      <c r="G755" s="17" t="s">
        <v>108</v>
      </c>
      <c r="H755" s="78">
        <v>1033743045</v>
      </c>
      <c r="I755" s="74" t="s">
        <v>6033</v>
      </c>
      <c r="J755" s="16"/>
      <c r="K755" s="16"/>
      <c r="L755" s="20" t="s">
        <v>1884</v>
      </c>
      <c r="M755" s="16" t="s">
        <v>111</v>
      </c>
      <c r="N755" s="22">
        <v>45426</v>
      </c>
      <c r="O755" s="22">
        <v>45428</v>
      </c>
      <c r="P755" s="22">
        <v>45656</v>
      </c>
      <c r="Q755" s="23">
        <f t="shared" si="317"/>
        <v>228</v>
      </c>
      <c r="R755" s="17" t="s">
        <v>242</v>
      </c>
      <c r="S755" s="16" t="s">
        <v>6034</v>
      </c>
      <c r="T755" s="16" t="s">
        <v>1128</v>
      </c>
      <c r="U755" s="67">
        <v>65920000</v>
      </c>
      <c r="V755" s="16" t="s">
        <v>815</v>
      </c>
      <c r="W755" s="224">
        <v>65920000</v>
      </c>
      <c r="X755" s="24">
        <v>6400000</v>
      </c>
      <c r="Y755" s="24"/>
      <c r="Z755" s="24"/>
      <c r="AA755" s="17" t="s">
        <v>116</v>
      </c>
      <c r="AB755" s="23" t="str">
        <f>IFERROR(VLOOKUP(AA755,Listas!$A$1:$C$14,2,FALSE),"")</f>
        <v>FREDY CÉSPEDES VILLA</v>
      </c>
      <c r="AC755" s="23">
        <f>IFERROR(VLOOKUP(AA755,Listas!$A$1:$C$14,3,FALSE),"")</f>
        <v>93363483</v>
      </c>
      <c r="AD755" s="17" t="s">
        <v>816</v>
      </c>
      <c r="AE755" s="17" t="s">
        <v>817</v>
      </c>
      <c r="AF755" s="23" t="str">
        <f>IFERROR(VLOOKUP(AE755,Listas!$AD$1:$AF$65,2,FALSE),"")</f>
        <v>JOSÉ EDUARDO PARADA JIMÉNEZ</v>
      </c>
      <c r="AG755" s="23">
        <f>IFERROR(VLOOKUP(AE755,Listas!$AD$1:$AF$65,3,FALSE),"")</f>
        <v>79434805</v>
      </c>
      <c r="AH755" s="17" t="s">
        <v>118</v>
      </c>
      <c r="AI755" s="65" t="s">
        <v>2592</v>
      </c>
      <c r="AJ755" s="25" t="s">
        <v>4370</v>
      </c>
      <c r="AK755" s="26" t="s">
        <v>120</v>
      </c>
      <c r="AL755" s="26" t="s">
        <v>120</v>
      </c>
      <c r="AM755" s="90" t="s">
        <v>119</v>
      </c>
      <c r="AN755" s="105">
        <v>33683</v>
      </c>
      <c r="AO755" s="91">
        <f t="shared" ca="1" si="318"/>
        <v>33</v>
      </c>
      <c r="AP755" s="26" t="s">
        <v>121</v>
      </c>
      <c r="AQ755" s="26" t="s">
        <v>819</v>
      </c>
      <c r="AR755" s="89"/>
      <c r="AS755" s="27"/>
      <c r="AT755" s="16"/>
      <c r="AU755" s="27"/>
      <c r="AV755" s="86"/>
      <c r="AW755" s="27"/>
      <c r="AX755" s="27"/>
      <c r="AY755" s="27"/>
      <c r="AZ755" s="27"/>
      <c r="BA755" s="27"/>
      <c r="BB755" s="27"/>
      <c r="BC755" s="97"/>
      <c r="BD755" s="27"/>
      <c r="BE755" s="16"/>
      <c r="BF755" s="28">
        <f t="shared" si="319"/>
        <v>0</v>
      </c>
      <c r="BG755" s="29"/>
      <c r="BH755" s="27"/>
      <c r="BI755" s="30">
        <f t="shared" si="320"/>
        <v>228</v>
      </c>
      <c r="BJ755" s="31">
        <f t="shared" si="321"/>
        <v>45656</v>
      </c>
      <c r="BK755" s="27"/>
      <c r="BL755" s="16"/>
      <c r="BM755" s="27"/>
      <c r="BN755" s="16"/>
      <c r="BO755" s="27"/>
      <c r="BP755" s="16"/>
      <c r="BQ755" s="27"/>
      <c r="BR755" s="24"/>
      <c r="BS755" s="24"/>
      <c r="BT755" s="32"/>
      <c r="BU755" s="27"/>
      <c r="BV755" s="24"/>
      <c r="BW755" s="24"/>
      <c r="BX755" s="16"/>
      <c r="BY755" s="27"/>
      <c r="BZ755" s="24"/>
      <c r="CA755" s="24"/>
      <c r="CB755" s="16"/>
      <c r="CC755" s="49">
        <f t="shared" si="315"/>
        <v>0</v>
      </c>
      <c r="CD755" s="24"/>
      <c r="CE755" s="49">
        <f t="shared" si="316"/>
        <v>65920000</v>
      </c>
      <c r="CF755" s="50"/>
      <c r="CG755" s="49">
        <f t="shared" ca="1" si="323"/>
        <v>65920000</v>
      </c>
      <c r="CH755" s="33">
        <f t="shared" ca="1" si="312"/>
        <v>1</v>
      </c>
      <c r="CI755" s="33">
        <f t="shared" ca="1" si="313"/>
        <v>1</v>
      </c>
      <c r="CJ755" s="36">
        <f t="shared" ca="1" si="309"/>
        <v>100</v>
      </c>
      <c r="CK755" s="34">
        <f t="shared" si="310"/>
        <v>0</v>
      </c>
      <c r="CL755" s="21"/>
      <c r="CM755" s="35" t="str">
        <f t="shared" ca="1" si="322"/>
        <v>TERMINADO</v>
      </c>
      <c r="CN755" s="82"/>
      <c r="CP755" s="26" t="s">
        <v>142</v>
      </c>
    </row>
    <row r="756" spans="1:96" ht="24.75" customHeight="1">
      <c r="A756" s="48" t="s">
        <v>1424</v>
      </c>
      <c r="B756" s="77" t="s">
        <v>6035</v>
      </c>
      <c r="C756" s="17" t="s">
        <v>104</v>
      </c>
      <c r="D756" s="18" t="s">
        <v>6036</v>
      </c>
      <c r="E756" s="17" t="s">
        <v>4162</v>
      </c>
      <c r="F756" s="17" t="s">
        <v>1426</v>
      </c>
      <c r="G756" s="17" t="s">
        <v>1427</v>
      </c>
      <c r="H756" s="78" t="s">
        <v>6037</v>
      </c>
      <c r="I756" s="74" t="s">
        <v>6038</v>
      </c>
      <c r="J756" s="16"/>
      <c r="K756" s="16"/>
      <c r="L756" s="20" t="s">
        <v>6039</v>
      </c>
      <c r="M756" s="16" t="s">
        <v>111</v>
      </c>
      <c r="N756" s="22">
        <v>45421</v>
      </c>
      <c r="O756" s="22"/>
      <c r="P756" s="22"/>
      <c r="Q756" s="23">
        <f t="shared" si="317"/>
        <v>0</v>
      </c>
      <c r="R756" s="17" t="s">
        <v>2934</v>
      </c>
      <c r="S756" s="16" t="s">
        <v>6040</v>
      </c>
      <c r="T756" s="16" t="s">
        <v>6040</v>
      </c>
      <c r="U756" s="67" t="s">
        <v>6040</v>
      </c>
      <c r="V756" s="16" t="s">
        <v>6040</v>
      </c>
      <c r="W756" s="227">
        <v>0</v>
      </c>
      <c r="X756" s="24">
        <v>0</v>
      </c>
      <c r="Y756" s="24"/>
      <c r="Z756" s="24"/>
      <c r="AA756" s="17" t="s">
        <v>116</v>
      </c>
      <c r="AB756" s="23" t="str">
        <f>IFERROR(VLOOKUP(AA756,Listas!$A$1:$C$14,2,FALSE),"")</f>
        <v>FREDY CÉSPEDES VILLA</v>
      </c>
      <c r="AC756" s="23">
        <f>IFERROR(VLOOKUP(AA756,Listas!$A$1:$C$14,3,FALSE),"")</f>
        <v>93363483</v>
      </c>
      <c r="AD756" s="17" t="s">
        <v>217</v>
      </c>
      <c r="AE756" s="17" t="s">
        <v>539</v>
      </c>
      <c r="AF756" s="23" t="str">
        <f>IFERROR(VLOOKUP(AE756,Listas!$AD$1:$AF$65,2,FALSE),"")</f>
        <v>DORIS POVEDA BELTRÁN</v>
      </c>
      <c r="AG756" s="23">
        <f>IFERROR(VLOOKUP(AE756,Listas!$AD$1:$AF$65,3,FALSE),"")</f>
        <v>52049845</v>
      </c>
      <c r="AH756" s="17" t="s">
        <v>118</v>
      </c>
      <c r="AI756" s="65"/>
      <c r="AJ756" s="25" t="s">
        <v>1435</v>
      </c>
      <c r="AK756" s="26" t="s">
        <v>2071</v>
      </c>
      <c r="AL756" s="26" t="s">
        <v>2071</v>
      </c>
      <c r="AM756" s="90" t="s">
        <v>1435</v>
      </c>
      <c r="AN756" s="105"/>
      <c r="AO756" s="91" t="str">
        <f t="shared" ca="1" si="318"/>
        <v xml:space="preserve"> </v>
      </c>
      <c r="AP756" s="26" t="s">
        <v>121</v>
      </c>
      <c r="AQ756" s="26" t="s">
        <v>122</v>
      </c>
      <c r="AR756" s="89"/>
      <c r="AS756" s="27"/>
      <c r="AT756" s="16"/>
      <c r="AU756" s="27"/>
      <c r="AV756" s="86"/>
      <c r="AW756" s="27"/>
      <c r="AX756" s="27"/>
      <c r="AY756" s="27"/>
      <c r="AZ756" s="27"/>
      <c r="BA756" s="27"/>
      <c r="BB756" s="27"/>
      <c r="BC756" s="97"/>
      <c r="BD756" s="27"/>
      <c r="BE756" s="16"/>
      <c r="BF756" s="28">
        <f t="shared" si="319"/>
        <v>0</v>
      </c>
      <c r="BG756" s="29"/>
      <c r="BH756" s="27"/>
      <c r="BI756" s="30">
        <f t="shared" si="320"/>
        <v>0</v>
      </c>
      <c r="BJ756" s="31">
        <f t="shared" si="321"/>
        <v>0</v>
      </c>
      <c r="BK756" s="27"/>
      <c r="BL756" s="16"/>
      <c r="BM756" s="27"/>
      <c r="BN756" s="16"/>
      <c r="BO756" s="27"/>
      <c r="BP756" s="16"/>
      <c r="BQ756" s="27"/>
      <c r="BR756" s="24"/>
      <c r="BS756" s="24"/>
      <c r="BT756" s="32"/>
      <c r="BU756" s="27"/>
      <c r="BV756" s="24"/>
      <c r="BW756" s="24"/>
      <c r="BX756" s="16"/>
      <c r="BY756" s="27"/>
      <c r="BZ756" s="24"/>
      <c r="CA756" s="24"/>
      <c r="CB756" s="16"/>
      <c r="CC756" s="49">
        <f t="shared" si="315"/>
        <v>0</v>
      </c>
      <c r="CD756" s="24"/>
      <c r="CE756" s="361">
        <f>IF(Y756=0,(W756+CC756)-CD756,IF(Y756&gt;0,(Y756+CC756)-CD756))</f>
        <v>0</v>
      </c>
      <c r="CF756" s="50">
        <v>0</v>
      </c>
      <c r="CG756" s="49" t="str">
        <f t="shared" ca="1" si="323"/>
        <v/>
      </c>
      <c r="CH756" s="33">
        <f t="shared" ca="1" si="312"/>
        <v>1</v>
      </c>
      <c r="CI756" s="33">
        <f t="shared" ca="1" si="313"/>
        <v>1</v>
      </c>
      <c r="CJ756" s="36" t="str">
        <f t="shared" ca="1" si="309"/>
        <v/>
      </c>
      <c r="CK756" s="34" t="str">
        <f t="shared" si="310"/>
        <v/>
      </c>
      <c r="CL756" s="21"/>
      <c r="CM756" s="35" t="str">
        <f t="shared" ca="1" si="322"/>
        <v/>
      </c>
      <c r="CN756" s="82"/>
      <c r="CP756" s="83" t="s">
        <v>1424</v>
      </c>
    </row>
    <row r="757" spans="1:96" ht="24.75" customHeight="1">
      <c r="A757" s="48" t="s">
        <v>6041</v>
      </c>
      <c r="B757" s="77" t="s">
        <v>6042</v>
      </c>
      <c r="C757" s="17" t="s">
        <v>104</v>
      </c>
      <c r="D757" s="18" t="s">
        <v>6043</v>
      </c>
      <c r="E757" s="17" t="s">
        <v>106</v>
      </c>
      <c r="F757" s="17" t="s">
        <v>107</v>
      </c>
      <c r="G757" s="17" t="s">
        <v>108</v>
      </c>
      <c r="H757" s="78">
        <v>39731140</v>
      </c>
      <c r="I757" s="74" t="s">
        <v>6044</v>
      </c>
      <c r="J757" s="16"/>
      <c r="K757" s="16"/>
      <c r="L757" s="20" t="s">
        <v>1866</v>
      </c>
      <c r="M757" s="16" t="s">
        <v>111</v>
      </c>
      <c r="N757" s="22">
        <v>45427</v>
      </c>
      <c r="O757" s="22">
        <v>45429</v>
      </c>
      <c r="P757" s="22">
        <v>45657</v>
      </c>
      <c r="Q757" s="23">
        <f t="shared" si="317"/>
        <v>228</v>
      </c>
      <c r="R757" s="17" t="s">
        <v>242</v>
      </c>
      <c r="S757" s="16" t="s">
        <v>6045</v>
      </c>
      <c r="T757" s="16" t="s">
        <v>425</v>
      </c>
      <c r="U757" s="67">
        <v>69285960</v>
      </c>
      <c r="V757" s="16" t="s">
        <v>426</v>
      </c>
      <c r="W757" s="224">
        <v>41489816</v>
      </c>
      <c r="X757" s="24">
        <v>6131500</v>
      </c>
      <c r="Y757" s="24"/>
      <c r="Z757" s="24"/>
      <c r="AA757" s="17" t="s">
        <v>116</v>
      </c>
      <c r="AB757" s="23" t="str">
        <f>IFERROR(VLOOKUP(AA757,Listas!$A$1:$C$14,2,FALSE),"")</f>
        <v>FREDY CÉSPEDES VILLA</v>
      </c>
      <c r="AC757" s="23">
        <f>IFERROR(VLOOKUP(AA757,Listas!$A$1:$C$14,3,FALSE),"")</f>
        <v>93363483</v>
      </c>
      <c r="AD757" s="17" t="s">
        <v>427</v>
      </c>
      <c r="AE757" s="17" t="s">
        <v>2561</v>
      </c>
      <c r="AF757" s="23" t="str">
        <f>IFERROR(VLOOKUP(AE757,Listas!$AD$1:$AF$65,2,FALSE),"")</f>
        <v>MARÍA TERESA COMBARIZA MARTÍN</v>
      </c>
      <c r="AG757" s="23">
        <f>IFERROR(VLOOKUP(AE757,Listas!$AD$1:$AF$65,3,FALSE),"")</f>
        <v>51803256</v>
      </c>
      <c r="AH757" s="17" t="s">
        <v>118</v>
      </c>
      <c r="AI757" s="65" t="s">
        <v>6046</v>
      </c>
      <c r="AJ757" s="25" t="s">
        <v>4370</v>
      </c>
      <c r="AK757" s="26" t="s">
        <v>120</v>
      </c>
      <c r="AL757" s="26" t="s">
        <v>120</v>
      </c>
      <c r="AM757" s="90" t="s">
        <v>119</v>
      </c>
      <c r="AN757" s="105">
        <v>28763</v>
      </c>
      <c r="AO757" s="91">
        <f t="shared" ca="1" si="318"/>
        <v>47</v>
      </c>
      <c r="AP757" s="26" t="s">
        <v>121</v>
      </c>
      <c r="AQ757" s="26" t="s">
        <v>515</v>
      </c>
      <c r="AR757" s="89"/>
      <c r="AS757" s="27"/>
      <c r="AT757" s="16"/>
      <c r="AU757" s="27"/>
      <c r="AV757" s="86"/>
      <c r="AW757" s="27"/>
      <c r="AX757" s="27"/>
      <c r="AY757" s="27"/>
      <c r="AZ757" s="27"/>
      <c r="BA757" s="27"/>
      <c r="BB757" s="27"/>
      <c r="BC757" s="97"/>
      <c r="BD757" s="27"/>
      <c r="BE757" s="16"/>
      <c r="BF757" s="28">
        <f t="shared" si="319"/>
        <v>0</v>
      </c>
      <c r="BG757" s="29"/>
      <c r="BH757" s="27"/>
      <c r="BI757" s="30">
        <f t="shared" si="320"/>
        <v>228</v>
      </c>
      <c r="BJ757" s="31">
        <f t="shared" si="321"/>
        <v>45657</v>
      </c>
      <c r="BK757" s="27"/>
      <c r="BL757" s="16"/>
      <c r="BM757" s="27"/>
      <c r="BN757" s="16"/>
      <c r="BO757" s="27"/>
      <c r="BP757" s="16"/>
      <c r="BQ757" s="27"/>
      <c r="BR757" s="24"/>
      <c r="BS757" s="24"/>
      <c r="BT757" s="32"/>
      <c r="BU757" s="27"/>
      <c r="BV757" s="24"/>
      <c r="BW757" s="24"/>
      <c r="BX757" s="16"/>
      <c r="BY757" s="27"/>
      <c r="BZ757" s="24"/>
      <c r="CA757" s="24"/>
      <c r="CB757" s="16"/>
      <c r="CC757" s="49">
        <f t="shared" si="315"/>
        <v>0</v>
      </c>
      <c r="CD757" s="24"/>
      <c r="CE757" s="49">
        <f t="shared" si="316"/>
        <v>41489816</v>
      </c>
      <c r="CF757" s="50"/>
      <c r="CG757" s="49">
        <f t="shared" ca="1" si="323"/>
        <v>41489816</v>
      </c>
      <c r="CH757" s="33">
        <f t="shared" ca="1" si="312"/>
        <v>1</v>
      </c>
      <c r="CI757" s="33">
        <f t="shared" ca="1" si="313"/>
        <v>1</v>
      </c>
      <c r="CJ757" s="36">
        <f t="shared" ca="1" si="309"/>
        <v>100</v>
      </c>
      <c r="CK757" s="34">
        <f t="shared" si="310"/>
        <v>0</v>
      </c>
      <c r="CL757" s="21"/>
      <c r="CM757" s="35" t="str">
        <f t="shared" ca="1" si="322"/>
        <v>TERMINADO</v>
      </c>
      <c r="CN757" s="82"/>
      <c r="CO757" s="145" t="s">
        <v>6047</v>
      </c>
      <c r="CP757" s="26" t="s">
        <v>123</v>
      </c>
    </row>
    <row r="758" spans="1:96" ht="24.75" customHeight="1">
      <c r="A758" s="48" t="s">
        <v>6048</v>
      </c>
      <c r="B758" s="77" t="s">
        <v>6049</v>
      </c>
      <c r="C758" s="17" t="s">
        <v>104</v>
      </c>
      <c r="D758" s="18" t="s">
        <v>6050</v>
      </c>
      <c r="E758" s="17" t="s">
        <v>106</v>
      </c>
      <c r="F758" s="17" t="s">
        <v>107</v>
      </c>
      <c r="G758" s="17" t="s">
        <v>108</v>
      </c>
      <c r="H758" s="78">
        <v>52049199</v>
      </c>
      <c r="I758" s="74" t="s">
        <v>6051</v>
      </c>
      <c r="J758" s="16"/>
      <c r="K758" s="16"/>
      <c r="L758" s="20" t="s">
        <v>6052</v>
      </c>
      <c r="M758" s="16" t="s">
        <v>111</v>
      </c>
      <c r="N758" s="22">
        <v>45426</v>
      </c>
      <c r="O758" s="22">
        <v>45478</v>
      </c>
      <c r="P758" s="22">
        <v>45656</v>
      </c>
      <c r="Q758" s="23">
        <f t="shared" si="317"/>
        <v>178</v>
      </c>
      <c r="R758" s="17" t="s">
        <v>242</v>
      </c>
      <c r="S758" s="16" t="s">
        <v>6053</v>
      </c>
      <c r="T758" s="16" t="s">
        <v>6054</v>
      </c>
      <c r="U758" s="67">
        <v>42000000</v>
      </c>
      <c r="V758" s="16" t="s">
        <v>6055</v>
      </c>
      <c r="W758" s="224">
        <v>27464000</v>
      </c>
      <c r="X758" s="24">
        <v>3433000</v>
      </c>
      <c r="Y758" s="24"/>
      <c r="Z758" s="24"/>
      <c r="AA758" s="17" t="s">
        <v>116</v>
      </c>
      <c r="AB758" s="23" t="str">
        <f>IFERROR(VLOOKUP(AA758,Listas!$A$1:$C$14,2,FALSE),"")</f>
        <v>FREDY CÉSPEDES VILLA</v>
      </c>
      <c r="AC758" s="23">
        <f>IFERROR(VLOOKUP(AA758,Listas!$A$1:$C$14,3,FALSE),"")</f>
        <v>93363483</v>
      </c>
      <c r="AD758" s="17" t="s">
        <v>116</v>
      </c>
      <c r="AE758" s="17" t="s">
        <v>659</v>
      </c>
      <c r="AF758" s="23" t="str">
        <f>IFERROR(VLOOKUP(AE758,Listas!$AD$1:$AF$65,2,FALSE),"")</f>
        <v>TATIANA FORERO TORRES</v>
      </c>
      <c r="AG758" s="23">
        <f>IFERROR(VLOOKUP(AE758,Listas!$AD$1:$AF$65,3,FALSE),"")</f>
        <v>1072446921</v>
      </c>
      <c r="AH758" s="17" t="s">
        <v>6056</v>
      </c>
      <c r="AI758" s="65" t="s">
        <v>6057</v>
      </c>
      <c r="AJ758" s="25" t="s">
        <v>4370</v>
      </c>
      <c r="AK758" s="26" t="s">
        <v>120</v>
      </c>
      <c r="AL758" s="26" t="s">
        <v>120</v>
      </c>
      <c r="AM758" s="90" t="s">
        <v>119</v>
      </c>
      <c r="AN758" s="105">
        <v>26300</v>
      </c>
      <c r="AO758" s="91">
        <f t="shared" ca="1" si="318"/>
        <v>53</v>
      </c>
      <c r="AP758" s="26" t="s">
        <v>121</v>
      </c>
      <c r="AQ758" s="26" t="s">
        <v>285</v>
      </c>
      <c r="AR758" s="89"/>
      <c r="AS758" s="27"/>
      <c r="AT758" s="16"/>
      <c r="AU758" s="27"/>
      <c r="AV758" s="86"/>
      <c r="AW758" s="27"/>
      <c r="AX758" s="27"/>
      <c r="AY758" s="27"/>
      <c r="AZ758" s="27"/>
      <c r="BA758" s="27"/>
      <c r="BB758" s="27"/>
      <c r="BC758" s="97"/>
      <c r="BD758" s="27"/>
      <c r="BE758" s="16"/>
      <c r="BF758" s="28">
        <f t="shared" si="319"/>
        <v>0</v>
      </c>
      <c r="BG758" s="29"/>
      <c r="BH758" s="27"/>
      <c r="BI758" s="30">
        <f t="shared" si="320"/>
        <v>178</v>
      </c>
      <c r="BJ758" s="31">
        <f t="shared" si="321"/>
        <v>45656</v>
      </c>
      <c r="BK758" s="27"/>
      <c r="BL758" s="16"/>
      <c r="BM758" s="27"/>
      <c r="BN758" s="16"/>
      <c r="BO758" s="27"/>
      <c r="BP758" s="16"/>
      <c r="BQ758" s="27"/>
      <c r="BR758" s="24"/>
      <c r="BS758" s="24"/>
      <c r="BT758" s="32"/>
      <c r="BU758" s="27"/>
      <c r="BV758" s="24"/>
      <c r="BW758" s="24"/>
      <c r="BX758" s="16"/>
      <c r="BY758" s="27"/>
      <c r="BZ758" s="24"/>
      <c r="CA758" s="24"/>
      <c r="CB758" s="16"/>
      <c r="CC758" s="49">
        <f t="shared" si="315"/>
        <v>0</v>
      </c>
      <c r="CD758" s="24"/>
      <c r="CE758" s="49">
        <f t="shared" si="316"/>
        <v>27464000</v>
      </c>
      <c r="CF758" s="50"/>
      <c r="CG758" s="49">
        <f t="shared" ca="1" si="323"/>
        <v>27464000</v>
      </c>
      <c r="CH758" s="33">
        <f t="shared" ca="1" si="312"/>
        <v>1</v>
      </c>
      <c r="CI758" s="33">
        <f t="shared" ca="1" si="313"/>
        <v>1</v>
      </c>
      <c r="CJ758" s="36">
        <f t="shared" ca="1" si="309"/>
        <v>100</v>
      </c>
      <c r="CK758" s="34">
        <f t="shared" si="310"/>
        <v>0</v>
      </c>
      <c r="CL758" s="21"/>
      <c r="CM758" s="35" t="str">
        <f t="shared" ca="1" si="322"/>
        <v>TERMINADO</v>
      </c>
      <c r="CN758" s="82"/>
      <c r="CO758" s="145" t="s">
        <v>6058</v>
      </c>
      <c r="CP758" s="26" t="s">
        <v>123</v>
      </c>
    </row>
    <row r="759" spans="1:96" ht="24.75" customHeight="1">
      <c r="A759" s="48" t="s">
        <v>6059</v>
      </c>
      <c r="B759" s="77" t="s">
        <v>6060</v>
      </c>
      <c r="C759" s="17" t="s">
        <v>104</v>
      </c>
      <c r="D759" s="18" t="s">
        <v>6061</v>
      </c>
      <c r="E759" s="17" t="s">
        <v>106</v>
      </c>
      <c r="F759" s="17" t="s">
        <v>1426</v>
      </c>
      <c r="G759" s="17" t="s">
        <v>1427</v>
      </c>
      <c r="H759" s="78" t="s">
        <v>5377</v>
      </c>
      <c r="I759" s="74" t="s">
        <v>6062</v>
      </c>
      <c r="J759" s="16"/>
      <c r="K759" s="16"/>
      <c r="L759" s="20" t="s">
        <v>6063</v>
      </c>
      <c r="M759" s="16" t="s">
        <v>111</v>
      </c>
      <c r="N759" s="22">
        <v>45422</v>
      </c>
      <c r="O759" s="22">
        <v>45447</v>
      </c>
      <c r="P759" s="22">
        <v>45657</v>
      </c>
      <c r="Q759" s="23">
        <f t="shared" si="317"/>
        <v>210</v>
      </c>
      <c r="R759" s="17" t="s">
        <v>242</v>
      </c>
      <c r="S759" s="16" t="s">
        <v>6064</v>
      </c>
      <c r="T759" s="16" t="s">
        <v>6065</v>
      </c>
      <c r="U759" s="67">
        <v>244771800</v>
      </c>
      <c r="V759" s="16" t="s">
        <v>6066</v>
      </c>
      <c r="W759" s="224">
        <v>233748000</v>
      </c>
      <c r="X759" s="24"/>
      <c r="Y759" s="24"/>
      <c r="Z759" s="24"/>
      <c r="AA759" s="17" t="s">
        <v>116</v>
      </c>
      <c r="AB759" s="23" t="str">
        <f>IFERROR(VLOOKUP(AA759,Listas!$A$1:$C$14,2,FALSE),"")</f>
        <v>FREDY CÉSPEDES VILLA</v>
      </c>
      <c r="AC759" s="23">
        <f>IFERROR(VLOOKUP(AA759,Listas!$A$1:$C$14,3,FALSE),"")</f>
        <v>93363483</v>
      </c>
      <c r="AD759" s="17" t="s">
        <v>116</v>
      </c>
      <c r="AE759" s="17" t="s">
        <v>484</v>
      </c>
      <c r="AF759" s="23" t="str">
        <f>IFERROR(VLOOKUP(AE759,Listas!$AD$1:$AF$65,2,FALSE),"")</f>
        <v>JAIME ANDRES GIL ACOSTA</v>
      </c>
      <c r="AG759" s="23">
        <f>IFERROR(VLOOKUP(AE759,Listas!$AD$1:$AF$65,3,FALSE),"")</f>
        <v>98622827</v>
      </c>
      <c r="AH759" s="17" t="s">
        <v>6056</v>
      </c>
      <c r="AI759" s="65"/>
      <c r="AJ759" s="25" t="s">
        <v>1435</v>
      </c>
      <c r="AK759" s="26" t="s">
        <v>2071</v>
      </c>
      <c r="AL759" s="26" t="s">
        <v>2071</v>
      </c>
      <c r="AM759" s="90" t="s">
        <v>1435</v>
      </c>
      <c r="AN759" s="105"/>
      <c r="AO759" s="91" t="str">
        <f t="shared" ca="1" si="318"/>
        <v xml:space="preserve"> </v>
      </c>
      <c r="AP759" s="26" t="s">
        <v>121</v>
      </c>
      <c r="AQ759" s="26" t="s">
        <v>285</v>
      </c>
      <c r="AR759" s="89"/>
      <c r="AS759" s="27"/>
      <c r="AT759" s="16"/>
      <c r="AU759" s="27"/>
      <c r="AV759" s="86"/>
      <c r="AW759" s="27"/>
      <c r="AX759" s="27"/>
      <c r="AY759" s="27"/>
      <c r="AZ759" s="27"/>
      <c r="BA759" s="27"/>
      <c r="BB759" s="27"/>
      <c r="BC759" s="97"/>
      <c r="BD759" s="27"/>
      <c r="BE759" s="16"/>
      <c r="BF759" s="28">
        <f t="shared" si="319"/>
        <v>0</v>
      </c>
      <c r="BG759" s="29"/>
      <c r="BH759" s="27"/>
      <c r="BI759" s="30">
        <f t="shared" si="320"/>
        <v>210</v>
      </c>
      <c r="BJ759" s="31">
        <f t="shared" si="321"/>
        <v>45657</v>
      </c>
      <c r="BK759" s="27"/>
      <c r="BL759" s="16"/>
      <c r="BM759" s="27"/>
      <c r="BN759" s="16"/>
      <c r="BO759" s="27"/>
      <c r="BP759" s="16"/>
      <c r="BQ759" s="27"/>
      <c r="BR759" s="24"/>
      <c r="BS759" s="24"/>
      <c r="BT759" s="32"/>
      <c r="BU759" s="27"/>
      <c r="BV759" s="24"/>
      <c r="BW759" s="24"/>
      <c r="BX759" s="16"/>
      <c r="BY759" s="27"/>
      <c r="BZ759" s="24"/>
      <c r="CA759" s="24"/>
      <c r="CB759" s="16"/>
      <c r="CC759" s="49">
        <f t="shared" si="315"/>
        <v>0</v>
      </c>
      <c r="CD759" s="24"/>
      <c r="CE759" s="49">
        <f t="shared" si="316"/>
        <v>233748000</v>
      </c>
      <c r="CF759" s="50"/>
      <c r="CG759" s="49">
        <f t="shared" ca="1" si="323"/>
        <v>233748000</v>
      </c>
      <c r="CH759" s="33">
        <f t="shared" ca="1" si="312"/>
        <v>1</v>
      </c>
      <c r="CI759" s="33">
        <f t="shared" ca="1" si="313"/>
        <v>1</v>
      </c>
      <c r="CJ759" s="36">
        <f t="shared" ca="1" si="309"/>
        <v>100</v>
      </c>
      <c r="CK759" s="34">
        <f t="shared" si="310"/>
        <v>0</v>
      </c>
      <c r="CL759" s="21"/>
      <c r="CM759" s="35" t="str">
        <f t="shared" ca="1" si="322"/>
        <v>TERMINADO</v>
      </c>
      <c r="CN759" s="82"/>
      <c r="CO759" s="145" t="s">
        <v>6067</v>
      </c>
      <c r="CP759" s="83" t="s">
        <v>1424</v>
      </c>
    </row>
    <row r="760" spans="1:96" ht="24.75" customHeight="1">
      <c r="A760" s="48" t="s">
        <v>6068</v>
      </c>
      <c r="B760" s="77" t="s">
        <v>6069</v>
      </c>
      <c r="C760" s="17" t="s">
        <v>5814</v>
      </c>
      <c r="D760" s="18" t="s">
        <v>6070</v>
      </c>
      <c r="E760" s="17" t="s">
        <v>1425</v>
      </c>
      <c r="F760" s="17" t="s">
        <v>1426</v>
      </c>
      <c r="G760" s="17" t="s">
        <v>1427</v>
      </c>
      <c r="H760" s="78" t="s">
        <v>6071</v>
      </c>
      <c r="I760" s="74" t="s">
        <v>6072</v>
      </c>
      <c r="J760" s="16" t="s">
        <v>6073</v>
      </c>
      <c r="K760" s="16">
        <v>52156863</v>
      </c>
      <c r="L760" s="20" t="s">
        <v>6074</v>
      </c>
      <c r="M760" s="16" t="s">
        <v>111</v>
      </c>
      <c r="N760" s="22">
        <v>45426</v>
      </c>
      <c r="O760" s="22"/>
      <c r="P760" s="22">
        <v>45656</v>
      </c>
      <c r="Q760" s="23">
        <f t="shared" si="317"/>
        <v>45656</v>
      </c>
      <c r="R760" s="17" t="s">
        <v>242</v>
      </c>
      <c r="S760" s="16" t="s">
        <v>6075</v>
      </c>
      <c r="T760" s="16" t="s">
        <v>6076</v>
      </c>
      <c r="U760" s="67">
        <v>45000000</v>
      </c>
      <c r="V760" s="16" t="s">
        <v>6077</v>
      </c>
      <c r="W760" s="224">
        <v>41078100</v>
      </c>
      <c r="X760" s="24"/>
      <c r="Y760" s="24"/>
      <c r="Z760" s="24"/>
      <c r="AA760" s="17" t="s">
        <v>116</v>
      </c>
      <c r="AB760" s="23" t="str">
        <f>IFERROR(VLOOKUP(AA760,Listas!$A$1:$C$14,2,FALSE),"")</f>
        <v>FREDY CÉSPEDES VILLA</v>
      </c>
      <c r="AC760" s="23">
        <f>IFERROR(VLOOKUP(AA760,Listas!$A$1:$C$14,3,FALSE),"")</f>
        <v>93363483</v>
      </c>
      <c r="AD760" s="17" t="s">
        <v>116</v>
      </c>
      <c r="AE760" s="17" t="s">
        <v>2309</v>
      </c>
      <c r="AF760" s="23" t="str">
        <f>IFERROR(VLOOKUP(AE760,Listas!$AD$1:$AF$65,2,FALSE),"")</f>
        <v>YURY NAYIBE LADINO</v>
      </c>
      <c r="AG760" s="23">
        <f>IFERROR(VLOOKUP(AE760,Listas!$AD$1:$AF$65,3,FALSE),"")</f>
        <v>1013587191</v>
      </c>
      <c r="AH760" s="17" t="s">
        <v>5821</v>
      </c>
      <c r="AI760" s="65"/>
      <c r="AJ760" s="25" t="s">
        <v>1435</v>
      </c>
      <c r="AK760" s="26" t="s">
        <v>2071</v>
      </c>
      <c r="AL760" s="26" t="s">
        <v>2071</v>
      </c>
      <c r="AM760" s="90" t="s">
        <v>1435</v>
      </c>
      <c r="AN760" s="105"/>
      <c r="AO760" s="91" t="str">
        <f t="shared" ca="1" si="318"/>
        <v xml:space="preserve"> </v>
      </c>
      <c r="AP760" s="26" t="s">
        <v>121</v>
      </c>
      <c r="AQ760" s="26" t="s">
        <v>122</v>
      </c>
      <c r="AR760" s="89"/>
      <c r="AS760" s="27"/>
      <c r="AT760" s="16"/>
      <c r="AU760" s="27"/>
      <c r="AV760" s="86"/>
      <c r="AW760" s="27"/>
      <c r="AX760" s="27"/>
      <c r="AY760" s="27"/>
      <c r="AZ760" s="27"/>
      <c r="BA760" s="27"/>
      <c r="BB760" s="27"/>
      <c r="BC760" s="97"/>
      <c r="BD760" s="27"/>
      <c r="BE760" s="16"/>
      <c r="BF760" s="28">
        <f t="shared" si="319"/>
        <v>0</v>
      </c>
      <c r="BG760" s="29"/>
      <c r="BH760" s="27"/>
      <c r="BI760" s="30">
        <f t="shared" si="320"/>
        <v>45656</v>
      </c>
      <c r="BJ760" s="31">
        <f t="shared" si="321"/>
        <v>45656</v>
      </c>
      <c r="BK760" s="27"/>
      <c r="BL760" s="16"/>
      <c r="BM760" s="27"/>
      <c r="BN760" s="16"/>
      <c r="BO760" s="27"/>
      <c r="BP760" s="16"/>
      <c r="BQ760" s="27"/>
      <c r="BR760" s="24"/>
      <c r="BS760" s="24"/>
      <c r="BT760" s="32"/>
      <c r="BU760" s="27"/>
      <c r="BV760" s="24"/>
      <c r="BW760" s="24"/>
      <c r="BX760" s="16"/>
      <c r="BY760" s="27"/>
      <c r="BZ760" s="24"/>
      <c r="CA760" s="24"/>
      <c r="CB760" s="16"/>
      <c r="CC760" s="49">
        <f t="shared" si="315"/>
        <v>0</v>
      </c>
      <c r="CD760" s="24"/>
      <c r="CE760" s="49">
        <f t="shared" si="316"/>
        <v>41078100</v>
      </c>
      <c r="CF760" s="50"/>
      <c r="CG760" s="49">
        <f t="shared" ca="1" si="323"/>
        <v>471458.83125985635</v>
      </c>
      <c r="CH760" s="33">
        <f t="shared" ca="1" si="312"/>
        <v>1</v>
      </c>
      <c r="CI760" s="33">
        <f t="shared" ca="1" si="313"/>
        <v>1</v>
      </c>
      <c r="CJ760" s="36">
        <f t="shared" ca="1" si="309"/>
        <v>1.1477133345014896</v>
      </c>
      <c r="CK760" s="34">
        <f t="shared" si="310"/>
        <v>0</v>
      </c>
      <c r="CL760" s="21"/>
      <c r="CM760" s="35" t="str">
        <f t="shared" ca="1" si="322"/>
        <v>TERMINADO</v>
      </c>
      <c r="CN760" s="82"/>
      <c r="CP760" s="83" t="s">
        <v>1424</v>
      </c>
    </row>
    <row r="761" spans="1:96" ht="24.75" customHeight="1">
      <c r="A761" s="48" t="s">
        <v>6078</v>
      </c>
      <c r="B761" s="77" t="s">
        <v>6079</v>
      </c>
      <c r="C761" s="17" t="s">
        <v>5814</v>
      </c>
      <c r="D761" s="18" t="s">
        <v>6080</v>
      </c>
      <c r="E761" s="17" t="s">
        <v>106</v>
      </c>
      <c r="F761" s="17" t="s">
        <v>1426</v>
      </c>
      <c r="G761" s="17" t="s">
        <v>1427</v>
      </c>
      <c r="H761" s="78">
        <v>900788842</v>
      </c>
      <c r="I761" s="74" t="s">
        <v>6081</v>
      </c>
      <c r="J761" s="16" t="s">
        <v>6082</v>
      </c>
      <c r="K761" s="16">
        <v>79473753</v>
      </c>
      <c r="L761" s="20" t="s">
        <v>6083</v>
      </c>
      <c r="M761" s="16" t="s">
        <v>111</v>
      </c>
      <c r="N761" s="22">
        <v>45426</v>
      </c>
      <c r="O761" s="115">
        <v>45433</v>
      </c>
      <c r="P761" s="22">
        <v>45656</v>
      </c>
      <c r="Q761" s="23">
        <f t="shared" si="317"/>
        <v>223</v>
      </c>
      <c r="R761" s="17" t="s">
        <v>242</v>
      </c>
      <c r="S761" s="16" t="s">
        <v>6084</v>
      </c>
      <c r="T761" s="16" t="s">
        <v>6085</v>
      </c>
      <c r="U761" s="67">
        <v>115000000</v>
      </c>
      <c r="V761" s="16" t="s">
        <v>6086</v>
      </c>
      <c r="W761" s="224">
        <v>33320000</v>
      </c>
      <c r="X761" s="24"/>
      <c r="Y761" s="24"/>
      <c r="Z761" s="24"/>
      <c r="AA761" s="17" t="s">
        <v>116</v>
      </c>
      <c r="AB761" s="23" t="str">
        <f>IFERROR(VLOOKUP(AA761,Listas!$A$1:$C$14,2,FALSE),"")</f>
        <v>FREDY CÉSPEDES VILLA</v>
      </c>
      <c r="AC761" s="23">
        <f>IFERROR(VLOOKUP(AA761,Listas!$A$1:$C$14,3,FALSE),"")</f>
        <v>93363483</v>
      </c>
      <c r="AD761" s="17" t="s">
        <v>951</v>
      </c>
      <c r="AE761" s="17" t="s">
        <v>952</v>
      </c>
      <c r="AF761" s="23" t="str">
        <f>IFERROR(VLOOKUP(AE761,Listas!$AD$1:$AF$65,2,FALSE),"")</f>
        <v>ANDRES MAURICIO LUQUE AYALA</v>
      </c>
      <c r="AG761" s="23">
        <f>IFERROR(VLOOKUP(AE761,Listas!$AD$1:$AF$65,3,FALSE),"")</f>
        <v>11443937</v>
      </c>
      <c r="AH761" s="17" t="s">
        <v>5821</v>
      </c>
      <c r="AI761" s="65"/>
      <c r="AJ761" s="25" t="s">
        <v>1435</v>
      </c>
      <c r="AK761" s="26" t="s">
        <v>2071</v>
      </c>
      <c r="AL761" s="26" t="s">
        <v>2071</v>
      </c>
      <c r="AM761" s="90" t="s">
        <v>1435</v>
      </c>
      <c r="AN761" s="105"/>
      <c r="AO761" s="91" t="str">
        <f t="shared" ca="1" si="318"/>
        <v xml:space="preserve"> </v>
      </c>
      <c r="AP761" s="26" t="s">
        <v>121</v>
      </c>
      <c r="AQ761" s="26" t="s">
        <v>220</v>
      </c>
      <c r="AR761" s="89"/>
      <c r="AS761" s="27"/>
      <c r="AT761" s="16"/>
      <c r="AU761" s="27"/>
      <c r="AV761" s="86"/>
      <c r="AW761" s="27"/>
      <c r="AX761" s="27"/>
      <c r="AY761" s="27"/>
      <c r="AZ761" s="27"/>
      <c r="BA761" s="27"/>
      <c r="BB761" s="27"/>
      <c r="BC761" s="97"/>
      <c r="BD761" s="27"/>
      <c r="BE761" s="16"/>
      <c r="BF761" s="28">
        <f t="shared" si="319"/>
        <v>0</v>
      </c>
      <c r="BG761" s="29"/>
      <c r="BH761" s="27"/>
      <c r="BI761" s="30">
        <f t="shared" si="320"/>
        <v>223</v>
      </c>
      <c r="BJ761" s="31">
        <f t="shared" si="321"/>
        <v>45656</v>
      </c>
      <c r="BK761" s="27"/>
      <c r="BL761" s="16"/>
      <c r="BM761" s="27"/>
      <c r="BN761" s="16"/>
      <c r="BO761" s="27"/>
      <c r="BP761" s="16"/>
      <c r="BQ761" s="27"/>
      <c r="BR761" s="24"/>
      <c r="BS761" s="24"/>
      <c r="BT761" s="32"/>
      <c r="BU761" s="27"/>
      <c r="BV761" s="24"/>
      <c r="BW761" s="24"/>
      <c r="BX761" s="16"/>
      <c r="BY761" s="27"/>
      <c r="BZ761" s="24"/>
      <c r="CA761" s="24"/>
      <c r="CB761" s="16"/>
      <c r="CC761" s="49">
        <f t="shared" si="315"/>
        <v>0</v>
      </c>
      <c r="CD761" s="24"/>
      <c r="CE761" s="49">
        <f t="shared" si="316"/>
        <v>33320000</v>
      </c>
      <c r="CF761" s="50"/>
      <c r="CG761" s="49">
        <f t="shared" ca="1" si="323"/>
        <v>33320000</v>
      </c>
      <c r="CH761" s="33">
        <f t="shared" ca="1" si="312"/>
        <v>1</v>
      </c>
      <c r="CI761" s="33">
        <f t="shared" ca="1" si="313"/>
        <v>1</v>
      </c>
      <c r="CJ761" s="36">
        <f t="shared" ca="1" si="309"/>
        <v>100</v>
      </c>
      <c r="CK761" s="34">
        <f t="shared" si="310"/>
        <v>0</v>
      </c>
      <c r="CL761" s="21"/>
      <c r="CM761" s="35" t="str">
        <f t="shared" ca="1" si="322"/>
        <v>TERMINADO</v>
      </c>
      <c r="CN761" s="82"/>
      <c r="CP761" s="83" t="s">
        <v>1424</v>
      </c>
    </row>
    <row r="762" spans="1:96" ht="24.75" customHeight="1">
      <c r="A762" s="48" t="s">
        <v>308</v>
      </c>
      <c r="B762" s="77" t="s">
        <v>6087</v>
      </c>
      <c r="C762" s="17" t="s">
        <v>104</v>
      </c>
      <c r="D762" s="173" t="s">
        <v>6088</v>
      </c>
      <c r="E762" s="17" t="s">
        <v>106</v>
      </c>
      <c r="F762" s="17" t="s">
        <v>107</v>
      </c>
      <c r="G762" s="17" t="s">
        <v>108</v>
      </c>
      <c r="H762" s="78">
        <v>1118842413</v>
      </c>
      <c r="I762" s="74" t="s">
        <v>6089</v>
      </c>
      <c r="J762" s="16"/>
      <c r="K762" s="16"/>
      <c r="L762" s="20" t="s">
        <v>6090</v>
      </c>
      <c r="M762" s="16" t="s">
        <v>111</v>
      </c>
      <c r="N762" s="22">
        <v>45427</v>
      </c>
      <c r="O762" s="22">
        <v>45428</v>
      </c>
      <c r="P762" s="22">
        <v>45657</v>
      </c>
      <c r="Q762" s="23">
        <f t="shared" si="317"/>
        <v>229</v>
      </c>
      <c r="R762" s="17" t="s">
        <v>242</v>
      </c>
      <c r="S762" s="16" t="s">
        <v>6091</v>
      </c>
      <c r="T762" s="16" t="s">
        <v>2760</v>
      </c>
      <c r="U762" s="67">
        <v>137895647</v>
      </c>
      <c r="V762" s="16" t="s">
        <v>6092</v>
      </c>
      <c r="W762" s="224">
        <v>81503919</v>
      </c>
      <c r="X762" s="24">
        <v>11643417</v>
      </c>
      <c r="Y762" s="24"/>
      <c r="Z762" s="24"/>
      <c r="AA762" s="17" t="s">
        <v>116</v>
      </c>
      <c r="AB762" s="23" t="str">
        <f>IFERROR(VLOOKUP(AA762,Listas!$A$1:$C$14,2,FALSE),"")</f>
        <v>FREDY CÉSPEDES VILLA</v>
      </c>
      <c r="AC762" s="23">
        <f>IFERROR(VLOOKUP(AA762,Listas!$A$1:$C$14,3,FALSE),"")</f>
        <v>93363483</v>
      </c>
      <c r="AD762" s="17" t="s">
        <v>304</v>
      </c>
      <c r="AE762" s="17" t="s">
        <v>305</v>
      </c>
      <c r="AF762" s="23" t="str">
        <f>IFERROR(VLOOKUP(AE762,Listas!$AD$1:$AF$65,2,FALSE),"")</f>
        <v>ALVARO HERNAN URQUIJO GOMEZ</v>
      </c>
      <c r="AG762" s="23">
        <v>80505520</v>
      </c>
      <c r="AH762" s="17" t="s">
        <v>6056</v>
      </c>
      <c r="AI762" s="65" t="s">
        <v>6093</v>
      </c>
      <c r="AJ762" s="25" t="s">
        <v>4370</v>
      </c>
      <c r="AK762" s="26" t="s">
        <v>120</v>
      </c>
      <c r="AL762" s="26" t="s">
        <v>120</v>
      </c>
      <c r="AM762" s="90" t="s">
        <v>119</v>
      </c>
      <c r="AN762" s="105">
        <v>33799</v>
      </c>
      <c r="AO762" s="91">
        <f t="shared" ca="1" si="318"/>
        <v>33</v>
      </c>
      <c r="AP762" s="26" t="s">
        <v>121</v>
      </c>
      <c r="AQ762" s="26" t="s">
        <v>122</v>
      </c>
      <c r="AR762" s="89"/>
      <c r="AS762" s="27"/>
      <c r="AT762" s="16"/>
      <c r="AU762" s="27"/>
      <c r="AV762" s="86"/>
      <c r="AW762" s="27"/>
      <c r="AX762" s="27"/>
      <c r="AY762" s="27"/>
      <c r="AZ762" s="27"/>
      <c r="BA762" s="27"/>
      <c r="BB762" s="27"/>
      <c r="BC762" s="97"/>
      <c r="BD762" s="27"/>
      <c r="BE762" s="16"/>
      <c r="BF762" s="28">
        <f t="shared" si="319"/>
        <v>0</v>
      </c>
      <c r="BG762" s="29"/>
      <c r="BH762" s="27"/>
      <c r="BI762" s="30">
        <f t="shared" si="320"/>
        <v>229</v>
      </c>
      <c r="BJ762" s="31">
        <f t="shared" si="321"/>
        <v>45657</v>
      </c>
      <c r="BK762" s="27"/>
      <c r="BL762" s="16"/>
      <c r="BM762" s="27"/>
      <c r="BN762" s="16"/>
      <c r="BO762" s="27"/>
      <c r="BP762" s="16"/>
      <c r="BQ762" s="27"/>
      <c r="BR762" s="24"/>
      <c r="BS762" s="24"/>
      <c r="BT762" s="32"/>
      <c r="BU762" s="27"/>
      <c r="BV762" s="24"/>
      <c r="BW762" s="24"/>
      <c r="BX762" s="16"/>
      <c r="BY762" s="27"/>
      <c r="BZ762" s="24"/>
      <c r="CA762" s="24"/>
      <c r="CB762" s="16"/>
      <c r="CC762" s="49">
        <f t="shared" si="315"/>
        <v>0</v>
      </c>
      <c r="CD762" s="24"/>
      <c r="CE762" s="49">
        <f t="shared" si="316"/>
        <v>81503919</v>
      </c>
      <c r="CF762" s="50"/>
      <c r="CG762" s="49">
        <f t="shared" ca="1" si="323"/>
        <v>81503919</v>
      </c>
      <c r="CH762" s="33">
        <f t="shared" ca="1" si="312"/>
        <v>1</v>
      </c>
      <c r="CI762" s="33">
        <f t="shared" ca="1" si="313"/>
        <v>1</v>
      </c>
      <c r="CJ762" s="36">
        <f t="shared" ca="1" si="309"/>
        <v>100</v>
      </c>
      <c r="CK762" s="34">
        <f t="shared" si="310"/>
        <v>0</v>
      </c>
      <c r="CL762" s="21"/>
      <c r="CM762" s="35" t="str">
        <f t="shared" ca="1" si="322"/>
        <v>TERMINADO</v>
      </c>
      <c r="CN762" s="82"/>
      <c r="CO762" s="145" t="s">
        <v>6094</v>
      </c>
      <c r="CP762" s="26" t="s">
        <v>123</v>
      </c>
    </row>
    <row r="763" spans="1:96" s="85" customFormat="1" ht="24.75" customHeight="1">
      <c r="A763" s="48" t="s">
        <v>6095</v>
      </c>
      <c r="B763" s="77" t="s">
        <v>6096</v>
      </c>
      <c r="C763" s="17" t="s">
        <v>104</v>
      </c>
      <c r="D763" s="18" t="s">
        <v>6097</v>
      </c>
      <c r="E763" s="17" t="s">
        <v>106</v>
      </c>
      <c r="F763" s="17" t="s">
        <v>107</v>
      </c>
      <c r="G763" s="17" t="s">
        <v>108</v>
      </c>
      <c r="H763" s="78">
        <v>52911116</v>
      </c>
      <c r="I763" s="74" t="s">
        <v>6098</v>
      </c>
      <c r="J763" s="16"/>
      <c r="K763" s="16"/>
      <c r="L763" s="20" t="s">
        <v>6099</v>
      </c>
      <c r="M763" s="16" t="s">
        <v>111</v>
      </c>
      <c r="N763" s="22">
        <v>45428</v>
      </c>
      <c r="O763" s="22">
        <v>45429</v>
      </c>
      <c r="P763" s="22">
        <v>45650</v>
      </c>
      <c r="Q763" s="23">
        <f t="shared" si="317"/>
        <v>221</v>
      </c>
      <c r="R763" s="17" t="s">
        <v>112</v>
      </c>
      <c r="S763" s="16" t="s">
        <v>6100</v>
      </c>
      <c r="T763" s="16" t="s">
        <v>114</v>
      </c>
      <c r="U763" s="67">
        <v>85628713</v>
      </c>
      <c r="V763" s="16" t="s">
        <v>115</v>
      </c>
      <c r="W763" s="224">
        <v>85628713</v>
      </c>
      <c r="X763" s="24">
        <v>11649800</v>
      </c>
      <c r="Y763" s="24"/>
      <c r="Z763" s="24"/>
      <c r="AA763" s="17" t="s">
        <v>116</v>
      </c>
      <c r="AB763" s="23" t="str">
        <f>IFERROR(VLOOKUP(AA763,Listas!$A$1:$C$14,2,FALSE),"")</f>
        <v>FREDY CÉSPEDES VILLA</v>
      </c>
      <c r="AC763" s="23">
        <f>IFERROR(VLOOKUP(AA763,Listas!$A$1:$C$14,3,FALSE),"")</f>
        <v>93363483</v>
      </c>
      <c r="AD763" s="17" t="s">
        <v>116</v>
      </c>
      <c r="AE763" s="17" t="s">
        <v>743</v>
      </c>
      <c r="AF763" s="23" t="str">
        <f>IFERROR(VLOOKUP(AE763,Listas!$AD$1:$AF$65,2,FALSE),"")</f>
        <v>FREDY CÉSPEDES VILLA</v>
      </c>
      <c r="AG763" s="23">
        <f>IFERROR(VLOOKUP(AE763,Listas!$AD$1:$AF$65,3,FALSE),"")</f>
        <v>93363483</v>
      </c>
      <c r="AH763" s="17" t="s">
        <v>6101</v>
      </c>
      <c r="AI763" s="65" t="s">
        <v>6102</v>
      </c>
      <c r="AJ763" s="25" t="s">
        <v>4370</v>
      </c>
      <c r="AK763" s="26" t="s">
        <v>120</v>
      </c>
      <c r="AL763" s="26" t="s">
        <v>120</v>
      </c>
      <c r="AM763" s="90" t="s">
        <v>119</v>
      </c>
      <c r="AN763" s="105">
        <v>30093</v>
      </c>
      <c r="AO763" s="91">
        <f t="shared" ca="1" si="318"/>
        <v>43</v>
      </c>
      <c r="AP763" s="26" t="s">
        <v>121</v>
      </c>
      <c r="AQ763" s="26" t="s">
        <v>285</v>
      </c>
      <c r="AR763" s="89">
        <v>45455</v>
      </c>
      <c r="AS763" s="27" t="s">
        <v>6103</v>
      </c>
      <c r="AT763" s="16">
        <v>53080241</v>
      </c>
      <c r="AU763" s="27" t="s">
        <v>6099</v>
      </c>
      <c r="AV763" s="86">
        <v>75920545</v>
      </c>
      <c r="AW763" s="27"/>
      <c r="AX763" s="27"/>
      <c r="AY763" s="27"/>
      <c r="AZ763" s="27"/>
      <c r="BA763" s="27"/>
      <c r="BB763" s="27"/>
      <c r="BC763" s="97"/>
      <c r="BD763" s="27"/>
      <c r="BE763" s="16"/>
      <c r="BF763" s="28">
        <f t="shared" si="319"/>
        <v>0</v>
      </c>
      <c r="BG763" s="29"/>
      <c r="BH763" s="27"/>
      <c r="BI763" s="30">
        <f t="shared" si="320"/>
        <v>221</v>
      </c>
      <c r="BJ763" s="31">
        <f t="shared" si="321"/>
        <v>45650</v>
      </c>
      <c r="BK763" s="27"/>
      <c r="BL763" s="16"/>
      <c r="BM763" s="27"/>
      <c r="BN763" s="16"/>
      <c r="BO763" s="27"/>
      <c r="BP763" s="16"/>
      <c r="BQ763" s="27"/>
      <c r="BR763" s="24"/>
      <c r="BS763" s="24"/>
      <c r="BT763" s="32"/>
      <c r="BU763" s="27"/>
      <c r="BV763" s="24"/>
      <c r="BW763" s="24"/>
      <c r="BX763" s="16"/>
      <c r="BY763" s="27"/>
      <c r="BZ763" s="24"/>
      <c r="CA763" s="24"/>
      <c r="CB763" s="16"/>
      <c r="CC763" s="49">
        <f t="shared" si="315"/>
        <v>0</v>
      </c>
      <c r="CD763" s="24"/>
      <c r="CE763" s="49">
        <f t="shared" si="316"/>
        <v>85628713</v>
      </c>
      <c r="CF763" s="50"/>
      <c r="CG763" s="49">
        <f t="shared" ca="1" si="323"/>
        <v>85628713</v>
      </c>
      <c r="CH763" s="33">
        <f t="shared" ca="1" si="312"/>
        <v>1</v>
      </c>
      <c r="CI763" s="33">
        <f t="shared" ca="1" si="313"/>
        <v>1</v>
      </c>
      <c r="CJ763" s="36">
        <f t="shared" ca="1" si="309"/>
        <v>100</v>
      </c>
      <c r="CK763" s="34">
        <f t="shared" si="310"/>
        <v>0</v>
      </c>
      <c r="CL763" s="21"/>
      <c r="CM763" s="35" t="str">
        <f t="shared" ca="1" si="322"/>
        <v>TERMINADO</v>
      </c>
      <c r="CN763" s="82"/>
      <c r="CO763" s="145" t="s">
        <v>6104</v>
      </c>
      <c r="CP763" s="26" t="s">
        <v>123</v>
      </c>
      <c r="CQ763" s="83"/>
      <c r="CR763" s="83"/>
    </row>
    <row r="764" spans="1:96" s="85" customFormat="1" ht="24.75" customHeight="1">
      <c r="A764" s="48" t="s">
        <v>6105</v>
      </c>
      <c r="B764" s="77" t="s">
        <v>6106</v>
      </c>
      <c r="C764" s="17" t="s">
        <v>104</v>
      </c>
      <c r="D764" s="18" t="s">
        <v>6107</v>
      </c>
      <c r="E764" s="17" t="s">
        <v>106</v>
      </c>
      <c r="F764" s="17" t="s">
        <v>107</v>
      </c>
      <c r="G764" s="17" t="s">
        <v>108</v>
      </c>
      <c r="H764" s="78">
        <v>1032483553</v>
      </c>
      <c r="I764" s="74" t="s">
        <v>6108</v>
      </c>
      <c r="J764" s="16"/>
      <c r="K764" s="16"/>
      <c r="L764" s="20" t="s">
        <v>6109</v>
      </c>
      <c r="M764" s="16" t="s">
        <v>111</v>
      </c>
      <c r="N764" s="22">
        <v>45428</v>
      </c>
      <c r="O764" s="22">
        <v>45439</v>
      </c>
      <c r="P764" s="22">
        <v>45656</v>
      </c>
      <c r="Q764" s="23">
        <f t="shared" si="317"/>
        <v>217</v>
      </c>
      <c r="R764" s="17" t="s">
        <v>242</v>
      </c>
      <c r="S764" s="16" t="s">
        <v>6110</v>
      </c>
      <c r="T764" s="16" t="s">
        <v>6111</v>
      </c>
      <c r="U764" s="67">
        <v>42000000</v>
      </c>
      <c r="V764" s="16" t="s">
        <v>6055</v>
      </c>
      <c r="W764" s="224">
        <v>28800000</v>
      </c>
      <c r="X764" s="24">
        <v>3600000</v>
      </c>
      <c r="Y764" s="24"/>
      <c r="Z764" s="24"/>
      <c r="AA764" s="17" t="s">
        <v>116</v>
      </c>
      <c r="AB764" s="23" t="str">
        <f>IFERROR(VLOOKUP(AA764,Listas!$A$1:$C$14,2,FALSE),"")</f>
        <v>FREDY CÉSPEDES VILLA</v>
      </c>
      <c r="AC764" s="23">
        <f>IFERROR(VLOOKUP(AA764,Listas!$A$1:$C$14,3,FALSE),"")</f>
        <v>93363483</v>
      </c>
      <c r="AD764" s="17" t="s">
        <v>116</v>
      </c>
      <c r="AE764" s="17" t="s">
        <v>659</v>
      </c>
      <c r="AF764" s="23" t="str">
        <f>IFERROR(VLOOKUP(AE764,Listas!$AD$1:$AF$65,2,FALSE),"")</f>
        <v>TATIANA FORERO TORRES</v>
      </c>
      <c r="AG764" s="23">
        <f>IFERROR(VLOOKUP(AE764,Listas!$AD$1:$AF$65,3,FALSE),"")</f>
        <v>1072446921</v>
      </c>
      <c r="AH764" s="17" t="s">
        <v>6112</v>
      </c>
      <c r="AI764" s="65" t="s">
        <v>6113</v>
      </c>
      <c r="AJ764" s="25" t="s">
        <v>4370</v>
      </c>
      <c r="AK764" s="26" t="s">
        <v>120</v>
      </c>
      <c r="AL764" s="26" t="s">
        <v>120</v>
      </c>
      <c r="AM764" s="90" t="s">
        <v>119</v>
      </c>
      <c r="AN764" s="105">
        <v>35266</v>
      </c>
      <c r="AO764" s="91">
        <f t="shared" ca="1" si="318"/>
        <v>29</v>
      </c>
      <c r="AP764" s="26" t="s">
        <v>121</v>
      </c>
      <c r="AQ764" s="26" t="s">
        <v>285</v>
      </c>
      <c r="AR764" s="89"/>
      <c r="AS764" s="27"/>
      <c r="AT764" s="16"/>
      <c r="AU764" s="27"/>
      <c r="AV764" s="86"/>
      <c r="AW764" s="27"/>
      <c r="AX764" s="27"/>
      <c r="AY764" s="27"/>
      <c r="AZ764" s="27"/>
      <c r="BA764" s="27"/>
      <c r="BB764" s="27"/>
      <c r="BC764" s="97"/>
      <c r="BD764" s="27"/>
      <c r="BE764" s="16"/>
      <c r="BF764" s="28">
        <f t="shared" si="319"/>
        <v>0</v>
      </c>
      <c r="BG764" s="29"/>
      <c r="BH764" s="27"/>
      <c r="BI764" s="30">
        <f t="shared" si="320"/>
        <v>217</v>
      </c>
      <c r="BJ764" s="31">
        <f t="shared" si="321"/>
        <v>45656</v>
      </c>
      <c r="BK764" s="27"/>
      <c r="BL764" s="16"/>
      <c r="BM764" s="27"/>
      <c r="BN764" s="16"/>
      <c r="BO764" s="27"/>
      <c r="BP764" s="16"/>
      <c r="BQ764" s="27"/>
      <c r="BR764" s="24"/>
      <c r="BS764" s="24"/>
      <c r="BT764" s="32"/>
      <c r="BU764" s="27"/>
      <c r="BV764" s="24"/>
      <c r="BW764" s="24"/>
      <c r="BX764" s="16"/>
      <c r="BY764" s="27"/>
      <c r="BZ764" s="24"/>
      <c r="CA764" s="24"/>
      <c r="CB764" s="16"/>
      <c r="CC764" s="49">
        <f t="shared" si="315"/>
        <v>0</v>
      </c>
      <c r="CD764" s="24"/>
      <c r="CE764" s="49">
        <f t="shared" si="316"/>
        <v>28800000</v>
      </c>
      <c r="CF764" s="50"/>
      <c r="CG764" s="49">
        <f t="shared" ca="1" si="323"/>
        <v>28800000</v>
      </c>
      <c r="CH764" s="33">
        <f t="shared" ca="1" si="312"/>
        <v>1</v>
      </c>
      <c r="CI764" s="33">
        <f t="shared" ca="1" si="313"/>
        <v>1</v>
      </c>
      <c r="CJ764" s="36">
        <f t="shared" ca="1" si="309"/>
        <v>100</v>
      </c>
      <c r="CK764" s="34">
        <f t="shared" si="310"/>
        <v>0</v>
      </c>
      <c r="CL764" s="21"/>
      <c r="CM764" s="35" t="str">
        <f t="shared" ca="1" si="322"/>
        <v>TERMINADO</v>
      </c>
      <c r="CN764" s="82"/>
      <c r="CO764" s="145" t="s">
        <v>6114</v>
      </c>
      <c r="CP764" s="26" t="s">
        <v>142</v>
      </c>
      <c r="CQ764" s="83"/>
      <c r="CR764" s="83"/>
    </row>
    <row r="765" spans="1:96" s="85" customFormat="1" ht="24.75" customHeight="1">
      <c r="A765" s="48" t="s">
        <v>6115</v>
      </c>
      <c r="B765" s="77" t="s">
        <v>6116</v>
      </c>
      <c r="C765" s="17" t="s">
        <v>104</v>
      </c>
      <c r="D765" s="18" t="s">
        <v>6117</v>
      </c>
      <c r="E765" s="17" t="s">
        <v>2063</v>
      </c>
      <c r="F765" s="17" t="s">
        <v>107</v>
      </c>
      <c r="G765" s="17" t="s">
        <v>108</v>
      </c>
      <c r="H765" s="78">
        <v>4080047</v>
      </c>
      <c r="I765" s="74" t="s">
        <v>6118</v>
      </c>
      <c r="J765" s="16"/>
      <c r="K765" s="16"/>
      <c r="L765" s="20" t="s">
        <v>6119</v>
      </c>
      <c r="M765" s="16" t="s">
        <v>6120</v>
      </c>
      <c r="N765" s="22">
        <v>45428</v>
      </c>
      <c r="O765" s="22">
        <v>45429</v>
      </c>
      <c r="P765" s="22">
        <v>45657</v>
      </c>
      <c r="Q765" s="23">
        <f t="shared" si="317"/>
        <v>228</v>
      </c>
      <c r="R765" s="17" t="s">
        <v>242</v>
      </c>
      <c r="S765" s="16" t="s">
        <v>6121</v>
      </c>
      <c r="T765" s="16" t="s">
        <v>6122</v>
      </c>
      <c r="U765" s="67">
        <v>23400000</v>
      </c>
      <c r="V765" s="16" t="s">
        <v>2070</v>
      </c>
      <c r="W765" s="224">
        <v>23400000</v>
      </c>
      <c r="X765" s="24">
        <v>2600000</v>
      </c>
      <c r="Y765" s="24"/>
      <c r="Z765" s="24"/>
      <c r="AA765" s="17" t="s">
        <v>116</v>
      </c>
      <c r="AB765" s="23" t="str">
        <f>IFERROR(VLOOKUP(AA765,Listas!$A$1:$C$14,2,FALSE),"")</f>
        <v>FREDY CÉSPEDES VILLA</v>
      </c>
      <c r="AC765" s="23">
        <f>IFERROR(VLOOKUP(AA765,Listas!$A$1:$C$14,3,FALSE),"")</f>
        <v>93363483</v>
      </c>
      <c r="AD765" s="17" t="s">
        <v>1533</v>
      </c>
      <c r="AE765" s="17" t="s">
        <v>1534</v>
      </c>
      <c r="AF765" s="23" t="str">
        <f>IFERROR(VLOOKUP(AE765,Listas!$AD$1:$AF$65,2,FALSE),"")</f>
        <v>ESTEBAN GUERRERO ALVAREZ</v>
      </c>
      <c r="AG765" s="23">
        <f>IFERROR(VLOOKUP(AE765,Listas!$AD$1:$AF$65,3,FALSE),"")</f>
        <v>1032460552</v>
      </c>
      <c r="AH765" s="17" t="s">
        <v>118</v>
      </c>
      <c r="AI765" s="65"/>
      <c r="AJ765" s="25" t="s">
        <v>1435</v>
      </c>
      <c r="AK765" s="26" t="s">
        <v>2071</v>
      </c>
      <c r="AL765" s="26" t="s">
        <v>2071</v>
      </c>
      <c r="AM765" s="90" t="s">
        <v>1435</v>
      </c>
      <c r="AN765" s="105"/>
      <c r="AO765" s="91" t="str">
        <f t="shared" ca="1" si="318"/>
        <v xml:space="preserve"> </v>
      </c>
      <c r="AP765" s="26" t="s">
        <v>121</v>
      </c>
      <c r="AQ765" s="26" t="s">
        <v>285</v>
      </c>
      <c r="AR765" s="89"/>
      <c r="AS765" s="27"/>
      <c r="AT765" s="16"/>
      <c r="AU765" s="27"/>
      <c r="AV765" s="86"/>
      <c r="AW765" s="27"/>
      <c r="AX765" s="27"/>
      <c r="AY765" s="27"/>
      <c r="AZ765" s="27"/>
      <c r="BA765" s="27"/>
      <c r="BB765" s="27"/>
      <c r="BC765" s="97"/>
      <c r="BD765" s="27"/>
      <c r="BE765" s="16"/>
      <c r="BF765" s="28">
        <f t="shared" si="319"/>
        <v>0</v>
      </c>
      <c r="BG765" s="29"/>
      <c r="BH765" s="27"/>
      <c r="BI765" s="30">
        <f t="shared" si="320"/>
        <v>228</v>
      </c>
      <c r="BJ765" s="31">
        <f t="shared" si="321"/>
        <v>45657</v>
      </c>
      <c r="BK765" s="27"/>
      <c r="BL765" s="16"/>
      <c r="BM765" s="27"/>
      <c r="BN765" s="16"/>
      <c r="BO765" s="27"/>
      <c r="BP765" s="16"/>
      <c r="BQ765" s="27"/>
      <c r="BR765" s="24"/>
      <c r="BS765" s="24"/>
      <c r="BT765" s="32"/>
      <c r="BU765" s="27"/>
      <c r="BV765" s="24"/>
      <c r="BW765" s="24"/>
      <c r="BX765" s="16"/>
      <c r="BY765" s="27"/>
      <c r="BZ765" s="24"/>
      <c r="CA765" s="24"/>
      <c r="CB765" s="16"/>
      <c r="CC765" s="49">
        <f t="shared" si="315"/>
        <v>0</v>
      </c>
      <c r="CD765" s="24"/>
      <c r="CE765" s="49">
        <f t="shared" si="316"/>
        <v>23400000</v>
      </c>
      <c r="CF765" s="50"/>
      <c r="CG765" s="49">
        <f t="shared" ca="1" si="323"/>
        <v>23400000</v>
      </c>
      <c r="CH765" s="33">
        <f t="shared" ca="1" si="312"/>
        <v>1</v>
      </c>
      <c r="CI765" s="33">
        <f t="shared" ca="1" si="313"/>
        <v>1</v>
      </c>
      <c r="CJ765" s="36">
        <f t="shared" ca="1" si="309"/>
        <v>100</v>
      </c>
      <c r="CK765" s="34">
        <f t="shared" si="310"/>
        <v>0</v>
      </c>
      <c r="CL765" s="21"/>
      <c r="CM765" s="35" t="str">
        <f t="shared" ca="1" si="322"/>
        <v>TERMINADO</v>
      </c>
      <c r="CN765" s="82"/>
      <c r="CO765" s="145" t="s">
        <v>6123</v>
      </c>
      <c r="CP765" s="26" t="s">
        <v>142</v>
      </c>
      <c r="CQ765" s="83"/>
      <c r="CR765" s="83"/>
    </row>
    <row r="766" spans="1:96" s="85" customFormat="1" ht="24.75" customHeight="1">
      <c r="A766" s="48" t="s">
        <v>1424</v>
      </c>
      <c r="B766" s="77" t="s">
        <v>6124</v>
      </c>
      <c r="C766" s="17" t="s">
        <v>2927</v>
      </c>
      <c r="D766" s="18" t="s">
        <v>6125</v>
      </c>
      <c r="E766" s="17" t="s">
        <v>5866</v>
      </c>
      <c r="F766" s="17" t="s">
        <v>1426</v>
      </c>
      <c r="G766" s="17" t="s">
        <v>1427</v>
      </c>
      <c r="H766" s="78" t="s">
        <v>6126</v>
      </c>
      <c r="I766" s="74" t="s">
        <v>6127</v>
      </c>
      <c r="J766" s="16"/>
      <c r="K766" s="16"/>
      <c r="L766" s="20" t="s">
        <v>6128</v>
      </c>
      <c r="M766" s="16"/>
      <c r="N766" s="22">
        <v>45429</v>
      </c>
      <c r="O766" s="22">
        <v>45432</v>
      </c>
      <c r="P766" s="22">
        <v>45657</v>
      </c>
      <c r="Q766" s="23">
        <f t="shared" si="317"/>
        <v>225</v>
      </c>
      <c r="R766" s="17" t="s">
        <v>242</v>
      </c>
      <c r="S766" s="16" t="s">
        <v>6129</v>
      </c>
      <c r="T766" s="16" t="s">
        <v>6130</v>
      </c>
      <c r="U766" s="67">
        <v>3011307200</v>
      </c>
      <c r="V766" s="16" t="s">
        <v>6131</v>
      </c>
      <c r="W766" s="67">
        <v>189000000</v>
      </c>
      <c r="X766" s="24"/>
      <c r="Y766" s="24">
        <v>346500000</v>
      </c>
      <c r="Z766" s="24"/>
      <c r="AA766" s="17" t="s">
        <v>607</v>
      </c>
      <c r="AB766" s="23" t="str">
        <f>IFERROR(VLOOKUP(AA766,Listas!$A$1:$C$14,2,FALSE),"")</f>
        <v>MARÍA FRANCISCA CEPEDA QUINTERO</v>
      </c>
      <c r="AC766" s="23">
        <f>IFERROR(VLOOKUP(AA766,Listas!$A$1:$C$14,3,FALSE),"")</f>
        <v>53062608</v>
      </c>
      <c r="AD766" s="17" t="s">
        <v>607</v>
      </c>
      <c r="AE766" s="17" t="s">
        <v>1155</v>
      </c>
      <c r="AF766" s="23" t="str">
        <f>IFERROR(VLOOKUP(AE766,Listas!$AD$1:$AF$65,2,FALSE),"")</f>
        <v>MARÍA FRANCISCA CEPEDA QUINTERO</v>
      </c>
      <c r="AG766" s="23">
        <f>IFERROR(VLOOKUP(AE766,Listas!$AD$1:$AF$65,3,FALSE),"")</f>
        <v>53062608</v>
      </c>
      <c r="AH766" s="17" t="s">
        <v>2936</v>
      </c>
      <c r="AI766" s="65"/>
      <c r="AJ766" s="25" t="s">
        <v>1435</v>
      </c>
      <c r="AK766" s="26" t="s">
        <v>2071</v>
      </c>
      <c r="AL766" s="26" t="s">
        <v>2071</v>
      </c>
      <c r="AM766" s="90" t="s">
        <v>1435</v>
      </c>
      <c r="AN766" s="105"/>
      <c r="AO766" s="91" t="str">
        <f t="shared" ca="1" si="318"/>
        <v xml:space="preserve"> </v>
      </c>
      <c r="AP766" s="26" t="s">
        <v>2937</v>
      </c>
      <c r="AQ766" s="26" t="s">
        <v>3067</v>
      </c>
      <c r="AR766" s="89"/>
      <c r="AS766" s="27"/>
      <c r="AT766" s="16"/>
      <c r="AU766" s="27"/>
      <c r="AV766" s="86"/>
      <c r="AW766" s="27"/>
      <c r="AX766" s="27"/>
      <c r="AY766" s="27"/>
      <c r="AZ766" s="27"/>
      <c r="BA766" s="27"/>
      <c r="BB766" s="27"/>
      <c r="BC766" s="97"/>
      <c r="BD766" s="27"/>
      <c r="BE766" s="16"/>
      <c r="BF766" s="28">
        <f t="shared" si="319"/>
        <v>0</v>
      </c>
      <c r="BG766" s="29"/>
      <c r="BH766" s="27"/>
      <c r="BI766" s="30">
        <f t="shared" si="320"/>
        <v>225</v>
      </c>
      <c r="BJ766" s="31">
        <f t="shared" si="321"/>
        <v>45657</v>
      </c>
      <c r="BK766" s="27"/>
      <c r="BL766" s="16"/>
      <c r="BM766" s="27"/>
      <c r="BN766" s="16"/>
      <c r="BO766" s="27"/>
      <c r="BP766" s="16"/>
      <c r="BQ766" s="27"/>
      <c r="BR766" s="24"/>
      <c r="BS766" s="24"/>
      <c r="BT766" s="32"/>
      <c r="BU766" s="27"/>
      <c r="BV766" s="24"/>
      <c r="BW766" s="24"/>
      <c r="BX766" s="16"/>
      <c r="BY766" s="27"/>
      <c r="BZ766" s="24"/>
      <c r="CA766" s="24"/>
      <c r="CB766" s="16"/>
      <c r="CC766" s="49">
        <f t="shared" si="315"/>
        <v>0</v>
      </c>
      <c r="CD766" s="24"/>
      <c r="CE766" s="49">
        <f t="shared" si="316"/>
        <v>346500000</v>
      </c>
      <c r="CF766" s="50">
        <v>189000000</v>
      </c>
      <c r="CG766" s="49">
        <f t="shared" ca="1" si="323"/>
        <v>346500000</v>
      </c>
      <c r="CH766" s="33">
        <f t="shared" ca="1" si="312"/>
        <v>1</v>
      </c>
      <c r="CI766" s="33">
        <f t="shared" ca="1" si="313"/>
        <v>1</v>
      </c>
      <c r="CJ766" s="36">
        <f t="shared" ca="1" si="309"/>
        <v>100</v>
      </c>
      <c r="CK766" s="34">
        <f t="shared" si="310"/>
        <v>54.54545454545454</v>
      </c>
      <c r="CL766" s="21"/>
      <c r="CM766" s="35" t="str">
        <f t="shared" ca="1" si="322"/>
        <v>TERMINADO</v>
      </c>
      <c r="CN766" s="82"/>
      <c r="CO766" s="145"/>
      <c r="CP766" s="83" t="s">
        <v>1424</v>
      </c>
      <c r="CQ766" s="83"/>
      <c r="CR766" s="83"/>
    </row>
    <row r="767" spans="1:96" s="85" customFormat="1" ht="24.75" customHeight="1">
      <c r="A767" s="48" t="s">
        <v>1424</v>
      </c>
      <c r="B767" s="77" t="s">
        <v>6132</v>
      </c>
      <c r="C767" s="17" t="s">
        <v>104</v>
      </c>
      <c r="D767" s="18" t="s">
        <v>6133</v>
      </c>
      <c r="E767" s="17" t="s">
        <v>6134</v>
      </c>
      <c r="F767" s="17" t="s">
        <v>1426</v>
      </c>
      <c r="G767" s="17" t="s">
        <v>1427</v>
      </c>
      <c r="H767" s="78" t="s">
        <v>6135</v>
      </c>
      <c r="I767" s="74" t="s">
        <v>6136</v>
      </c>
      <c r="J767" s="16" t="s">
        <v>6137</v>
      </c>
      <c r="K767" s="16">
        <v>66720134</v>
      </c>
      <c r="L767" s="20" t="s">
        <v>6039</v>
      </c>
      <c r="M767" s="16"/>
      <c r="N767" s="22">
        <v>45442</v>
      </c>
      <c r="O767" s="22"/>
      <c r="P767" s="22"/>
      <c r="Q767" s="23">
        <f t="shared" si="317"/>
        <v>0</v>
      </c>
      <c r="R767" s="17" t="s">
        <v>2934</v>
      </c>
      <c r="S767" s="16" t="s">
        <v>1424</v>
      </c>
      <c r="T767" s="16" t="s">
        <v>1424</v>
      </c>
      <c r="U767" s="67" t="s">
        <v>1424</v>
      </c>
      <c r="V767" s="16" t="s">
        <v>1424</v>
      </c>
      <c r="W767" s="227"/>
      <c r="X767" s="24">
        <v>0</v>
      </c>
      <c r="Y767" s="24"/>
      <c r="Z767" s="24"/>
      <c r="AA767" s="17" t="s">
        <v>116</v>
      </c>
      <c r="AB767" s="23" t="str">
        <f>IFERROR(VLOOKUP(AA767,Listas!$A$1:$C$14,2,FALSE),"")</f>
        <v>FREDY CÉSPEDES VILLA</v>
      </c>
      <c r="AC767" s="23">
        <f>IFERROR(VLOOKUP(AA767,Listas!$A$1:$C$14,3,FALSE),"")</f>
        <v>93363483</v>
      </c>
      <c r="AD767" s="17" t="s">
        <v>217</v>
      </c>
      <c r="AE767" s="17" t="s">
        <v>539</v>
      </c>
      <c r="AF767" s="23" t="str">
        <f>IFERROR(VLOOKUP(AE767,Listas!$AD$1:$AF$65,2,FALSE),"")</f>
        <v>DORIS POVEDA BELTRÁN</v>
      </c>
      <c r="AG767" s="23">
        <f>IFERROR(VLOOKUP(AE767,Listas!$AD$1:$AF$65,3,FALSE),"")</f>
        <v>52049845</v>
      </c>
      <c r="AH767" s="17" t="s">
        <v>118</v>
      </c>
      <c r="AI767" s="65"/>
      <c r="AJ767" s="25" t="s">
        <v>1435</v>
      </c>
      <c r="AK767" s="26" t="s">
        <v>2071</v>
      </c>
      <c r="AL767" s="26" t="s">
        <v>2071</v>
      </c>
      <c r="AM767" s="90" t="s">
        <v>1435</v>
      </c>
      <c r="AN767" s="105"/>
      <c r="AO767" s="91" t="str">
        <f t="shared" ca="1" si="318"/>
        <v xml:space="preserve"> </v>
      </c>
      <c r="AP767" s="26" t="s">
        <v>121</v>
      </c>
      <c r="AQ767" s="26" t="s">
        <v>220</v>
      </c>
      <c r="AR767" s="89"/>
      <c r="AS767" s="27"/>
      <c r="AT767" s="16"/>
      <c r="AU767" s="27"/>
      <c r="AV767" s="86"/>
      <c r="AW767" s="27"/>
      <c r="AX767" s="27"/>
      <c r="AY767" s="27"/>
      <c r="AZ767" s="27"/>
      <c r="BA767" s="27"/>
      <c r="BB767" s="27"/>
      <c r="BC767" s="97"/>
      <c r="BD767" s="27"/>
      <c r="BE767" s="16"/>
      <c r="BF767" s="28">
        <f t="shared" si="319"/>
        <v>0</v>
      </c>
      <c r="BG767" s="29"/>
      <c r="BH767" s="27"/>
      <c r="BI767" s="30">
        <f t="shared" si="320"/>
        <v>0</v>
      </c>
      <c r="BJ767" s="31">
        <f t="shared" si="321"/>
        <v>0</v>
      </c>
      <c r="BK767" s="27"/>
      <c r="BL767" s="16"/>
      <c r="BM767" s="27"/>
      <c r="BN767" s="16"/>
      <c r="BO767" s="27"/>
      <c r="BP767" s="16"/>
      <c r="BQ767" s="27"/>
      <c r="BR767" s="24"/>
      <c r="BS767" s="24"/>
      <c r="BT767" s="32"/>
      <c r="BU767" s="27"/>
      <c r="BV767" s="24"/>
      <c r="BW767" s="24"/>
      <c r="BX767" s="16"/>
      <c r="BY767" s="27"/>
      <c r="BZ767" s="24"/>
      <c r="CA767" s="24"/>
      <c r="CB767" s="16"/>
      <c r="CC767" s="49">
        <f t="shared" si="315"/>
        <v>0</v>
      </c>
      <c r="CD767" s="24"/>
      <c r="CE767" s="361">
        <f>IF(Y767=0,(W767+CC767)-CD767,IF(Y767&gt;0,(Y767+CC767)-CD767))</f>
        <v>0</v>
      </c>
      <c r="CF767" s="50">
        <v>0</v>
      </c>
      <c r="CG767" s="49" t="str">
        <f t="shared" ca="1" si="323"/>
        <v/>
      </c>
      <c r="CH767" s="33">
        <f t="shared" ca="1" si="312"/>
        <v>1</v>
      </c>
      <c r="CI767" s="33">
        <f t="shared" ca="1" si="313"/>
        <v>1</v>
      </c>
      <c r="CJ767" s="36" t="str">
        <f t="shared" ca="1" si="309"/>
        <v/>
      </c>
      <c r="CK767" s="34" t="str">
        <f t="shared" si="310"/>
        <v/>
      </c>
      <c r="CL767" s="21"/>
      <c r="CM767" s="35" t="str">
        <f t="shared" ca="1" si="322"/>
        <v/>
      </c>
      <c r="CN767" s="82"/>
      <c r="CO767" s="145" t="s">
        <v>6138</v>
      </c>
      <c r="CP767" s="83" t="s">
        <v>1424</v>
      </c>
      <c r="CQ767" s="83"/>
      <c r="CR767" s="83"/>
    </row>
    <row r="768" spans="1:96" ht="24.75" customHeight="1">
      <c r="A768" s="48" t="s">
        <v>1424</v>
      </c>
      <c r="B768" s="77" t="s">
        <v>6139</v>
      </c>
      <c r="C768" s="17" t="s">
        <v>2927</v>
      </c>
      <c r="D768" s="18" t="s">
        <v>6140</v>
      </c>
      <c r="E768" s="17" t="s">
        <v>2929</v>
      </c>
      <c r="F768" s="17" t="s">
        <v>1426</v>
      </c>
      <c r="G768" s="17" t="s">
        <v>1427</v>
      </c>
      <c r="H768" s="78" t="s">
        <v>6141</v>
      </c>
      <c r="I768" s="74" t="s">
        <v>6142</v>
      </c>
      <c r="J768" s="16" t="s">
        <v>6143</v>
      </c>
      <c r="K768" s="16">
        <v>10265657</v>
      </c>
      <c r="L768" s="20" t="s">
        <v>5291</v>
      </c>
      <c r="M768" s="16"/>
      <c r="N768" s="22">
        <v>45432</v>
      </c>
      <c r="O768" s="22">
        <v>45432</v>
      </c>
      <c r="P768" s="22">
        <v>45797</v>
      </c>
      <c r="Q768" s="23">
        <f t="shared" si="317"/>
        <v>365</v>
      </c>
      <c r="R768" s="17" t="s">
        <v>2934</v>
      </c>
      <c r="S768" s="16" t="s">
        <v>1424</v>
      </c>
      <c r="T768" s="16" t="s">
        <v>1424</v>
      </c>
      <c r="U768" s="67" t="s">
        <v>1424</v>
      </c>
      <c r="V768" s="16" t="s">
        <v>1424</v>
      </c>
      <c r="W768" s="224">
        <v>0</v>
      </c>
      <c r="X768" s="24"/>
      <c r="Y768" s="24" t="s">
        <v>2935</v>
      </c>
      <c r="Z768" s="24"/>
      <c r="AA768" s="17" t="s">
        <v>406</v>
      </c>
      <c r="AB768" s="23" t="str">
        <f>IFERROR(VLOOKUP(AA768,Listas!$A$1:$C$14,2,FALSE),"")</f>
        <v>EDUARDO ELÍAS BARCHA BOLÍVAR</v>
      </c>
      <c r="AC768" s="23">
        <f>IFERROR(VLOOKUP(AA768,Listas!$A$1:$C$14,3,FALSE),"")</f>
        <v>72133921</v>
      </c>
      <c r="AD768" s="17" t="s">
        <v>472</v>
      </c>
      <c r="AE768" s="17" t="s">
        <v>473</v>
      </c>
      <c r="AF768" s="23" t="str">
        <f>IFERROR(VLOOKUP(AE768,Listas!$AD$1:$AF$65,2,FALSE),"")</f>
        <v>DANIEL ALBERTO CASTAÑO LOPEZ</v>
      </c>
      <c r="AG768" s="23">
        <f>IFERROR(VLOOKUP(AE768,Listas!$AD$1:$AF$65,3,FALSE),"")</f>
        <v>7544385</v>
      </c>
      <c r="AH768" s="17" t="s">
        <v>2936</v>
      </c>
      <c r="AI768" s="65"/>
      <c r="AJ768" s="25" t="s">
        <v>1435</v>
      </c>
      <c r="AK768" s="26" t="s">
        <v>2071</v>
      </c>
      <c r="AL768" s="26" t="s">
        <v>2071</v>
      </c>
      <c r="AM768" s="90" t="s">
        <v>1435</v>
      </c>
      <c r="AN768" s="105"/>
      <c r="AO768" s="91" t="str">
        <f t="shared" ca="1" si="318"/>
        <v xml:space="preserve"> </v>
      </c>
      <c r="AP768" s="26" t="s">
        <v>2937</v>
      </c>
      <c r="AQ768" s="26" t="s">
        <v>3067</v>
      </c>
      <c r="AR768" s="89"/>
      <c r="AS768" s="27"/>
      <c r="AT768" s="16"/>
      <c r="AU768" s="27"/>
      <c r="AV768" s="86"/>
      <c r="AW768" s="27"/>
      <c r="AX768" s="27"/>
      <c r="AY768" s="27"/>
      <c r="AZ768" s="27"/>
      <c r="BA768" s="27"/>
      <c r="BB768" s="27">
        <v>45743</v>
      </c>
      <c r="BC768" s="97">
        <v>225</v>
      </c>
      <c r="BD768" s="27"/>
      <c r="BE768" s="16"/>
      <c r="BF768" s="28">
        <f t="shared" si="319"/>
        <v>225</v>
      </c>
      <c r="BG768" s="29"/>
      <c r="BH768" s="27"/>
      <c r="BI768" s="30">
        <f t="shared" si="320"/>
        <v>590</v>
      </c>
      <c r="BJ768" s="31">
        <f t="shared" si="321"/>
        <v>46022</v>
      </c>
      <c r="BK768" s="27">
        <v>45743</v>
      </c>
      <c r="BL768" s="16" t="s">
        <v>6144</v>
      </c>
      <c r="BM768" s="27"/>
      <c r="BN768" s="16"/>
      <c r="BO768" s="27"/>
      <c r="BP768" s="16"/>
      <c r="BQ768" s="27"/>
      <c r="BR768" s="24"/>
      <c r="BS768" s="24"/>
      <c r="BT768" s="32"/>
      <c r="BU768" s="27"/>
      <c r="BV768" s="24"/>
      <c r="BW768" s="24"/>
      <c r="BX768" s="16"/>
      <c r="BY768" s="27"/>
      <c r="BZ768" s="24"/>
      <c r="CA768" s="24"/>
      <c r="CB768" s="16"/>
      <c r="CC768" s="49">
        <f t="shared" si="315"/>
        <v>0</v>
      </c>
      <c r="CD768" s="24"/>
      <c r="CE768" s="49" t="str">
        <f>IFERROR(IF(Y768=0,(W768+CC768)-CD768,IF(Y768&gt;0,(Y768+CC768)-CD768)),"")</f>
        <v/>
      </c>
      <c r="CF768" s="50">
        <v>248192704.05000001</v>
      </c>
      <c r="CG768" s="49" t="str">
        <f t="shared" ca="1" si="323"/>
        <v/>
      </c>
      <c r="CH768" s="33">
        <f t="shared" ca="1" si="312"/>
        <v>0.87779690189328741</v>
      </c>
      <c r="CI768" s="33">
        <f t="shared" ca="1" si="313"/>
        <v>0.87779690189328741</v>
      </c>
      <c r="CJ768" s="36" t="str">
        <f t="shared" ca="1" si="309"/>
        <v/>
      </c>
      <c r="CK768" s="34" t="str">
        <f t="shared" si="310"/>
        <v/>
      </c>
      <c r="CL768" s="21"/>
      <c r="CM768" s="35" t="str">
        <f t="shared" ca="1" si="322"/>
        <v>VIGENTE</v>
      </c>
      <c r="CN768" s="82"/>
      <c r="CP768" s="83" t="s">
        <v>1424</v>
      </c>
    </row>
    <row r="769" spans="1:98" s="85" customFormat="1" ht="24.75" customHeight="1">
      <c r="A769" s="48" t="s">
        <v>1424</v>
      </c>
      <c r="B769" s="77" t="s">
        <v>6145</v>
      </c>
      <c r="C769" s="17" t="s">
        <v>2927</v>
      </c>
      <c r="D769" s="18" t="s">
        <v>6146</v>
      </c>
      <c r="E769" s="17" t="s">
        <v>2929</v>
      </c>
      <c r="F769" s="17" t="s">
        <v>1426</v>
      </c>
      <c r="G769" s="17" t="s">
        <v>1427</v>
      </c>
      <c r="H769" s="78" t="s">
        <v>6147</v>
      </c>
      <c r="I769" s="74" t="s">
        <v>6148</v>
      </c>
      <c r="J769" s="16" t="s">
        <v>6149</v>
      </c>
      <c r="K769" s="16">
        <v>80408455</v>
      </c>
      <c r="L769" s="20" t="s">
        <v>5291</v>
      </c>
      <c r="M769" s="16"/>
      <c r="N769" s="22">
        <v>45434</v>
      </c>
      <c r="O769" s="22">
        <v>45434</v>
      </c>
      <c r="P769" s="22">
        <v>45799</v>
      </c>
      <c r="Q769" s="23">
        <f t="shared" si="317"/>
        <v>365</v>
      </c>
      <c r="R769" s="17" t="s">
        <v>2934</v>
      </c>
      <c r="S769" s="16" t="s">
        <v>1424</v>
      </c>
      <c r="T769" s="16" t="s">
        <v>1424</v>
      </c>
      <c r="U769" s="67" t="s">
        <v>1424</v>
      </c>
      <c r="V769" s="16" t="s">
        <v>1424</v>
      </c>
      <c r="W769" s="224">
        <v>0</v>
      </c>
      <c r="X769" s="24"/>
      <c r="Y769" s="24" t="s">
        <v>2935</v>
      </c>
      <c r="Z769" s="24"/>
      <c r="AA769" s="17" t="s">
        <v>406</v>
      </c>
      <c r="AB769" s="23" t="str">
        <f>IFERROR(VLOOKUP(AA769,Listas!$A$1:$C$14,2,FALSE),"")</f>
        <v>EDUARDO ELÍAS BARCHA BOLÍVAR</v>
      </c>
      <c r="AC769" s="23">
        <f>IFERROR(VLOOKUP(AA769,Listas!$A$1:$C$14,3,FALSE),"")</f>
        <v>72133921</v>
      </c>
      <c r="AD769" s="17" t="s">
        <v>1533</v>
      </c>
      <c r="AE769" s="17" t="s">
        <v>1534</v>
      </c>
      <c r="AF769" s="23" t="str">
        <f>IFERROR(VLOOKUP(AE769,Listas!$AD$1:$AF$65,2,FALSE),"")</f>
        <v>ESTEBAN GUERRERO ALVAREZ</v>
      </c>
      <c r="AG769" s="23">
        <f>IFERROR(VLOOKUP(AE769,Listas!$AD$1:$AF$65,3,FALSE),"")</f>
        <v>1032460552</v>
      </c>
      <c r="AH769" s="17" t="s">
        <v>2936</v>
      </c>
      <c r="AI769" s="65"/>
      <c r="AJ769" s="25" t="s">
        <v>1435</v>
      </c>
      <c r="AK769" s="26" t="s">
        <v>2071</v>
      </c>
      <c r="AL769" s="26" t="s">
        <v>2071</v>
      </c>
      <c r="AM769" s="90" t="s">
        <v>1435</v>
      </c>
      <c r="AN769" s="105"/>
      <c r="AO769" s="91" t="str">
        <f t="shared" ca="1" si="318"/>
        <v xml:space="preserve"> </v>
      </c>
      <c r="AP769" s="26" t="s">
        <v>2937</v>
      </c>
      <c r="AQ769" s="26" t="s">
        <v>3437</v>
      </c>
      <c r="AR769" s="89"/>
      <c r="AS769" s="27"/>
      <c r="AT769" s="16"/>
      <c r="AU769" s="27"/>
      <c r="AV769" s="86"/>
      <c r="AW769" s="27"/>
      <c r="AX769" s="27"/>
      <c r="AY769" s="27"/>
      <c r="AZ769" s="27"/>
      <c r="BA769" s="27"/>
      <c r="BB769" s="27">
        <v>45686</v>
      </c>
      <c r="BC769" s="97">
        <v>223</v>
      </c>
      <c r="BD769" s="27"/>
      <c r="BE769" s="16"/>
      <c r="BF769" s="28">
        <f t="shared" si="319"/>
        <v>223</v>
      </c>
      <c r="BG769" s="29"/>
      <c r="BH769" s="27"/>
      <c r="BI769" s="30">
        <f t="shared" si="320"/>
        <v>588</v>
      </c>
      <c r="BJ769" s="31">
        <f t="shared" si="321"/>
        <v>46022</v>
      </c>
      <c r="BK769" s="27">
        <v>45686</v>
      </c>
      <c r="BL769" s="16" t="s">
        <v>6150</v>
      </c>
      <c r="BM769" s="27"/>
      <c r="BN769" s="16"/>
      <c r="BO769" s="27"/>
      <c r="BP769" s="16"/>
      <c r="BQ769" s="27"/>
      <c r="BR769" s="24"/>
      <c r="BS769" s="24"/>
      <c r="BT769" s="32"/>
      <c r="BU769" s="27"/>
      <c r="BV769" s="24"/>
      <c r="BW769" s="24"/>
      <c r="BX769" s="16"/>
      <c r="BY769" s="27"/>
      <c r="BZ769" s="24"/>
      <c r="CA769" s="24"/>
      <c r="CB769" s="16"/>
      <c r="CC769" s="49">
        <f t="shared" si="315"/>
        <v>0</v>
      </c>
      <c r="CD769" s="24"/>
      <c r="CE769" s="49" t="str">
        <f>IFERROR(IF(Y769=0,(W769+CC769)-CD769,IF(Y769&gt;0,(Y769+CC769)-CD769)),"")</f>
        <v/>
      </c>
      <c r="CF769" s="50">
        <v>603188618</v>
      </c>
      <c r="CG769" s="49" t="str">
        <f t="shared" ca="1" si="323"/>
        <v/>
      </c>
      <c r="CH769" s="33">
        <f t="shared" ca="1" si="312"/>
        <v>0.87737478411053538</v>
      </c>
      <c r="CI769" s="33">
        <f t="shared" ca="1" si="313"/>
        <v>0.87737478411053538</v>
      </c>
      <c r="CJ769" s="36" t="str">
        <f t="shared" ca="1" si="309"/>
        <v/>
      </c>
      <c r="CK769" s="34" t="str">
        <f t="shared" si="310"/>
        <v/>
      </c>
      <c r="CL769" s="21"/>
      <c r="CM769" s="35" t="str">
        <f t="shared" ca="1" si="322"/>
        <v>VIGENTE</v>
      </c>
      <c r="CN769" s="82"/>
      <c r="CO769" s="145"/>
      <c r="CP769" s="83" t="s">
        <v>1424</v>
      </c>
      <c r="CQ769" s="83"/>
      <c r="CR769" s="83"/>
    </row>
    <row r="770" spans="1:98" s="85" customFormat="1" ht="24.75" customHeight="1">
      <c r="A770" s="48" t="s">
        <v>1424</v>
      </c>
      <c r="B770" s="77" t="s">
        <v>6151</v>
      </c>
      <c r="C770" s="17" t="s">
        <v>2927</v>
      </c>
      <c r="D770" s="18" t="s">
        <v>6152</v>
      </c>
      <c r="E770" s="17" t="s">
        <v>2929</v>
      </c>
      <c r="F770" s="17" t="s">
        <v>1426</v>
      </c>
      <c r="G770" s="17" t="s">
        <v>1427</v>
      </c>
      <c r="H770" s="78" t="s">
        <v>6153</v>
      </c>
      <c r="I770" s="74" t="s">
        <v>6154</v>
      </c>
      <c r="J770" s="16" t="s">
        <v>6155</v>
      </c>
      <c r="K770" s="16">
        <v>141966</v>
      </c>
      <c r="L770" s="20" t="s">
        <v>5291</v>
      </c>
      <c r="M770" s="16"/>
      <c r="N770" s="22">
        <v>45434</v>
      </c>
      <c r="O770" s="22">
        <v>45434</v>
      </c>
      <c r="P770" s="22">
        <v>45799</v>
      </c>
      <c r="Q770" s="23">
        <f t="shared" si="317"/>
        <v>365</v>
      </c>
      <c r="R770" s="17" t="s">
        <v>2934</v>
      </c>
      <c r="S770" s="16" t="s">
        <v>1424</v>
      </c>
      <c r="T770" s="16" t="s">
        <v>1424</v>
      </c>
      <c r="U770" s="67" t="s">
        <v>1424</v>
      </c>
      <c r="V770" s="16" t="s">
        <v>1424</v>
      </c>
      <c r="W770" s="224">
        <v>0</v>
      </c>
      <c r="X770" s="24"/>
      <c r="Y770" s="24" t="s">
        <v>2935</v>
      </c>
      <c r="Z770" s="24"/>
      <c r="AA770" s="17" t="s">
        <v>406</v>
      </c>
      <c r="AB770" s="23" t="str">
        <f>IFERROR(VLOOKUP(AA770,Listas!$A$1:$C$14,2,FALSE),"")</f>
        <v>EDUARDO ELÍAS BARCHA BOLÍVAR</v>
      </c>
      <c r="AC770" s="23">
        <f>IFERROR(VLOOKUP(AA770,Listas!$A$1:$C$14,3,FALSE),"")</f>
        <v>72133921</v>
      </c>
      <c r="AD770" s="17" t="s">
        <v>1533</v>
      </c>
      <c r="AE770" s="17" t="s">
        <v>1534</v>
      </c>
      <c r="AF770" s="23" t="str">
        <f>IFERROR(VLOOKUP(AE770,Listas!$AD$1:$AF$65,2,FALSE),"")</f>
        <v>ESTEBAN GUERRERO ALVAREZ</v>
      </c>
      <c r="AG770" s="23">
        <f>IFERROR(VLOOKUP(AE770,Listas!$AD$1:$AF$65,3,FALSE),"")</f>
        <v>1032460552</v>
      </c>
      <c r="AH770" s="17" t="s">
        <v>2936</v>
      </c>
      <c r="AI770" s="65"/>
      <c r="AJ770" s="25" t="s">
        <v>1435</v>
      </c>
      <c r="AK770" s="26" t="s">
        <v>2071</v>
      </c>
      <c r="AL770" s="26" t="s">
        <v>2071</v>
      </c>
      <c r="AM770" s="90" t="s">
        <v>1435</v>
      </c>
      <c r="AN770" s="105"/>
      <c r="AO770" s="91" t="str">
        <f t="shared" ca="1" si="318"/>
        <v xml:space="preserve"> </v>
      </c>
      <c r="AP770" s="26" t="s">
        <v>2937</v>
      </c>
      <c r="AQ770" s="26" t="s">
        <v>3437</v>
      </c>
      <c r="AR770" s="89"/>
      <c r="AS770" s="27"/>
      <c r="AT770" s="16"/>
      <c r="AU770" s="27"/>
      <c r="AV770" s="86"/>
      <c r="AW770" s="27"/>
      <c r="AX770" s="27"/>
      <c r="AY770" s="27"/>
      <c r="AZ770" s="27"/>
      <c r="BA770" s="27"/>
      <c r="BB770" s="27">
        <v>45694</v>
      </c>
      <c r="BC770" s="97">
        <v>223</v>
      </c>
      <c r="BD770" s="27"/>
      <c r="BE770" s="16"/>
      <c r="BF770" s="28">
        <f t="shared" si="319"/>
        <v>223</v>
      </c>
      <c r="BG770" s="29"/>
      <c r="BH770" s="27"/>
      <c r="BI770" s="30">
        <f t="shared" si="320"/>
        <v>588</v>
      </c>
      <c r="BJ770" s="31">
        <f t="shared" si="321"/>
        <v>46022</v>
      </c>
      <c r="BK770" s="27">
        <v>45694</v>
      </c>
      <c r="BL770" s="16" t="s">
        <v>6156</v>
      </c>
      <c r="BM770" s="27"/>
      <c r="BN770" s="16"/>
      <c r="BO770" s="27"/>
      <c r="BP770" s="16"/>
      <c r="BQ770" s="27"/>
      <c r="BR770" s="24"/>
      <c r="BS770" s="24"/>
      <c r="BT770" s="32"/>
      <c r="BU770" s="27"/>
      <c r="BV770" s="24"/>
      <c r="BW770" s="24"/>
      <c r="BX770" s="16"/>
      <c r="BY770" s="27"/>
      <c r="BZ770" s="24"/>
      <c r="CA770" s="24"/>
      <c r="CB770" s="16"/>
      <c r="CC770" s="49">
        <f t="shared" si="315"/>
        <v>0</v>
      </c>
      <c r="CD770" s="24"/>
      <c r="CE770" s="49" t="str">
        <f>IFERROR(IF(Y770=0,(W770+CC770)-CD770,IF(Y770&gt;0,(Y770+CC770)-CD770)),"")</f>
        <v/>
      </c>
      <c r="CF770" s="50">
        <v>1515246160.3199999</v>
      </c>
      <c r="CG770" s="49" t="str">
        <f t="shared" ca="1" si="323"/>
        <v/>
      </c>
      <c r="CH770" s="33">
        <f t="shared" ca="1" si="312"/>
        <v>0.87737478411053538</v>
      </c>
      <c r="CI770" s="33">
        <f t="shared" ca="1" si="313"/>
        <v>0.87737478411053538</v>
      </c>
      <c r="CJ770" s="36" t="str">
        <f t="shared" ca="1" si="309"/>
        <v/>
      </c>
      <c r="CK770" s="34" t="str">
        <f t="shared" si="310"/>
        <v/>
      </c>
      <c r="CL770" s="21"/>
      <c r="CM770" s="35" t="str">
        <f t="shared" ca="1" si="322"/>
        <v>VIGENTE</v>
      </c>
      <c r="CN770" s="82"/>
      <c r="CO770" s="145"/>
      <c r="CP770" s="83" t="s">
        <v>1424</v>
      </c>
      <c r="CQ770" s="83"/>
      <c r="CR770" s="83"/>
    </row>
    <row r="771" spans="1:98" ht="24.75" customHeight="1">
      <c r="A771" s="48" t="s">
        <v>6157</v>
      </c>
      <c r="B771" s="77" t="s">
        <v>6158</v>
      </c>
      <c r="C771" s="17" t="s">
        <v>104</v>
      </c>
      <c r="D771" s="18" t="s">
        <v>6159</v>
      </c>
      <c r="E771" s="17" t="s">
        <v>106</v>
      </c>
      <c r="F771" s="17" t="s">
        <v>1426</v>
      </c>
      <c r="G771" s="17" t="s">
        <v>1427</v>
      </c>
      <c r="H771" s="78" t="s">
        <v>6160</v>
      </c>
      <c r="I771" s="74" t="s">
        <v>6161</v>
      </c>
      <c r="J771" s="16" t="s">
        <v>6162</v>
      </c>
      <c r="K771" s="16">
        <v>32812089</v>
      </c>
      <c r="L771" s="20" t="s">
        <v>6163</v>
      </c>
      <c r="M771" s="16"/>
      <c r="N771" s="22">
        <v>45435</v>
      </c>
      <c r="O771" s="22">
        <v>45443</v>
      </c>
      <c r="P771" s="22">
        <v>45656</v>
      </c>
      <c r="Q771" s="23">
        <f t="shared" si="317"/>
        <v>213</v>
      </c>
      <c r="R771" s="17" t="s">
        <v>242</v>
      </c>
      <c r="S771" s="16" t="s">
        <v>6164</v>
      </c>
      <c r="T771" s="16" t="s">
        <v>6165</v>
      </c>
      <c r="U771" s="67">
        <v>33179376</v>
      </c>
      <c r="V771" s="16" t="s">
        <v>6166</v>
      </c>
      <c r="W771" s="224">
        <v>33179376</v>
      </c>
      <c r="X771" s="24"/>
      <c r="Y771" s="24"/>
      <c r="Z771" s="24"/>
      <c r="AA771" s="17" t="s">
        <v>116</v>
      </c>
      <c r="AB771" s="23" t="str">
        <f>IFERROR(VLOOKUP(AA771,Listas!$A$1:$C$14,2,FALSE),"")</f>
        <v>FREDY CÉSPEDES VILLA</v>
      </c>
      <c r="AC771" s="23">
        <f>IFERROR(VLOOKUP(AA771,Listas!$A$1:$C$14,3,FALSE),"")</f>
        <v>93363483</v>
      </c>
      <c r="AD771" s="17" t="s">
        <v>406</v>
      </c>
      <c r="AE771" s="17" t="s">
        <v>407</v>
      </c>
      <c r="AF771" s="23" t="str">
        <f>IFERROR(VLOOKUP(AE771,Listas!$AD$1:$AF$65,2,FALSE),"")</f>
        <v>MARÍA VICTORIA CAMARGO CORTÉS</v>
      </c>
      <c r="AG771" s="23">
        <f>IFERROR(VLOOKUP(AE771,Listas!$AD$1:$AF$65,3,FALSE),"")</f>
        <v>52496497</v>
      </c>
      <c r="AH771" s="17" t="s">
        <v>5821</v>
      </c>
      <c r="AI771" s="65"/>
      <c r="AJ771" s="25" t="s">
        <v>1435</v>
      </c>
      <c r="AK771" s="26" t="s">
        <v>2071</v>
      </c>
      <c r="AL771" s="26" t="s">
        <v>2071</v>
      </c>
      <c r="AM771" s="90" t="s">
        <v>1435</v>
      </c>
      <c r="AN771" s="105"/>
      <c r="AO771" s="91" t="str">
        <f t="shared" ca="1" si="318"/>
        <v xml:space="preserve"> </v>
      </c>
      <c r="AP771" s="26" t="s">
        <v>121</v>
      </c>
      <c r="AQ771" s="26" t="s">
        <v>886</v>
      </c>
      <c r="AR771" s="89"/>
      <c r="AS771" s="27"/>
      <c r="AT771" s="16"/>
      <c r="AU771" s="27"/>
      <c r="AV771" s="86"/>
      <c r="AW771" s="27"/>
      <c r="AX771" s="27"/>
      <c r="AY771" s="27"/>
      <c r="AZ771" s="27"/>
      <c r="BA771" s="27"/>
      <c r="BB771" s="27"/>
      <c r="BC771" s="97"/>
      <c r="BD771" s="27"/>
      <c r="BE771" s="16"/>
      <c r="BF771" s="28">
        <f t="shared" si="319"/>
        <v>0</v>
      </c>
      <c r="BG771" s="29"/>
      <c r="BH771" s="27"/>
      <c r="BI771" s="30">
        <f t="shared" si="320"/>
        <v>213</v>
      </c>
      <c r="BJ771" s="31">
        <f t="shared" si="321"/>
        <v>45656</v>
      </c>
      <c r="BK771" s="27"/>
      <c r="BL771" s="16"/>
      <c r="BM771" s="27"/>
      <c r="BN771" s="16"/>
      <c r="BO771" s="27"/>
      <c r="BP771" s="16"/>
      <c r="BQ771" s="27"/>
      <c r="BR771" s="24"/>
      <c r="BS771" s="24"/>
      <c r="BT771" s="32"/>
      <c r="BU771" s="27"/>
      <c r="BV771" s="24"/>
      <c r="BW771" s="24"/>
      <c r="BX771" s="16"/>
      <c r="BY771" s="27"/>
      <c r="BZ771" s="24"/>
      <c r="CA771" s="24"/>
      <c r="CB771" s="16"/>
      <c r="CC771" s="49">
        <f t="shared" ref="CC771:CC777" si="324">BR771+BV771+BZ771</f>
        <v>0</v>
      </c>
      <c r="CD771" s="24"/>
      <c r="CE771" s="49">
        <f t="shared" si="316"/>
        <v>33179376</v>
      </c>
      <c r="CF771" s="50"/>
      <c r="CG771" s="49">
        <f t="shared" ca="1" si="323"/>
        <v>33179376</v>
      </c>
      <c r="CH771" s="33">
        <f t="shared" ca="1" si="312"/>
        <v>1</v>
      </c>
      <c r="CI771" s="33">
        <f t="shared" ca="1" si="313"/>
        <v>1</v>
      </c>
      <c r="CJ771" s="36">
        <f t="shared" ca="1" si="309"/>
        <v>100</v>
      </c>
      <c r="CK771" s="34">
        <f t="shared" si="310"/>
        <v>0</v>
      </c>
      <c r="CL771" s="21"/>
      <c r="CM771" s="35" t="str">
        <f t="shared" ca="1" si="322"/>
        <v>TERMINADO</v>
      </c>
      <c r="CN771" s="82" t="s">
        <v>6167</v>
      </c>
      <c r="CP771" s="83" t="s">
        <v>1424</v>
      </c>
    </row>
    <row r="772" spans="1:98" s="85" customFormat="1" ht="24.75" customHeight="1">
      <c r="A772" s="48" t="s">
        <v>6168</v>
      </c>
      <c r="B772" s="77" t="s">
        <v>6169</v>
      </c>
      <c r="C772" s="17" t="s">
        <v>104</v>
      </c>
      <c r="D772" s="18" t="s">
        <v>6170</v>
      </c>
      <c r="E772" s="17" t="s">
        <v>106</v>
      </c>
      <c r="F772" s="17" t="s">
        <v>107</v>
      </c>
      <c r="G772" s="17" t="s">
        <v>108</v>
      </c>
      <c r="H772" s="78">
        <v>1014195356</v>
      </c>
      <c r="I772" s="74" t="s">
        <v>6171</v>
      </c>
      <c r="J772" s="16"/>
      <c r="K772" s="16"/>
      <c r="L772" s="20" t="s">
        <v>2851</v>
      </c>
      <c r="M772" s="16" t="s">
        <v>111</v>
      </c>
      <c r="N772" s="22">
        <v>45449</v>
      </c>
      <c r="O772" s="22">
        <v>45454</v>
      </c>
      <c r="P772" s="22">
        <v>45656</v>
      </c>
      <c r="Q772" s="23">
        <f t="shared" si="317"/>
        <v>202</v>
      </c>
      <c r="R772" s="17" t="s">
        <v>242</v>
      </c>
      <c r="S772" s="16" t="s">
        <v>6172</v>
      </c>
      <c r="T772" s="16" t="s">
        <v>1128</v>
      </c>
      <c r="U772" s="67">
        <v>72106667</v>
      </c>
      <c r="V772" s="16" t="s">
        <v>815</v>
      </c>
      <c r="W772" s="224">
        <v>72106667</v>
      </c>
      <c r="X772" s="24">
        <v>6400000</v>
      </c>
      <c r="Y772" s="24"/>
      <c r="Z772" s="24"/>
      <c r="AA772" s="17" t="s">
        <v>116</v>
      </c>
      <c r="AB772" s="23" t="str">
        <f>IFERROR(VLOOKUP(AA772,Listas!$A$1:$C$14,2,FALSE),"")</f>
        <v>FREDY CÉSPEDES VILLA</v>
      </c>
      <c r="AC772" s="23">
        <f>IFERROR(VLOOKUP(AA772,Listas!$A$1:$C$14,3,FALSE),"")</f>
        <v>93363483</v>
      </c>
      <c r="AD772" s="17" t="s">
        <v>816</v>
      </c>
      <c r="AE772" s="17" t="s">
        <v>817</v>
      </c>
      <c r="AF772" s="23" t="str">
        <f>IFERROR(VLOOKUP(AE772,Listas!$AD$1:$AF$65,2,FALSE),"")</f>
        <v>JOSÉ EDUARDO PARADA JIMÉNEZ</v>
      </c>
      <c r="AG772" s="23">
        <f>IFERROR(VLOOKUP(AE772,Listas!$AD$1:$AF$65,3,FALSE),"")</f>
        <v>79434805</v>
      </c>
      <c r="AH772" s="17" t="s">
        <v>118</v>
      </c>
      <c r="AI772" s="65" t="s">
        <v>6173</v>
      </c>
      <c r="AJ772" s="25" t="s">
        <v>4370</v>
      </c>
      <c r="AK772" s="26" t="s">
        <v>120</v>
      </c>
      <c r="AL772" s="26" t="s">
        <v>120</v>
      </c>
      <c r="AM772" s="90" t="s">
        <v>119</v>
      </c>
      <c r="AN772" s="105">
        <v>32432</v>
      </c>
      <c r="AO772" s="91">
        <f t="shared" ca="1" si="318"/>
        <v>37</v>
      </c>
      <c r="AP772" s="26" t="s">
        <v>121</v>
      </c>
      <c r="AQ772" s="26" t="s">
        <v>819</v>
      </c>
      <c r="AR772" s="89"/>
      <c r="AS772" s="27"/>
      <c r="AT772" s="16"/>
      <c r="AU772" s="27"/>
      <c r="AV772" s="86"/>
      <c r="AW772" s="27"/>
      <c r="AX772" s="27"/>
      <c r="AY772" s="27"/>
      <c r="AZ772" s="27"/>
      <c r="BA772" s="27"/>
      <c r="BB772" s="27"/>
      <c r="BC772" s="97"/>
      <c r="BD772" s="27"/>
      <c r="BE772" s="16"/>
      <c r="BF772" s="28">
        <f t="shared" si="319"/>
        <v>0</v>
      </c>
      <c r="BG772" s="29"/>
      <c r="BH772" s="27"/>
      <c r="BI772" s="30">
        <f t="shared" si="320"/>
        <v>202</v>
      </c>
      <c r="BJ772" s="31">
        <f t="shared" si="321"/>
        <v>45656</v>
      </c>
      <c r="BK772" s="27"/>
      <c r="BL772" s="16"/>
      <c r="BM772" s="27"/>
      <c r="BN772" s="16"/>
      <c r="BO772" s="27"/>
      <c r="BP772" s="16"/>
      <c r="BQ772" s="27"/>
      <c r="BR772" s="24"/>
      <c r="BS772" s="24"/>
      <c r="BT772" s="32"/>
      <c r="BU772" s="27"/>
      <c r="BV772" s="24"/>
      <c r="BW772" s="24"/>
      <c r="BX772" s="16"/>
      <c r="BY772" s="27"/>
      <c r="BZ772" s="24"/>
      <c r="CA772" s="24"/>
      <c r="CB772" s="16"/>
      <c r="CC772" s="49">
        <f t="shared" si="324"/>
        <v>0</v>
      </c>
      <c r="CD772" s="24"/>
      <c r="CE772" s="49">
        <f t="shared" si="316"/>
        <v>72106667</v>
      </c>
      <c r="CF772" s="50"/>
      <c r="CG772" s="49">
        <f t="shared" ca="1" si="323"/>
        <v>72106667</v>
      </c>
      <c r="CH772" s="33">
        <f t="shared" ca="1" si="312"/>
        <v>1</v>
      </c>
      <c r="CI772" s="33">
        <f t="shared" ca="1" si="313"/>
        <v>1</v>
      </c>
      <c r="CJ772" s="36">
        <f t="shared" ca="1" si="309"/>
        <v>100</v>
      </c>
      <c r="CK772" s="34">
        <f t="shared" si="310"/>
        <v>0</v>
      </c>
      <c r="CL772" s="21"/>
      <c r="CM772" s="35" t="str">
        <f t="shared" ca="1" si="322"/>
        <v>TERMINADO</v>
      </c>
      <c r="CN772" s="82"/>
      <c r="CO772" s="145"/>
      <c r="CP772" s="83" t="s">
        <v>142</v>
      </c>
      <c r="CQ772" s="83"/>
      <c r="CR772" s="83"/>
    </row>
    <row r="773" spans="1:98" ht="24.75" customHeight="1">
      <c r="A773" s="48" t="s">
        <v>6174</v>
      </c>
      <c r="B773" s="77" t="s">
        <v>6175</v>
      </c>
      <c r="C773" s="17" t="s">
        <v>104</v>
      </c>
      <c r="D773" s="18" t="s">
        <v>6176</v>
      </c>
      <c r="E773" s="17" t="s">
        <v>106</v>
      </c>
      <c r="F773" s="17" t="s">
        <v>107</v>
      </c>
      <c r="G773" s="17" t="s">
        <v>108</v>
      </c>
      <c r="H773" s="78">
        <v>52381476</v>
      </c>
      <c r="I773" s="74" t="s">
        <v>6177</v>
      </c>
      <c r="J773" s="16"/>
      <c r="K773" s="16"/>
      <c r="L773" s="20" t="s">
        <v>6178</v>
      </c>
      <c r="M773" s="16" t="s">
        <v>111</v>
      </c>
      <c r="N773" s="22">
        <v>45440</v>
      </c>
      <c r="O773" s="22">
        <v>45467</v>
      </c>
      <c r="P773" s="22">
        <v>45656</v>
      </c>
      <c r="Q773" s="23">
        <f t="shared" si="317"/>
        <v>189</v>
      </c>
      <c r="R773" s="17" t="s">
        <v>242</v>
      </c>
      <c r="S773" s="16" t="s">
        <v>6179</v>
      </c>
      <c r="T773" s="16" t="s">
        <v>1128</v>
      </c>
      <c r="U773" s="67">
        <v>36500000</v>
      </c>
      <c r="V773" s="16" t="s">
        <v>815</v>
      </c>
      <c r="W773" s="224">
        <v>36500000</v>
      </c>
      <c r="X773" s="24">
        <v>5000000</v>
      </c>
      <c r="Y773" s="24"/>
      <c r="Z773" s="24"/>
      <c r="AA773" s="17" t="s">
        <v>116</v>
      </c>
      <c r="AB773" s="23" t="str">
        <f>IFERROR(VLOOKUP(AA773,Listas!$A$1:$C$14,2,FALSE),"")</f>
        <v>FREDY CÉSPEDES VILLA</v>
      </c>
      <c r="AC773" s="23">
        <f>IFERROR(VLOOKUP(AA773,Listas!$A$1:$C$14,3,FALSE),"")</f>
        <v>93363483</v>
      </c>
      <c r="AD773" s="17" t="s">
        <v>816</v>
      </c>
      <c r="AE773" s="17" t="s">
        <v>1450</v>
      </c>
      <c r="AF773" s="23" t="str">
        <f>IFERROR(VLOOKUP(AE773,Listas!$AD$1:$AF$65,2,FALSE),"")</f>
        <v>LINA MARIA CRUZ SILVA</v>
      </c>
      <c r="AG773" s="23">
        <f>IFERROR(VLOOKUP(AE773,Listas!$AD$1:$AF$65,3,FALSE),"")</f>
        <v>52423537</v>
      </c>
      <c r="AH773" s="17" t="s">
        <v>6056</v>
      </c>
      <c r="AI773" s="65" t="s">
        <v>6180</v>
      </c>
      <c r="AJ773" s="25" t="s">
        <v>4370</v>
      </c>
      <c r="AK773" s="26" t="s">
        <v>120</v>
      </c>
      <c r="AL773" s="26" t="s">
        <v>120</v>
      </c>
      <c r="AM773" s="90" t="s">
        <v>119</v>
      </c>
      <c r="AN773" s="105">
        <v>28459</v>
      </c>
      <c r="AO773" s="91">
        <f t="shared" ca="1" si="318"/>
        <v>48</v>
      </c>
      <c r="AP773" s="26" t="s">
        <v>121</v>
      </c>
      <c r="AQ773" s="26" t="s">
        <v>1641</v>
      </c>
      <c r="AR773" s="89"/>
      <c r="AS773" s="27"/>
      <c r="AT773" s="16"/>
      <c r="AU773" s="27"/>
      <c r="AV773" s="86"/>
      <c r="AW773" s="27"/>
      <c r="AX773" s="27"/>
      <c r="AY773" s="27"/>
      <c r="AZ773" s="27"/>
      <c r="BA773" s="27"/>
      <c r="BB773" s="27"/>
      <c r="BC773" s="97"/>
      <c r="BD773" s="27"/>
      <c r="BE773" s="16"/>
      <c r="BF773" s="28">
        <f t="shared" si="319"/>
        <v>0</v>
      </c>
      <c r="BG773" s="29"/>
      <c r="BH773" s="27"/>
      <c r="BI773" s="30">
        <f t="shared" si="320"/>
        <v>189</v>
      </c>
      <c r="BJ773" s="31">
        <f t="shared" si="321"/>
        <v>45656</v>
      </c>
      <c r="BK773" s="27"/>
      <c r="BL773" s="16"/>
      <c r="BM773" s="27"/>
      <c r="BN773" s="16"/>
      <c r="BO773" s="27"/>
      <c r="BP773" s="16"/>
      <c r="BQ773" s="27"/>
      <c r="BR773" s="24"/>
      <c r="BS773" s="24"/>
      <c r="BT773" s="32"/>
      <c r="BU773" s="27"/>
      <c r="BV773" s="24"/>
      <c r="BW773" s="24"/>
      <c r="BX773" s="16"/>
      <c r="BY773" s="27"/>
      <c r="BZ773" s="24"/>
      <c r="CA773" s="24"/>
      <c r="CB773" s="16"/>
      <c r="CC773" s="49">
        <f t="shared" si="324"/>
        <v>0</v>
      </c>
      <c r="CD773" s="24"/>
      <c r="CE773" s="49">
        <f t="shared" si="316"/>
        <v>36500000</v>
      </c>
      <c r="CF773" s="50"/>
      <c r="CG773" s="49">
        <f t="shared" ca="1" si="323"/>
        <v>36500000</v>
      </c>
      <c r="CH773" s="33">
        <f t="shared" ca="1" si="312"/>
        <v>1</v>
      </c>
      <c r="CI773" s="33">
        <f t="shared" ca="1" si="313"/>
        <v>1</v>
      </c>
      <c r="CJ773" s="36">
        <f t="shared" ca="1" si="309"/>
        <v>100</v>
      </c>
      <c r="CK773" s="34">
        <f t="shared" si="310"/>
        <v>0</v>
      </c>
      <c r="CL773" s="21"/>
      <c r="CM773" s="35" t="str">
        <f t="shared" ca="1" si="322"/>
        <v>TERMINADO</v>
      </c>
      <c r="CN773" s="82"/>
      <c r="CO773" s="145" t="s">
        <v>6181</v>
      </c>
      <c r="CP773" s="26" t="s">
        <v>123</v>
      </c>
    </row>
    <row r="774" spans="1:98" ht="24.75" customHeight="1">
      <c r="A774" s="48" t="s">
        <v>6182</v>
      </c>
      <c r="B774" s="77" t="s">
        <v>6183</v>
      </c>
      <c r="C774" s="17" t="s">
        <v>104</v>
      </c>
      <c r="D774" s="18" t="s">
        <v>6184</v>
      </c>
      <c r="E774" s="17" t="s">
        <v>106</v>
      </c>
      <c r="F774" s="17" t="s">
        <v>107</v>
      </c>
      <c r="G774" s="17" t="s">
        <v>108</v>
      </c>
      <c r="H774" s="78">
        <v>1014187003</v>
      </c>
      <c r="I774" s="74" t="s">
        <v>6185</v>
      </c>
      <c r="J774" s="16"/>
      <c r="K774" s="16"/>
      <c r="L774" s="20" t="s">
        <v>6186</v>
      </c>
      <c r="M774" s="16" t="s">
        <v>111</v>
      </c>
      <c r="N774" s="22">
        <v>45443</v>
      </c>
      <c r="O774" s="22">
        <v>45450</v>
      </c>
      <c r="P774" s="22">
        <v>45656</v>
      </c>
      <c r="Q774" s="23">
        <f t="shared" si="317"/>
        <v>206</v>
      </c>
      <c r="R774" s="17" t="s">
        <v>242</v>
      </c>
      <c r="S774" s="16" t="s">
        <v>6187</v>
      </c>
      <c r="T774" s="16" t="s">
        <v>1128</v>
      </c>
      <c r="U774" s="67" t="s">
        <v>6188</v>
      </c>
      <c r="V774" s="16" t="s">
        <v>815</v>
      </c>
      <c r="W774" s="224" t="s">
        <v>6188</v>
      </c>
      <c r="X774" s="24" t="s">
        <v>6189</v>
      </c>
      <c r="Y774" s="24"/>
      <c r="Z774" s="24"/>
      <c r="AA774" s="17" t="s">
        <v>116</v>
      </c>
      <c r="AB774" s="23" t="str">
        <f>IFERROR(VLOOKUP(AA774,Listas!$A$1:$C$14,2,FALSE),"")</f>
        <v>FREDY CÉSPEDES VILLA</v>
      </c>
      <c r="AC774" s="23">
        <f>IFERROR(VLOOKUP(AA774,Listas!$A$1:$C$14,3,FALSE),"")</f>
        <v>93363483</v>
      </c>
      <c r="AD774" s="17" t="s">
        <v>816</v>
      </c>
      <c r="AE774" s="17" t="s">
        <v>1450</v>
      </c>
      <c r="AF774" s="23" t="str">
        <f>IFERROR(VLOOKUP(AE774,Listas!$AD$1:$AF$65,2,FALSE),"")</f>
        <v>LINA MARIA CRUZ SILVA</v>
      </c>
      <c r="AG774" s="23">
        <f>IFERROR(VLOOKUP(AE774,Listas!$AD$1:$AF$65,3,FALSE),"")</f>
        <v>52423537</v>
      </c>
      <c r="AH774" s="17" t="s">
        <v>118</v>
      </c>
      <c r="AI774" s="65" t="s">
        <v>6190</v>
      </c>
      <c r="AJ774" s="25" t="s">
        <v>4370</v>
      </c>
      <c r="AK774" s="26" t="s">
        <v>120</v>
      </c>
      <c r="AL774" s="26" t="s">
        <v>120</v>
      </c>
      <c r="AM774" s="90" t="s">
        <v>119</v>
      </c>
      <c r="AN774" s="105">
        <v>32016</v>
      </c>
      <c r="AO774" s="91">
        <f t="shared" ca="1" si="318"/>
        <v>38</v>
      </c>
      <c r="AP774" s="26" t="s">
        <v>121</v>
      </c>
      <c r="AQ774" s="26" t="s">
        <v>1641</v>
      </c>
      <c r="AR774" s="89"/>
      <c r="AS774" s="27"/>
      <c r="AT774" s="16"/>
      <c r="AU774" s="27"/>
      <c r="AV774" s="86"/>
      <c r="AW774" s="27"/>
      <c r="AX774" s="27"/>
      <c r="AY774" s="27"/>
      <c r="AZ774" s="27"/>
      <c r="BA774" s="27"/>
      <c r="BB774" s="27"/>
      <c r="BC774" s="97"/>
      <c r="BD774" s="27"/>
      <c r="BE774" s="16"/>
      <c r="BF774" s="28">
        <f t="shared" si="319"/>
        <v>0</v>
      </c>
      <c r="BG774" s="29"/>
      <c r="BH774" s="27"/>
      <c r="BI774" s="30">
        <f t="shared" si="320"/>
        <v>206</v>
      </c>
      <c r="BJ774" s="31">
        <f t="shared" si="321"/>
        <v>45656</v>
      </c>
      <c r="BK774" s="27"/>
      <c r="BL774" s="16"/>
      <c r="BM774" s="27"/>
      <c r="BN774" s="16"/>
      <c r="BO774" s="27"/>
      <c r="BP774" s="16"/>
      <c r="BQ774" s="27"/>
      <c r="BR774" s="24"/>
      <c r="BS774" s="24"/>
      <c r="BT774" s="32"/>
      <c r="BU774" s="27"/>
      <c r="BV774" s="24"/>
      <c r="BW774" s="24"/>
      <c r="BX774" s="16"/>
      <c r="BY774" s="27"/>
      <c r="BZ774" s="24"/>
      <c r="CA774" s="24"/>
      <c r="CB774" s="16"/>
      <c r="CC774" s="49">
        <f t="shared" si="324"/>
        <v>0</v>
      </c>
      <c r="CD774" s="24"/>
      <c r="CE774" s="49">
        <v>44800000</v>
      </c>
      <c r="CF774" s="50">
        <v>44800000</v>
      </c>
      <c r="CG774" s="49">
        <f t="shared" ca="1" si="323"/>
        <v>44800000</v>
      </c>
      <c r="CH774" s="33">
        <f t="shared" ca="1" si="312"/>
        <v>1</v>
      </c>
      <c r="CI774" s="33">
        <f t="shared" ca="1" si="313"/>
        <v>1</v>
      </c>
      <c r="CJ774" s="36">
        <f t="shared" ca="1" si="309"/>
        <v>100</v>
      </c>
      <c r="CK774" s="34">
        <f t="shared" si="310"/>
        <v>100</v>
      </c>
      <c r="CL774" s="21"/>
      <c r="CM774" s="35" t="str">
        <f t="shared" ca="1" si="322"/>
        <v>TERMINADO</v>
      </c>
      <c r="CN774" s="82"/>
      <c r="CP774" s="83" t="s">
        <v>123</v>
      </c>
    </row>
    <row r="775" spans="1:98" ht="24.75" customHeight="1">
      <c r="A775" s="48" t="s">
        <v>4203</v>
      </c>
      <c r="B775" s="77" t="s">
        <v>6191</v>
      </c>
      <c r="C775" s="17" t="s">
        <v>104</v>
      </c>
      <c r="D775" s="18" t="s">
        <v>6192</v>
      </c>
      <c r="E775" s="17" t="s">
        <v>106</v>
      </c>
      <c r="F775" s="17" t="s">
        <v>107</v>
      </c>
      <c r="G775" s="17" t="s">
        <v>108</v>
      </c>
      <c r="H775" s="78">
        <v>1105670898</v>
      </c>
      <c r="I775" s="74" t="s">
        <v>4206</v>
      </c>
      <c r="J775" s="16"/>
      <c r="K775" s="16"/>
      <c r="L775" s="20" t="s">
        <v>6193</v>
      </c>
      <c r="M775" s="16" t="s">
        <v>111</v>
      </c>
      <c r="N775" s="22">
        <v>45450</v>
      </c>
      <c r="O775" s="22">
        <v>45477</v>
      </c>
      <c r="P775" s="22">
        <v>45656</v>
      </c>
      <c r="Q775" s="23">
        <f t="shared" si="317"/>
        <v>179</v>
      </c>
      <c r="R775" s="17" t="s">
        <v>242</v>
      </c>
      <c r="S775" s="16" t="s">
        <v>6194</v>
      </c>
      <c r="T775" s="16" t="s">
        <v>343</v>
      </c>
      <c r="U775" s="67">
        <v>41105805</v>
      </c>
      <c r="V775" s="16" t="s">
        <v>784</v>
      </c>
      <c r="W775" s="224">
        <v>41105805</v>
      </c>
      <c r="X775" s="24">
        <v>5762496</v>
      </c>
      <c r="Y775" s="24"/>
      <c r="Z775" s="24"/>
      <c r="AA775" s="17" t="s">
        <v>116</v>
      </c>
      <c r="AB775" s="23" t="str">
        <f>IFERROR(VLOOKUP(AA775,Listas!$A$1:$C$14,2,FALSE),"")</f>
        <v>FREDY CÉSPEDES VILLA</v>
      </c>
      <c r="AC775" s="23">
        <f>IFERROR(VLOOKUP(AA775,Listas!$A$1:$C$14,3,FALSE),"")</f>
        <v>93363483</v>
      </c>
      <c r="AD775" s="17" t="s">
        <v>345</v>
      </c>
      <c r="AE775" s="17" t="s">
        <v>346</v>
      </c>
      <c r="AF775" s="23" t="str">
        <f>IFERROR(VLOOKUP(AE775,Listas!$AD$1:$AF$65,2,FALSE),"")</f>
        <v>RODOLFO GIOVANNI CANCHILA SUÁREZ</v>
      </c>
      <c r="AG775" s="23">
        <f>IFERROR(VLOOKUP(AE775,Listas!$AD$1:$AF$65,3,FALSE),"")</f>
        <v>79672493</v>
      </c>
      <c r="AH775" s="17" t="s">
        <v>118</v>
      </c>
      <c r="AI775" s="65" t="s">
        <v>6195</v>
      </c>
      <c r="AJ775" s="25" t="s">
        <v>4370</v>
      </c>
      <c r="AK775" s="26" t="s">
        <v>120</v>
      </c>
      <c r="AL775" s="26" t="s">
        <v>120</v>
      </c>
      <c r="AM775" s="90" t="s">
        <v>119</v>
      </c>
      <c r="AN775" s="105">
        <v>31543</v>
      </c>
      <c r="AO775" s="91">
        <f t="shared" ca="1" si="318"/>
        <v>39</v>
      </c>
      <c r="AP775" s="26" t="s">
        <v>121</v>
      </c>
      <c r="AQ775" s="26" t="s">
        <v>347</v>
      </c>
      <c r="AR775" s="89"/>
      <c r="AS775" s="27"/>
      <c r="AT775" s="16"/>
      <c r="AU775" s="27"/>
      <c r="AV775" s="86"/>
      <c r="AW775" s="27"/>
      <c r="AX775" s="27"/>
      <c r="AY775" s="27"/>
      <c r="AZ775" s="27"/>
      <c r="BA775" s="27"/>
      <c r="BB775" s="27"/>
      <c r="BC775" s="97"/>
      <c r="BD775" s="27"/>
      <c r="BE775" s="16"/>
      <c r="BF775" s="28">
        <f t="shared" si="319"/>
        <v>0</v>
      </c>
      <c r="BG775" s="29"/>
      <c r="BH775" s="27"/>
      <c r="BI775" s="30">
        <f t="shared" si="320"/>
        <v>179</v>
      </c>
      <c r="BJ775" s="31">
        <f t="shared" si="321"/>
        <v>45656</v>
      </c>
      <c r="BK775" s="27"/>
      <c r="BL775" s="16"/>
      <c r="BM775" s="27"/>
      <c r="BN775" s="16"/>
      <c r="BO775" s="27"/>
      <c r="BP775" s="16"/>
      <c r="BQ775" s="27"/>
      <c r="BR775" s="24"/>
      <c r="BS775" s="24"/>
      <c r="BT775" s="32"/>
      <c r="BU775" s="27"/>
      <c r="BV775" s="24"/>
      <c r="BW775" s="24"/>
      <c r="BX775" s="16"/>
      <c r="BY775" s="27"/>
      <c r="BZ775" s="24"/>
      <c r="CA775" s="24"/>
      <c r="CB775" s="16"/>
      <c r="CC775" s="49">
        <f t="shared" si="324"/>
        <v>0</v>
      </c>
      <c r="CD775" s="24"/>
      <c r="CE775" s="49">
        <f t="shared" si="316"/>
        <v>41105805</v>
      </c>
      <c r="CF775" s="50"/>
      <c r="CG775" s="49">
        <f t="shared" ca="1" si="323"/>
        <v>41105805</v>
      </c>
      <c r="CH775" s="33">
        <f t="shared" ca="1" si="312"/>
        <v>1</v>
      </c>
      <c r="CI775" s="33">
        <f t="shared" ca="1" si="313"/>
        <v>1</v>
      </c>
      <c r="CJ775" s="36">
        <f t="shared" ca="1" si="309"/>
        <v>100</v>
      </c>
      <c r="CK775" s="34">
        <f t="shared" si="310"/>
        <v>0</v>
      </c>
      <c r="CL775" s="21"/>
      <c r="CM775" s="35" t="str">
        <f t="shared" ca="1" si="322"/>
        <v>TERMINADO</v>
      </c>
      <c r="CN775" s="82"/>
      <c r="CP775" s="83" t="s">
        <v>1424</v>
      </c>
    </row>
    <row r="776" spans="1:98" s="85" customFormat="1" ht="24.75" customHeight="1">
      <c r="A776" s="48" t="s">
        <v>1424</v>
      </c>
      <c r="B776" s="77" t="s">
        <v>6196</v>
      </c>
      <c r="C776" s="17" t="s">
        <v>2927</v>
      </c>
      <c r="D776" s="18" t="s">
        <v>1424</v>
      </c>
      <c r="E776" s="17" t="s">
        <v>6197</v>
      </c>
      <c r="F776" s="17" t="s">
        <v>1426</v>
      </c>
      <c r="G776" s="17" t="s">
        <v>1427</v>
      </c>
      <c r="H776" s="78" t="s">
        <v>6198</v>
      </c>
      <c r="I776" s="74" t="s">
        <v>6199</v>
      </c>
      <c r="J776" s="16" t="s">
        <v>6200</v>
      </c>
      <c r="K776" s="16">
        <v>79796887</v>
      </c>
      <c r="L776" s="20" t="s">
        <v>6201</v>
      </c>
      <c r="M776" s="16"/>
      <c r="N776" s="22">
        <v>45450</v>
      </c>
      <c r="O776" s="22">
        <v>45454</v>
      </c>
      <c r="P776" s="22">
        <v>45639</v>
      </c>
      <c r="Q776" s="23">
        <f t="shared" ref="Q776:Q777" si="325">P776-O776</f>
        <v>185</v>
      </c>
      <c r="R776" s="17" t="s">
        <v>2934</v>
      </c>
      <c r="S776" s="16" t="s">
        <v>1424</v>
      </c>
      <c r="T776" s="16" t="s">
        <v>1424</v>
      </c>
      <c r="U776" s="67">
        <v>0</v>
      </c>
      <c r="V776" s="16" t="s">
        <v>1424</v>
      </c>
      <c r="W776" s="224">
        <v>0</v>
      </c>
      <c r="X776" s="24"/>
      <c r="Y776" s="24">
        <v>612926633</v>
      </c>
      <c r="Z776" s="24"/>
      <c r="AA776" s="17" t="s">
        <v>427</v>
      </c>
      <c r="AB776" s="23" t="str">
        <f>IFERROR(VLOOKUP(AA776,Listas!$A$1:$C$14,2,FALSE),"")</f>
        <v>DINORAH PATRICIA ABADIA MURILLO</v>
      </c>
      <c r="AC776" s="23">
        <f>IFERROR(VLOOKUP(AA776,Listas!$A$1:$C$14,3,FALSE),"")</f>
        <v>52220857</v>
      </c>
      <c r="AD776" s="17" t="s">
        <v>427</v>
      </c>
      <c r="AE776" s="17" t="s">
        <v>428</v>
      </c>
      <c r="AF776" s="23" t="str">
        <f>IFERROR(VLOOKUP(AE776,Listas!$AD$1:$AF$65,2,FALSE),"")</f>
        <v>DINORAH PATRICIA ABADIA MURILLO</v>
      </c>
      <c r="AG776" s="23">
        <f>IFERROR(VLOOKUP(AE776,Listas!$AD$1:$AF$65,3,FALSE),"")</f>
        <v>52220857</v>
      </c>
      <c r="AH776" s="17" t="s">
        <v>2936</v>
      </c>
      <c r="AI776" s="65"/>
      <c r="AJ776" s="25" t="s">
        <v>1435</v>
      </c>
      <c r="AK776" s="26" t="s">
        <v>2071</v>
      </c>
      <c r="AL776" s="26" t="s">
        <v>2071</v>
      </c>
      <c r="AM776" s="90" t="s">
        <v>1435</v>
      </c>
      <c r="AN776" s="105"/>
      <c r="AO776" s="91" t="str">
        <f t="shared" ref="AO776:AO777" ca="1" si="326">IF(YEAR(TODAY())-YEAR(AN776)&gt;100," ",YEAR(TODAY())-YEAR(AN776))</f>
        <v xml:space="preserve"> </v>
      </c>
      <c r="AP776" s="26" t="s">
        <v>2937</v>
      </c>
      <c r="AQ776" s="26" t="s">
        <v>2938</v>
      </c>
      <c r="AR776" s="89"/>
      <c r="AS776" s="27"/>
      <c r="AT776" s="16"/>
      <c r="AU776" s="27"/>
      <c r="AV776" s="86"/>
      <c r="AW776" s="27"/>
      <c r="AX776" s="27"/>
      <c r="AY776" s="27"/>
      <c r="AZ776" s="27"/>
      <c r="BA776" s="27"/>
      <c r="BB776" s="27"/>
      <c r="BC776" s="97"/>
      <c r="BD776" s="27"/>
      <c r="BE776" s="16"/>
      <c r="BF776" s="28">
        <f t="shared" ref="BF776:BF777" si="327">BC776+BE776</f>
        <v>0</v>
      </c>
      <c r="BG776" s="29"/>
      <c r="BH776" s="27"/>
      <c r="BI776" s="30">
        <f t="shared" si="320"/>
        <v>185</v>
      </c>
      <c r="BJ776" s="31">
        <f t="shared" si="321"/>
        <v>45639</v>
      </c>
      <c r="BK776" s="27">
        <v>45477</v>
      </c>
      <c r="BL776" s="16" t="s">
        <v>6202</v>
      </c>
      <c r="BM776" s="27">
        <v>45622</v>
      </c>
      <c r="BN776" s="16" t="s">
        <v>6203</v>
      </c>
      <c r="BO776" s="27"/>
      <c r="BP776" s="16"/>
      <c r="BQ776" s="27"/>
      <c r="BR776" s="24"/>
      <c r="BS776" s="24"/>
      <c r="BT776" s="32"/>
      <c r="BU776" s="27"/>
      <c r="BV776" s="24"/>
      <c r="BW776" s="24"/>
      <c r="BX776" s="16"/>
      <c r="BY776" s="27"/>
      <c r="BZ776" s="24"/>
      <c r="CA776" s="24"/>
      <c r="CB776" s="16"/>
      <c r="CC776" s="49">
        <f t="shared" si="324"/>
        <v>0</v>
      </c>
      <c r="CD776" s="24">
        <v>83594538</v>
      </c>
      <c r="CE776" s="49">
        <f t="shared" si="316"/>
        <v>529332095</v>
      </c>
      <c r="CF776" s="50">
        <v>0</v>
      </c>
      <c r="CG776" s="49">
        <f t="shared" ca="1" si="323"/>
        <v>529332095</v>
      </c>
      <c r="CH776" s="33">
        <f t="shared" ca="1" si="312"/>
        <v>1</v>
      </c>
      <c r="CI776" s="33">
        <f t="shared" ca="1" si="313"/>
        <v>1</v>
      </c>
      <c r="CJ776" s="36">
        <f t="shared" ref="CJ776:CJ839" ca="1" si="328">IFERROR(IF(((CG776/CE776)*100)&gt;100,100,((CG776/CE776)*100)),"")</f>
        <v>100</v>
      </c>
      <c r="CK776" s="34">
        <f t="shared" ref="CK776:CK839" si="329">IFERROR((CF776/CE776)*100,"")</f>
        <v>0</v>
      </c>
      <c r="CL776" s="21"/>
      <c r="CM776" s="35" t="str">
        <f t="shared" ref="CM776:CM777" ca="1" si="330">IF(CL776&gt;1/1/6,"LIQUIDADO",IF(BJ776=$BE$20003,"",IF(BJ776&gt;=TODAY(),"VIGENTE",IF(BJ776&lt;TODAY(),"TERMINADO",))))</f>
        <v>TERMINADO</v>
      </c>
      <c r="CN776" s="82"/>
      <c r="CO776" s="145"/>
      <c r="CP776" s="83" t="s">
        <v>1424</v>
      </c>
      <c r="CQ776" s="83"/>
      <c r="CR776" s="83"/>
    </row>
    <row r="777" spans="1:98" ht="24.75" customHeight="1">
      <c r="A777" s="48" t="s">
        <v>4113</v>
      </c>
      <c r="B777" s="77" t="s">
        <v>6204</v>
      </c>
      <c r="C777" s="17" t="s">
        <v>104</v>
      </c>
      <c r="D777" s="18" t="s">
        <v>6205</v>
      </c>
      <c r="E777" s="17" t="s">
        <v>106</v>
      </c>
      <c r="F777" s="17" t="s">
        <v>107</v>
      </c>
      <c r="G777" s="17" t="s">
        <v>108</v>
      </c>
      <c r="H777" s="78">
        <v>1014179141</v>
      </c>
      <c r="I777" s="74" t="s">
        <v>6206</v>
      </c>
      <c r="J777" s="16"/>
      <c r="K777" s="16"/>
      <c r="L777" s="20" t="s">
        <v>5702</v>
      </c>
      <c r="M777" s="16" t="s">
        <v>111</v>
      </c>
      <c r="N777" s="22">
        <v>45450</v>
      </c>
      <c r="O777" s="22">
        <v>45477</v>
      </c>
      <c r="P777" s="22">
        <v>45656</v>
      </c>
      <c r="Q777" s="23">
        <f t="shared" si="325"/>
        <v>179</v>
      </c>
      <c r="R777" s="17" t="s">
        <v>242</v>
      </c>
      <c r="S777" s="16" t="s">
        <v>6207</v>
      </c>
      <c r="T777" s="16" t="s">
        <v>6208</v>
      </c>
      <c r="U777" s="67">
        <v>41105805</v>
      </c>
      <c r="V777" s="16" t="s">
        <v>6209</v>
      </c>
      <c r="W777" s="224">
        <v>41105805</v>
      </c>
      <c r="X777" s="24">
        <v>5762496</v>
      </c>
      <c r="Y777" s="24"/>
      <c r="Z777" s="24"/>
      <c r="AA777" s="17" t="s">
        <v>345</v>
      </c>
      <c r="AB777" s="23" t="str">
        <f>IFERROR(VLOOKUP(AA777,Listas!$A$1:$C$14,2,FALSE),"")</f>
        <v>RODOLFO GIOVANNI CANCHILA SUÁREZ</v>
      </c>
      <c r="AC777" s="23">
        <f>IFERROR(VLOOKUP(AA777,Listas!$A$1:$C$14,3,FALSE),"")</f>
        <v>79672493</v>
      </c>
      <c r="AD777" s="17" t="s">
        <v>345</v>
      </c>
      <c r="AE777" s="17" t="s">
        <v>346</v>
      </c>
      <c r="AF777" s="23" t="str">
        <f>IFERROR(VLOOKUP(AE777,Listas!$AD$1:$AF$65,2,FALSE),"")</f>
        <v>RODOLFO GIOVANNI CANCHILA SUÁREZ</v>
      </c>
      <c r="AG777" s="23">
        <f>IFERROR(VLOOKUP(AE777,Listas!$AD$1:$AF$65,3,FALSE),"")</f>
        <v>79672493</v>
      </c>
      <c r="AH777" s="17" t="s">
        <v>118</v>
      </c>
      <c r="AI777" s="65" t="s">
        <v>6210</v>
      </c>
      <c r="AJ777" s="25" t="s">
        <v>4370</v>
      </c>
      <c r="AK777" s="26" t="s">
        <v>120</v>
      </c>
      <c r="AL777" s="26" t="s">
        <v>120</v>
      </c>
      <c r="AM777" s="90" t="s">
        <v>119</v>
      </c>
      <c r="AN777" s="105">
        <v>31594</v>
      </c>
      <c r="AO777" s="91">
        <f t="shared" ca="1" si="326"/>
        <v>39</v>
      </c>
      <c r="AP777" s="26" t="s">
        <v>121</v>
      </c>
      <c r="AQ777" s="26" t="s">
        <v>347</v>
      </c>
      <c r="AR777" s="89"/>
      <c r="AS777" s="27"/>
      <c r="AT777" s="16"/>
      <c r="AU777" s="27"/>
      <c r="AV777" s="86"/>
      <c r="AW777" s="27"/>
      <c r="AX777" s="27"/>
      <c r="AY777" s="27"/>
      <c r="AZ777" s="27"/>
      <c r="BA777" s="27"/>
      <c r="BB777" s="27"/>
      <c r="BC777" s="97"/>
      <c r="BD777" s="27"/>
      <c r="BE777" s="16"/>
      <c r="BF777" s="28">
        <f t="shared" si="327"/>
        <v>0</v>
      </c>
      <c r="BG777" s="29"/>
      <c r="BH777" s="27"/>
      <c r="BI777" s="30">
        <f t="shared" si="320"/>
        <v>179</v>
      </c>
      <c r="BJ777" s="31">
        <f t="shared" si="321"/>
        <v>45656</v>
      </c>
      <c r="BK777" s="27"/>
      <c r="BL777" s="16"/>
      <c r="BM777" s="27"/>
      <c r="BN777" s="16"/>
      <c r="BO777" s="27"/>
      <c r="BP777" s="16"/>
      <c r="BQ777" s="27"/>
      <c r="BR777" s="24"/>
      <c r="BS777" s="24"/>
      <c r="BT777" s="32"/>
      <c r="BU777" s="27"/>
      <c r="BV777" s="24"/>
      <c r="BW777" s="24"/>
      <c r="BX777" s="16"/>
      <c r="BY777" s="27"/>
      <c r="BZ777" s="24"/>
      <c r="CA777" s="24"/>
      <c r="CB777" s="16"/>
      <c r="CC777" s="49">
        <f t="shared" si="324"/>
        <v>0</v>
      </c>
      <c r="CD777" s="24"/>
      <c r="CE777" s="49">
        <f t="shared" si="316"/>
        <v>41105805</v>
      </c>
      <c r="CF777" s="50"/>
      <c r="CG777" s="49">
        <f t="shared" ca="1" si="323"/>
        <v>41105805</v>
      </c>
      <c r="CH777" s="33">
        <f t="shared" ca="1" si="312"/>
        <v>1</v>
      </c>
      <c r="CI777" s="33">
        <f t="shared" ca="1" si="313"/>
        <v>1</v>
      </c>
      <c r="CJ777" s="36">
        <f t="shared" ca="1" si="328"/>
        <v>100</v>
      </c>
      <c r="CK777" s="34">
        <f t="shared" si="329"/>
        <v>0</v>
      </c>
      <c r="CL777" s="21"/>
      <c r="CM777" s="35" t="str">
        <f t="shared" ca="1" si="330"/>
        <v>TERMINADO</v>
      </c>
      <c r="CN777" s="82"/>
      <c r="CP777" s="26" t="s">
        <v>142</v>
      </c>
    </row>
    <row r="778" spans="1:98" s="153" customFormat="1" ht="24.75" customHeight="1">
      <c r="A778" s="48"/>
      <c r="B778" s="345" t="s">
        <v>6211</v>
      </c>
      <c r="C778" s="345" t="s">
        <v>1583</v>
      </c>
      <c r="D778" s="18"/>
      <c r="E778" s="17"/>
      <c r="F778" s="17"/>
      <c r="G778" s="17"/>
      <c r="H778" s="78"/>
      <c r="I778" s="74"/>
      <c r="J778" s="16"/>
      <c r="K778" s="16"/>
      <c r="L778" s="96"/>
      <c r="M778" s="16"/>
      <c r="N778" s="22"/>
      <c r="O778" s="22"/>
      <c r="P778" s="22"/>
      <c r="Q778" s="23"/>
      <c r="R778" s="17"/>
      <c r="S778" s="16"/>
      <c r="T778" s="16"/>
      <c r="U778" s="67"/>
      <c r="V778" s="16"/>
      <c r="W778" s="24"/>
      <c r="X778" s="24"/>
      <c r="Y778" s="24"/>
      <c r="Z778" s="24"/>
      <c r="AA778" s="17"/>
      <c r="AB778" s="23"/>
      <c r="AC778" s="23"/>
      <c r="AD778" s="17"/>
      <c r="AE778" s="17"/>
      <c r="AF778" s="23"/>
      <c r="AG778" s="23"/>
      <c r="AH778" s="17"/>
      <c r="AI778" s="65"/>
      <c r="AJ778" s="25"/>
      <c r="AK778" s="26"/>
      <c r="AL778" s="26"/>
      <c r="AM778" s="90"/>
      <c r="AN778" s="105"/>
      <c r="AO778" s="91"/>
      <c r="AP778" s="26"/>
      <c r="AQ778" s="26"/>
      <c r="AR778" s="89"/>
      <c r="AS778" s="27"/>
      <c r="AT778" s="16"/>
      <c r="AU778" s="27"/>
      <c r="AV778" s="86"/>
      <c r="AW778" s="27"/>
      <c r="AX778" s="27"/>
      <c r="AY778" s="27"/>
      <c r="AZ778" s="27"/>
      <c r="BA778" s="27"/>
      <c r="BB778" s="27"/>
      <c r="BC778" s="97"/>
      <c r="BD778" s="27"/>
      <c r="BE778" s="16"/>
      <c r="BF778" s="28"/>
      <c r="BG778" s="29"/>
      <c r="BH778" s="27"/>
      <c r="BI778" s="30"/>
      <c r="BJ778" s="31"/>
      <c r="BK778" s="27"/>
      <c r="BL778" s="16"/>
      <c r="BM778" s="27"/>
      <c r="BN778" s="16"/>
      <c r="BO778" s="27"/>
      <c r="BP778" s="16"/>
      <c r="BQ778" s="27"/>
      <c r="BR778" s="24"/>
      <c r="BS778" s="24"/>
      <c r="BT778" s="32"/>
      <c r="BU778" s="27"/>
      <c r="BV778" s="24"/>
      <c r="BW778" s="24"/>
      <c r="BX778" s="16"/>
      <c r="BY778" s="27"/>
      <c r="BZ778" s="24"/>
      <c r="CA778" s="24"/>
      <c r="CB778" s="16"/>
      <c r="CC778" s="49"/>
      <c r="CD778" s="24"/>
      <c r="CE778" s="49"/>
      <c r="CF778" s="50"/>
      <c r="CG778" s="49" t="str">
        <f t="shared" ca="1" si="323"/>
        <v/>
      </c>
      <c r="CH778" s="33">
        <f t="shared" ca="1" si="312"/>
        <v>1</v>
      </c>
      <c r="CI778" s="33">
        <f t="shared" ca="1" si="313"/>
        <v>1</v>
      </c>
      <c r="CJ778" s="36" t="str">
        <f t="shared" ca="1" si="328"/>
        <v/>
      </c>
      <c r="CK778" s="34" t="str">
        <f t="shared" si="329"/>
        <v/>
      </c>
      <c r="CL778" s="21"/>
      <c r="CM778" s="35"/>
      <c r="CN778" s="82"/>
      <c r="CO778" s="145"/>
      <c r="CP778" s="26"/>
      <c r="CQ778" s="83"/>
      <c r="CR778" s="83"/>
      <c r="CS778" s="48"/>
      <c r="CT778" s="345"/>
    </row>
    <row r="779" spans="1:98" ht="24.75" customHeight="1">
      <c r="A779" s="48" t="s">
        <v>6212</v>
      </c>
      <c r="B779" s="77" t="s">
        <v>6213</v>
      </c>
      <c r="C779" s="17" t="s">
        <v>104</v>
      </c>
      <c r="D779" s="18" t="s">
        <v>6214</v>
      </c>
      <c r="E779" s="17" t="s">
        <v>106</v>
      </c>
      <c r="F779" s="17" t="s">
        <v>107</v>
      </c>
      <c r="G779" s="17" t="s">
        <v>108</v>
      </c>
      <c r="H779" s="78">
        <v>53154959</v>
      </c>
      <c r="I779" s="74" t="s">
        <v>6215</v>
      </c>
      <c r="J779" s="16"/>
      <c r="K779" s="16"/>
      <c r="L779" s="20" t="s">
        <v>6216</v>
      </c>
      <c r="M779" s="16" t="s">
        <v>111</v>
      </c>
      <c r="N779" s="22">
        <v>45447</v>
      </c>
      <c r="O779" s="22">
        <v>45455</v>
      </c>
      <c r="P779" s="22">
        <v>45656</v>
      </c>
      <c r="Q779" s="23">
        <f t="shared" ref="Q779:Q810" si="331">P779-O779</f>
        <v>201</v>
      </c>
      <c r="R779" s="17" t="s">
        <v>242</v>
      </c>
      <c r="S779" s="16" t="s">
        <v>6217</v>
      </c>
      <c r="T779" s="16" t="s">
        <v>1201</v>
      </c>
      <c r="U779" s="67">
        <v>45727710</v>
      </c>
      <c r="V779" s="16" t="s">
        <v>6218</v>
      </c>
      <c r="W779" s="224">
        <v>45727710</v>
      </c>
      <c r="X779" s="24">
        <v>4046700</v>
      </c>
      <c r="Y779" s="24"/>
      <c r="Z779" s="24"/>
      <c r="AA779" s="17" t="s">
        <v>427</v>
      </c>
      <c r="AB779" s="23" t="str">
        <f>IFERROR(VLOOKUP(AA779,Listas!$A$1:$C$14,2,FALSE),"")</f>
        <v>DINORAH PATRICIA ABADIA MURILLO</v>
      </c>
      <c r="AC779" s="23">
        <f>IFERROR(VLOOKUP(AA779,Listas!$A$1:$C$14,3,FALSE),"")</f>
        <v>52220857</v>
      </c>
      <c r="AD779" s="17" t="s">
        <v>427</v>
      </c>
      <c r="AE779" s="17" t="s">
        <v>2561</v>
      </c>
      <c r="AF779" s="23" t="str">
        <f>IFERROR(VLOOKUP(AE779,Listas!$AD$1:$AF$65,2,FALSE),"")</f>
        <v>MARÍA TERESA COMBARIZA MARTÍN</v>
      </c>
      <c r="AG779" s="23">
        <f>IFERROR(VLOOKUP(AE779,Listas!$AD$1:$AF$65,3,FALSE),"")</f>
        <v>51803256</v>
      </c>
      <c r="AH779" s="17" t="s">
        <v>118</v>
      </c>
      <c r="AI779" s="65" t="s">
        <v>6219</v>
      </c>
      <c r="AJ779" s="25" t="s">
        <v>4370</v>
      </c>
      <c r="AK779" s="26" t="s">
        <v>120</v>
      </c>
      <c r="AL779" s="26" t="s">
        <v>120</v>
      </c>
      <c r="AM779" s="90" t="s">
        <v>119</v>
      </c>
      <c r="AN779" s="105">
        <v>31382</v>
      </c>
      <c r="AO779" s="91">
        <f t="shared" ref="AO779:AO810" ca="1" si="332">IF(YEAR(TODAY())-YEAR(AN779)&gt;100," ",YEAR(TODAY())-YEAR(AN779))</f>
        <v>40</v>
      </c>
      <c r="AP779" s="26" t="s">
        <v>121</v>
      </c>
      <c r="AQ779" s="26" t="s">
        <v>1272</v>
      </c>
      <c r="AR779" s="89"/>
      <c r="AS779" s="27"/>
      <c r="AT779" s="16"/>
      <c r="AU779" s="27"/>
      <c r="AV779" s="86"/>
      <c r="AW779" s="27"/>
      <c r="AX779" s="27"/>
      <c r="AY779" s="27"/>
      <c r="AZ779" s="27"/>
      <c r="BA779" s="27"/>
      <c r="BB779" s="27"/>
      <c r="BC779" s="97"/>
      <c r="BD779" s="27"/>
      <c r="BE779" s="16"/>
      <c r="BF779" s="28">
        <f t="shared" ref="BF779:BF842" si="333">BC779+BE779</f>
        <v>0</v>
      </c>
      <c r="BG779" s="29"/>
      <c r="BH779" s="27"/>
      <c r="BI779" s="30">
        <f t="shared" ref="BI779:BI842" si="334">BF779+Q779</f>
        <v>201</v>
      </c>
      <c r="BJ779" s="31">
        <f t="shared" ref="BJ779:BJ842" si="335">IF(BH779="",P779+BF779,BH779)</f>
        <v>45656</v>
      </c>
      <c r="BK779" s="27"/>
      <c r="BL779" s="16"/>
      <c r="BM779" s="27"/>
      <c r="BN779" s="16"/>
      <c r="BO779" s="27"/>
      <c r="BP779" s="16"/>
      <c r="BQ779" s="27"/>
      <c r="BR779" s="24"/>
      <c r="BS779" s="24"/>
      <c r="BT779" s="32"/>
      <c r="BU779" s="27"/>
      <c r="BV779" s="24"/>
      <c r="BW779" s="24"/>
      <c r="BX779" s="16"/>
      <c r="BY779" s="27"/>
      <c r="BZ779" s="24"/>
      <c r="CA779" s="24"/>
      <c r="CB779" s="16"/>
      <c r="CC779" s="49">
        <f t="shared" ref="CC779:CC842" si="336">BR779+BV779+BZ779</f>
        <v>0</v>
      </c>
      <c r="CD779" s="24"/>
      <c r="CE779" s="49">
        <f t="shared" ref="CE779:CE819" si="337">IF(Y779=0,(W779+CC779)-CD779,IF(Y779&gt;0,(Y779+CC779)-CD779))</f>
        <v>45727710</v>
      </c>
      <c r="CF779" s="50">
        <v>1753570</v>
      </c>
      <c r="CG779" s="49">
        <f t="shared" ca="1" si="323"/>
        <v>45727710</v>
      </c>
      <c r="CH779" s="33">
        <f t="shared" ca="1" si="312"/>
        <v>1</v>
      </c>
      <c r="CI779" s="33">
        <f t="shared" ca="1" si="313"/>
        <v>1</v>
      </c>
      <c r="CJ779" s="36">
        <f t="shared" ca="1" si="328"/>
        <v>100</v>
      </c>
      <c r="CK779" s="34">
        <f t="shared" si="329"/>
        <v>3.8348082595870205</v>
      </c>
      <c r="CL779" s="21"/>
      <c r="CM779" s="35" t="str">
        <f t="shared" ref="CM779:CM842" ca="1" si="338">IF(CL779&gt;1/1/6,"LIQUIDADO",IF(BJ779=$BE$20003,"",IF(BJ779&gt;=TODAY(),"VIGENTE",IF(BJ779&lt;TODAY(),"TERMINADO",))))</f>
        <v>TERMINADO</v>
      </c>
      <c r="CN779" s="82"/>
      <c r="CP779" s="26" t="s">
        <v>123</v>
      </c>
    </row>
    <row r="780" spans="1:98" ht="24.75" customHeight="1">
      <c r="A780" s="48" t="s">
        <v>4382</v>
      </c>
      <c r="B780" s="77" t="s">
        <v>6220</v>
      </c>
      <c r="C780" s="17" t="s">
        <v>104</v>
      </c>
      <c r="D780" s="18" t="s">
        <v>6221</v>
      </c>
      <c r="E780" s="17" t="s">
        <v>106</v>
      </c>
      <c r="F780" s="17" t="s">
        <v>107</v>
      </c>
      <c r="G780" s="17" t="s">
        <v>108</v>
      </c>
      <c r="H780" s="78">
        <v>1012347806</v>
      </c>
      <c r="I780" s="74" t="s">
        <v>6222</v>
      </c>
      <c r="J780" s="16"/>
      <c r="K780" s="16"/>
      <c r="L780" s="20" t="s">
        <v>6223</v>
      </c>
      <c r="M780" s="16" t="s">
        <v>111</v>
      </c>
      <c r="N780" s="22">
        <v>45450</v>
      </c>
      <c r="O780" s="22">
        <v>45477</v>
      </c>
      <c r="P780" s="22">
        <v>45656</v>
      </c>
      <c r="Q780" s="23">
        <f t="shared" si="331"/>
        <v>179</v>
      </c>
      <c r="R780" s="17" t="s">
        <v>242</v>
      </c>
      <c r="S780" s="16" t="s">
        <v>6224</v>
      </c>
      <c r="T780" s="16" t="s">
        <v>6208</v>
      </c>
      <c r="U780" s="67">
        <v>41105805</v>
      </c>
      <c r="V780" s="16" t="s">
        <v>344</v>
      </c>
      <c r="W780" s="224">
        <v>41105805</v>
      </c>
      <c r="X780" s="24">
        <v>5762496</v>
      </c>
      <c r="Y780" s="24"/>
      <c r="Z780" s="24"/>
      <c r="AA780" s="17" t="s">
        <v>345</v>
      </c>
      <c r="AB780" s="23" t="str">
        <f>IFERROR(VLOOKUP(AA780,Listas!$A$1:$C$14,2,FALSE),"")</f>
        <v>RODOLFO GIOVANNI CANCHILA SUÁREZ</v>
      </c>
      <c r="AC780" s="23">
        <f>IFERROR(VLOOKUP(AA780,Listas!$A$1:$C$14,3,FALSE),"")</f>
        <v>79672493</v>
      </c>
      <c r="AD780" s="17" t="s">
        <v>345</v>
      </c>
      <c r="AE780" s="17" t="s">
        <v>346</v>
      </c>
      <c r="AF780" s="23" t="str">
        <f>IFERROR(VLOOKUP(AE780,Listas!$AD$1:$AF$65,2,FALSE),"")</f>
        <v>RODOLFO GIOVANNI CANCHILA SUÁREZ</v>
      </c>
      <c r="AG780" s="23">
        <f>IFERROR(VLOOKUP(AE780,Listas!$AD$1:$AF$65,3,FALSE),"")</f>
        <v>79672493</v>
      </c>
      <c r="AH780" s="17" t="s">
        <v>118</v>
      </c>
      <c r="AI780" s="65" t="s">
        <v>6225</v>
      </c>
      <c r="AJ780" s="25" t="s">
        <v>4370</v>
      </c>
      <c r="AK780" s="26" t="s">
        <v>120</v>
      </c>
      <c r="AL780" s="26" t="s">
        <v>120</v>
      </c>
      <c r="AM780" s="90" t="s">
        <v>119</v>
      </c>
      <c r="AN780" s="105">
        <v>32458</v>
      </c>
      <c r="AO780" s="91">
        <f t="shared" ca="1" si="332"/>
        <v>37</v>
      </c>
      <c r="AP780" s="26" t="s">
        <v>121</v>
      </c>
      <c r="AQ780" s="26" t="s">
        <v>347</v>
      </c>
      <c r="AR780" s="89"/>
      <c r="AS780" s="27"/>
      <c r="AT780" s="16"/>
      <c r="AU780" s="27"/>
      <c r="AV780" s="86"/>
      <c r="AW780" s="27"/>
      <c r="AX780" s="27"/>
      <c r="AY780" s="27"/>
      <c r="AZ780" s="27"/>
      <c r="BA780" s="27"/>
      <c r="BB780" s="27"/>
      <c r="BC780" s="97"/>
      <c r="BD780" s="27"/>
      <c r="BE780" s="16"/>
      <c r="BF780" s="28">
        <f t="shared" si="333"/>
        <v>0</v>
      </c>
      <c r="BG780" s="29"/>
      <c r="BH780" s="27"/>
      <c r="BI780" s="30">
        <f t="shared" si="334"/>
        <v>179</v>
      </c>
      <c r="BJ780" s="31">
        <f t="shared" si="335"/>
        <v>45656</v>
      </c>
      <c r="BK780" s="27"/>
      <c r="BL780" s="16"/>
      <c r="BM780" s="27"/>
      <c r="BN780" s="16"/>
      <c r="BO780" s="27"/>
      <c r="BP780" s="16"/>
      <c r="BQ780" s="27"/>
      <c r="BR780" s="24"/>
      <c r="BS780" s="24"/>
      <c r="BT780" s="32"/>
      <c r="BU780" s="27"/>
      <c r="BV780" s="24"/>
      <c r="BW780" s="24"/>
      <c r="BX780" s="16"/>
      <c r="BY780" s="27"/>
      <c r="BZ780" s="24"/>
      <c r="CA780" s="24"/>
      <c r="CB780" s="16"/>
      <c r="CC780" s="49">
        <f t="shared" si="336"/>
        <v>0</v>
      </c>
      <c r="CD780" s="24"/>
      <c r="CE780" s="49">
        <f t="shared" si="337"/>
        <v>41105805</v>
      </c>
      <c r="CF780" s="50"/>
      <c r="CG780" s="49">
        <f t="shared" ca="1" si="323"/>
        <v>41105805</v>
      </c>
      <c r="CH780" s="33">
        <f t="shared" ca="1" si="312"/>
        <v>1</v>
      </c>
      <c r="CI780" s="33">
        <f t="shared" ca="1" si="313"/>
        <v>1</v>
      </c>
      <c r="CJ780" s="36">
        <f t="shared" ca="1" si="328"/>
        <v>100</v>
      </c>
      <c r="CK780" s="34">
        <f t="shared" si="329"/>
        <v>0</v>
      </c>
      <c r="CL780" s="21"/>
      <c r="CM780" s="35" t="str">
        <f t="shared" ca="1" si="338"/>
        <v>TERMINADO</v>
      </c>
      <c r="CN780" s="82"/>
      <c r="CP780" s="26" t="s">
        <v>123</v>
      </c>
    </row>
    <row r="781" spans="1:98" ht="24.75" customHeight="1">
      <c r="A781" s="48" t="s">
        <v>4210</v>
      </c>
      <c r="B781" s="77" t="s">
        <v>6226</v>
      </c>
      <c r="C781" s="17" t="s">
        <v>104</v>
      </c>
      <c r="D781" s="18" t="s">
        <v>6227</v>
      </c>
      <c r="E781" s="17" t="s">
        <v>106</v>
      </c>
      <c r="F781" s="17" t="s">
        <v>107</v>
      </c>
      <c r="G781" s="17" t="s">
        <v>108</v>
      </c>
      <c r="H781" s="78">
        <v>1016065966</v>
      </c>
      <c r="I781" s="74" t="s">
        <v>6228</v>
      </c>
      <c r="J781" s="16"/>
      <c r="K781" s="16"/>
      <c r="L781" s="20" t="s">
        <v>6229</v>
      </c>
      <c r="M781" s="16" t="s">
        <v>111</v>
      </c>
      <c r="N781" s="22">
        <v>45450</v>
      </c>
      <c r="O781" s="22">
        <v>45477</v>
      </c>
      <c r="P781" s="22">
        <v>45656</v>
      </c>
      <c r="Q781" s="23">
        <f t="shared" si="331"/>
        <v>179</v>
      </c>
      <c r="R781" s="17" t="s">
        <v>242</v>
      </c>
      <c r="S781" s="16" t="s">
        <v>6230</v>
      </c>
      <c r="T781" s="16" t="s">
        <v>6208</v>
      </c>
      <c r="U781" s="67">
        <v>41105805</v>
      </c>
      <c r="V781" s="16" t="s">
        <v>344</v>
      </c>
      <c r="W781" s="224">
        <v>41105805</v>
      </c>
      <c r="X781" s="24">
        <v>5762496</v>
      </c>
      <c r="Y781" s="24"/>
      <c r="Z781" s="24"/>
      <c r="AA781" s="17" t="s">
        <v>345</v>
      </c>
      <c r="AB781" s="23" t="str">
        <f>IFERROR(VLOOKUP(AA781,Listas!$A$1:$C$14,2,FALSE),"")</f>
        <v>RODOLFO GIOVANNI CANCHILA SUÁREZ</v>
      </c>
      <c r="AC781" s="23">
        <f>IFERROR(VLOOKUP(AA781,Listas!$A$1:$C$14,3,FALSE),"")</f>
        <v>79672493</v>
      </c>
      <c r="AD781" s="17" t="s">
        <v>345</v>
      </c>
      <c r="AE781" s="17" t="s">
        <v>346</v>
      </c>
      <c r="AF781" s="23" t="str">
        <f>IFERROR(VLOOKUP(AE781,Listas!$AD$1:$AF$65,2,FALSE),"")</f>
        <v>RODOLFO GIOVANNI CANCHILA SUÁREZ</v>
      </c>
      <c r="AG781" s="23">
        <f>IFERROR(VLOOKUP(AE781,Listas!$AD$1:$AF$65,3,FALSE),"")</f>
        <v>79672493</v>
      </c>
      <c r="AH781" s="17" t="s">
        <v>118</v>
      </c>
      <c r="AI781" s="65" t="s">
        <v>6225</v>
      </c>
      <c r="AJ781" s="25" t="s">
        <v>4370</v>
      </c>
      <c r="AK781" s="26" t="s">
        <v>120</v>
      </c>
      <c r="AL781" s="26" t="s">
        <v>120</v>
      </c>
      <c r="AM781" s="90" t="s">
        <v>119</v>
      </c>
      <c r="AN781" s="105">
        <v>34401</v>
      </c>
      <c r="AO781" s="91">
        <f t="shared" ca="1" si="332"/>
        <v>31</v>
      </c>
      <c r="AP781" s="26" t="s">
        <v>121</v>
      </c>
      <c r="AQ781" s="26" t="s">
        <v>347</v>
      </c>
      <c r="AR781" s="89"/>
      <c r="AS781" s="27"/>
      <c r="AT781" s="16"/>
      <c r="AU781" s="27"/>
      <c r="AV781" s="86"/>
      <c r="AW781" s="27"/>
      <c r="AX781" s="27"/>
      <c r="AY781" s="27"/>
      <c r="AZ781" s="27"/>
      <c r="BA781" s="27"/>
      <c r="BB781" s="27"/>
      <c r="BC781" s="97"/>
      <c r="BD781" s="27"/>
      <c r="BE781" s="16"/>
      <c r="BF781" s="28">
        <f t="shared" si="333"/>
        <v>0</v>
      </c>
      <c r="BG781" s="29"/>
      <c r="BH781" s="27"/>
      <c r="BI781" s="30">
        <f t="shared" si="334"/>
        <v>179</v>
      </c>
      <c r="BJ781" s="31">
        <f t="shared" si="335"/>
        <v>45656</v>
      </c>
      <c r="BK781" s="27"/>
      <c r="BL781" s="16"/>
      <c r="BM781" s="27"/>
      <c r="BN781" s="16"/>
      <c r="BO781" s="27"/>
      <c r="BP781" s="16"/>
      <c r="BQ781" s="27"/>
      <c r="BR781" s="24"/>
      <c r="BS781" s="24"/>
      <c r="BT781" s="32"/>
      <c r="BU781" s="27"/>
      <c r="BV781" s="24"/>
      <c r="BW781" s="24"/>
      <c r="BX781" s="16"/>
      <c r="BY781" s="27"/>
      <c r="BZ781" s="24"/>
      <c r="CA781" s="24"/>
      <c r="CB781" s="16"/>
      <c r="CC781" s="49">
        <f t="shared" si="336"/>
        <v>0</v>
      </c>
      <c r="CD781" s="24"/>
      <c r="CE781" s="49">
        <f t="shared" si="337"/>
        <v>41105805</v>
      </c>
      <c r="CF781" s="50">
        <v>0</v>
      </c>
      <c r="CG781" s="49">
        <f t="shared" ca="1" si="323"/>
        <v>41105805</v>
      </c>
      <c r="CH781" s="33">
        <f t="shared" ca="1" si="312"/>
        <v>1</v>
      </c>
      <c r="CI781" s="33">
        <f t="shared" ca="1" si="313"/>
        <v>1</v>
      </c>
      <c r="CJ781" s="36">
        <f t="shared" ca="1" si="328"/>
        <v>100</v>
      </c>
      <c r="CK781" s="34">
        <f t="shared" si="329"/>
        <v>0</v>
      </c>
      <c r="CL781" s="21"/>
      <c r="CM781" s="35" t="str">
        <f t="shared" ca="1" si="338"/>
        <v>TERMINADO</v>
      </c>
      <c r="CN781" s="82"/>
      <c r="CP781" s="26" t="s">
        <v>142</v>
      </c>
    </row>
    <row r="782" spans="1:98" ht="24.75" customHeight="1">
      <c r="A782" s="48" t="s">
        <v>6231</v>
      </c>
      <c r="B782" s="77" t="s">
        <v>6232</v>
      </c>
      <c r="C782" s="17" t="s">
        <v>104</v>
      </c>
      <c r="D782" s="18" t="s">
        <v>6233</v>
      </c>
      <c r="E782" s="17" t="s">
        <v>106</v>
      </c>
      <c r="F782" s="17" t="s">
        <v>1426</v>
      </c>
      <c r="G782" s="17" t="s">
        <v>1427</v>
      </c>
      <c r="H782" s="78" t="s">
        <v>6234</v>
      </c>
      <c r="I782" s="74" t="s">
        <v>6235</v>
      </c>
      <c r="J782" s="16" t="s">
        <v>6236</v>
      </c>
      <c r="K782" s="16">
        <v>66847860</v>
      </c>
      <c r="L782" s="20" t="s">
        <v>6237</v>
      </c>
      <c r="M782" s="16" t="s">
        <v>111</v>
      </c>
      <c r="N782" s="22">
        <v>45454</v>
      </c>
      <c r="O782" s="22">
        <v>45463</v>
      </c>
      <c r="P782" s="22">
        <v>45657</v>
      </c>
      <c r="Q782" s="23">
        <f t="shared" si="331"/>
        <v>194</v>
      </c>
      <c r="R782" s="17" t="s">
        <v>242</v>
      </c>
      <c r="S782" s="16" t="s">
        <v>6238</v>
      </c>
      <c r="T782" s="16" t="s">
        <v>783</v>
      </c>
      <c r="U782" s="67" t="s">
        <v>6239</v>
      </c>
      <c r="V782" s="16" t="s">
        <v>6240</v>
      </c>
      <c r="W782" s="224">
        <v>818542949</v>
      </c>
      <c r="X782" s="24"/>
      <c r="Y782" s="24"/>
      <c r="Z782" s="24"/>
      <c r="AA782" s="17" t="s">
        <v>116</v>
      </c>
      <c r="AB782" s="23" t="str">
        <f>IFERROR(VLOOKUP(AA782,Listas!$A$1:$C$14,2,FALSE),"")</f>
        <v>FREDY CÉSPEDES VILLA</v>
      </c>
      <c r="AC782" s="23">
        <f>IFERROR(VLOOKUP(AA782,Listas!$A$1:$C$14,3,FALSE),"")</f>
        <v>93363483</v>
      </c>
      <c r="AD782" s="17" t="s">
        <v>116</v>
      </c>
      <c r="AE782" s="17" t="s">
        <v>484</v>
      </c>
      <c r="AF782" s="23" t="str">
        <f>IFERROR(VLOOKUP(AE782,Listas!$AD$1:$AF$65,2,FALSE),"")</f>
        <v>JAIME ANDRES GIL ACOSTA</v>
      </c>
      <c r="AG782" s="23">
        <f>IFERROR(VLOOKUP(AE782,Listas!$AD$1:$AF$65,3,FALSE),"")</f>
        <v>98622827</v>
      </c>
      <c r="AH782" s="17" t="s">
        <v>118</v>
      </c>
      <c r="AI782" s="65" t="s">
        <v>6241</v>
      </c>
      <c r="AJ782" s="25" t="s">
        <v>4370</v>
      </c>
      <c r="AK782" s="26" t="s">
        <v>120</v>
      </c>
      <c r="AL782" s="26" t="s">
        <v>120</v>
      </c>
      <c r="AM782" s="90" t="s">
        <v>119</v>
      </c>
      <c r="AN782" s="105"/>
      <c r="AO782" s="91" t="str">
        <f t="shared" ca="1" si="332"/>
        <v xml:space="preserve"> </v>
      </c>
      <c r="AP782" s="26" t="s">
        <v>121</v>
      </c>
      <c r="AQ782" s="26" t="s">
        <v>122</v>
      </c>
      <c r="AR782" s="89"/>
      <c r="AS782" s="27"/>
      <c r="AT782" s="16"/>
      <c r="AU782" s="27"/>
      <c r="AV782" s="86"/>
      <c r="AW782" s="27"/>
      <c r="AX782" s="27"/>
      <c r="AY782" s="27"/>
      <c r="AZ782" s="27"/>
      <c r="BA782" s="27"/>
      <c r="BB782" s="27"/>
      <c r="BC782" s="97"/>
      <c r="BD782" s="27"/>
      <c r="BE782" s="16"/>
      <c r="BF782" s="28">
        <f t="shared" si="333"/>
        <v>0</v>
      </c>
      <c r="BG782" s="29"/>
      <c r="BH782" s="27"/>
      <c r="BI782" s="30">
        <f t="shared" si="334"/>
        <v>194</v>
      </c>
      <c r="BJ782" s="31">
        <f t="shared" si="335"/>
        <v>45657</v>
      </c>
      <c r="BK782" s="27"/>
      <c r="BL782" s="16"/>
      <c r="BM782" s="27"/>
      <c r="BN782" s="16"/>
      <c r="BO782" s="27"/>
      <c r="BP782" s="16"/>
      <c r="BQ782" s="27"/>
      <c r="BR782" s="24"/>
      <c r="BS782" s="24"/>
      <c r="BT782" s="32"/>
      <c r="BU782" s="27"/>
      <c r="BV782" s="24"/>
      <c r="BW782" s="24"/>
      <c r="BX782" s="16"/>
      <c r="BY782" s="27"/>
      <c r="BZ782" s="24"/>
      <c r="CA782" s="24"/>
      <c r="CB782" s="16"/>
      <c r="CC782" s="49">
        <f t="shared" si="336"/>
        <v>0</v>
      </c>
      <c r="CD782" s="24"/>
      <c r="CE782" s="49">
        <f t="shared" si="337"/>
        <v>818542949</v>
      </c>
      <c r="CF782" s="50"/>
      <c r="CG782" s="49">
        <f t="shared" ca="1" si="323"/>
        <v>818542949</v>
      </c>
      <c r="CH782" s="33">
        <f t="shared" ca="1" si="312"/>
        <v>1</v>
      </c>
      <c r="CI782" s="33">
        <f t="shared" ca="1" si="313"/>
        <v>1</v>
      </c>
      <c r="CJ782" s="36">
        <f t="shared" ca="1" si="328"/>
        <v>100</v>
      </c>
      <c r="CK782" s="34">
        <f t="shared" si="329"/>
        <v>0</v>
      </c>
      <c r="CL782" s="21"/>
      <c r="CM782" s="35" t="str">
        <f t="shared" ca="1" si="338"/>
        <v>TERMINADO</v>
      </c>
      <c r="CN782" s="82"/>
      <c r="CP782" s="83" t="s">
        <v>1424</v>
      </c>
    </row>
    <row r="783" spans="1:98" ht="24.75" customHeight="1">
      <c r="A783" s="48" t="s">
        <v>6242</v>
      </c>
      <c r="B783" s="77" t="s">
        <v>6243</v>
      </c>
      <c r="C783" s="17" t="s">
        <v>104</v>
      </c>
      <c r="D783" s="18" t="s">
        <v>6244</v>
      </c>
      <c r="E783" s="17" t="s">
        <v>106</v>
      </c>
      <c r="F783" s="17" t="s">
        <v>107</v>
      </c>
      <c r="G783" s="17" t="s">
        <v>108</v>
      </c>
      <c r="H783" s="78">
        <v>1014177986</v>
      </c>
      <c r="I783" s="74" t="s">
        <v>6245</v>
      </c>
      <c r="J783" s="16"/>
      <c r="K783" s="16"/>
      <c r="L783" s="20" t="s">
        <v>6246</v>
      </c>
      <c r="M783" s="16" t="s">
        <v>111</v>
      </c>
      <c r="N783" s="22">
        <v>45455</v>
      </c>
      <c r="O783" s="22">
        <v>45457</v>
      </c>
      <c r="P783" s="22">
        <v>45656</v>
      </c>
      <c r="Q783" s="23">
        <f t="shared" si="331"/>
        <v>199</v>
      </c>
      <c r="R783" s="17" t="s">
        <v>242</v>
      </c>
      <c r="S783" s="16" t="s">
        <v>6247</v>
      </c>
      <c r="T783" s="16" t="s">
        <v>1937</v>
      </c>
      <c r="U783" s="67">
        <v>80000000</v>
      </c>
      <c r="V783" s="16" t="s">
        <v>115</v>
      </c>
      <c r="W783" s="224">
        <v>70000000</v>
      </c>
      <c r="X783" s="24">
        <v>7000000</v>
      </c>
      <c r="Y783" s="24"/>
      <c r="Z783" s="24"/>
      <c r="AA783" s="17" t="s">
        <v>116</v>
      </c>
      <c r="AB783" s="23" t="str">
        <f>IFERROR(VLOOKUP(AA783,Listas!$A$1:$C$14,2,FALSE),"")</f>
        <v>FREDY CÉSPEDES VILLA</v>
      </c>
      <c r="AC783" s="23">
        <f>IFERROR(VLOOKUP(AA783,Listas!$A$1:$C$14,3,FALSE),"")</f>
        <v>93363483</v>
      </c>
      <c r="AD783" s="17" t="s">
        <v>116</v>
      </c>
      <c r="AE783" s="17" t="s">
        <v>743</v>
      </c>
      <c r="AF783" s="23" t="str">
        <f>IFERROR(VLOOKUP(AE783,Listas!$AD$1:$AF$65,2,FALSE),"")</f>
        <v>FREDY CÉSPEDES VILLA</v>
      </c>
      <c r="AG783" s="23">
        <f>IFERROR(VLOOKUP(AE783,Listas!$AD$1:$AF$65,3,FALSE),"")</f>
        <v>93363483</v>
      </c>
      <c r="AH783" s="17" t="s">
        <v>118</v>
      </c>
      <c r="AI783" s="65" t="s">
        <v>6248</v>
      </c>
      <c r="AJ783" s="25" t="s">
        <v>4370</v>
      </c>
      <c r="AK783" s="26" t="s">
        <v>120</v>
      </c>
      <c r="AL783" s="26" t="s">
        <v>120</v>
      </c>
      <c r="AM783" s="90" t="s">
        <v>119</v>
      </c>
      <c r="AN783" s="105">
        <v>31443</v>
      </c>
      <c r="AO783" s="91">
        <f t="shared" ca="1" si="332"/>
        <v>39</v>
      </c>
      <c r="AP783" s="26" t="s">
        <v>121</v>
      </c>
      <c r="AQ783" s="26" t="s">
        <v>285</v>
      </c>
      <c r="AR783" s="89"/>
      <c r="AS783" s="27"/>
      <c r="AT783" s="16"/>
      <c r="AU783" s="27"/>
      <c r="AV783" s="86"/>
      <c r="AW783" s="27"/>
      <c r="AX783" s="27"/>
      <c r="AY783" s="27"/>
      <c r="AZ783" s="27"/>
      <c r="BA783" s="27"/>
      <c r="BB783" s="27"/>
      <c r="BC783" s="97"/>
      <c r="BD783" s="27"/>
      <c r="BE783" s="16"/>
      <c r="BF783" s="28">
        <f t="shared" si="333"/>
        <v>0</v>
      </c>
      <c r="BG783" s="29"/>
      <c r="BH783" s="27"/>
      <c r="BI783" s="30">
        <f t="shared" si="334"/>
        <v>199</v>
      </c>
      <c r="BJ783" s="31">
        <f t="shared" si="335"/>
        <v>45656</v>
      </c>
      <c r="BK783" s="27"/>
      <c r="BL783" s="16"/>
      <c r="BM783" s="27"/>
      <c r="BN783" s="16"/>
      <c r="BO783" s="27"/>
      <c r="BP783" s="16"/>
      <c r="BQ783" s="27"/>
      <c r="BR783" s="24"/>
      <c r="BS783" s="24"/>
      <c r="BT783" s="32"/>
      <c r="BU783" s="27"/>
      <c r="BV783" s="24"/>
      <c r="BW783" s="24"/>
      <c r="BX783" s="16"/>
      <c r="BY783" s="27"/>
      <c r="BZ783" s="24"/>
      <c r="CA783" s="24"/>
      <c r="CB783" s="16"/>
      <c r="CC783" s="49">
        <f t="shared" si="336"/>
        <v>0</v>
      </c>
      <c r="CD783" s="24"/>
      <c r="CE783" s="49">
        <f t="shared" si="337"/>
        <v>70000000</v>
      </c>
      <c r="CF783" s="50"/>
      <c r="CG783" s="49">
        <f t="shared" ca="1" si="323"/>
        <v>70000000</v>
      </c>
      <c r="CH783" s="33">
        <f t="shared" ca="1" si="312"/>
        <v>1</v>
      </c>
      <c r="CI783" s="33">
        <f t="shared" ca="1" si="313"/>
        <v>1</v>
      </c>
      <c r="CJ783" s="36">
        <f t="shared" ca="1" si="328"/>
        <v>100</v>
      </c>
      <c r="CK783" s="34">
        <f t="shared" si="329"/>
        <v>0</v>
      </c>
      <c r="CL783" s="21"/>
      <c r="CM783" s="35" t="str">
        <f t="shared" ca="1" si="338"/>
        <v>TERMINADO</v>
      </c>
      <c r="CN783" s="82"/>
      <c r="CP783" s="26" t="s">
        <v>142</v>
      </c>
    </row>
    <row r="784" spans="1:98" s="85" customFormat="1" ht="24.75" customHeight="1">
      <c r="A784" s="48" t="s">
        <v>1424</v>
      </c>
      <c r="B784" s="77" t="s">
        <v>6249</v>
      </c>
      <c r="C784" s="17" t="s">
        <v>2927</v>
      </c>
      <c r="D784" s="18" t="s">
        <v>1424</v>
      </c>
      <c r="E784" s="17" t="s">
        <v>6197</v>
      </c>
      <c r="F784" s="17" t="s">
        <v>1426</v>
      </c>
      <c r="G784" s="17" t="s">
        <v>1427</v>
      </c>
      <c r="H784" s="78" t="s">
        <v>6250</v>
      </c>
      <c r="I784" s="74" t="s">
        <v>6251</v>
      </c>
      <c r="J784" s="16" t="s">
        <v>6252</v>
      </c>
      <c r="K784" s="16">
        <v>52350338</v>
      </c>
      <c r="L784" s="20" t="s">
        <v>6253</v>
      </c>
      <c r="M784" s="16"/>
      <c r="N784" s="22">
        <v>45457</v>
      </c>
      <c r="O784" s="22">
        <v>45460</v>
      </c>
      <c r="P784" s="22">
        <v>45657</v>
      </c>
      <c r="Q784" s="23">
        <f t="shared" si="331"/>
        <v>197</v>
      </c>
      <c r="R784" s="17" t="s">
        <v>2934</v>
      </c>
      <c r="S784" s="16" t="s">
        <v>1424</v>
      </c>
      <c r="T784" s="16" t="s">
        <v>1424</v>
      </c>
      <c r="U784" s="67">
        <v>0</v>
      </c>
      <c r="V784" s="16" t="s">
        <v>1424</v>
      </c>
      <c r="W784" s="224">
        <v>0</v>
      </c>
      <c r="X784" s="24"/>
      <c r="Y784" s="24">
        <v>772500000</v>
      </c>
      <c r="Z784" s="24"/>
      <c r="AA784" s="17" t="s">
        <v>427</v>
      </c>
      <c r="AB784" s="23" t="str">
        <f>IFERROR(VLOOKUP(AA784,Listas!$A$1:$C$14,2,FALSE),"")</f>
        <v>DINORAH PATRICIA ABADIA MURILLO</v>
      </c>
      <c r="AC784" s="23">
        <f>IFERROR(VLOOKUP(AA784,Listas!$A$1:$C$14,3,FALSE),"")</f>
        <v>52220857</v>
      </c>
      <c r="AD784" s="17" t="s">
        <v>427</v>
      </c>
      <c r="AE784" s="17" t="s">
        <v>428</v>
      </c>
      <c r="AF784" s="23" t="str">
        <f>IFERROR(VLOOKUP(AE784,Listas!$AD$1:$AF$65,2,FALSE),"")</f>
        <v>DINORAH PATRICIA ABADIA MURILLO</v>
      </c>
      <c r="AG784" s="23">
        <f>IFERROR(VLOOKUP(AE784,Listas!$AD$1:$AF$65,3,FALSE),"")</f>
        <v>52220857</v>
      </c>
      <c r="AH784" s="17" t="s">
        <v>2936</v>
      </c>
      <c r="AI784" s="65"/>
      <c r="AJ784" s="25" t="s">
        <v>1435</v>
      </c>
      <c r="AK784" s="26" t="s">
        <v>2071</v>
      </c>
      <c r="AL784" s="26" t="s">
        <v>2071</v>
      </c>
      <c r="AM784" s="90" t="s">
        <v>1435</v>
      </c>
      <c r="AN784" s="105"/>
      <c r="AO784" s="91" t="str">
        <f t="shared" ca="1" si="332"/>
        <v xml:space="preserve"> </v>
      </c>
      <c r="AP784" s="26" t="s">
        <v>2937</v>
      </c>
      <c r="AQ784" s="26" t="s">
        <v>3133</v>
      </c>
      <c r="AR784" s="89"/>
      <c r="AS784" s="27"/>
      <c r="AT784" s="16"/>
      <c r="AU784" s="27"/>
      <c r="AV784" s="86"/>
      <c r="AW784" s="27"/>
      <c r="AX784" s="27"/>
      <c r="AY784" s="27"/>
      <c r="AZ784" s="27"/>
      <c r="BA784" s="27"/>
      <c r="BB784" s="27"/>
      <c r="BC784" s="97"/>
      <c r="BD784" s="27"/>
      <c r="BE784" s="16"/>
      <c r="BF784" s="28">
        <f t="shared" si="333"/>
        <v>0</v>
      </c>
      <c r="BG784" s="29"/>
      <c r="BH784" s="27"/>
      <c r="BI784" s="30">
        <f t="shared" si="334"/>
        <v>197</v>
      </c>
      <c r="BJ784" s="31">
        <f t="shared" si="335"/>
        <v>45657</v>
      </c>
      <c r="BK784" s="27"/>
      <c r="BL784" s="16"/>
      <c r="BM784" s="27"/>
      <c r="BN784" s="16"/>
      <c r="BO784" s="27"/>
      <c r="BP784" s="16"/>
      <c r="BQ784" s="27"/>
      <c r="BR784" s="24"/>
      <c r="BS784" s="24"/>
      <c r="BT784" s="32"/>
      <c r="BU784" s="27"/>
      <c r="BV784" s="24"/>
      <c r="BW784" s="24"/>
      <c r="BX784" s="16"/>
      <c r="BY784" s="27"/>
      <c r="BZ784" s="24"/>
      <c r="CA784" s="24"/>
      <c r="CB784" s="16"/>
      <c r="CC784" s="49">
        <f t="shared" si="336"/>
        <v>0</v>
      </c>
      <c r="CD784" s="24"/>
      <c r="CE784" s="49">
        <f t="shared" si="337"/>
        <v>772500000</v>
      </c>
      <c r="CF784" s="50">
        <v>0</v>
      </c>
      <c r="CG784" s="49">
        <f t="shared" ca="1" si="323"/>
        <v>772500000</v>
      </c>
      <c r="CH784" s="33">
        <f t="shared" ca="1" si="312"/>
        <v>1</v>
      </c>
      <c r="CI784" s="33">
        <f t="shared" ca="1" si="313"/>
        <v>1</v>
      </c>
      <c r="CJ784" s="36">
        <f t="shared" ca="1" si="328"/>
        <v>100</v>
      </c>
      <c r="CK784" s="34">
        <f t="shared" si="329"/>
        <v>0</v>
      </c>
      <c r="CL784" s="21"/>
      <c r="CM784" s="35" t="str">
        <f t="shared" ca="1" si="338"/>
        <v>TERMINADO</v>
      </c>
      <c r="CN784" s="82"/>
      <c r="CO784" s="145"/>
      <c r="CP784" s="26"/>
      <c r="CQ784" s="83"/>
      <c r="CR784" s="83"/>
    </row>
    <row r="785" spans="1:97" ht="24.75" customHeight="1">
      <c r="A785" s="48" t="s">
        <v>6254</v>
      </c>
      <c r="B785" s="77" t="s">
        <v>6255</v>
      </c>
      <c r="C785" s="17" t="s">
        <v>104</v>
      </c>
      <c r="D785" s="18" t="s">
        <v>6256</v>
      </c>
      <c r="E785" s="17" t="s">
        <v>106</v>
      </c>
      <c r="F785" s="17" t="s">
        <v>1426</v>
      </c>
      <c r="G785" s="17" t="s">
        <v>1427</v>
      </c>
      <c r="H785" s="78" t="s">
        <v>6257</v>
      </c>
      <c r="I785" s="74" t="s">
        <v>6258</v>
      </c>
      <c r="J785" s="16" t="s">
        <v>6259</v>
      </c>
      <c r="K785" s="16">
        <v>70952636</v>
      </c>
      <c r="L785" s="96" t="s">
        <v>6260</v>
      </c>
      <c r="M785" s="16" t="s">
        <v>6261</v>
      </c>
      <c r="N785" s="22">
        <v>45457</v>
      </c>
      <c r="O785" s="22">
        <v>45460</v>
      </c>
      <c r="P785" s="22">
        <v>45899</v>
      </c>
      <c r="Q785" s="23">
        <f t="shared" si="331"/>
        <v>439</v>
      </c>
      <c r="R785" s="17" t="s">
        <v>242</v>
      </c>
      <c r="S785" s="16" t="s">
        <v>6262</v>
      </c>
      <c r="T785" s="16" t="s">
        <v>6263</v>
      </c>
      <c r="U785" s="67" t="s">
        <v>6264</v>
      </c>
      <c r="V785" s="16" t="s">
        <v>6265</v>
      </c>
      <c r="W785" s="224">
        <v>2578576437</v>
      </c>
      <c r="X785" s="24"/>
      <c r="Y785" s="24"/>
      <c r="Z785" s="24"/>
      <c r="AA785" s="17" t="s">
        <v>116</v>
      </c>
      <c r="AB785" s="23" t="str">
        <f>IFERROR(VLOOKUP(AA785,Listas!$A$1:$C$14,2,FALSE),"")</f>
        <v>FREDY CÉSPEDES VILLA</v>
      </c>
      <c r="AC785" s="23">
        <f>IFERROR(VLOOKUP(AA785,Listas!$A$1:$C$14,3,FALSE),"")</f>
        <v>93363483</v>
      </c>
      <c r="AD785" s="17" t="s">
        <v>116</v>
      </c>
      <c r="AE785" s="17" t="s">
        <v>659</v>
      </c>
      <c r="AF785" s="23" t="str">
        <f>IFERROR(VLOOKUP(AE785,Listas!$AD$1:$AF$65,2,FALSE),"")</f>
        <v>TATIANA FORERO TORRES</v>
      </c>
      <c r="AG785" s="23">
        <f>IFERROR(VLOOKUP(AE785,Listas!$AD$1:$AF$65,3,FALSE),"")</f>
        <v>1072446921</v>
      </c>
      <c r="AH785" s="17" t="s">
        <v>6266</v>
      </c>
      <c r="AI785" s="65" t="s">
        <v>6267</v>
      </c>
      <c r="AJ785" s="25" t="s">
        <v>4370</v>
      </c>
      <c r="AK785" s="26" t="s">
        <v>120</v>
      </c>
      <c r="AL785" s="26" t="s">
        <v>120</v>
      </c>
      <c r="AM785" s="90" t="s">
        <v>119</v>
      </c>
      <c r="AN785" s="105"/>
      <c r="AO785" s="91" t="str">
        <f t="shared" ca="1" si="332"/>
        <v xml:space="preserve"> </v>
      </c>
      <c r="AP785" s="26" t="s">
        <v>121</v>
      </c>
      <c r="AQ785" s="26" t="s">
        <v>886</v>
      </c>
      <c r="AR785" s="89"/>
      <c r="AS785" s="27"/>
      <c r="AT785" s="16"/>
      <c r="AU785" s="27"/>
      <c r="AV785" s="86"/>
      <c r="AW785" s="27"/>
      <c r="AX785" s="27"/>
      <c r="AY785" s="27"/>
      <c r="AZ785" s="27"/>
      <c r="BA785" s="27"/>
      <c r="BB785" s="27"/>
      <c r="BC785" s="97"/>
      <c r="BD785" s="27"/>
      <c r="BE785" s="16"/>
      <c r="BF785" s="28">
        <f t="shared" si="333"/>
        <v>0</v>
      </c>
      <c r="BG785" s="29"/>
      <c r="BH785" s="27"/>
      <c r="BI785" s="30">
        <f t="shared" si="334"/>
        <v>439</v>
      </c>
      <c r="BJ785" s="31">
        <f t="shared" si="335"/>
        <v>45899</v>
      </c>
      <c r="BK785" s="27"/>
      <c r="BL785" s="16"/>
      <c r="BM785" s="27"/>
      <c r="BN785" s="16"/>
      <c r="BO785" s="27"/>
      <c r="BP785" s="16"/>
      <c r="BQ785" s="27"/>
      <c r="BR785" s="24"/>
      <c r="BS785" s="24"/>
      <c r="BT785" s="32"/>
      <c r="BU785" s="27"/>
      <c r="BV785" s="24"/>
      <c r="BW785" s="24"/>
      <c r="BX785" s="16"/>
      <c r="BY785" s="27"/>
      <c r="BZ785" s="24"/>
      <c r="CA785" s="24"/>
      <c r="CB785" s="16"/>
      <c r="CC785" s="49">
        <f t="shared" si="336"/>
        <v>0</v>
      </c>
      <c r="CD785" s="24"/>
      <c r="CE785" s="49">
        <f t="shared" si="337"/>
        <v>2578576437</v>
      </c>
      <c r="CF785" s="50"/>
      <c r="CG785" s="49">
        <f t="shared" ca="1" si="323"/>
        <v>2578576437</v>
      </c>
      <c r="CH785" s="33">
        <f t="shared" ca="1" si="312"/>
        <v>1</v>
      </c>
      <c r="CI785" s="33">
        <f t="shared" ca="1" si="313"/>
        <v>1</v>
      </c>
      <c r="CJ785" s="36">
        <f t="shared" ca="1" si="328"/>
        <v>100</v>
      </c>
      <c r="CK785" s="34">
        <f t="shared" si="329"/>
        <v>0</v>
      </c>
      <c r="CL785" s="21"/>
      <c r="CM785" s="35" t="str">
        <f t="shared" ca="1" si="338"/>
        <v>TERMINADO</v>
      </c>
      <c r="CN785" s="82"/>
      <c r="CP785" s="83" t="s">
        <v>1424</v>
      </c>
    </row>
    <row r="786" spans="1:97" ht="24.75" customHeight="1">
      <c r="A786" s="48" t="s">
        <v>6268</v>
      </c>
      <c r="B786" s="77" t="s">
        <v>6269</v>
      </c>
      <c r="C786" s="17" t="s">
        <v>104</v>
      </c>
      <c r="D786" s="18" t="s">
        <v>6270</v>
      </c>
      <c r="E786" s="17" t="s">
        <v>106</v>
      </c>
      <c r="F786" s="17" t="s">
        <v>1426</v>
      </c>
      <c r="G786" s="17" t="s">
        <v>1427</v>
      </c>
      <c r="H786" s="78" t="s">
        <v>6271</v>
      </c>
      <c r="I786" s="74" t="s">
        <v>6272</v>
      </c>
      <c r="J786" s="16" t="s">
        <v>6273</v>
      </c>
      <c r="K786" s="16">
        <v>1047371705</v>
      </c>
      <c r="L786" s="20" t="s">
        <v>6274</v>
      </c>
      <c r="M786" s="16" t="s">
        <v>6261</v>
      </c>
      <c r="N786" s="22">
        <v>45462</v>
      </c>
      <c r="O786" s="22">
        <v>45478</v>
      </c>
      <c r="P786" s="22">
        <v>45656</v>
      </c>
      <c r="Q786" s="23">
        <f t="shared" si="331"/>
        <v>178</v>
      </c>
      <c r="R786" s="17" t="s">
        <v>242</v>
      </c>
      <c r="S786" s="16" t="s">
        <v>6275</v>
      </c>
      <c r="T786" s="16" t="s">
        <v>6276</v>
      </c>
      <c r="U786" s="67">
        <v>310800000</v>
      </c>
      <c r="V786" s="16" t="s">
        <v>6277</v>
      </c>
      <c r="W786" s="224">
        <v>310800000</v>
      </c>
      <c r="X786" s="24"/>
      <c r="Y786" s="24"/>
      <c r="Z786" s="24"/>
      <c r="AA786" s="17" t="s">
        <v>116</v>
      </c>
      <c r="AB786" s="23" t="str">
        <f>IFERROR(VLOOKUP(AA786,Listas!$A$1:$C$14,2,FALSE),"")</f>
        <v>FREDY CÉSPEDES VILLA</v>
      </c>
      <c r="AC786" s="23">
        <f>IFERROR(VLOOKUP(AA786,Listas!$A$1:$C$14,3,FALSE),"")</f>
        <v>93363483</v>
      </c>
      <c r="AD786" s="17" t="s">
        <v>406</v>
      </c>
      <c r="AE786" s="17" t="s">
        <v>504</v>
      </c>
      <c r="AF786" s="23" t="str">
        <f>IFERROR(VLOOKUP(AE786,Listas!$AD$1:$AF$65,2,FALSE),"")</f>
        <v>EDUARDO ELÍAS BARCHA BOLÍVAR</v>
      </c>
      <c r="AG786" s="23">
        <f>IFERROR(VLOOKUP(AE786,Listas!$AD$1:$AF$65,3,FALSE),"")</f>
        <v>72133921</v>
      </c>
      <c r="AH786" s="17" t="s">
        <v>3186</v>
      </c>
      <c r="AI786" s="65" t="s">
        <v>6278</v>
      </c>
      <c r="AJ786" s="25" t="s">
        <v>4370</v>
      </c>
      <c r="AK786" s="26" t="s">
        <v>120</v>
      </c>
      <c r="AL786" s="26" t="s">
        <v>120</v>
      </c>
      <c r="AM786" s="90" t="s">
        <v>119</v>
      </c>
      <c r="AN786" s="105"/>
      <c r="AO786" s="91" t="str">
        <f t="shared" ca="1" si="332"/>
        <v xml:space="preserve"> </v>
      </c>
      <c r="AP786" s="26" t="s">
        <v>121</v>
      </c>
      <c r="AQ786" s="26" t="s">
        <v>486</v>
      </c>
      <c r="AR786" s="89"/>
      <c r="AS786" s="27"/>
      <c r="AT786" s="16"/>
      <c r="AU786" s="27"/>
      <c r="AV786" s="86"/>
      <c r="AW786" s="27"/>
      <c r="AX786" s="27"/>
      <c r="AY786" s="27"/>
      <c r="AZ786" s="27"/>
      <c r="BA786" s="27"/>
      <c r="BB786" s="27"/>
      <c r="BC786" s="97"/>
      <c r="BD786" s="27"/>
      <c r="BE786" s="16"/>
      <c r="BF786" s="28">
        <f t="shared" si="333"/>
        <v>0</v>
      </c>
      <c r="BG786" s="29"/>
      <c r="BH786" s="27"/>
      <c r="BI786" s="30">
        <f t="shared" si="334"/>
        <v>178</v>
      </c>
      <c r="BJ786" s="31">
        <f t="shared" si="335"/>
        <v>45656</v>
      </c>
      <c r="BK786" s="27"/>
      <c r="BL786" s="16"/>
      <c r="BM786" s="27"/>
      <c r="BN786" s="16"/>
      <c r="BO786" s="27"/>
      <c r="BP786" s="16"/>
      <c r="BQ786" s="27"/>
      <c r="BR786" s="24"/>
      <c r="BS786" s="24"/>
      <c r="BT786" s="32"/>
      <c r="BU786" s="27"/>
      <c r="BV786" s="24"/>
      <c r="BW786" s="24"/>
      <c r="BX786" s="16"/>
      <c r="BY786" s="27"/>
      <c r="BZ786" s="24"/>
      <c r="CA786" s="24"/>
      <c r="CB786" s="16"/>
      <c r="CC786" s="49">
        <f t="shared" si="336"/>
        <v>0</v>
      </c>
      <c r="CD786" s="24"/>
      <c r="CE786" s="49">
        <f t="shared" si="337"/>
        <v>310800000</v>
      </c>
      <c r="CF786" s="50">
        <v>0</v>
      </c>
      <c r="CG786" s="49">
        <f t="shared" ca="1" si="323"/>
        <v>310800000</v>
      </c>
      <c r="CH786" s="33">
        <f t="shared" ca="1" si="312"/>
        <v>1</v>
      </c>
      <c r="CI786" s="33">
        <f t="shared" ca="1" si="313"/>
        <v>1</v>
      </c>
      <c r="CJ786" s="36">
        <f t="shared" ca="1" si="328"/>
        <v>100</v>
      </c>
      <c r="CK786" s="34">
        <f t="shared" si="329"/>
        <v>0</v>
      </c>
      <c r="CL786" s="21"/>
      <c r="CM786" s="35" t="str">
        <f t="shared" ca="1" si="338"/>
        <v>TERMINADO</v>
      </c>
      <c r="CN786" s="82"/>
      <c r="CP786" s="83" t="s">
        <v>1424</v>
      </c>
    </row>
    <row r="787" spans="1:97" ht="24.75" customHeight="1">
      <c r="A787" s="48" t="s">
        <v>6279</v>
      </c>
      <c r="B787" s="77" t="s">
        <v>6280</v>
      </c>
      <c r="C787" s="17" t="s">
        <v>104</v>
      </c>
      <c r="D787" s="18" t="s">
        <v>6281</v>
      </c>
      <c r="E787" s="17" t="s">
        <v>106</v>
      </c>
      <c r="F787" s="17" t="s">
        <v>1426</v>
      </c>
      <c r="G787" s="17" t="s">
        <v>1427</v>
      </c>
      <c r="H787" s="78" t="s">
        <v>6282</v>
      </c>
      <c r="I787" s="74" t="s">
        <v>6283</v>
      </c>
      <c r="J787" s="16" t="s">
        <v>6284</v>
      </c>
      <c r="K787" s="16">
        <v>79948566</v>
      </c>
      <c r="L787" s="20" t="s">
        <v>6285</v>
      </c>
      <c r="M787" s="16" t="s">
        <v>6261</v>
      </c>
      <c r="N787" s="22">
        <v>45462</v>
      </c>
      <c r="O787" s="22">
        <v>45475</v>
      </c>
      <c r="P787" s="22">
        <v>46203</v>
      </c>
      <c r="Q787" s="23">
        <f t="shared" si="331"/>
        <v>728</v>
      </c>
      <c r="R787" s="17" t="s">
        <v>242</v>
      </c>
      <c r="S787" s="16" t="s">
        <v>6286</v>
      </c>
      <c r="T787" s="16" t="s">
        <v>6287</v>
      </c>
      <c r="U787" s="67">
        <v>1207830000</v>
      </c>
      <c r="V787" s="16" t="s">
        <v>6288</v>
      </c>
      <c r="W787" s="224">
        <v>712619706</v>
      </c>
      <c r="X787" s="24"/>
      <c r="Y787" s="24"/>
      <c r="Z787" s="24"/>
      <c r="AA787" s="17" t="s">
        <v>116</v>
      </c>
      <c r="AB787" s="23" t="str">
        <f>IFERROR(VLOOKUP(AA787,Listas!$A$1:$C$14,2,FALSE),"")</f>
        <v>FREDY CÉSPEDES VILLA</v>
      </c>
      <c r="AC787" s="23">
        <f>IFERROR(VLOOKUP(AA787,Listas!$A$1:$C$14,3,FALSE),"")</f>
        <v>93363483</v>
      </c>
      <c r="AD787" s="17" t="s">
        <v>217</v>
      </c>
      <c r="AE787" s="17" t="s">
        <v>381</v>
      </c>
      <c r="AF787" s="23" t="str">
        <f>IFERROR(VLOOKUP(AE787,Listas!$AD$1:$AF$65,2,FALSE),"")</f>
        <v>MARINA AZUCENA MEDINA SANDOVAL</v>
      </c>
      <c r="AG787" s="23">
        <f>IFERROR(VLOOKUP(AE787,Listas!$AD$1:$AF$65,3,FALSE),"")</f>
        <v>51842510</v>
      </c>
      <c r="AH787" s="17" t="s">
        <v>3186</v>
      </c>
      <c r="AI787" s="65" t="s">
        <v>6289</v>
      </c>
      <c r="AJ787" s="25" t="s">
        <v>4370</v>
      </c>
      <c r="AK787" s="26" t="s">
        <v>120</v>
      </c>
      <c r="AL787" s="26" t="s">
        <v>120</v>
      </c>
      <c r="AM787" s="90" t="s">
        <v>119</v>
      </c>
      <c r="AN787" s="105"/>
      <c r="AO787" s="91" t="str">
        <f t="shared" ca="1" si="332"/>
        <v xml:space="preserve"> </v>
      </c>
      <c r="AP787" s="26" t="s">
        <v>121</v>
      </c>
      <c r="AQ787" s="26" t="s">
        <v>1272</v>
      </c>
      <c r="AR787" s="89"/>
      <c r="AS787" s="27"/>
      <c r="AT787" s="16"/>
      <c r="AU787" s="27"/>
      <c r="AV787" s="86"/>
      <c r="AW787" s="27"/>
      <c r="AX787" s="27"/>
      <c r="AY787" s="27"/>
      <c r="AZ787" s="27"/>
      <c r="BA787" s="27"/>
      <c r="BB787" s="27"/>
      <c r="BC787" s="97"/>
      <c r="BD787" s="27"/>
      <c r="BE787" s="16"/>
      <c r="BF787" s="28">
        <f t="shared" si="333"/>
        <v>0</v>
      </c>
      <c r="BG787" s="29"/>
      <c r="BH787" s="27"/>
      <c r="BI787" s="30">
        <f t="shared" si="334"/>
        <v>728</v>
      </c>
      <c r="BJ787" s="31">
        <f t="shared" si="335"/>
        <v>46203</v>
      </c>
      <c r="BK787" s="27"/>
      <c r="BL787" s="16"/>
      <c r="BM787" s="27"/>
      <c r="BN787" s="16"/>
      <c r="BO787" s="27"/>
      <c r="BP787" s="16"/>
      <c r="BQ787" s="27"/>
      <c r="BR787" s="24"/>
      <c r="BS787" s="24"/>
      <c r="BT787" s="32"/>
      <c r="BU787" s="27"/>
      <c r="BV787" s="24"/>
      <c r="BW787" s="24"/>
      <c r="BX787" s="16"/>
      <c r="BY787" s="27"/>
      <c r="BZ787" s="24"/>
      <c r="CA787" s="24"/>
      <c r="CB787" s="16"/>
      <c r="CC787" s="49">
        <f t="shared" si="336"/>
        <v>0</v>
      </c>
      <c r="CD787" s="24"/>
      <c r="CE787" s="49">
        <f t="shared" si="337"/>
        <v>712619706</v>
      </c>
      <c r="CF787" s="50">
        <v>0</v>
      </c>
      <c r="CG787" s="49">
        <f t="shared" ca="1" si="323"/>
        <v>477690132.59340662</v>
      </c>
      <c r="CH787" s="33">
        <f t="shared" ca="1" si="312"/>
        <v>0.65181058495821731</v>
      </c>
      <c r="CI787" s="33">
        <f t="shared" ca="1" si="313"/>
        <v>0.65181058495821731</v>
      </c>
      <c r="CJ787" s="36">
        <f t="shared" ca="1" si="328"/>
        <v>67.032967032967036</v>
      </c>
      <c r="CK787" s="34">
        <f t="shared" si="329"/>
        <v>0</v>
      </c>
      <c r="CL787" s="21"/>
      <c r="CM787" s="35" t="str">
        <f t="shared" ca="1" si="338"/>
        <v>VIGENTE</v>
      </c>
      <c r="CN787" s="82"/>
      <c r="CP787" s="83" t="s">
        <v>1424</v>
      </c>
    </row>
    <row r="788" spans="1:97" customFormat="1" ht="24.75" customHeight="1">
      <c r="A788" s="48" t="s">
        <v>6290</v>
      </c>
      <c r="B788" s="77" t="s">
        <v>6291</v>
      </c>
      <c r="C788" s="17" t="s">
        <v>6292</v>
      </c>
      <c r="D788" s="18" t="s">
        <v>6293</v>
      </c>
      <c r="E788" s="17" t="s">
        <v>106</v>
      </c>
      <c r="F788" s="17" t="s">
        <v>1426</v>
      </c>
      <c r="G788" s="17" t="s">
        <v>1427</v>
      </c>
      <c r="H788" s="78" t="s">
        <v>6294</v>
      </c>
      <c r="I788" s="74" t="s">
        <v>6295</v>
      </c>
      <c r="J788" s="16" t="s">
        <v>6296</v>
      </c>
      <c r="K788" s="16">
        <v>6384456</v>
      </c>
      <c r="L788" s="20" t="s">
        <v>6297</v>
      </c>
      <c r="M788" s="16" t="s">
        <v>6261</v>
      </c>
      <c r="N788" s="22">
        <v>45462</v>
      </c>
      <c r="O788" s="22">
        <v>45462</v>
      </c>
      <c r="P788" s="22">
        <v>47652</v>
      </c>
      <c r="Q788" s="23">
        <f t="shared" si="331"/>
        <v>2190</v>
      </c>
      <c r="R788" s="17" t="s">
        <v>2934</v>
      </c>
      <c r="S788" s="16" t="s">
        <v>1424</v>
      </c>
      <c r="T788" s="16" t="s">
        <v>1424</v>
      </c>
      <c r="U788" s="67">
        <v>0</v>
      </c>
      <c r="V788" s="16" t="s">
        <v>1424</v>
      </c>
      <c r="W788" s="227">
        <v>0</v>
      </c>
      <c r="X788" s="24">
        <v>0</v>
      </c>
      <c r="Y788" s="24"/>
      <c r="Z788" s="24"/>
      <c r="AA788" s="17" t="s">
        <v>217</v>
      </c>
      <c r="AB788" s="23" t="str">
        <f>IFERROR(VLOOKUP(AA788,Listas!$A$1:$C$14,2,FALSE),"")</f>
        <v>EDGAR ANTONIO GÓMEZ ÁLVAREZ</v>
      </c>
      <c r="AC788" s="23">
        <f>IFERROR(VLOOKUP(AA788,Listas!$A$1:$C$14,3,FALSE),"")</f>
        <v>2231755</v>
      </c>
      <c r="AD788" s="17" t="s">
        <v>217</v>
      </c>
      <c r="AE788" s="17" t="s">
        <v>265</v>
      </c>
      <c r="AF788" s="23" t="str">
        <f>IFERROR(VLOOKUP(AE788,Listas!$AD$1:$AF$65,2,FALSE),"")</f>
        <v>EDGAR ANTONIO GÓMEZ ÁLVAREZ</v>
      </c>
      <c r="AG788" s="23">
        <f>IFERROR(VLOOKUP(AE788,Listas!$AD$1:$AF$65,3,FALSE),"")</f>
        <v>2231755</v>
      </c>
      <c r="AH788" s="17" t="s">
        <v>118</v>
      </c>
      <c r="AI788" s="65"/>
      <c r="AJ788" s="25" t="s">
        <v>4370</v>
      </c>
      <c r="AK788" s="26" t="s">
        <v>120</v>
      </c>
      <c r="AL788" s="26" t="s">
        <v>120</v>
      </c>
      <c r="AM788" s="90" t="s">
        <v>119</v>
      </c>
      <c r="AN788" s="105"/>
      <c r="AO788" s="91" t="str">
        <f t="shared" ca="1" si="332"/>
        <v xml:space="preserve"> </v>
      </c>
      <c r="AP788" s="26" t="s">
        <v>121</v>
      </c>
      <c r="AQ788" s="26" t="s">
        <v>122</v>
      </c>
      <c r="AR788" s="89"/>
      <c r="AS788" s="27"/>
      <c r="AT788" s="16"/>
      <c r="AU788" s="27"/>
      <c r="AV788" s="86"/>
      <c r="AW788" s="27"/>
      <c r="AX788" s="27"/>
      <c r="AY788" s="27"/>
      <c r="AZ788" s="27"/>
      <c r="BA788" s="27"/>
      <c r="BB788" s="27"/>
      <c r="BC788" s="97"/>
      <c r="BD788" s="27"/>
      <c r="BE788" s="16"/>
      <c r="BF788" s="28">
        <f t="shared" si="333"/>
        <v>0</v>
      </c>
      <c r="BG788" s="29"/>
      <c r="BH788" s="27"/>
      <c r="BI788" s="30">
        <f>BF788+Q788</f>
        <v>2190</v>
      </c>
      <c r="BJ788" s="31">
        <f t="shared" si="335"/>
        <v>47652</v>
      </c>
      <c r="BK788" s="27"/>
      <c r="BL788" s="16"/>
      <c r="BM788" s="27"/>
      <c r="BN788" s="16"/>
      <c r="BO788" s="27"/>
      <c r="BP788" s="16"/>
      <c r="BQ788" s="27"/>
      <c r="BR788" s="24"/>
      <c r="BS788" s="24"/>
      <c r="BT788" s="32"/>
      <c r="BU788" s="27"/>
      <c r="BV788" s="24"/>
      <c r="BW788" s="24"/>
      <c r="BX788" s="16"/>
      <c r="BY788" s="27"/>
      <c r="BZ788" s="24"/>
      <c r="CA788" s="24"/>
      <c r="CB788" s="16"/>
      <c r="CC788" s="49">
        <f t="shared" si="336"/>
        <v>0</v>
      </c>
      <c r="CD788" s="24"/>
      <c r="CE788" s="361">
        <f>IF(Y788=0,(W788+CC788)-CD788,IF(Y788&gt;0,(Y788+CC788)-CD788))</f>
        <v>0</v>
      </c>
      <c r="CF788" s="50">
        <v>0</v>
      </c>
      <c r="CG788" s="49">
        <f t="shared" ca="1" si="323"/>
        <v>0</v>
      </c>
      <c r="CH788" s="33">
        <f t="shared" ca="1" si="312"/>
        <v>0.22278832792959705</v>
      </c>
      <c r="CI788" s="33">
        <f t="shared" ca="1" si="313"/>
        <v>0.22278832792959705</v>
      </c>
      <c r="CJ788" s="36" t="str">
        <f t="shared" ca="1" si="328"/>
        <v/>
      </c>
      <c r="CK788" s="34" t="str">
        <f t="shared" si="329"/>
        <v/>
      </c>
      <c r="CL788" s="21"/>
      <c r="CM788" s="35" t="str">
        <f t="shared" ca="1" si="338"/>
        <v>VIGENTE</v>
      </c>
      <c r="CN788" s="82"/>
      <c r="CO788" s="145"/>
      <c r="CP788" s="83" t="s">
        <v>1424</v>
      </c>
      <c r="CQ788" s="83"/>
      <c r="CR788" s="83"/>
    </row>
    <row r="789" spans="1:97" ht="24.75" customHeight="1">
      <c r="A789" s="48" t="s">
        <v>6298</v>
      </c>
      <c r="B789" s="77" t="s">
        <v>6299</v>
      </c>
      <c r="C789" s="17" t="s">
        <v>104</v>
      </c>
      <c r="D789" s="18" t="s">
        <v>6300</v>
      </c>
      <c r="E789" s="17" t="s">
        <v>106</v>
      </c>
      <c r="F789" s="17" t="s">
        <v>1426</v>
      </c>
      <c r="G789" s="17" t="s">
        <v>1427</v>
      </c>
      <c r="H789" s="78" t="s">
        <v>6301</v>
      </c>
      <c r="I789" s="74" t="s">
        <v>6302</v>
      </c>
      <c r="J789" s="16" t="s">
        <v>6303</v>
      </c>
      <c r="K789" s="16">
        <v>80220141</v>
      </c>
      <c r="L789" s="20" t="s">
        <v>6304</v>
      </c>
      <c r="M789" s="16" t="s">
        <v>6305</v>
      </c>
      <c r="N789" s="22">
        <v>45464</v>
      </c>
      <c r="O789" s="22">
        <v>45485</v>
      </c>
      <c r="P789" s="22">
        <v>45657</v>
      </c>
      <c r="Q789" s="23">
        <f t="shared" si="331"/>
        <v>172</v>
      </c>
      <c r="R789" s="17" t="s">
        <v>242</v>
      </c>
      <c r="S789" s="16" t="s">
        <v>6306</v>
      </c>
      <c r="T789" s="16" t="s">
        <v>2811</v>
      </c>
      <c r="U789" s="67">
        <v>13582660</v>
      </c>
      <c r="V789" s="16" t="s">
        <v>2812</v>
      </c>
      <c r="W789" s="224">
        <v>13582660</v>
      </c>
      <c r="X789" s="24"/>
      <c r="Y789" s="24"/>
      <c r="Z789" s="24"/>
      <c r="AA789" s="17" t="s">
        <v>116</v>
      </c>
      <c r="AB789" s="23" t="str">
        <f>IFERROR(VLOOKUP(AA789,Listas!$A$1:$C$14,2,FALSE),"")</f>
        <v>FREDY CÉSPEDES VILLA</v>
      </c>
      <c r="AC789" s="23">
        <f>IFERROR(VLOOKUP(AA789,Listas!$A$1:$C$14,3,FALSE),"")</f>
        <v>93363483</v>
      </c>
      <c r="AD789" s="17" t="s">
        <v>816</v>
      </c>
      <c r="AE789" s="17" t="s">
        <v>2835</v>
      </c>
      <c r="AF789" s="23" t="str">
        <f>IFERROR(VLOOKUP(AE789,Listas!$AD$1:$AF$65,2,FALSE),"")</f>
        <v>GUILLERMO ANDRES CARDONA HERRERA</v>
      </c>
      <c r="AG789" s="23">
        <f>IFERROR(VLOOKUP(AE789,Listas!$AD$1:$AF$65,3,FALSE),"")</f>
        <v>80018909</v>
      </c>
      <c r="AH789" s="17" t="s">
        <v>118</v>
      </c>
      <c r="AI789" s="65" t="s">
        <v>6307</v>
      </c>
      <c r="AJ789" s="25" t="s">
        <v>4370</v>
      </c>
      <c r="AK789" s="26" t="s">
        <v>120</v>
      </c>
      <c r="AL789" s="26" t="s">
        <v>120</v>
      </c>
      <c r="AM789" s="90" t="s">
        <v>119</v>
      </c>
      <c r="AN789" s="105"/>
      <c r="AO789" s="91" t="str">
        <f t="shared" ca="1" si="332"/>
        <v xml:space="preserve"> </v>
      </c>
      <c r="AP789" s="26" t="s">
        <v>121</v>
      </c>
      <c r="AQ789" s="26" t="s">
        <v>1641</v>
      </c>
      <c r="AR789" s="89"/>
      <c r="AS789" s="27"/>
      <c r="AT789" s="16"/>
      <c r="AU789" s="27"/>
      <c r="AV789" s="86"/>
      <c r="AW789" s="27"/>
      <c r="AX789" s="27"/>
      <c r="AY789" s="27"/>
      <c r="AZ789" s="27"/>
      <c r="BA789" s="27"/>
      <c r="BB789" s="27"/>
      <c r="BC789" s="97"/>
      <c r="BD789" s="27"/>
      <c r="BE789" s="16"/>
      <c r="BF789" s="28">
        <f t="shared" si="333"/>
        <v>0</v>
      </c>
      <c r="BG789" s="29"/>
      <c r="BH789" s="27"/>
      <c r="BI789" s="30">
        <f t="shared" si="334"/>
        <v>172</v>
      </c>
      <c r="BJ789" s="31">
        <f t="shared" si="335"/>
        <v>45657</v>
      </c>
      <c r="BK789" s="27"/>
      <c r="BL789" s="16"/>
      <c r="BM789" s="27"/>
      <c r="BN789" s="16"/>
      <c r="BO789" s="27"/>
      <c r="BP789" s="16"/>
      <c r="BQ789" s="27"/>
      <c r="BR789" s="24"/>
      <c r="BS789" s="24"/>
      <c r="BT789" s="32"/>
      <c r="BU789" s="27"/>
      <c r="BV789" s="24"/>
      <c r="BW789" s="24"/>
      <c r="BX789" s="16"/>
      <c r="BY789" s="27"/>
      <c r="BZ789" s="24"/>
      <c r="CA789" s="24"/>
      <c r="CB789" s="16"/>
      <c r="CC789" s="49">
        <f t="shared" si="336"/>
        <v>0</v>
      </c>
      <c r="CD789" s="24"/>
      <c r="CE789" s="49">
        <f t="shared" si="337"/>
        <v>13582660</v>
      </c>
      <c r="CF789" s="50">
        <v>0</v>
      </c>
      <c r="CG789" s="49">
        <f t="shared" ca="1" si="323"/>
        <v>13582660</v>
      </c>
      <c r="CH789" s="33">
        <f t="shared" ca="1" si="312"/>
        <v>1</v>
      </c>
      <c r="CI789" s="33">
        <f t="shared" ca="1" si="313"/>
        <v>1</v>
      </c>
      <c r="CJ789" s="36">
        <f t="shared" ca="1" si="328"/>
        <v>100</v>
      </c>
      <c r="CK789" s="34">
        <f t="shared" si="329"/>
        <v>0</v>
      </c>
      <c r="CL789" s="21"/>
      <c r="CM789" s="35" t="str">
        <f t="shared" ca="1" si="338"/>
        <v>TERMINADO</v>
      </c>
      <c r="CN789" s="82"/>
      <c r="CP789" s="83" t="s">
        <v>1424</v>
      </c>
    </row>
    <row r="790" spans="1:97" ht="24.75" customHeight="1">
      <c r="A790" s="48" t="s">
        <v>5487</v>
      </c>
      <c r="B790" s="77" t="s">
        <v>6308</v>
      </c>
      <c r="C790" s="17" t="s">
        <v>104</v>
      </c>
      <c r="D790" s="18" t="s">
        <v>6309</v>
      </c>
      <c r="E790" s="17" t="s">
        <v>106</v>
      </c>
      <c r="F790" s="17" t="s">
        <v>107</v>
      </c>
      <c r="G790" s="17" t="s">
        <v>108</v>
      </c>
      <c r="H790" s="78">
        <v>52970076</v>
      </c>
      <c r="I790" s="74" t="s">
        <v>6310</v>
      </c>
      <c r="J790" s="16"/>
      <c r="K790" s="16"/>
      <c r="L790" s="20" t="s">
        <v>6311</v>
      </c>
      <c r="M790" s="16" t="s">
        <v>6305</v>
      </c>
      <c r="N790" s="22">
        <v>45464</v>
      </c>
      <c r="O790" s="22">
        <v>45470</v>
      </c>
      <c r="P790" s="22">
        <v>45656</v>
      </c>
      <c r="Q790" s="23">
        <f t="shared" si="331"/>
        <v>186</v>
      </c>
      <c r="R790" s="17" t="s">
        <v>242</v>
      </c>
      <c r="S790" s="16" t="s">
        <v>6312</v>
      </c>
      <c r="T790" s="16" t="s">
        <v>668</v>
      </c>
      <c r="U790" s="67">
        <v>49700000</v>
      </c>
      <c r="V790" s="16" t="s">
        <v>6313</v>
      </c>
      <c r="W790" s="224">
        <v>49700000</v>
      </c>
      <c r="X790" s="24">
        <v>7100000</v>
      </c>
      <c r="Y790" s="24"/>
      <c r="Z790" s="24"/>
      <c r="AA790" s="17" t="s">
        <v>116</v>
      </c>
      <c r="AB790" s="23" t="str">
        <f>IFERROR(VLOOKUP(AA790,Listas!$A$1:$C$14,2,FALSE),"")</f>
        <v>FREDY CÉSPEDES VILLA</v>
      </c>
      <c r="AC790" s="23">
        <f>IFERROR(VLOOKUP(AA790,Listas!$A$1:$C$14,3,FALSE),"")</f>
        <v>93363483</v>
      </c>
      <c r="AD790" s="17" t="s">
        <v>282</v>
      </c>
      <c r="AE790" s="17" t="s">
        <v>293</v>
      </c>
      <c r="AF790" s="23" t="str">
        <f>IFERROR(VLOOKUP(AE790,Listas!$AD$1:$AF$65,2,FALSE),"")</f>
        <v>MÓNICA PINTO GARCÍA</v>
      </c>
      <c r="AG790" s="23">
        <f>IFERROR(VLOOKUP(AE790,Listas!$AD$1:$AF$65,3,FALSE),"")</f>
        <v>52867207</v>
      </c>
      <c r="AH790" s="17" t="s">
        <v>118</v>
      </c>
      <c r="AI790" s="65" t="s">
        <v>6314</v>
      </c>
      <c r="AJ790" s="25" t="s">
        <v>4370</v>
      </c>
      <c r="AK790" s="26" t="s">
        <v>120</v>
      </c>
      <c r="AL790" s="26" t="s">
        <v>120</v>
      </c>
      <c r="AM790" s="90" t="s">
        <v>119</v>
      </c>
      <c r="AN790" s="105">
        <v>30159</v>
      </c>
      <c r="AO790" s="91">
        <f t="shared" ca="1" si="332"/>
        <v>43</v>
      </c>
      <c r="AP790" s="26" t="s">
        <v>121</v>
      </c>
      <c r="AQ790" s="26" t="s">
        <v>285</v>
      </c>
      <c r="AR790" s="89"/>
      <c r="AS790" s="27"/>
      <c r="AT790" s="16"/>
      <c r="AU790" s="27"/>
      <c r="AV790" s="86"/>
      <c r="AW790" s="27"/>
      <c r="AX790" s="27"/>
      <c r="AY790" s="27"/>
      <c r="AZ790" s="27"/>
      <c r="BA790" s="27"/>
      <c r="BB790" s="27"/>
      <c r="BC790" s="97"/>
      <c r="BD790" s="27"/>
      <c r="BE790" s="16"/>
      <c r="BF790" s="28">
        <f t="shared" si="333"/>
        <v>0</v>
      </c>
      <c r="BG790" s="29"/>
      <c r="BH790" s="27"/>
      <c r="BI790" s="30">
        <f t="shared" si="334"/>
        <v>186</v>
      </c>
      <c r="BJ790" s="31">
        <f t="shared" si="335"/>
        <v>45656</v>
      </c>
      <c r="BK790" s="27"/>
      <c r="BL790" s="16"/>
      <c r="BM790" s="27"/>
      <c r="BN790" s="16"/>
      <c r="BO790" s="27"/>
      <c r="BP790" s="16"/>
      <c r="BQ790" s="27"/>
      <c r="BR790" s="24"/>
      <c r="BS790" s="24"/>
      <c r="BT790" s="32"/>
      <c r="BU790" s="27"/>
      <c r="BV790" s="24"/>
      <c r="BW790" s="24"/>
      <c r="BX790" s="16"/>
      <c r="BY790" s="27"/>
      <c r="BZ790" s="24"/>
      <c r="CA790" s="24"/>
      <c r="CB790" s="16"/>
      <c r="CC790" s="49">
        <f t="shared" si="336"/>
        <v>0</v>
      </c>
      <c r="CD790" s="24"/>
      <c r="CE790" s="49">
        <f t="shared" si="337"/>
        <v>49700000</v>
      </c>
      <c r="CF790" s="50"/>
      <c r="CG790" s="49">
        <f t="shared" ca="1" si="323"/>
        <v>49700000</v>
      </c>
      <c r="CH790" s="33">
        <f t="shared" ca="1" si="312"/>
        <v>1</v>
      </c>
      <c r="CI790" s="33">
        <f t="shared" ca="1" si="313"/>
        <v>1</v>
      </c>
      <c r="CJ790" s="36">
        <f t="shared" ca="1" si="328"/>
        <v>100</v>
      </c>
      <c r="CK790" s="34">
        <f t="shared" si="329"/>
        <v>0</v>
      </c>
      <c r="CL790" s="21"/>
      <c r="CM790" s="35" t="str">
        <f t="shared" ca="1" si="338"/>
        <v>TERMINADO</v>
      </c>
      <c r="CN790" s="82"/>
      <c r="CP790" s="26" t="s">
        <v>123</v>
      </c>
    </row>
    <row r="791" spans="1:97" ht="24.75" customHeight="1">
      <c r="A791" s="48" t="s">
        <v>2499</v>
      </c>
      <c r="B791" s="77" t="s">
        <v>6315</v>
      </c>
      <c r="C791" s="17" t="s">
        <v>104</v>
      </c>
      <c r="D791" s="18" t="s">
        <v>6316</v>
      </c>
      <c r="E791" s="17" t="s">
        <v>106</v>
      </c>
      <c r="F791" s="17" t="s">
        <v>107</v>
      </c>
      <c r="G791" s="17" t="s">
        <v>108</v>
      </c>
      <c r="H791" s="78">
        <v>52084507</v>
      </c>
      <c r="I791" s="74" t="s">
        <v>2502</v>
      </c>
      <c r="J791" s="16"/>
      <c r="K791" s="16"/>
      <c r="L791" s="20" t="s">
        <v>6317</v>
      </c>
      <c r="M791" s="16" t="s">
        <v>6305</v>
      </c>
      <c r="N791" s="22">
        <v>45468</v>
      </c>
      <c r="O791" s="22">
        <v>45470</v>
      </c>
      <c r="P791" s="22">
        <v>45656</v>
      </c>
      <c r="Q791" s="23">
        <f t="shared" si="331"/>
        <v>186</v>
      </c>
      <c r="R791" s="17" t="s">
        <v>242</v>
      </c>
      <c r="S791" s="16" t="s">
        <v>6318</v>
      </c>
      <c r="T791" s="16" t="s">
        <v>6319</v>
      </c>
      <c r="U791" s="67">
        <v>81908400</v>
      </c>
      <c r="V791" s="16" t="s">
        <v>344</v>
      </c>
      <c r="W791" s="224">
        <v>81908400</v>
      </c>
      <c r="X791" s="24">
        <v>11701200</v>
      </c>
      <c r="Y791" s="24"/>
      <c r="Z791" s="24"/>
      <c r="AA791" s="17" t="s">
        <v>116</v>
      </c>
      <c r="AB791" s="23" t="str">
        <f>IFERROR(VLOOKUP(AA791,Listas!$A$1:$C$14,2,FALSE),"")</f>
        <v>FREDY CÉSPEDES VILLA</v>
      </c>
      <c r="AC791" s="23">
        <f>IFERROR(VLOOKUP(AA791,Listas!$A$1:$C$14,3,FALSE),"")</f>
        <v>93363483</v>
      </c>
      <c r="AD791" s="17" t="s">
        <v>345</v>
      </c>
      <c r="AE791" s="17" t="s">
        <v>346</v>
      </c>
      <c r="AF791" s="23" t="str">
        <f>IFERROR(VLOOKUP(AE791,Listas!$AD$1:$AF$65,2,FALSE),"")</f>
        <v>RODOLFO GIOVANNI CANCHILA SUÁREZ</v>
      </c>
      <c r="AG791" s="23">
        <f>IFERROR(VLOOKUP(AE791,Listas!$AD$1:$AF$65,3,FALSE),"")</f>
        <v>79672493</v>
      </c>
      <c r="AH791" s="17" t="s">
        <v>118</v>
      </c>
      <c r="AI791" s="65" t="s">
        <v>6320</v>
      </c>
      <c r="AJ791" s="25" t="s">
        <v>4370</v>
      </c>
      <c r="AK791" s="26" t="s">
        <v>120</v>
      </c>
      <c r="AL791" s="26" t="s">
        <v>120</v>
      </c>
      <c r="AM791" s="90" t="s">
        <v>119</v>
      </c>
      <c r="AN791" s="105">
        <v>26602</v>
      </c>
      <c r="AO791" s="91">
        <f t="shared" ca="1" si="332"/>
        <v>53</v>
      </c>
      <c r="AP791" s="26" t="s">
        <v>121</v>
      </c>
      <c r="AQ791" s="26" t="s">
        <v>367</v>
      </c>
      <c r="AR791" s="89"/>
      <c r="AS791" s="27"/>
      <c r="AT791" s="16"/>
      <c r="AU791" s="27"/>
      <c r="AV791" s="86"/>
      <c r="AW791" s="27"/>
      <c r="AX791" s="27"/>
      <c r="AY791" s="27"/>
      <c r="AZ791" s="27"/>
      <c r="BA791" s="27"/>
      <c r="BB791" s="27"/>
      <c r="BC791" s="97"/>
      <c r="BD791" s="27"/>
      <c r="BE791" s="16"/>
      <c r="BF791" s="28">
        <f t="shared" si="333"/>
        <v>0</v>
      </c>
      <c r="BG791" s="29"/>
      <c r="BH791" s="27"/>
      <c r="BI791" s="30">
        <f t="shared" si="334"/>
        <v>186</v>
      </c>
      <c r="BJ791" s="31">
        <f t="shared" si="335"/>
        <v>45656</v>
      </c>
      <c r="BK791" s="27"/>
      <c r="BL791" s="16"/>
      <c r="BM791" s="27"/>
      <c r="BN791" s="16"/>
      <c r="BO791" s="27"/>
      <c r="BP791" s="16"/>
      <c r="BQ791" s="27"/>
      <c r="BR791" s="24"/>
      <c r="BS791" s="24"/>
      <c r="BT791" s="32"/>
      <c r="BU791" s="27"/>
      <c r="BV791" s="24"/>
      <c r="BW791" s="24"/>
      <c r="BX791" s="16"/>
      <c r="BY791" s="27"/>
      <c r="BZ791" s="24"/>
      <c r="CA791" s="24"/>
      <c r="CB791" s="16"/>
      <c r="CC791" s="49">
        <f t="shared" si="336"/>
        <v>0</v>
      </c>
      <c r="CD791" s="24"/>
      <c r="CE791" s="49">
        <f t="shared" si="337"/>
        <v>81908400</v>
      </c>
      <c r="CF791" s="50"/>
      <c r="CG791" s="49">
        <f t="shared" ca="1" si="323"/>
        <v>81908400</v>
      </c>
      <c r="CH791" s="33">
        <f t="shared" ca="1" si="312"/>
        <v>1</v>
      </c>
      <c r="CI791" s="33">
        <f t="shared" ca="1" si="313"/>
        <v>1</v>
      </c>
      <c r="CJ791" s="36">
        <f t="shared" ca="1" si="328"/>
        <v>100</v>
      </c>
      <c r="CK791" s="34">
        <f t="shared" si="329"/>
        <v>0</v>
      </c>
      <c r="CL791" s="21"/>
      <c r="CM791" s="35" t="str">
        <f t="shared" ca="1" si="338"/>
        <v>TERMINADO</v>
      </c>
      <c r="CN791" s="82"/>
      <c r="CP791" s="26" t="s">
        <v>123</v>
      </c>
    </row>
    <row r="792" spans="1:97" ht="24.75" customHeight="1">
      <c r="A792" s="48" t="s">
        <v>6321</v>
      </c>
      <c r="B792" s="77" t="s">
        <v>6322</v>
      </c>
      <c r="C792" s="17" t="s">
        <v>104</v>
      </c>
      <c r="D792" s="18" t="s">
        <v>6323</v>
      </c>
      <c r="E792" s="17" t="s">
        <v>106</v>
      </c>
      <c r="F792" s="17" t="s">
        <v>1426</v>
      </c>
      <c r="G792" s="17" t="s">
        <v>1427</v>
      </c>
      <c r="H792" s="78" t="s">
        <v>6324</v>
      </c>
      <c r="I792" s="74" t="s">
        <v>6325</v>
      </c>
      <c r="J792" s="16" t="s">
        <v>6326</v>
      </c>
      <c r="K792" s="16">
        <v>1020715580</v>
      </c>
      <c r="L792" s="20" t="s">
        <v>6327</v>
      </c>
      <c r="M792" s="16" t="s">
        <v>6305</v>
      </c>
      <c r="N792" s="22">
        <v>45468</v>
      </c>
      <c r="O792" s="22">
        <v>45478</v>
      </c>
      <c r="P792" s="22">
        <v>45656</v>
      </c>
      <c r="Q792" s="23">
        <f t="shared" si="331"/>
        <v>178</v>
      </c>
      <c r="R792" s="17" t="s">
        <v>242</v>
      </c>
      <c r="S792" s="16" t="s">
        <v>6328</v>
      </c>
      <c r="T792" s="16" t="s">
        <v>6329</v>
      </c>
      <c r="U792" s="67">
        <v>20261641</v>
      </c>
      <c r="V792" s="16" t="s">
        <v>6330</v>
      </c>
      <c r="W792" s="224"/>
      <c r="X792" s="24"/>
      <c r="Y792" s="24"/>
      <c r="Z792" s="24"/>
      <c r="AA792" s="17" t="s">
        <v>116</v>
      </c>
      <c r="AB792" s="23" t="str">
        <f>IFERROR(VLOOKUP(AA792,Listas!$A$1:$C$14,2,FALSE),"")</f>
        <v>FREDY CÉSPEDES VILLA</v>
      </c>
      <c r="AC792" s="23">
        <f>IFERROR(VLOOKUP(AA792,Listas!$A$1:$C$14,3,FALSE),"")</f>
        <v>93363483</v>
      </c>
      <c r="AD792" s="17" t="s">
        <v>406</v>
      </c>
      <c r="AE792" s="17" t="s">
        <v>407</v>
      </c>
      <c r="AF792" s="23" t="str">
        <f>IFERROR(VLOOKUP(AE792,Listas!$AD$1:$AF$65,2,FALSE),"")</f>
        <v>MARÍA VICTORIA CAMARGO CORTÉS</v>
      </c>
      <c r="AG792" s="23">
        <f>IFERROR(VLOOKUP(AE792,Listas!$AD$1:$AF$65,3,FALSE),"")</f>
        <v>52496497</v>
      </c>
      <c r="AH792" s="17" t="s">
        <v>5821</v>
      </c>
      <c r="AI792" s="65" t="s">
        <v>6331</v>
      </c>
      <c r="AJ792" s="25" t="s">
        <v>4370</v>
      </c>
      <c r="AK792" s="26" t="s">
        <v>120</v>
      </c>
      <c r="AL792" s="26" t="s">
        <v>120</v>
      </c>
      <c r="AM792" s="90" t="s">
        <v>119</v>
      </c>
      <c r="AN792" s="105"/>
      <c r="AO792" s="91" t="str">
        <f t="shared" ca="1" si="332"/>
        <v xml:space="preserve"> </v>
      </c>
      <c r="AP792" s="26" t="s">
        <v>121</v>
      </c>
      <c r="AQ792" s="26" t="s">
        <v>122</v>
      </c>
      <c r="AR792" s="89"/>
      <c r="AS792" s="27"/>
      <c r="AT792" s="16"/>
      <c r="AU792" s="27"/>
      <c r="AV792" s="86"/>
      <c r="AW792" s="27"/>
      <c r="AX792" s="27"/>
      <c r="AY792" s="27"/>
      <c r="AZ792" s="27"/>
      <c r="BA792" s="27"/>
      <c r="BB792" s="27"/>
      <c r="BC792" s="97"/>
      <c r="BD792" s="27"/>
      <c r="BE792" s="16"/>
      <c r="BF792" s="28">
        <f t="shared" si="333"/>
        <v>0</v>
      </c>
      <c r="BG792" s="29"/>
      <c r="BH792" s="27"/>
      <c r="BI792" s="30">
        <f t="shared" si="334"/>
        <v>178</v>
      </c>
      <c r="BJ792" s="31">
        <f t="shared" si="335"/>
        <v>45656</v>
      </c>
      <c r="BK792" s="27"/>
      <c r="BL792" s="16"/>
      <c r="BM792" s="27"/>
      <c r="BN792" s="16"/>
      <c r="BO792" s="27"/>
      <c r="BP792" s="16"/>
      <c r="BQ792" s="27"/>
      <c r="BR792" s="24"/>
      <c r="BS792" s="24"/>
      <c r="BT792" s="32"/>
      <c r="BU792" s="27"/>
      <c r="BV792" s="24"/>
      <c r="BW792" s="24"/>
      <c r="BX792" s="16"/>
      <c r="BY792" s="27"/>
      <c r="BZ792" s="24"/>
      <c r="CA792" s="24"/>
      <c r="CB792" s="16"/>
      <c r="CC792" s="49">
        <f t="shared" si="336"/>
        <v>0</v>
      </c>
      <c r="CD792" s="24"/>
      <c r="CE792" s="49">
        <f>IF(Y792=0,(W792+CC792)-CD792,IF(Y792&gt;0,(Y792+CC792)-CD792))</f>
        <v>0</v>
      </c>
      <c r="CF792" s="50">
        <v>18849695</v>
      </c>
      <c r="CG792" s="49">
        <v>18849695</v>
      </c>
      <c r="CH792" s="33">
        <f t="shared" ca="1" si="312"/>
        <v>1</v>
      </c>
      <c r="CI792" s="33">
        <f t="shared" ca="1" si="313"/>
        <v>1</v>
      </c>
      <c r="CJ792" s="36" t="str">
        <f t="shared" si="328"/>
        <v/>
      </c>
      <c r="CK792" s="34" t="str">
        <f t="shared" si="329"/>
        <v/>
      </c>
      <c r="CL792" s="21"/>
      <c r="CM792" s="35" t="str">
        <f t="shared" ca="1" si="338"/>
        <v>TERMINADO</v>
      </c>
      <c r="CN792" s="82"/>
      <c r="CP792" s="83" t="s">
        <v>1424</v>
      </c>
    </row>
    <row r="793" spans="1:97" ht="24.75" customHeight="1">
      <c r="A793" s="48" t="s">
        <v>6332</v>
      </c>
      <c r="B793" s="77" t="s">
        <v>6333</v>
      </c>
      <c r="C793" s="17" t="s">
        <v>104</v>
      </c>
      <c r="D793" s="18" t="s">
        <v>6334</v>
      </c>
      <c r="E793" s="17" t="s">
        <v>106</v>
      </c>
      <c r="F793" s="17" t="s">
        <v>107</v>
      </c>
      <c r="G793" s="17" t="s">
        <v>108</v>
      </c>
      <c r="H793" s="78">
        <v>1144045956</v>
      </c>
      <c r="I793" s="74" t="s">
        <v>6335</v>
      </c>
      <c r="J793" s="16"/>
      <c r="K793" s="16"/>
      <c r="L793" s="20" t="s">
        <v>6336</v>
      </c>
      <c r="M793" s="16" t="s">
        <v>6305</v>
      </c>
      <c r="N793" s="22">
        <v>45469</v>
      </c>
      <c r="O793" s="22">
        <v>45478</v>
      </c>
      <c r="P793" s="22">
        <v>45657</v>
      </c>
      <c r="Q793" s="23">
        <f t="shared" si="331"/>
        <v>179</v>
      </c>
      <c r="R793" s="17" t="s">
        <v>242</v>
      </c>
      <c r="S793" s="16" t="s">
        <v>6337</v>
      </c>
      <c r="T793" s="16" t="s">
        <v>1145</v>
      </c>
      <c r="U793" s="67">
        <v>69285950</v>
      </c>
      <c r="V793" s="16" t="s">
        <v>426</v>
      </c>
      <c r="W793" s="224">
        <v>69285950</v>
      </c>
      <c r="X793" s="24">
        <v>6131500</v>
      </c>
      <c r="Y793" s="24"/>
      <c r="Z793" s="24"/>
      <c r="AA793" s="17" t="s">
        <v>116</v>
      </c>
      <c r="AB793" s="23" t="str">
        <f>IFERROR(VLOOKUP(AA793,Listas!$A$1:$C$14,2,FALSE),"")</f>
        <v>FREDY CÉSPEDES VILLA</v>
      </c>
      <c r="AC793" s="23">
        <f>IFERROR(VLOOKUP(AA793,Listas!$A$1:$C$14,3,FALSE),"")</f>
        <v>93363483</v>
      </c>
      <c r="AD793" s="17" t="s">
        <v>427</v>
      </c>
      <c r="AE793" s="17" t="s">
        <v>2198</v>
      </c>
      <c r="AF793" s="23" t="str">
        <f>IFERROR(VLOOKUP(AE793,Listas!$AD$1:$AF$65,2,FALSE),"")</f>
        <v>ELIANA ROCÍO OCHOA BLANCO</v>
      </c>
      <c r="AG793" s="23">
        <f>IFERROR(VLOOKUP(AE793,Listas!$AD$1:$AF$65,3,FALSE),"")</f>
        <v>1018418424</v>
      </c>
      <c r="AH793" s="17" t="s">
        <v>118</v>
      </c>
      <c r="AI793" s="65" t="s">
        <v>6338</v>
      </c>
      <c r="AJ793" s="25" t="s">
        <v>4370</v>
      </c>
      <c r="AK793" s="26" t="s">
        <v>120</v>
      </c>
      <c r="AL793" s="26" t="s">
        <v>120</v>
      </c>
      <c r="AM793" s="90" t="s">
        <v>119</v>
      </c>
      <c r="AN793" s="105">
        <v>33205</v>
      </c>
      <c r="AO793" s="91">
        <f t="shared" ca="1" si="332"/>
        <v>35</v>
      </c>
      <c r="AP793" s="26" t="s">
        <v>121</v>
      </c>
      <c r="AQ793" s="26" t="s">
        <v>1272</v>
      </c>
      <c r="AR793" s="89"/>
      <c r="AS793" s="27"/>
      <c r="AT793" s="16"/>
      <c r="AU793" s="27"/>
      <c r="AV793" s="86"/>
      <c r="AW793" s="27"/>
      <c r="AX793" s="27"/>
      <c r="AY793" s="27"/>
      <c r="AZ793" s="27"/>
      <c r="BA793" s="27"/>
      <c r="BB793" s="27"/>
      <c r="BC793" s="97"/>
      <c r="BD793" s="27"/>
      <c r="BE793" s="16"/>
      <c r="BF793" s="28">
        <f t="shared" si="333"/>
        <v>0</v>
      </c>
      <c r="BG793" s="29"/>
      <c r="BH793" s="27"/>
      <c r="BI793" s="30">
        <f t="shared" si="334"/>
        <v>179</v>
      </c>
      <c r="BJ793" s="31">
        <f t="shared" si="335"/>
        <v>45657</v>
      </c>
      <c r="BK793" s="27"/>
      <c r="BL793" s="16"/>
      <c r="BM793" s="27"/>
      <c r="BN793" s="16"/>
      <c r="BO793" s="27"/>
      <c r="BP793" s="16"/>
      <c r="BQ793" s="27"/>
      <c r="BR793" s="24"/>
      <c r="BS793" s="24"/>
      <c r="BT793" s="32"/>
      <c r="BU793" s="27"/>
      <c r="BV793" s="24"/>
      <c r="BW793" s="24"/>
      <c r="BX793" s="16"/>
      <c r="BY793" s="27"/>
      <c r="BZ793" s="24"/>
      <c r="CA793" s="24"/>
      <c r="CB793" s="16"/>
      <c r="CC793" s="49">
        <f t="shared" si="336"/>
        <v>0</v>
      </c>
      <c r="CD793" s="24"/>
      <c r="CE793" s="49">
        <f t="shared" si="337"/>
        <v>69285950</v>
      </c>
      <c r="CF793" s="50"/>
      <c r="CG793" s="49">
        <f t="shared" ca="1" si="323"/>
        <v>69285950</v>
      </c>
      <c r="CH793" s="33">
        <f t="shared" ref="CH793:CH856" ca="1" si="339">IF(TODAY()&gt;BJ793,1,+(DAYS360(O793,TODAY())/DAYS360(O793,BJ793)))</f>
        <v>1</v>
      </c>
      <c r="CI793" s="33">
        <f t="shared" ref="CI793:CI856" ca="1" si="340">+IF(CL793&gt;0,DAYS360(O793,CL793)/DAYS360(O793,BJ793),CH793)</f>
        <v>1</v>
      </c>
      <c r="CJ793" s="36">
        <f t="shared" ca="1" si="328"/>
        <v>100</v>
      </c>
      <c r="CK793" s="34">
        <f t="shared" si="329"/>
        <v>0</v>
      </c>
      <c r="CL793" s="21"/>
      <c r="CM793" s="35" t="str">
        <f t="shared" ca="1" si="338"/>
        <v>TERMINADO</v>
      </c>
      <c r="CN793" s="82"/>
      <c r="CP793" s="26" t="s">
        <v>123</v>
      </c>
    </row>
    <row r="794" spans="1:97" ht="29.25" customHeight="1">
      <c r="A794" s="48" t="s">
        <v>6339</v>
      </c>
      <c r="B794" s="77" t="s">
        <v>6340</v>
      </c>
      <c r="C794" s="17" t="s">
        <v>104</v>
      </c>
      <c r="D794" s="18" t="s">
        <v>6341</v>
      </c>
      <c r="E794" s="17" t="s">
        <v>106</v>
      </c>
      <c r="F794" s="17" t="s">
        <v>107</v>
      </c>
      <c r="G794" s="17" t="s">
        <v>108</v>
      </c>
      <c r="H794" s="78">
        <v>1088322651</v>
      </c>
      <c r="I794" s="74" t="s">
        <v>6342</v>
      </c>
      <c r="J794" s="16"/>
      <c r="K794" s="16"/>
      <c r="L794" s="20" t="s">
        <v>6343</v>
      </c>
      <c r="M794" s="16" t="s">
        <v>6305</v>
      </c>
      <c r="N794" s="22">
        <v>45469</v>
      </c>
      <c r="O794" s="22">
        <v>45475</v>
      </c>
      <c r="P794" s="22">
        <v>45657</v>
      </c>
      <c r="Q794" s="23">
        <f t="shared" si="331"/>
        <v>182</v>
      </c>
      <c r="R794" s="17" t="s">
        <v>242</v>
      </c>
      <c r="S794" s="16" t="s">
        <v>6344</v>
      </c>
      <c r="T794" s="16" t="s">
        <v>1145</v>
      </c>
      <c r="U794" s="67">
        <v>95529967</v>
      </c>
      <c r="V794" s="16" t="s">
        <v>426</v>
      </c>
      <c r="W794" s="224">
        <v>95529967</v>
      </c>
      <c r="X794" s="24">
        <v>8093000</v>
      </c>
      <c r="Y794" s="24"/>
      <c r="Z794" s="24"/>
      <c r="AA794" s="17" t="s">
        <v>116</v>
      </c>
      <c r="AB794" s="23" t="str">
        <f>IFERROR(VLOOKUP(AA794,Listas!$A$1:$C$14,2,FALSE),"")</f>
        <v>FREDY CÉSPEDES VILLA</v>
      </c>
      <c r="AC794" s="23">
        <f>IFERROR(VLOOKUP(AA794,Listas!$A$1:$C$14,3,FALSE),"")</f>
        <v>93363483</v>
      </c>
      <c r="AD794" s="17" t="s">
        <v>427</v>
      </c>
      <c r="AE794" s="17" t="s">
        <v>1802</v>
      </c>
      <c r="AF794" s="23" t="str">
        <f>IFERROR(VLOOKUP(AE794,Listas!$AD$1:$AF$65,2,FALSE),"")</f>
        <v>YULI ANDREA RIVEROS PINEDA</v>
      </c>
      <c r="AG794" s="23">
        <f>IFERROR(VLOOKUP(AE794,Listas!$AD$1:$AF$65,3,FALSE),"")</f>
        <v>53036984</v>
      </c>
      <c r="AH794" s="17" t="s">
        <v>118</v>
      </c>
      <c r="AI794" s="65" t="s">
        <v>6345</v>
      </c>
      <c r="AJ794" s="25" t="s">
        <v>4370</v>
      </c>
      <c r="AK794" s="26" t="s">
        <v>120</v>
      </c>
      <c r="AL794" s="26" t="s">
        <v>120</v>
      </c>
      <c r="AM794" s="90" t="s">
        <v>119</v>
      </c>
      <c r="AN794" s="105">
        <v>34643</v>
      </c>
      <c r="AO794" s="91">
        <f t="shared" ca="1" si="332"/>
        <v>31</v>
      </c>
      <c r="AP794" s="26" t="s">
        <v>121</v>
      </c>
      <c r="AQ794" s="26" t="s">
        <v>1272</v>
      </c>
      <c r="AR794" s="89"/>
      <c r="AS794" s="27"/>
      <c r="AT794" s="16"/>
      <c r="AU794" s="27"/>
      <c r="AV794" s="86"/>
      <c r="AW794" s="27"/>
      <c r="AX794" s="27"/>
      <c r="AY794" s="27"/>
      <c r="AZ794" s="27"/>
      <c r="BA794" s="27"/>
      <c r="BB794" s="27"/>
      <c r="BC794" s="97"/>
      <c r="BD794" s="27"/>
      <c r="BE794" s="16"/>
      <c r="BF794" s="28">
        <f t="shared" si="333"/>
        <v>0</v>
      </c>
      <c r="BG794" s="29"/>
      <c r="BH794" s="27"/>
      <c r="BI794" s="30">
        <f t="shared" si="334"/>
        <v>182</v>
      </c>
      <c r="BJ794" s="31">
        <f t="shared" si="335"/>
        <v>45657</v>
      </c>
      <c r="BK794" s="27"/>
      <c r="BL794" s="16"/>
      <c r="BM794" s="27"/>
      <c r="BN794" s="16"/>
      <c r="BO794" s="27"/>
      <c r="BP794" s="16"/>
      <c r="BQ794" s="27"/>
      <c r="BR794" s="24"/>
      <c r="BS794" s="24"/>
      <c r="BT794" s="32"/>
      <c r="BU794" s="27"/>
      <c r="BV794" s="24"/>
      <c r="BW794" s="24"/>
      <c r="BX794" s="16"/>
      <c r="BY794" s="27"/>
      <c r="BZ794" s="24"/>
      <c r="CA794" s="24"/>
      <c r="CB794" s="16"/>
      <c r="CC794" s="49">
        <f t="shared" si="336"/>
        <v>0</v>
      </c>
      <c r="CD794" s="24"/>
      <c r="CE794" s="49">
        <f t="shared" si="337"/>
        <v>95529967</v>
      </c>
      <c r="CF794" s="50"/>
      <c r="CG794" s="49">
        <f t="shared" ca="1" si="323"/>
        <v>95529967</v>
      </c>
      <c r="CH794" s="33">
        <f t="shared" ca="1" si="339"/>
        <v>1</v>
      </c>
      <c r="CI794" s="33">
        <f t="shared" ca="1" si="340"/>
        <v>1</v>
      </c>
      <c r="CJ794" s="36">
        <f t="shared" ca="1" si="328"/>
        <v>100</v>
      </c>
      <c r="CK794" s="34">
        <f t="shared" si="329"/>
        <v>0</v>
      </c>
      <c r="CL794" s="21"/>
      <c r="CM794" s="35" t="str">
        <f t="shared" ca="1" si="338"/>
        <v>TERMINADO</v>
      </c>
      <c r="CN794" s="82"/>
      <c r="CP794" s="26" t="s">
        <v>123</v>
      </c>
    </row>
    <row r="795" spans="1:97" s="85" customFormat="1" ht="24.75" customHeight="1">
      <c r="A795" s="48" t="s">
        <v>1424</v>
      </c>
      <c r="B795" s="77" t="s">
        <v>6346</v>
      </c>
      <c r="C795" s="17" t="s">
        <v>2927</v>
      </c>
      <c r="D795" s="18" t="s">
        <v>6347</v>
      </c>
      <c r="E795" s="17" t="s">
        <v>2929</v>
      </c>
      <c r="F795" s="17" t="s">
        <v>1426</v>
      </c>
      <c r="G795" s="17" t="s">
        <v>1427</v>
      </c>
      <c r="H795" s="78" t="s">
        <v>6348</v>
      </c>
      <c r="I795" s="74" t="s">
        <v>6349</v>
      </c>
      <c r="J795" s="16" t="s">
        <v>6350</v>
      </c>
      <c r="K795" s="16">
        <v>63524688</v>
      </c>
      <c r="L795" s="20" t="s">
        <v>6351</v>
      </c>
      <c r="M795" s="16"/>
      <c r="N795" s="22">
        <v>45469</v>
      </c>
      <c r="O795" s="22">
        <v>45469</v>
      </c>
      <c r="P795" s="22">
        <v>47295</v>
      </c>
      <c r="Q795" s="23">
        <f t="shared" si="331"/>
        <v>1826</v>
      </c>
      <c r="R795" s="17" t="s">
        <v>2934</v>
      </c>
      <c r="S795" s="16" t="s">
        <v>1424</v>
      </c>
      <c r="T795" s="16" t="s">
        <v>1424</v>
      </c>
      <c r="U795" s="67" t="s">
        <v>1424</v>
      </c>
      <c r="V795" s="16" t="s">
        <v>1424</v>
      </c>
      <c r="W795" s="224">
        <v>0</v>
      </c>
      <c r="X795" s="24"/>
      <c r="Y795" s="24" t="s">
        <v>2935</v>
      </c>
      <c r="Z795" s="24"/>
      <c r="AA795" s="17" t="s">
        <v>406</v>
      </c>
      <c r="AB795" s="23" t="str">
        <f>IFERROR(VLOOKUP(AA795,Listas!$A$1:$C$14,2,FALSE),"")</f>
        <v>EDUARDO ELÍAS BARCHA BOLÍVAR</v>
      </c>
      <c r="AC795" s="23">
        <f>IFERROR(VLOOKUP(AA795,Listas!$A$1:$C$14,3,FALSE),"")</f>
        <v>72133921</v>
      </c>
      <c r="AD795" s="17" t="s">
        <v>1533</v>
      </c>
      <c r="AE795" s="17" t="s">
        <v>1534</v>
      </c>
      <c r="AF795" s="23" t="str">
        <f>IFERROR(VLOOKUP(AE795,Listas!$AD$1:$AF$65,2,FALSE),"")</f>
        <v>ESTEBAN GUERRERO ALVAREZ</v>
      </c>
      <c r="AG795" s="23">
        <f>IFERROR(VLOOKUP(AE795,Listas!$AD$1:$AF$65,3,FALSE),"")</f>
        <v>1032460552</v>
      </c>
      <c r="AH795" s="17" t="s">
        <v>2936</v>
      </c>
      <c r="AI795" s="65"/>
      <c r="AJ795" s="25" t="s">
        <v>1435</v>
      </c>
      <c r="AK795" s="26" t="s">
        <v>2071</v>
      </c>
      <c r="AL795" s="26" t="s">
        <v>2071</v>
      </c>
      <c r="AM795" s="90" t="s">
        <v>1435</v>
      </c>
      <c r="AN795" s="105"/>
      <c r="AO795" s="91" t="str">
        <f t="shared" ca="1" si="332"/>
        <v xml:space="preserve"> </v>
      </c>
      <c r="AP795" s="26" t="s">
        <v>2937</v>
      </c>
      <c r="AQ795" s="26" t="s">
        <v>3437</v>
      </c>
      <c r="AR795" s="89"/>
      <c r="AS795" s="27"/>
      <c r="AT795" s="16"/>
      <c r="AU795" s="27"/>
      <c r="AV795" s="86"/>
      <c r="AW795" s="27"/>
      <c r="AX795" s="27"/>
      <c r="AY795" s="27"/>
      <c r="AZ795" s="27"/>
      <c r="BA795" s="27"/>
      <c r="BB795" s="27"/>
      <c r="BC795" s="97"/>
      <c r="BD795" s="27"/>
      <c r="BE795" s="16"/>
      <c r="BF795" s="28">
        <f t="shared" si="333"/>
        <v>0</v>
      </c>
      <c r="BG795" s="29"/>
      <c r="BH795" s="27"/>
      <c r="BI795" s="30">
        <f t="shared" si="334"/>
        <v>1826</v>
      </c>
      <c r="BJ795" s="31">
        <f t="shared" si="335"/>
        <v>47295</v>
      </c>
      <c r="BK795" s="27"/>
      <c r="BL795" s="16"/>
      <c r="BM795" s="27"/>
      <c r="BN795" s="16"/>
      <c r="BO795" s="27"/>
      <c r="BP795" s="16"/>
      <c r="BQ795" s="27"/>
      <c r="BR795" s="24"/>
      <c r="BS795" s="24"/>
      <c r="BT795" s="32"/>
      <c r="BU795" s="27"/>
      <c r="BV795" s="24"/>
      <c r="BW795" s="24"/>
      <c r="BX795" s="16"/>
      <c r="BY795" s="27"/>
      <c r="BZ795" s="24"/>
      <c r="CA795" s="24"/>
      <c r="CB795" s="16"/>
      <c r="CC795" s="49">
        <f t="shared" si="336"/>
        <v>0</v>
      </c>
      <c r="CD795" s="24"/>
      <c r="CE795" s="49" t="str">
        <f>IFERROR(IF(Y795=0,(W795+CC795)-CD795,IF(Y795&gt;0,(Y795+CC795)-CD795)),"")</f>
        <v/>
      </c>
      <c r="CF795" s="50">
        <v>0</v>
      </c>
      <c r="CG795" s="49" t="str">
        <f t="shared" ca="1" si="323"/>
        <v/>
      </c>
      <c r="CH795" s="33">
        <f t="shared" ca="1" si="339"/>
        <v>0.26333333333333331</v>
      </c>
      <c r="CI795" s="33">
        <f t="shared" ca="1" si="340"/>
        <v>0.26333333333333331</v>
      </c>
      <c r="CJ795" s="36" t="str">
        <f t="shared" ca="1" si="328"/>
        <v/>
      </c>
      <c r="CK795" s="34" t="str">
        <f t="shared" si="329"/>
        <v/>
      </c>
      <c r="CL795" s="21"/>
      <c r="CM795" s="35" t="str">
        <f t="shared" ca="1" si="338"/>
        <v>VIGENTE</v>
      </c>
      <c r="CN795" s="82"/>
      <c r="CO795" s="145"/>
      <c r="CP795" s="83" t="s">
        <v>1424</v>
      </c>
      <c r="CQ795" s="83"/>
      <c r="CR795" s="83"/>
      <c r="CS795" s="151"/>
    </row>
    <row r="796" spans="1:97" ht="24.75" customHeight="1">
      <c r="A796" s="48" t="s">
        <v>6352</v>
      </c>
      <c r="B796" s="77" t="s">
        <v>6353</v>
      </c>
      <c r="C796" s="17" t="s">
        <v>104</v>
      </c>
      <c r="D796" s="18" t="s">
        <v>6354</v>
      </c>
      <c r="E796" s="17" t="s">
        <v>106</v>
      </c>
      <c r="F796" s="17" t="s">
        <v>107</v>
      </c>
      <c r="G796" s="17" t="s">
        <v>108</v>
      </c>
      <c r="H796" s="78">
        <v>1075280552</v>
      </c>
      <c r="I796" s="74" t="s">
        <v>1692</v>
      </c>
      <c r="J796" s="16"/>
      <c r="K796" s="16"/>
      <c r="L796" s="20" t="s">
        <v>6355</v>
      </c>
      <c r="M796" s="16" t="s">
        <v>6261</v>
      </c>
      <c r="N796" s="22">
        <v>45469</v>
      </c>
      <c r="O796" s="22">
        <v>45470</v>
      </c>
      <c r="P796" s="22">
        <v>45656</v>
      </c>
      <c r="Q796" s="23">
        <f t="shared" si="331"/>
        <v>186</v>
      </c>
      <c r="R796" s="17" t="s">
        <v>242</v>
      </c>
      <c r="S796" s="16" t="s">
        <v>6356</v>
      </c>
      <c r="T796" s="16" t="s">
        <v>6357</v>
      </c>
      <c r="U796" s="67">
        <v>37810917</v>
      </c>
      <c r="V796" s="16" t="s">
        <v>606</v>
      </c>
      <c r="W796" s="224">
        <v>37810917</v>
      </c>
      <c r="X796" s="24">
        <v>6131500</v>
      </c>
      <c r="Y796" s="24"/>
      <c r="Z796" s="24"/>
      <c r="AA796" s="17" t="s">
        <v>116</v>
      </c>
      <c r="AB796" s="23" t="str">
        <f>IFERROR(VLOOKUP(AA796,Listas!$A$1:$C$14,2,FALSE),"")</f>
        <v>FREDY CÉSPEDES VILLA</v>
      </c>
      <c r="AC796" s="23">
        <f>IFERROR(VLOOKUP(AA796,Listas!$A$1:$C$14,3,FALSE),"")</f>
        <v>93363483</v>
      </c>
      <c r="AD796" s="17" t="s">
        <v>607</v>
      </c>
      <c r="AE796" s="17" t="s">
        <v>1155</v>
      </c>
      <c r="AF796" s="23" t="str">
        <f>IFERROR(VLOOKUP(AE796,Listas!$AD$1:$AF$65,2,FALSE),"")</f>
        <v>MARÍA FRANCISCA CEPEDA QUINTERO</v>
      </c>
      <c r="AG796" s="23">
        <f>IFERROR(VLOOKUP(AE796,Listas!$AD$1:$AF$65,3,FALSE),"")</f>
        <v>53062608</v>
      </c>
      <c r="AH796" s="17" t="s">
        <v>118</v>
      </c>
      <c r="AI796" s="65" t="s">
        <v>6358</v>
      </c>
      <c r="AJ796" s="25" t="s">
        <v>4370</v>
      </c>
      <c r="AK796" s="26" t="s">
        <v>120</v>
      </c>
      <c r="AL796" s="26" t="s">
        <v>120</v>
      </c>
      <c r="AM796" s="90" t="s">
        <v>119</v>
      </c>
      <c r="AN796" s="105">
        <v>34340</v>
      </c>
      <c r="AO796" s="91">
        <f t="shared" ca="1" si="332"/>
        <v>31</v>
      </c>
      <c r="AP796" s="26" t="s">
        <v>121</v>
      </c>
      <c r="AQ796" s="26" t="s">
        <v>486</v>
      </c>
      <c r="AR796" s="89"/>
      <c r="AS796" s="27"/>
      <c r="AT796" s="16"/>
      <c r="AU796" s="27"/>
      <c r="AV796" s="86"/>
      <c r="AW796" s="27"/>
      <c r="AX796" s="27"/>
      <c r="AY796" s="27"/>
      <c r="AZ796" s="27"/>
      <c r="BA796" s="27"/>
      <c r="BB796" s="27"/>
      <c r="BC796" s="97"/>
      <c r="BD796" s="27"/>
      <c r="BE796" s="16"/>
      <c r="BF796" s="28">
        <f t="shared" si="333"/>
        <v>0</v>
      </c>
      <c r="BG796" s="29"/>
      <c r="BH796" s="27"/>
      <c r="BI796" s="30">
        <f t="shared" si="334"/>
        <v>186</v>
      </c>
      <c r="BJ796" s="31">
        <f t="shared" si="335"/>
        <v>45656</v>
      </c>
      <c r="BK796" s="27"/>
      <c r="BL796" s="16"/>
      <c r="BM796" s="27"/>
      <c r="BN796" s="16"/>
      <c r="BO796" s="27"/>
      <c r="BP796" s="16"/>
      <c r="BQ796" s="27"/>
      <c r="BR796" s="24"/>
      <c r="BS796" s="24"/>
      <c r="BT796" s="32"/>
      <c r="BU796" s="27"/>
      <c r="BV796" s="24"/>
      <c r="BW796" s="24"/>
      <c r="BX796" s="16"/>
      <c r="BY796" s="27"/>
      <c r="BZ796" s="24"/>
      <c r="CA796" s="24"/>
      <c r="CB796" s="16"/>
      <c r="CC796" s="49">
        <f t="shared" si="336"/>
        <v>0</v>
      </c>
      <c r="CD796" s="24"/>
      <c r="CE796" s="49">
        <f t="shared" si="337"/>
        <v>37810917</v>
      </c>
      <c r="CF796" s="50">
        <v>0</v>
      </c>
      <c r="CG796" s="49">
        <f t="shared" ca="1" si="323"/>
        <v>37810917</v>
      </c>
      <c r="CH796" s="33">
        <f t="shared" ca="1" si="339"/>
        <v>1</v>
      </c>
      <c r="CI796" s="33">
        <f t="shared" ca="1" si="340"/>
        <v>1</v>
      </c>
      <c r="CJ796" s="36">
        <f t="shared" ca="1" si="328"/>
        <v>100</v>
      </c>
      <c r="CK796" s="34">
        <f t="shared" si="329"/>
        <v>0</v>
      </c>
      <c r="CL796" s="21"/>
      <c r="CM796" s="35" t="str">
        <f t="shared" ca="1" si="338"/>
        <v>TERMINADO</v>
      </c>
      <c r="CN796" s="82"/>
      <c r="CP796" s="26" t="s">
        <v>123</v>
      </c>
    </row>
    <row r="797" spans="1:97" ht="24.75" customHeight="1">
      <c r="A797" s="48" t="s">
        <v>6359</v>
      </c>
      <c r="B797" s="77" t="s">
        <v>6360</v>
      </c>
      <c r="C797" s="17" t="s">
        <v>104</v>
      </c>
      <c r="D797" s="18" t="s">
        <v>6361</v>
      </c>
      <c r="E797" s="17" t="s">
        <v>106</v>
      </c>
      <c r="F797" s="17" t="s">
        <v>107</v>
      </c>
      <c r="G797" s="17" t="s">
        <v>108</v>
      </c>
      <c r="H797" s="78" t="s">
        <v>6362</v>
      </c>
      <c r="I797" s="74" t="s">
        <v>6363</v>
      </c>
      <c r="J797" s="16"/>
      <c r="K797" s="16"/>
      <c r="L797" s="20" t="s">
        <v>6364</v>
      </c>
      <c r="M797" s="16" t="s">
        <v>6261</v>
      </c>
      <c r="N797" s="22">
        <v>45471</v>
      </c>
      <c r="O797" s="22">
        <v>45482</v>
      </c>
      <c r="P797" s="22">
        <v>45656</v>
      </c>
      <c r="Q797" s="23">
        <f t="shared" si="331"/>
        <v>174</v>
      </c>
      <c r="R797" s="17" t="s">
        <v>242</v>
      </c>
      <c r="S797" s="16" t="s">
        <v>6365</v>
      </c>
      <c r="T797" s="16" t="s">
        <v>1128</v>
      </c>
      <c r="U797" s="67">
        <v>70000000</v>
      </c>
      <c r="V797" s="16" t="s">
        <v>815</v>
      </c>
      <c r="W797" s="224">
        <v>70000000</v>
      </c>
      <c r="X797" s="24">
        <v>10000000</v>
      </c>
      <c r="Y797" s="24"/>
      <c r="Z797" s="24"/>
      <c r="AA797" s="17" t="s">
        <v>116</v>
      </c>
      <c r="AB797" s="23" t="str">
        <f>IFERROR(VLOOKUP(AA797,Listas!$A$1:$C$14,2,FALSE),"")</f>
        <v>FREDY CÉSPEDES VILLA</v>
      </c>
      <c r="AC797" s="23">
        <f>IFERROR(VLOOKUP(AA797,Listas!$A$1:$C$14,3,FALSE),"")</f>
        <v>93363483</v>
      </c>
      <c r="AD797" s="17" t="s">
        <v>816</v>
      </c>
      <c r="AE797" s="17" t="s">
        <v>1450</v>
      </c>
      <c r="AF797" s="23" t="str">
        <f>IFERROR(VLOOKUP(AE797,Listas!$AD$1:$AF$65,2,FALSE),"")</f>
        <v>LINA MARIA CRUZ SILVA</v>
      </c>
      <c r="AG797" s="23">
        <f>IFERROR(VLOOKUP(AE797,Listas!$AD$1:$AF$65,3,FALSE),"")</f>
        <v>52423537</v>
      </c>
      <c r="AH797" s="17" t="s">
        <v>118</v>
      </c>
      <c r="AI797" s="65" t="s">
        <v>6366</v>
      </c>
      <c r="AJ797" s="25" t="s">
        <v>4370</v>
      </c>
      <c r="AK797" s="26" t="s">
        <v>120</v>
      </c>
      <c r="AL797" s="26" t="s">
        <v>120</v>
      </c>
      <c r="AM797" s="90" t="s">
        <v>119</v>
      </c>
      <c r="AN797" s="105">
        <v>26135</v>
      </c>
      <c r="AO797" s="91">
        <f t="shared" ca="1" si="332"/>
        <v>54</v>
      </c>
      <c r="AP797" s="26" t="s">
        <v>121</v>
      </c>
      <c r="AQ797" s="26" t="s">
        <v>1641</v>
      </c>
      <c r="AR797" s="89"/>
      <c r="AS797" s="27"/>
      <c r="AT797" s="16"/>
      <c r="AU797" s="27"/>
      <c r="AV797" s="86"/>
      <c r="AW797" s="27"/>
      <c r="AX797" s="27"/>
      <c r="AY797" s="27"/>
      <c r="AZ797" s="27"/>
      <c r="BA797" s="27"/>
      <c r="BB797" s="27"/>
      <c r="BC797" s="97"/>
      <c r="BD797" s="27"/>
      <c r="BE797" s="16"/>
      <c r="BF797" s="28">
        <f t="shared" si="333"/>
        <v>0</v>
      </c>
      <c r="BG797" s="29"/>
      <c r="BH797" s="27"/>
      <c r="BI797" s="30">
        <f t="shared" si="334"/>
        <v>174</v>
      </c>
      <c r="BJ797" s="31">
        <f t="shared" si="335"/>
        <v>45656</v>
      </c>
      <c r="BK797" s="27"/>
      <c r="BL797" s="16"/>
      <c r="BM797" s="27"/>
      <c r="BN797" s="16"/>
      <c r="BO797" s="27"/>
      <c r="BP797" s="16"/>
      <c r="BQ797" s="27"/>
      <c r="BR797" s="24"/>
      <c r="BS797" s="24"/>
      <c r="BT797" s="32"/>
      <c r="BU797" s="27"/>
      <c r="BV797" s="24"/>
      <c r="BW797" s="24"/>
      <c r="BX797" s="16"/>
      <c r="BY797" s="27"/>
      <c r="BZ797" s="24"/>
      <c r="CA797" s="24"/>
      <c r="CB797" s="16"/>
      <c r="CC797" s="49">
        <f t="shared" si="336"/>
        <v>0</v>
      </c>
      <c r="CD797" s="24"/>
      <c r="CE797" s="49">
        <f t="shared" si="337"/>
        <v>70000000</v>
      </c>
      <c r="CF797" s="50"/>
      <c r="CG797" s="49">
        <f t="shared" ca="1" si="323"/>
        <v>70000000</v>
      </c>
      <c r="CH797" s="33">
        <f t="shared" ca="1" si="339"/>
        <v>1</v>
      </c>
      <c r="CI797" s="33">
        <f t="shared" ca="1" si="340"/>
        <v>1</v>
      </c>
      <c r="CJ797" s="36">
        <f t="shared" ca="1" si="328"/>
        <v>100</v>
      </c>
      <c r="CK797" s="34">
        <f t="shared" si="329"/>
        <v>0</v>
      </c>
      <c r="CL797" s="21"/>
      <c r="CM797" s="35" t="str">
        <f t="shared" ca="1" si="338"/>
        <v>TERMINADO</v>
      </c>
      <c r="CN797" s="82"/>
      <c r="CP797" s="26" t="s">
        <v>142</v>
      </c>
    </row>
    <row r="798" spans="1:97" ht="24.75" customHeight="1">
      <c r="A798" s="48" t="s">
        <v>6367</v>
      </c>
      <c r="B798" s="77" t="s">
        <v>6368</v>
      </c>
      <c r="C798" s="17" t="s">
        <v>104</v>
      </c>
      <c r="D798" s="18" t="s">
        <v>6369</v>
      </c>
      <c r="E798" s="17" t="s">
        <v>106</v>
      </c>
      <c r="F798" s="17" t="s">
        <v>107</v>
      </c>
      <c r="G798" s="17" t="s">
        <v>108</v>
      </c>
      <c r="H798" s="78">
        <v>52317167</v>
      </c>
      <c r="I798" s="74" t="s">
        <v>4296</v>
      </c>
      <c r="J798" s="16"/>
      <c r="K798" s="16"/>
      <c r="L798" s="20" t="s">
        <v>6370</v>
      </c>
      <c r="M798" s="16" t="s">
        <v>6261</v>
      </c>
      <c r="N798" s="22">
        <v>45476</v>
      </c>
      <c r="O798" s="22">
        <v>45478</v>
      </c>
      <c r="P798" s="22">
        <v>45656</v>
      </c>
      <c r="Q798" s="23">
        <f t="shared" si="331"/>
        <v>178</v>
      </c>
      <c r="R798" s="17" t="s">
        <v>112</v>
      </c>
      <c r="S798" s="16" t="s">
        <v>6371</v>
      </c>
      <c r="T798" s="16" t="s">
        <v>6372</v>
      </c>
      <c r="U798" s="67">
        <v>38400000</v>
      </c>
      <c r="V798" s="16" t="s">
        <v>1418</v>
      </c>
      <c r="W798" s="224">
        <v>38400000</v>
      </c>
      <c r="X798" s="24">
        <v>6400000</v>
      </c>
      <c r="Y798" s="24"/>
      <c r="Z798" s="24"/>
      <c r="AA798" s="17" t="s">
        <v>116</v>
      </c>
      <c r="AB798" s="23" t="str">
        <f>IFERROR(VLOOKUP(AA798,Listas!$A$1:$C$14,2,FALSE),"")</f>
        <v>FREDY CÉSPEDES VILLA</v>
      </c>
      <c r="AC798" s="23">
        <f>IFERROR(VLOOKUP(AA798,Listas!$A$1:$C$14,3,FALSE),"")</f>
        <v>93363483</v>
      </c>
      <c r="AD798" s="17" t="s">
        <v>116</v>
      </c>
      <c r="AE798" s="17" t="s">
        <v>484</v>
      </c>
      <c r="AF798" s="23" t="str">
        <f>IFERROR(VLOOKUP(AE798,Listas!$AD$1:$AF$65,2,FALSE),"")</f>
        <v>JAIME ANDRES GIL ACOSTA</v>
      </c>
      <c r="AG798" s="23">
        <f>IFERROR(VLOOKUP(AE798,Listas!$AD$1:$AF$65,3,FALSE),"")</f>
        <v>98622827</v>
      </c>
      <c r="AH798" s="17" t="s">
        <v>118</v>
      </c>
      <c r="AI798" s="65" t="s">
        <v>6373</v>
      </c>
      <c r="AJ798" s="25" t="s">
        <v>4370</v>
      </c>
      <c r="AK798" s="26" t="s">
        <v>120</v>
      </c>
      <c r="AL798" s="26" t="s">
        <v>120</v>
      </c>
      <c r="AM798" s="90" t="s">
        <v>119</v>
      </c>
      <c r="AN798" s="105">
        <v>28153</v>
      </c>
      <c r="AO798" s="91">
        <f t="shared" ca="1" si="332"/>
        <v>48</v>
      </c>
      <c r="AP798" s="26" t="s">
        <v>121</v>
      </c>
      <c r="AQ798" s="26" t="s">
        <v>285</v>
      </c>
      <c r="AR798" s="89"/>
      <c r="AS798" s="27"/>
      <c r="AT798" s="16"/>
      <c r="AU798" s="27"/>
      <c r="AV798" s="86"/>
      <c r="AW798" s="27"/>
      <c r="AX798" s="27"/>
      <c r="AY798" s="27"/>
      <c r="AZ798" s="27"/>
      <c r="BA798" s="27"/>
      <c r="BB798" s="27"/>
      <c r="BC798" s="97"/>
      <c r="BD798" s="27"/>
      <c r="BE798" s="16"/>
      <c r="BF798" s="28">
        <f t="shared" si="333"/>
        <v>0</v>
      </c>
      <c r="BG798" s="29"/>
      <c r="BH798" s="27"/>
      <c r="BI798" s="30">
        <f t="shared" si="334"/>
        <v>178</v>
      </c>
      <c r="BJ798" s="31">
        <f t="shared" si="335"/>
        <v>45656</v>
      </c>
      <c r="BK798" s="27"/>
      <c r="BL798" s="16"/>
      <c r="BM798" s="27"/>
      <c r="BN798" s="16"/>
      <c r="BO798" s="27"/>
      <c r="BP798" s="16"/>
      <c r="BQ798" s="27"/>
      <c r="BR798" s="24"/>
      <c r="BS798" s="24"/>
      <c r="BT798" s="32"/>
      <c r="BU798" s="27"/>
      <c r="BV798" s="24"/>
      <c r="BW798" s="24"/>
      <c r="BX798" s="16"/>
      <c r="BY798" s="27"/>
      <c r="BZ798" s="24"/>
      <c r="CA798" s="24"/>
      <c r="CB798" s="16"/>
      <c r="CC798" s="49">
        <f t="shared" si="336"/>
        <v>0</v>
      </c>
      <c r="CD798" s="24"/>
      <c r="CE798" s="49">
        <f t="shared" si="337"/>
        <v>38400000</v>
      </c>
      <c r="CF798" s="50"/>
      <c r="CG798" s="49">
        <f t="shared" ca="1" si="323"/>
        <v>38400000</v>
      </c>
      <c r="CH798" s="33">
        <f t="shared" ca="1" si="339"/>
        <v>1</v>
      </c>
      <c r="CI798" s="33">
        <f t="shared" ca="1" si="340"/>
        <v>1</v>
      </c>
      <c r="CJ798" s="36">
        <f t="shared" ca="1" si="328"/>
        <v>100</v>
      </c>
      <c r="CK798" s="34">
        <f t="shared" si="329"/>
        <v>0</v>
      </c>
      <c r="CL798" s="21"/>
      <c r="CM798" s="35" t="str">
        <f t="shared" ca="1" si="338"/>
        <v>TERMINADO</v>
      </c>
      <c r="CN798" s="82"/>
      <c r="CO798" s="145" t="s">
        <v>6374</v>
      </c>
      <c r="CP798" s="26" t="s">
        <v>123</v>
      </c>
    </row>
    <row r="799" spans="1:97" ht="24.75" customHeight="1">
      <c r="A799" s="48" t="s">
        <v>6375</v>
      </c>
      <c r="B799" s="77" t="s">
        <v>6376</v>
      </c>
      <c r="C799" s="17" t="s">
        <v>104</v>
      </c>
      <c r="D799" s="18" t="s">
        <v>6377</v>
      </c>
      <c r="E799" s="17" t="s">
        <v>106</v>
      </c>
      <c r="F799" s="17" t="s">
        <v>107</v>
      </c>
      <c r="G799" s="17" t="s">
        <v>108</v>
      </c>
      <c r="H799" s="78">
        <v>1193226424</v>
      </c>
      <c r="I799" s="74" t="s">
        <v>6378</v>
      </c>
      <c r="J799" s="16"/>
      <c r="K799" s="16"/>
      <c r="L799" s="20" t="s">
        <v>6379</v>
      </c>
      <c r="M799" s="16" t="s">
        <v>6261</v>
      </c>
      <c r="N799" s="22">
        <v>45476</v>
      </c>
      <c r="O799" s="22">
        <v>45483</v>
      </c>
      <c r="P799" s="22">
        <v>45656</v>
      </c>
      <c r="Q799" s="23">
        <f t="shared" si="331"/>
        <v>173</v>
      </c>
      <c r="R799" s="17" t="s">
        <v>242</v>
      </c>
      <c r="S799" s="16" t="s">
        <v>6380</v>
      </c>
      <c r="T799" s="16" t="s">
        <v>364</v>
      </c>
      <c r="U799" s="67">
        <v>30496271</v>
      </c>
      <c r="V799" s="16" t="s">
        <v>1590</v>
      </c>
      <c r="W799" s="224">
        <v>30496271</v>
      </c>
      <c r="X799" s="24">
        <v>5026858</v>
      </c>
      <c r="Y799" s="24"/>
      <c r="Z799" s="24"/>
      <c r="AA799" s="17" t="s">
        <v>116</v>
      </c>
      <c r="AB799" s="23" t="str">
        <f>IFERROR(VLOOKUP(AA799,Listas!$A$1:$C$14,2,FALSE),"")</f>
        <v>FREDY CÉSPEDES VILLA</v>
      </c>
      <c r="AC799" s="23">
        <f>IFERROR(VLOOKUP(AA799,Listas!$A$1:$C$14,3,FALSE),"")</f>
        <v>93363483</v>
      </c>
      <c r="AD799" s="17" t="s">
        <v>345</v>
      </c>
      <c r="AE799" s="17" t="s">
        <v>346</v>
      </c>
      <c r="AF799" s="23" t="str">
        <f>IFERROR(VLOOKUP(AE799,Listas!$AD$1:$AF$65,2,FALSE),"")</f>
        <v>RODOLFO GIOVANNI CANCHILA SUÁREZ</v>
      </c>
      <c r="AG799" s="23">
        <f>IFERROR(VLOOKUP(AE799,Listas!$AD$1:$AF$65,3,FALSE),"")</f>
        <v>79672493</v>
      </c>
      <c r="AH799" s="17" t="s">
        <v>118</v>
      </c>
      <c r="AI799" s="65" t="s">
        <v>6381</v>
      </c>
      <c r="AJ799" s="25" t="s">
        <v>4370</v>
      </c>
      <c r="AK799" s="26" t="s">
        <v>120</v>
      </c>
      <c r="AL799" s="26" t="s">
        <v>120</v>
      </c>
      <c r="AM799" s="90" t="s">
        <v>119</v>
      </c>
      <c r="AN799" s="105">
        <v>37218</v>
      </c>
      <c r="AO799" s="91">
        <f t="shared" ca="1" si="332"/>
        <v>24</v>
      </c>
      <c r="AP799" s="26" t="s">
        <v>121</v>
      </c>
      <c r="AQ799" s="26" t="s">
        <v>367</v>
      </c>
      <c r="AR799" s="89"/>
      <c r="AS799" s="27"/>
      <c r="AT799" s="16"/>
      <c r="AU799" s="27"/>
      <c r="AV799" s="86"/>
      <c r="AW799" s="27"/>
      <c r="AX799" s="27"/>
      <c r="AY799" s="27"/>
      <c r="AZ799" s="27"/>
      <c r="BA799" s="27"/>
      <c r="BB799" s="27"/>
      <c r="BC799" s="97"/>
      <c r="BD799" s="27"/>
      <c r="BE799" s="16"/>
      <c r="BF799" s="28">
        <f t="shared" si="333"/>
        <v>0</v>
      </c>
      <c r="BG799" s="29"/>
      <c r="BH799" s="27"/>
      <c r="BI799" s="30">
        <f t="shared" si="334"/>
        <v>173</v>
      </c>
      <c r="BJ799" s="31">
        <f t="shared" si="335"/>
        <v>45656</v>
      </c>
      <c r="BK799" s="27"/>
      <c r="BL799" s="16"/>
      <c r="BM799" s="27"/>
      <c r="BN799" s="16"/>
      <c r="BO799" s="27"/>
      <c r="BP799" s="16"/>
      <c r="BQ799" s="27"/>
      <c r="BR799" s="24"/>
      <c r="BS799" s="24"/>
      <c r="BT799" s="32"/>
      <c r="BU799" s="27"/>
      <c r="BV799" s="24"/>
      <c r="BW799" s="24"/>
      <c r="BX799" s="16"/>
      <c r="BY799" s="27"/>
      <c r="BZ799" s="24"/>
      <c r="CA799" s="24"/>
      <c r="CB799" s="16"/>
      <c r="CC799" s="49">
        <f t="shared" si="336"/>
        <v>0</v>
      </c>
      <c r="CD799" s="24"/>
      <c r="CE799" s="49">
        <f t="shared" si="337"/>
        <v>30496271</v>
      </c>
      <c r="CF799" s="50"/>
      <c r="CG799" s="49">
        <f t="shared" ca="1" si="323"/>
        <v>30496271</v>
      </c>
      <c r="CH799" s="33">
        <f t="shared" ca="1" si="339"/>
        <v>1</v>
      </c>
      <c r="CI799" s="33">
        <f t="shared" ca="1" si="340"/>
        <v>1</v>
      </c>
      <c r="CJ799" s="36">
        <f t="shared" ca="1" si="328"/>
        <v>100</v>
      </c>
      <c r="CK799" s="34">
        <f t="shared" si="329"/>
        <v>0</v>
      </c>
      <c r="CL799" s="21"/>
      <c r="CM799" s="35" t="str">
        <f t="shared" ca="1" si="338"/>
        <v>TERMINADO</v>
      </c>
      <c r="CN799" s="82"/>
      <c r="CO799" s="145" t="s">
        <v>6382</v>
      </c>
      <c r="CP799" s="26" t="s">
        <v>123</v>
      </c>
    </row>
    <row r="800" spans="1:97" ht="24.75" customHeight="1">
      <c r="A800" s="48" t="s">
        <v>6383</v>
      </c>
      <c r="B800" s="77" t="s">
        <v>6384</v>
      </c>
      <c r="C800" s="17" t="s">
        <v>104</v>
      </c>
      <c r="D800" s="18" t="s">
        <v>6385</v>
      </c>
      <c r="E800" s="17" t="s">
        <v>106</v>
      </c>
      <c r="F800" s="17" t="s">
        <v>107</v>
      </c>
      <c r="G800" s="17" t="s">
        <v>108</v>
      </c>
      <c r="H800" s="78">
        <v>35891968</v>
      </c>
      <c r="I800" s="74" t="s">
        <v>6386</v>
      </c>
      <c r="J800" s="16"/>
      <c r="K800" s="16"/>
      <c r="L800" s="20" t="s">
        <v>1866</v>
      </c>
      <c r="M800" s="16" t="s">
        <v>6261</v>
      </c>
      <c r="N800" s="22">
        <v>45476</v>
      </c>
      <c r="O800" s="22">
        <v>45483</v>
      </c>
      <c r="P800" s="22">
        <v>45656</v>
      </c>
      <c r="Q800" s="23">
        <f t="shared" si="331"/>
        <v>173</v>
      </c>
      <c r="R800" s="17" t="s">
        <v>242</v>
      </c>
      <c r="S800" s="16" t="s">
        <v>6387</v>
      </c>
      <c r="T800" s="16" t="s">
        <v>1145</v>
      </c>
      <c r="U800" s="67">
        <v>69899100</v>
      </c>
      <c r="V800" s="16" t="s">
        <v>426</v>
      </c>
      <c r="W800" s="224">
        <v>69899100</v>
      </c>
      <c r="X800" s="24">
        <v>6131500</v>
      </c>
      <c r="Y800" s="24"/>
      <c r="Z800" s="24"/>
      <c r="AA800" s="17" t="s">
        <v>116</v>
      </c>
      <c r="AB800" s="23" t="str">
        <f>IFERROR(VLOOKUP(AA800,Listas!$A$1:$C$14,2,FALSE),"")</f>
        <v>FREDY CÉSPEDES VILLA</v>
      </c>
      <c r="AC800" s="23">
        <f>IFERROR(VLOOKUP(AA800,Listas!$A$1:$C$14,3,FALSE),"")</f>
        <v>93363483</v>
      </c>
      <c r="AD800" s="17" t="s">
        <v>427</v>
      </c>
      <c r="AE800" s="17" t="s">
        <v>2198</v>
      </c>
      <c r="AF800" s="23" t="str">
        <f>IFERROR(VLOOKUP(AE800,Listas!$AD$1:$AF$65,2,FALSE),"")</f>
        <v>ELIANA ROCÍO OCHOA BLANCO</v>
      </c>
      <c r="AG800" s="23">
        <f>IFERROR(VLOOKUP(AE800,Listas!$AD$1:$AF$65,3,FALSE),"")</f>
        <v>1018418424</v>
      </c>
      <c r="AH800" s="17" t="s">
        <v>118</v>
      </c>
      <c r="AI800" s="65" t="s">
        <v>6388</v>
      </c>
      <c r="AJ800" s="25" t="s">
        <v>4370</v>
      </c>
      <c r="AK800" s="26" t="s">
        <v>120</v>
      </c>
      <c r="AL800" s="26" t="s">
        <v>120</v>
      </c>
      <c r="AM800" s="90" t="s">
        <v>119</v>
      </c>
      <c r="AN800" s="105">
        <v>29526</v>
      </c>
      <c r="AO800" s="91">
        <f t="shared" ca="1" si="332"/>
        <v>45</v>
      </c>
      <c r="AP800" s="26" t="s">
        <v>121</v>
      </c>
      <c r="AQ800" s="26" t="s">
        <v>515</v>
      </c>
      <c r="AR800" s="89"/>
      <c r="AS800" s="27"/>
      <c r="AT800" s="16"/>
      <c r="AU800" s="27"/>
      <c r="AV800" s="86"/>
      <c r="AW800" s="27"/>
      <c r="AX800" s="27"/>
      <c r="AY800" s="27"/>
      <c r="AZ800" s="27"/>
      <c r="BA800" s="27"/>
      <c r="BB800" s="27"/>
      <c r="BC800" s="97"/>
      <c r="BD800" s="27"/>
      <c r="BE800" s="16"/>
      <c r="BF800" s="28">
        <f t="shared" si="333"/>
        <v>0</v>
      </c>
      <c r="BG800" s="29"/>
      <c r="BH800" s="27"/>
      <c r="BI800" s="30">
        <f t="shared" si="334"/>
        <v>173</v>
      </c>
      <c r="BJ800" s="31">
        <f t="shared" si="335"/>
        <v>45656</v>
      </c>
      <c r="BK800" s="27"/>
      <c r="BL800" s="16"/>
      <c r="BM800" s="27"/>
      <c r="BN800" s="16"/>
      <c r="BO800" s="27"/>
      <c r="BP800" s="16"/>
      <c r="BQ800" s="27"/>
      <c r="BR800" s="24"/>
      <c r="BS800" s="24"/>
      <c r="BT800" s="32"/>
      <c r="BU800" s="27"/>
      <c r="BV800" s="24"/>
      <c r="BW800" s="24"/>
      <c r="BX800" s="16"/>
      <c r="BY800" s="27"/>
      <c r="BZ800" s="24"/>
      <c r="CA800" s="24"/>
      <c r="CB800" s="16"/>
      <c r="CC800" s="49">
        <f t="shared" si="336"/>
        <v>0</v>
      </c>
      <c r="CD800" s="24"/>
      <c r="CE800" s="49">
        <f t="shared" si="337"/>
        <v>69899100</v>
      </c>
      <c r="CF800" s="50"/>
      <c r="CG800" s="49">
        <f t="shared" ca="1" si="323"/>
        <v>69899100</v>
      </c>
      <c r="CH800" s="33">
        <f t="shared" ca="1" si="339"/>
        <v>1</v>
      </c>
      <c r="CI800" s="33">
        <f t="shared" ca="1" si="340"/>
        <v>1</v>
      </c>
      <c r="CJ800" s="36">
        <f t="shared" ca="1" si="328"/>
        <v>100</v>
      </c>
      <c r="CK800" s="34">
        <f t="shared" si="329"/>
        <v>0</v>
      </c>
      <c r="CL800" s="21"/>
      <c r="CM800" s="35" t="str">
        <f t="shared" ca="1" si="338"/>
        <v>TERMINADO</v>
      </c>
      <c r="CN800" s="82"/>
      <c r="CO800" s="145" t="s">
        <v>6389</v>
      </c>
      <c r="CP800" s="26" t="s">
        <v>123</v>
      </c>
    </row>
    <row r="801" spans="1:97" ht="24.75" customHeight="1">
      <c r="A801" s="48" t="s">
        <v>6390</v>
      </c>
      <c r="B801" s="77" t="s">
        <v>6391</v>
      </c>
      <c r="C801" s="17" t="s">
        <v>104</v>
      </c>
      <c r="D801" s="18" t="s">
        <v>6392</v>
      </c>
      <c r="E801" s="17" t="s">
        <v>106</v>
      </c>
      <c r="F801" s="17" t="s">
        <v>107</v>
      </c>
      <c r="G801" s="17" t="s">
        <v>108</v>
      </c>
      <c r="H801" s="78">
        <v>1071714289</v>
      </c>
      <c r="I801" s="74" t="s">
        <v>6393</v>
      </c>
      <c r="J801" s="16"/>
      <c r="K801" s="16"/>
      <c r="L801" s="20" t="s">
        <v>6394</v>
      </c>
      <c r="M801" s="16" t="s">
        <v>6261</v>
      </c>
      <c r="N801" s="22">
        <v>45476</v>
      </c>
      <c r="O801" s="22">
        <v>45478</v>
      </c>
      <c r="P801" s="22">
        <v>45656</v>
      </c>
      <c r="Q801" s="23">
        <f t="shared" si="331"/>
        <v>178</v>
      </c>
      <c r="R801" s="17" t="s">
        <v>242</v>
      </c>
      <c r="S801" s="16" t="s">
        <v>6395</v>
      </c>
      <c r="T801" s="16" t="s">
        <v>1249</v>
      </c>
      <c r="U801" s="67">
        <v>62538000</v>
      </c>
      <c r="V801" s="16" t="s">
        <v>1212</v>
      </c>
      <c r="W801" s="224">
        <v>62538000</v>
      </c>
      <c r="X801" s="24">
        <v>10423000</v>
      </c>
      <c r="Y801" s="24"/>
      <c r="Z801" s="24"/>
      <c r="AA801" s="17" t="s">
        <v>116</v>
      </c>
      <c r="AB801" s="23" t="str">
        <f>IFERROR(VLOOKUP(AA801,Listas!$A$1:$C$14,2,FALSE),"")</f>
        <v>FREDY CÉSPEDES VILLA</v>
      </c>
      <c r="AC801" s="23">
        <f>IFERROR(VLOOKUP(AA801,Listas!$A$1:$C$14,3,FALSE),"")</f>
        <v>93363483</v>
      </c>
      <c r="AD801" s="17" t="s">
        <v>577</v>
      </c>
      <c r="AE801" s="17" t="s">
        <v>578</v>
      </c>
      <c r="AF801" s="23" t="str">
        <f>IFERROR(VLOOKUP(AE801,Listas!$AD$1:$AF$65,2,FALSE),"")</f>
        <v>EDGAR FABIO DÍAZ RAMIREZ</v>
      </c>
      <c r="AG801" s="23">
        <f>IFERROR(VLOOKUP(AE801,Listas!$AD$1:$AF$65,3,FALSE),"")</f>
        <v>79537198</v>
      </c>
      <c r="AH801" s="17" t="s">
        <v>118</v>
      </c>
      <c r="AI801" s="65" t="s">
        <v>6396</v>
      </c>
      <c r="AJ801" s="25" t="s">
        <v>4370</v>
      </c>
      <c r="AK801" s="26" t="s">
        <v>120</v>
      </c>
      <c r="AL801" s="26" t="s">
        <v>120</v>
      </c>
      <c r="AM801" s="90" t="s">
        <v>119</v>
      </c>
      <c r="AN801" s="105">
        <v>35592</v>
      </c>
      <c r="AO801" s="91">
        <f t="shared" ca="1" si="332"/>
        <v>28</v>
      </c>
      <c r="AP801" s="26" t="s">
        <v>121</v>
      </c>
      <c r="AQ801" s="26" t="s">
        <v>886</v>
      </c>
      <c r="AR801" s="89"/>
      <c r="AS801" s="27"/>
      <c r="AT801" s="16"/>
      <c r="AU801" s="27"/>
      <c r="AV801" s="86"/>
      <c r="AW801" s="27"/>
      <c r="AX801" s="27"/>
      <c r="AY801" s="27"/>
      <c r="AZ801" s="27"/>
      <c r="BA801" s="27"/>
      <c r="BB801" s="27"/>
      <c r="BC801" s="97"/>
      <c r="BD801" s="27"/>
      <c r="BE801" s="16"/>
      <c r="BF801" s="28">
        <f t="shared" si="333"/>
        <v>0</v>
      </c>
      <c r="BG801" s="29"/>
      <c r="BH801" s="27"/>
      <c r="BI801" s="30">
        <f t="shared" si="334"/>
        <v>178</v>
      </c>
      <c r="BJ801" s="31">
        <f t="shared" si="335"/>
        <v>45656</v>
      </c>
      <c r="BK801" s="27"/>
      <c r="BL801" s="16"/>
      <c r="BM801" s="27"/>
      <c r="BN801" s="16"/>
      <c r="BO801" s="27"/>
      <c r="BP801" s="16"/>
      <c r="BQ801" s="27"/>
      <c r="BR801" s="24"/>
      <c r="BS801" s="24"/>
      <c r="BT801" s="32"/>
      <c r="BU801" s="27"/>
      <c r="BV801" s="24"/>
      <c r="BW801" s="24"/>
      <c r="BX801" s="16"/>
      <c r="BY801" s="27"/>
      <c r="BZ801" s="24"/>
      <c r="CA801" s="24"/>
      <c r="CB801" s="16"/>
      <c r="CC801" s="49">
        <f t="shared" si="336"/>
        <v>0</v>
      </c>
      <c r="CD801" s="24"/>
      <c r="CE801" s="49">
        <f t="shared" si="337"/>
        <v>62538000</v>
      </c>
      <c r="CF801" s="50"/>
      <c r="CG801" s="49">
        <f t="shared" ca="1" si="323"/>
        <v>62538000</v>
      </c>
      <c r="CH801" s="33">
        <f t="shared" ca="1" si="339"/>
        <v>1</v>
      </c>
      <c r="CI801" s="33">
        <f t="shared" ca="1" si="340"/>
        <v>1</v>
      </c>
      <c r="CJ801" s="36">
        <f t="shared" ca="1" si="328"/>
        <v>100</v>
      </c>
      <c r="CK801" s="34">
        <f t="shared" si="329"/>
        <v>0</v>
      </c>
      <c r="CL801" s="21"/>
      <c r="CM801" s="35" t="str">
        <f t="shared" ca="1" si="338"/>
        <v>TERMINADO</v>
      </c>
      <c r="CN801" s="82"/>
      <c r="CO801" s="145" t="s">
        <v>6397</v>
      </c>
      <c r="CP801" s="26" t="s">
        <v>142</v>
      </c>
    </row>
    <row r="802" spans="1:97" ht="24.75" customHeight="1">
      <c r="A802" s="48" t="s">
        <v>6398</v>
      </c>
      <c r="B802" s="77" t="s">
        <v>6399</v>
      </c>
      <c r="C802" s="17" t="s">
        <v>104</v>
      </c>
      <c r="D802" s="18" t="s">
        <v>6400</v>
      </c>
      <c r="E802" s="17" t="s">
        <v>106</v>
      </c>
      <c r="F802" s="17" t="s">
        <v>107</v>
      </c>
      <c r="G802" s="17" t="s">
        <v>108</v>
      </c>
      <c r="H802" s="78">
        <v>5711867</v>
      </c>
      <c r="I802" s="74" t="s">
        <v>6401</v>
      </c>
      <c r="J802" s="16"/>
      <c r="K802" s="16"/>
      <c r="L802" s="20" t="s">
        <v>6402</v>
      </c>
      <c r="M802" s="16" t="s">
        <v>6261</v>
      </c>
      <c r="N802" s="22">
        <v>45477</v>
      </c>
      <c r="O802" s="22">
        <v>45481</v>
      </c>
      <c r="P802" s="22">
        <v>45656</v>
      </c>
      <c r="Q802" s="23">
        <f t="shared" si="331"/>
        <v>175</v>
      </c>
      <c r="R802" s="17" t="s">
        <v>112</v>
      </c>
      <c r="S802" s="16" t="s">
        <v>6403</v>
      </c>
      <c r="T802" s="16" t="s">
        <v>6372</v>
      </c>
      <c r="U802" s="67">
        <v>84600000</v>
      </c>
      <c r="V802" s="16" t="s">
        <v>2522</v>
      </c>
      <c r="W802" s="224">
        <v>84600000</v>
      </c>
      <c r="X802" s="24">
        <v>14100000</v>
      </c>
      <c r="Y802" s="24"/>
      <c r="Z802" s="24"/>
      <c r="AA802" s="17" t="s">
        <v>116</v>
      </c>
      <c r="AB802" s="23" t="str">
        <f>IFERROR(VLOOKUP(AA802,Listas!$A$1:$C$14,2,FALSE),"")</f>
        <v>FREDY CÉSPEDES VILLA</v>
      </c>
      <c r="AC802" s="23">
        <f>IFERROR(VLOOKUP(AA802,Listas!$A$1:$C$14,3,FALSE),"")</f>
        <v>93363483</v>
      </c>
      <c r="AD802" s="17" t="s">
        <v>116</v>
      </c>
      <c r="AE802" s="17" t="s">
        <v>484</v>
      </c>
      <c r="AF802" s="23" t="str">
        <f>IFERROR(VLOOKUP(AE802,Listas!$AD$1:$AF$65,2,FALSE),"")</f>
        <v>JAIME ANDRES GIL ACOSTA</v>
      </c>
      <c r="AG802" s="23">
        <f>IFERROR(VLOOKUP(AE802,Listas!$AD$1:$AF$65,3,FALSE),"")</f>
        <v>98622827</v>
      </c>
      <c r="AH802" s="17" t="s">
        <v>118</v>
      </c>
      <c r="AI802" s="65" t="s">
        <v>6404</v>
      </c>
      <c r="AJ802" s="25" t="s">
        <v>4370</v>
      </c>
      <c r="AK802" s="26" t="s">
        <v>120</v>
      </c>
      <c r="AL802" s="26" t="s">
        <v>120</v>
      </c>
      <c r="AM802" s="90" t="s">
        <v>119</v>
      </c>
      <c r="AN802" s="105">
        <v>22042</v>
      </c>
      <c r="AO802" s="91">
        <f t="shared" ca="1" si="332"/>
        <v>65</v>
      </c>
      <c r="AP802" s="26" t="s">
        <v>121</v>
      </c>
      <c r="AQ802" s="26" t="s">
        <v>285</v>
      </c>
      <c r="AR802" s="89"/>
      <c r="AS802" s="27"/>
      <c r="AT802" s="16"/>
      <c r="AU802" s="27"/>
      <c r="AV802" s="86"/>
      <c r="AW802" s="27"/>
      <c r="AX802" s="27"/>
      <c r="AY802" s="27"/>
      <c r="AZ802" s="27"/>
      <c r="BA802" s="27"/>
      <c r="BB802" s="27"/>
      <c r="BC802" s="97"/>
      <c r="BD802" s="27"/>
      <c r="BE802" s="16"/>
      <c r="BF802" s="28">
        <f t="shared" si="333"/>
        <v>0</v>
      </c>
      <c r="BG802" s="29"/>
      <c r="BH802" s="27"/>
      <c r="BI802" s="30">
        <f t="shared" si="334"/>
        <v>175</v>
      </c>
      <c r="BJ802" s="31">
        <f t="shared" si="335"/>
        <v>45656</v>
      </c>
      <c r="BK802" s="27"/>
      <c r="BL802" s="16"/>
      <c r="BM802" s="27"/>
      <c r="BN802" s="16"/>
      <c r="BO802" s="27"/>
      <c r="BP802" s="16"/>
      <c r="BQ802" s="27"/>
      <c r="BR802" s="24"/>
      <c r="BS802" s="24"/>
      <c r="BT802" s="32"/>
      <c r="BU802" s="27"/>
      <c r="BV802" s="24"/>
      <c r="BW802" s="24"/>
      <c r="BX802" s="16"/>
      <c r="BY802" s="27"/>
      <c r="BZ802" s="24"/>
      <c r="CA802" s="24"/>
      <c r="CB802" s="16"/>
      <c r="CC802" s="49">
        <f t="shared" si="336"/>
        <v>0</v>
      </c>
      <c r="CD802" s="24"/>
      <c r="CE802" s="49">
        <f t="shared" si="337"/>
        <v>84600000</v>
      </c>
      <c r="CF802" s="50"/>
      <c r="CG802" s="49">
        <f t="shared" ca="1" si="323"/>
        <v>84600000</v>
      </c>
      <c r="CH802" s="33">
        <f t="shared" ca="1" si="339"/>
        <v>1</v>
      </c>
      <c r="CI802" s="33">
        <f t="shared" ca="1" si="340"/>
        <v>1</v>
      </c>
      <c r="CJ802" s="36">
        <f t="shared" ca="1" si="328"/>
        <v>100</v>
      </c>
      <c r="CK802" s="34">
        <f t="shared" si="329"/>
        <v>0</v>
      </c>
      <c r="CL802" s="21"/>
      <c r="CM802" s="35" t="str">
        <f t="shared" ca="1" si="338"/>
        <v>TERMINADO</v>
      </c>
      <c r="CN802" s="82"/>
      <c r="CO802" s="145" t="s">
        <v>6405</v>
      </c>
      <c r="CP802" s="26" t="s">
        <v>142</v>
      </c>
    </row>
    <row r="803" spans="1:97" ht="24.75" customHeight="1">
      <c r="A803" s="48" t="s">
        <v>6406</v>
      </c>
      <c r="B803" s="77" t="s">
        <v>6407</v>
      </c>
      <c r="C803" s="17" t="s">
        <v>104</v>
      </c>
      <c r="D803" s="18" t="s">
        <v>6408</v>
      </c>
      <c r="E803" s="17" t="s">
        <v>106</v>
      </c>
      <c r="F803" s="17" t="s">
        <v>107</v>
      </c>
      <c r="G803" s="17" t="s">
        <v>108</v>
      </c>
      <c r="H803" s="78">
        <v>1026566438</v>
      </c>
      <c r="I803" s="74" t="s">
        <v>6409</v>
      </c>
      <c r="J803" s="16"/>
      <c r="K803" s="16"/>
      <c r="L803" s="20" t="s">
        <v>6410</v>
      </c>
      <c r="M803" s="16" t="s">
        <v>6261</v>
      </c>
      <c r="N803" s="22">
        <v>45478</v>
      </c>
      <c r="O803" s="22">
        <v>45483</v>
      </c>
      <c r="P803" s="22">
        <v>45656</v>
      </c>
      <c r="Q803" s="23">
        <f t="shared" si="331"/>
        <v>173</v>
      </c>
      <c r="R803" s="17" t="s">
        <v>112</v>
      </c>
      <c r="S803" s="16" t="s">
        <v>6411</v>
      </c>
      <c r="T803" s="16" t="s">
        <v>364</v>
      </c>
      <c r="U803" s="67">
        <v>27512849</v>
      </c>
      <c r="V803" s="16" t="s">
        <v>365</v>
      </c>
      <c r="W803" s="224">
        <v>27512849</v>
      </c>
      <c r="X803" s="24">
        <v>4413826</v>
      </c>
      <c r="Y803" s="24"/>
      <c r="Z803" s="24"/>
      <c r="AA803" s="17" t="s">
        <v>116</v>
      </c>
      <c r="AB803" s="23" t="str">
        <f>IFERROR(VLOOKUP(AA803,Listas!$A$1:$C$14,2,FALSE),"")</f>
        <v>FREDY CÉSPEDES VILLA</v>
      </c>
      <c r="AC803" s="23">
        <f>IFERROR(VLOOKUP(AA803,Listas!$A$1:$C$14,3,FALSE),"")</f>
        <v>93363483</v>
      </c>
      <c r="AD803" s="17" t="s">
        <v>345</v>
      </c>
      <c r="AE803" s="17" t="s">
        <v>346</v>
      </c>
      <c r="AF803" s="23" t="str">
        <f>IFERROR(VLOOKUP(AE803,Listas!$AD$1:$AF$65,2,FALSE),"")</f>
        <v>RODOLFO GIOVANNI CANCHILA SUÁREZ</v>
      </c>
      <c r="AG803" s="23">
        <f>IFERROR(VLOOKUP(AE803,Listas!$AD$1:$AF$65,3,FALSE),"")</f>
        <v>79672493</v>
      </c>
      <c r="AH803" s="17" t="s">
        <v>118</v>
      </c>
      <c r="AI803" s="65" t="s">
        <v>6412</v>
      </c>
      <c r="AJ803" s="25" t="s">
        <v>4370</v>
      </c>
      <c r="AK803" s="26" t="s">
        <v>120</v>
      </c>
      <c r="AL803" s="26" t="s">
        <v>120</v>
      </c>
      <c r="AM803" s="90" t="s">
        <v>119</v>
      </c>
      <c r="AN803" s="105"/>
      <c r="AO803" s="91" t="str">
        <f t="shared" ca="1" si="332"/>
        <v xml:space="preserve"> </v>
      </c>
      <c r="AP803" s="26" t="s">
        <v>121</v>
      </c>
      <c r="AQ803" s="26" t="s">
        <v>367</v>
      </c>
      <c r="AR803" s="89"/>
      <c r="AS803" s="27"/>
      <c r="AT803" s="16"/>
      <c r="AU803" s="27"/>
      <c r="AV803" s="86"/>
      <c r="AW803" s="27"/>
      <c r="AX803" s="27"/>
      <c r="AY803" s="27"/>
      <c r="AZ803" s="27"/>
      <c r="BA803" s="27"/>
      <c r="BB803" s="27"/>
      <c r="BC803" s="97"/>
      <c r="BD803" s="27"/>
      <c r="BE803" s="16"/>
      <c r="BF803" s="28">
        <f t="shared" si="333"/>
        <v>0</v>
      </c>
      <c r="BG803" s="29"/>
      <c r="BH803" s="27"/>
      <c r="BI803" s="30">
        <f t="shared" si="334"/>
        <v>173</v>
      </c>
      <c r="BJ803" s="31">
        <f t="shared" si="335"/>
        <v>45656</v>
      </c>
      <c r="BK803" s="27"/>
      <c r="BL803" s="16"/>
      <c r="BM803" s="27"/>
      <c r="BN803" s="16"/>
      <c r="BO803" s="27"/>
      <c r="BP803" s="16"/>
      <c r="BQ803" s="27"/>
      <c r="BR803" s="24"/>
      <c r="BS803" s="24"/>
      <c r="BT803" s="32"/>
      <c r="BU803" s="27"/>
      <c r="BV803" s="24"/>
      <c r="BW803" s="24"/>
      <c r="BX803" s="16"/>
      <c r="BY803" s="27"/>
      <c r="BZ803" s="24"/>
      <c r="CA803" s="24"/>
      <c r="CB803" s="16"/>
      <c r="CC803" s="49">
        <f t="shared" si="336"/>
        <v>0</v>
      </c>
      <c r="CD803" s="24"/>
      <c r="CE803" s="49">
        <f t="shared" si="337"/>
        <v>27512849</v>
      </c>
      <c r="CF803" s="50"/>
      <c r="CG803" s="49">
        <f t="shared" ca="1" si="323"/>
        <v>27512849</v>
      </c>
      <c r="CH803" s="33">
        <f t="shared" ca="1" si="339"/>
        <v>1</v>
      </c>
      <c r="CI803" s="33">
        <f t="shared" ca="1" si="340"/>
        <v>1</v>
      </c>
      <c r="CJ803" s="36">
        <f t="shared" ca="1" si="328"/>
        <v>100</v>
      </c>
      <c r="CK803" s="34">
        <f t="shared" si="329"/>
        <v>0</v>
      </c>
      <c r="CL803" s="21"/>
      <c r="CM803" s="35" t="str">
        <f t="shared" ca="1" si="338"/>
        <v>TERMINADO</v>
      </c>
      <c r="CN803" s="82"/>
      <c r="CO803" s="145" t="s">
        <v>6413</v>
      </c>
      <c r="CP803" s="26" t="s">
        <v>142</v>
      </c>
    </row>
    <row r="804" spans="1:97" ht="24.75" customHeight="1">
      <c r="A804" s="48" t="s">
        <v>6414</v>
      </c>
      <c r="B804" s="77" t="s">
        <v>6415</v>
      </c>
      <c r="C804" s="17" t="s">
        <v>5814</v>
      </c>
      <c r="D804" s="18" t="s">
        <v>6416</v>
      </c>
      <c r="E804" s="17" t="s">
        <v>106</v>
      </c>
      <c r="F804" s="17" t="s">
        <v>1426</v>
      </c>
      <c r="G804" s="17" t="s">
        <v>1427</v>
      </c>
      <c r="H804" s="78" t="s">
        <v>6417</v>
      </c>
      <c r="I804" s="74" t="s">
        <v>6418</v>
      </c>
      <c r="J804" s="16" t="s">
        <v>6419</v>
      </c>
      <c r="K804" s="16">
        <v>66917673</v>
      </c>
      <c r="L804" s="20" t="s">
        <v>6420</v>
      </c>
      <c r="M804" s="16" t="s">
        <v>6261</v>
      </c>
      <c r="N804" s="22">
        <v>45478</v>
      </c>
      <c r="O804" s="22">
        <v>45490</v>
      </c>
      <c r="P804" s="22">
        <v>45808</v>
      </c>
      <c r="Q804" s="23">
        <f t="shared" si="331"/>
        <v>318</v>
      </c>
      <c r="R804" s="17" t="s">
        <v>242</v>
      </c>
      <c r="S804" s="16" t="s">
        <v>6421</v>
      </c>
      <c r="T804" s="16" t="s">
        <v>2811</v>
      </c>
      <c r="U804" s="67">
        <v>42248822</v>
      </c>
      <c r="V804" s="16" t="s">
        <v>5996</v>
      </c>
      <c r="W804" s="224">
        <v>31059000</v>
      </c>
      <c r="X804" s="24">
        <v>5100000</v>
      </c>
      <c r="Y804" s="24"/>
      <c r="Z804" s="24"/>
      <c r="AA804" s="17" t="s">
        <v>116</v>
      </c>
      <c r="AB804" s="23" t="str">
        <f>IFERROR(VLOOKUP(AA804,Listas!$A$1:$C$14,2,FALSE),"")</f>
        <v>FREDY CÉSPEDES VILLA</v>
      </c>
      <c r="AC804" s="23">
        <f>IFERROR(VLOOKUP(AA804,Listas!$A$1:$C$14,3,FALSE),"")</f>
        <v>93363483</v>
      </c>
      <c r="AD804" s="17" t="s">
        <v>217</v>
      </c>
      <c r="AE804" s="17" t="s">
        <v>6422</v>
      </c>
      <c r="AF804" s="23" t="str">
        <f>IFERROR(VLOOKUP(AE804,Listas!$AD$1:$AF$65,2,FALSE),"")</f>
        <v>JOSÉ GÓMEZ CARDONA</v>
      </c>
      <c r="AG804" s="23">
        <f>IFERROR(VLOOKUP(AE804,Listas!$AD$1:$AF$65,3,FALSE),"")</f>
        <v>4488888</v>
      </c>
      <c r="AH804" s="17" t="s">
        <v>5821</v>
      </c>
      <c r="AI804" s="65"/>
      <c r="AJ804" s="25" t="s">
        <v>1435</v>
      </c>
      <c r="AK804" s="26" t="s">
        <v>2071</v>
      </c>
      <c r="AL804" s="26" t="s">
        <v>2071</v>
      </c>
      <c r="AM804" s="90" t="s">
        <v>1435</v>
      </c>
      <c r="AN804" s="105"/>
      <c r="AO804" s="91" t="str">
        <f t="shared" ca="1" si="332"/>
        <v xml:space="preserve"> </v>
      </c>
      <c r="AP804" s="26" t="s">
        <v>121</v>
      </c>
      <c r="AQ804" s="26" t="s">
        <v>1641</v>
      </c>
      <c r="AR804" s="89"/>
      <c r="AS804" s="27"/>
      <c r="AT804" s="16"/>
      <c r="AU804" s="27"/>
      <c r="AV804" s="86"/>
      <c r="AW804" s="27"/>
      <c r="AX804" s="27"/>
      <c r="AY804" s="27"/>
      <c r="AZ804" s="27"/>
      <c r="BA804" s="27"/>
      <c r="BB804" s="27"/>
      <c r="BC804" s="97"/>
      <c r="BD804" s="27"/>
      <c r="BE804" s="16"/>
      <c r="BF804" s="28">
        <f t="shared" si="333"/>
        <v>0</v>
      </c>
      <c r="BG804" s="29"/>
      <c r="BH804" s="27"/>
      <c r="BI804" s="30">
        <f t="shared" si="334"/>
        <v>318</v>
      </c>
      <c r="BJ804" s="31">
        <f t="shared" si="335"/>
        <v>45808</v>
      </c>
      <c r="BK804" s="27"/>
      <c r="BL804" s="16"/>
      <c r="BM804" s="27"/>
      <c r="BN804" s="16"/>
      <c r="BO804" s="27"/>
      <c r="BP804" s="16"/>
      <c r="BQ804" s="27"/>
      <c r="BR804" s="24"/>
      <c r="BS804" s="24"/>
      <c r="BT804" s="32"/>
      <c r="BU804" s="27"/>
      <c r="BV804" s="24"/>
      <c r="BW804" s="24"/>
      <c r="BX804" s="16"/>
      <c r="BY804" s="27"/>
      <c r="BZ804" s="24"/>
      <c r="CA804" s="24"/>
      <c r="CB804" s="16"/>
      <c r="CC804" s="49">
        <f t="shared" si="336"/>
        <v>0</v>
      </c>
      <c r="CD804" s="24"/>
      <c r="CE804" s="49">
        <f t="shared" si="337"/>
        <v>31059000</v>
      </c>
      <c r="CF804" s="50"/>
      <c r="CG804" s="49">
        <f t="shared" ca="1" si="323"/>
        <v>31059000</v>
      </c>
      <c r="CH804" s="33">
        <f t="shared" ca="1" si="339"/>
        <v>1</v>
      </c>
      <c r="CI804" s="33">
        <f t="shared" ca="1" si="340"/>
        <v>1</v>
      </c>
      <c r="CJ804" s="36">
        <f t="shared" ca="1" si="328"/>
        <v>100</v>
      </c>
      <c r="CK804" s="34">
        <f t="shared" si="329"/>
        <v>0</v>
      </c>
      <c r="CL804" s="21"/>
      <c r="CM804" s="35" t="str">
        <f t="shared" ca="1" si="338"/>
        <v>TERMINADO</v>
      </c>
      <c r="CN804" s="82"/>
      <c r="CP804" s="83" t="s">
        <v>1424</v>
      </c>
    </row>
    <row r="805" spans="1:97" ht="24.75" customHeight="1">
      <c r="A805" s="48" t="s">
        <v>6423</v>
      </c>
      <c r="B805" s="77" t="s">
        <v>6424</v>
      </c>
      <c r="C805" s="17" t="s">
        <v>104</v>
      </c>
      <c r="D805" s="18" t="s">
        <v>6425</v>
      </c>
      <c r="E805" s="17" t="s">
        <v>106</v>
      </c>
      <c r="F805" s="17" t="s">
        <v>107</v>
      </c>
      <c r="G805" s="17" t="s">
        <v>108</v>
      </c>
      <c r="H805" s="78">
        <v>80134450</v>
      </c>
      <c r="I805" s="74" t="s">
        <v>6426</v>
      </c>
      <c r="J805" s="16"/>
      <c r="K805" s="16"/>
      <c r="L805" s="20" t="s">
        <v>6427</v>
      </c>
      <c r="M805" s="16" t="s">
        <v>111</v>
      </c>
      <c r="N805" s="22">
        <v>45479</v>
      </c>
      <c r="O805" s="22">
        <v>45481</v>
      </c>
      <c r="P805" s="22">
        <v>45656</v>
      </c>
      <c r="Q805" s="23">
        <f t="shared" si="331"/>
        <v>175</v>
      </c>
      <c r="R805" s="17" t="s">
        <v>242</v>
      </c>
      <c r="S805" s="16" t="s">
        <v>6428</v>
      </c>
      <c r="T805" s="16" t="s">
        <v>6429</v>
      </c>
      <c r="U805" s="67">
        <v>32368062</v>
      </c>
      <c r="V805" s="16" t="s">
        <v>884</v>
      </c>
      <c r="W805" s="224">
        <v>32368062</v>
      </c>
      <c r="X805" s="24">
        <v>5394777</v>
      </c>
      <c r="Y805" s="24"/>
      <c r="Z805" s="24"/>
      <c r="AA805" s="17" t="s">
        <v>116</v>
      </c>
      <c r="AB805" s="23" t="str">
        <f>IFERROR(VLOOKUP(AA805,Listas!$A$1:$C$14,2,FALSE),"")</f>
        <v>FREDY CÉSPEDES VILLA</v>
      </c>
      <c r="AC805" s="23">
        <f>IFERROR(VLOOKUP(AA805,Listas!$A$1:$C$14,3,FALSE),"")</f>
        <v>93363483</v>
      </c>
      <c r="AD805" s="17" t="s">
        <v>406</v>
      </c>
      <c r="AE805" s="17" t="s">
        <v>504</v>
      </c>
      <c r="AF805" s="23" t="str">
        <f>IFERROR(VLOOKUP(AE805,Listas!$AD$1:$AF$65,2,FALSE),"")</f>
        <v>EDUARDO ELÍAS BARCHA BOLÍVAR</v>
      </c>
      <c r="AG805" s="23">
        <f>IFERROR(VLOOKUP(AE805,Listas!$AD$1:$AF$65,3,FALSE),"")</f>
        <v>72133921</v>
      </c>
      <c r="AH805" s="17" t="s">
        <v>118</v>
      </c>
      <c r="AI805" s="65" t="s">
        <v>6430</v>
      </c>
      <c r="AJ805" s="25" t="s">
        <v>4370</v>
      </c>
      <c r="AK805" s="26" t="s">
        <v>120</v>
      </c>
      <c r="AL805" s="26" t="s">
        <v>120</v>
      </c>
      <c r="AM805" s="90" t="s">
        <v>119</v>
      </c>
      <c r="AN805" s="105">
        <v>30177</v>
      </c>
      <c r="AO805" s="91">
        <f t="shared" ca="1" si="332"/>
        <v>43</v>
      </c>
      <c r="AP805" s="26" t="s">
        <v>121</v>
      </c>
      <c r="AQ805" s="26" t="s">
        <v>886</v>
      </c>
      <c r="AR805" s="89"/>
      <c r="AS805" s="27"/>
      <c r="AT805" s="16"/>
      <c r="AU805" s="27"/>
      <c r="AV805" s="86"/>
      <c r="AW805" s="27"/>
      <c r="AX805" s="27"/>
      <c r="AY805" s="27"/>
      <c r="AZ805" s="27"/>
      <c r="BA805" s="27"/>
      <c r="BB805" s="27"/>
      <c r="BC805" s="97"/>
      <c r="BD805" s="27"/>
      <c r="BE805" s="16"/>
      <c r="BF805" s="28">
        <f t="shared" si="333"/>
        <v>0</v>
      </c>
      <c r="BG805" s="29"/>
      <c r="BH805" s="27"/>
      <c r="BI805" s="30">
        <f t="shared" si="334"/>
        <v>175</v>
      </c>
      <c r="BJ805" s="31">
        <f t="shared" si="335"/>
        <v>45656</v>
      </c>
      <c r="BK805" s="27"/>
      <c r="BL805" s="16"/>
      <c r="BM805" s="27"/>
      <c r="BN805" s="16"/>
      <c r="BO805" s="27"/>
      <c r="BP805" s="16"/>
      <c r="BQ805" s="27"/>
      <c r="BR805" s="24"/>
      <c r="BS805" s="24"/>
      <c r="BT805" s="32"/>
      <c r="BU805" s="27"/>
      <c r="BV805" s="24"/>
      <c r="BW805" s="24"/>
      <c r="BX805" s="16"/>
      <c r="BY805" s="27"/>
      <c r="BZ805" s="24"/>
      <c r="CA805" s="24"/>
      <c r="CB805" s="16"/>
      <c r="CC805" s="49">
        <f t="shared" si="336"/>
        <v>0</v>
      </c>
      <c r="CD805" s="24"/>
      <c r="CE805" s="49">
        <f t="shared" si="337"/>
        <v>32368062</v>
      </c>
      <c r="CF805" s="50"/>
      <c r="CG805" s="49">
        <f t="shared" ca="1" si="323"/>
        <v>32368062</v>
      </c>
      <c r="CH805" s="33">
        <f t="shared" ca="1" si="339"/>
        <v>1</v>
      </c>
      <c r="CI805" s="33">
        <f t="shared" ca="1" si="340"/>
        <v>1</v>
      </c>
      <c r="CJ805" s="36">
        <f t="shared" ca="1" si="328"/>
        <v>100</v>
      </c>
      <c r="CK805" s="34">
        <f t="shared" si="329"/>
        <v>0</v>
      </c>
      <c r="CL805" s="21"/>
      <c r="CM805" s="35" t="str">
        <f t="shared" ca="1" si="338"/>
        <v>TERMINADO</v>
      </c>
      <c r="CN805" s="82"/>
      <c r="CO805" s="145" t="s">
        <v>6431</v>
      </c>
      <c r="CP805" s="26" t="s">
        <v>142</v>
      </c>
    </row>
    <row r="806" spans="1:97" ht="24.75" customHeight="1">
      <c r="A806" s="48" t="s">
        <v>6432</v>
      </c>
      <c r="B806" s="77" t="s">
        <v>6433</v>
      </c>
      <c r="C806" s="17" t="s">
        <v>1423</v>
      </c>
      <c r="D806" s="18" t="s">
        <v>6434</v>
      </c>
      <c r="E806" s="17" t="s">
        <v>1425</v>
      </c>
      <c r="F806" s="17" t="s">
        <v>1426</v>
      </c>
      <c r="G806" s="17" t="s">
        <v>1427</v>
      </c>
      <c r="H806" s="78" t="s">
        <v>6435</v>
      </c>
      <c r="I806" s="74" t="s">
        <v>6436</v>
      </c>
      <c r="J806" s="16" t="s">
        <v>6437</v>
      </c>
      <c r="K806" s="16"/>
      <c r="L806" s="96" t="s">
        <v>6438</v>
      </c>
      <c r="M806" s="16" t="s">
        <v>111</v>
      </c>
      <c r="N806" s="22">
        <v>45479</v>
      </c>
      <c r="O806" s="22">
        <v>45478</v>
      </c>
      <c r="P806" s="22">
        <v>45656</v>
      </c>
      <c r="Q806" s="23">
        <f t="shared" si="331"/>
        <v>178</v>
      </c>
      <c r="R806" s="17" t="s">
        <v>242</v>
      </c>
      <c r="S806" s="16" t="s">
        <v>6439</v>
      </c>
      <c r="T806" s="16" t="s">
        <v>3836</v>
      </c>
      <c r="U806" s="67">
        <v>65616600</v>
      </c>
      <c r="V806" s="16" t="s">
        <v>6440</v>
      </c>
      <c r="W806" s="228">
        <v>65616600</v>
      </c>
      <c r="X806" s="67"/>
      <c r="Y806" s="24"/>
      <c r="Z806" s="24"/>
      <c r="AA806" s="17" t="s">
        <v>116</v>
      </c>
      <c r="AB806" s="23" t="str">
        <f>IFERROR(VLOOKUP(AA806,Listas!$A$1:$C$14,2,FALSE),"")</f>
        <v>FREDY CÉSPEDES VILLA</v>
      </c>
      <c r="AC806" s="23">
        <f>IFERROR(VLOOKUP(AA806,Listas!$A$1:$C$14,3,FALSE),"")</f>
        <v>93363483</v>
      </c>
      <c r="AD806" s="17" t="s">
        <v>116</v>
      </c>
      <c r="AE806" s="17" t="s">
        <v>659</v>
      </c>
      <c r="AF806" s="23" t="str">
        <f>IFERROR(VLOOKUP(AE806,Listas!$AD$1:$AF$65,2,FALSE),"")</f>
        <v>TATIANA FORERO TORRES</v>
      </c>
      <c r="AG806" s="23">
        <f>IFERROR(VLOOKUP(AE806,Listas!$AD$1:$AF$65,3,FALSE),"")</f>
        <v>1072446921</v>
      </c>
      <c r="AH806" s="17" t="s">
        <v>118</v>
      </c>
      <c r="AI806" s="65"/>
      <c r="AJ806" s="25" t="s">
        <v>1435</v>
      </c>
      <c r="AK806" s="26" t="s">
        <v>2071</v>
      </c>
      <c r="AL806" s="26" t="s">
        <v>2071</v>
      </c>
      <c r="AM806" s="90" t="s">
        <v>1435</v>
      </c>
      <c r="AN806" s="105"/>
      <c r="AO806" s="91" t="str">
        <f t="shared" ca="1" si="332"/>
        <v xml:space="preserve"> </v>
      </c>
      <c r="AP806" s="26" t="s">
        <v>121</v>
      </c>
      <c r="AQ806" s="26" t="s">
        <v>486</v>
      </c>
      <c r="AR806" s="89"/>
      <c r="AS806" s="27"/>
      <c r="AT806" s="16"/>
      <c r="AU806" s="27"/>
      <c r="AV806" s="86"/>
      <c r="AW806" s="27"/>
      <c r="AX806" s="27"/>
      <c r="AY806" s="27"/>
      <c r="AZ806" s="27"/>
      <c r="BA806" s="27"/>
      <c r="BB806" s="27"/>
      <c r="BC806" s="97"/>
      <c r="BD806" s="27"/>
      <c r="BE806" s="16"/>
      <c r="BF806" s="28">
        <f t="shared" si="333"/>
        <v>0</v>
      </c>
      <c r="BG806" s="29"/>
      <c r="BH806" s="27"/>
      <c r="BI806" s="30">
        <f t="shared" si="334"/>
        <v>178</v>
      </c>
      <c r="BJ806" s="31">
        <f t="shared" si="335"/>
        <v>45656</v>
      </c>
      <c r="BK806" s="27"/>
      <c r="BL806" s="16"/>
      <c r="BM806" s="27"/>
      <c r="BN806" s="16"/>
      <c r="BO806" s="27"/>
      <c r="BP806" s="16"/>
      <c r="BQ806" s="27"/>
      <c r="BR806" s="24"/>
      <c r="BS806" s="24"/>
      <c r="BT806" s="32"/>
      <c r="BU806" s="27"/>
      <c r="BV806" s="24"/>
      <c r="BW806" s="24"/>
      <c r="BX806" s="16"/>
      <c r="BY806" s="27"/>
      <c r="BZ806" s="24"/>
      <c r="CA806" s="24"/>
      <c r="CB806" s="16"/>
      <c r="CC806" s="49">
        <f t="shared" si="336"/>
        <v>0</v>
      </c>
      <c r="CD806" s="24"/>
      <c r="CE806" s="49">
        <f t="shared" si="337"/>
        <v>65616600</v>
      </c>
      <c r="CF806" s="50"/>
      <c r="CG806" s="49">
        <f t="shared" ca="1" si="323"/>
        <v>65616600</v>
      </c>
      <c r="CH806" s="33">
        <f t="shared" ca="1" si="339"/>
        <v>1</v>
      </c>
      <c r="CI806" s="33">
        <f t="shared" ca="1" si="340"/>
        <v>1</v>
      </c>
      <c r="CJ806" s="36">
        <f t="shared" ca="1" si="328"/>
        <v>100</v>
      </c>
      <c r="CK806" s="34">
        <f t="shared" si="329"/>
        <v>0</v>
      </c>
      <c r="CL806" s="21"/>
      <c r="CM806" s="35" t="str">
        <f t="shared" ca="1" si="338"/>
        <v>TERMINADO</v>
      </c>
      <c r="CN806" s="82"/>
      <c r="CP806" s="83" t="s">
        <v>1424</v>
      </c>
    </row>
    <row r="807" spans="1:97" ht="24.75" customHeight="1">
      <c r="A807" s="48" t="s">
        <v>197</v>
      </c>
      <c r="B807" s="77" t="s">
        <v>6441</v>
      </c>
      <c r="C807" s="17" t="s">
        <v>104</v>
      </c>
      <c r="D807" s="18" t="s">
        <v>6442</v>
      </c>
      <c r="E807" s="17" t="s">
        <v>106</v>
      </c>
      <c r="F807" s="17" t="s">
        <v>107</v>
      </c>
      <c r="G807" s="17" t="s">
        <v>108</v>
      </c>
      <c r="H807" s="78">
        <v>79831450</v>
      </c>
      <c r="I807" s="74" t="s">
        <v>200</v>
      </c>
      <c r="J807" s="16"/>
      <c r="K807" s="16"/>
      <c r="L807" s="20" t="s">
        <v>6443</v>
      </c>
      <c r="M807" s="16" t="s">
        <v>111</v>
      </c>
      <c r="N807" s="22">
        <v>45478</v>
      </c>
      <c r="O807" s="22">
        <v>45481</v>
      </c>
      <c r="P807" s="22">
        <v>45656</v>
      </c>
      <c r="Q807" s="23">
        <f t="shared" si="331"/>
        <v>175</v>
      </c>
      <c r="R807" s="17" t="s">
        <v>112</v>
      </c>
      <c r="S807" s="16" t="s">
        <v>6444</v>
      </c>
      <c r="T807" s="16" t="s">
        <v>114</v>
      </c>
      <c r="U807" s="67">
        <v>51395364</v>
      </c>
      <c r="V807" s="16" t="s">
        <v>115</v>
      </c>
      <c r="W807" s="224">
        <v>51395364</v>
      </c>
      <c r="X807" s="67">
        <v>8565894</v>
      </c>
      <c r="Y807" s="24"/>
      <c r="Z807" s="24"/>
      <c r="AA807" s="17" t="s">
        <v>116</v>
      </c>
      <c r="AB807" s="23" t="str">
        <f>IFERROR(VLOOKUP(AA807,Listas!$A$1:$C$14,2,FALSE),"")</f>
        <v>FREDY CÉSPEDES VILLA</v>
      </c>
      <c r="AC807" s="23">
        <f>IFERROR(VLOOKUP(AA807,Listas!$A$1:$C$14,3,FALSE),"")</f>
        <v>93363483</v>
      </c>
      <c r="AD807" s="17" t="s">
        <v>116</v>
      </c>
      <c r="AE807" s="17" t="s">
        <v>117</v>
      </c>
      <c r="AF807" s="23" t="str">
        <f>IFERROR(VLOOKUP(AE807,Listas!$AD$1:$AF$65,2,FALSE),"")</f>
        <v>DIANA BARRERA MEDINA</v>
      </c>
      <c r="AG807" s="23">
        <f>IFERROR(VLOOKUP(AE807,Listas!$AD$1:$AF$65,3,FALSE),"")</f>
        <v>52964360</v>
      </c>
      <c r="AH807" s="17" t="s">
        <v>118</v>
      </c>
      <c r="AI807" s="65" t="s">
        <v>6445</v>
      </c>
      <c r="AJ807" s="25" t="s">
        <v>4370</v>
      </c>
      <c r="AK807" s="26" t="s">
        <v>120</v>
      </c>
      <c r="AL807" s="26" t="s">
        <v>120</v>
      </c>
      <c r="AM807" s="90" t="s">
        <v>119</v>
      </c>
      <c r="AN807" s="105">
        <v>28229</v>
      </c>
      <c r="AO807" s="91">
        <f t="shared" ca="1" si="332"/>
        <v>48</v>
      </c>
      <c r="AP807" s="26" t="s">
        <v>121</v>
      </c>
      <c r="AQ807" s="26" t="s">
        <v>285</v>
      </c>
      <c r="AR807" s="89"/>
      <c r="AS807" s="27"/>
      <c r="AT807" s="16"/>
      <c r="AU807" s="27"/>
      <c r="AV807" s="86"/>
      <c r="AW807" s="27"/>
      <c r="AX807" s="27"/>
      <c r="AY807" s="27"/>
      <c r="AZ807" s="27"/>
      <c r="BA807" s="27"/>
      <c r="BB807" s="27"/>
      <c r="BC807" s="97"/>
      <c r="BD807" s="27"/>
      <c r="BE807" s="16"/>
      <c r="BF807" s="28">
        <f t="shared" si="333"/>
        <v>0</v>
      </c>
      <c r="BG807" s="29"/>
      <c r="BH807" s="27"/>
      <c r="BI807" s="30">
        <f t="shared" si="334"/>
        <v>175</v>
      </c>
      <c r="BJ807" s="31">
        <f t="shared" si="335"/>
        <v>45656</v>
      </c>
      <c r="BK807" s="27"/>
      <c r="BL807" s="16"/>
      <c r="BM807" s="27"/>
      <c r="BN807" s="16"/>
      <c r="BO807" s="27"/>
      <c r="BP807" s="16"/>
      <c r="BQ807" s="27"/>
      <c r="BR807" s="24"/>
      <c r="BS807" s="24"/>
      <c r="BT807" s="32"/>
      <c r="BU807" s="27"/>
      <c r="BV807" s="24"/>
      <c r="BW807" s="24"/>
      <c r="BX807" s="16"/>
      <c r="BY807" s="27"/>
      <c r="BZ807" s="24"/>
      <c r="CA807" s="24"/>
      <c r="CB807" s="16"/>
      <c r="CC807" s="49">
        <f t="shared" si="336"/>
        <v>0</v>
      </c>
      <c r="CD807" s="24"/>
      <c r="CE807" s="49">
        <f t="shared" si="337"/>
        <v>51395364</v>
      </c>
      <c r="CF807" s="50"/>
      <c r="CG807" s="49">
        <f t="shared" ca="1" si="323"/>
        <v>51395364</v>
      </c>
      <c r="CH807" s="33">
        <f t="shared" ca="1" si="339"/>
        <v>1</v>
      </c>
      <c r="CI807" s="33">
        <f t="shared" ca="1" si="340"/>
        <v>1</v>
      </c>
      <c r="CJ807" s="36">
        <f t="shared" ca="1" si="328"/>
        <v>100</v>
      </c>
      <c r="CK807" s="34">
        <f t="shared" si="329"/>
        <v>0</v>
      </c>
      <c r="CL807" s="21"/>
      <c r="CM807" s="35" t="str">
        <f t="shared" ca="1" si="338"/>
        <v>TERMINADO</v>
      </c>
      <c r="CN807" s="82"/>
      <c r="CP807" s="26" t="s">
        <v>142</v>
      </c>
    </row>
    <row r="808" spans="1:97" ht="24.75" customHeight="1">
      <c r="A808" s="48" t="s">
        <v>161</v>
      </c>
      <c r="B808" s="77" t="s">
        <v>6446</v>
      </c>
      <c r="C808" s="17" t="s">
        <v>104</v>
      </c>
      <c r="D808" s="18" t="s">
        <v>6447</v>
      </c>
      <c r="E808" s="17" t="s">
        <v>106</v>
      </c>
      <c r="F808" s="17" t="s">
        <v>107</v>
      </c>
      <c r="G808" s="17" t="s">
        <v>108</v>
      </c>
      <c r="H808" s="19">
        <v>37898247</v>
      </c>
      <c r="I808" s="74" t="s">
        <v>164</v>
      </c>
      <c r="J808" s="16"/>
      <c r="K808" s="16"/>
      <c r="L808" s="20" t="s">
        <v>6443</v>
      </c>
      <c r="M808" s="16" t="s">
        <v>111</v>
      </c>
      <c r="N808" s="22">
        <v>45478</v>
      </c>
      <c r="O808" s="22">
        <v>45481</v>
      </c>
      <c r="P808" s="22">
        <v>45656</v>
      </c>
      <c r="Q808" s="23">
        <f t="shared" si="331"/>
        <v>175</v>
      </c>
      <c r="R808" s="17" t="s">
        <v>112</v>
      </c>
      <c r="S808" s="16" t="s">
        <v>6444</v>
      </c>
      <c r="T808" s="16" t="s">
        <v>114</v>
      </c>
      <c r="U808" s="67">
        <v>51395364</v>
      </c>
      <c r="V808" s="16" t="s">
        <v>115</v>
      </c>
      <c r="W808" s="224">
        <v>51395364</v>
      </c>
      <c r="X808" s="67">
        <v>8565894</v>
      </c>
      <c r="Y808" s="24"/>
      <c r="Z808" s="24"/>
      <c r="AA808" s="17" t="s">
        <v>116</v>
      </c>
      <c r="AB808" s="23" t="str">
        <f>IFERROR(VLOOKUP(AA808,Listas!$A$1:$C$14,2,FALSE),"")</f>
        <v>FREDY CÉSPEDES VILLA</v>
      </c>
      <c r="AC808" s="23">
        <f>IFERROR(VLOOKUP(AA808,Listas!$A$1:$C$14,3,FALSE),"")</f>
        <v>93363483</v>
      </c>
      <c r="AD808" s="17" t="s">
        <v>116</v>
      </c>
      <c r="AE808" s="17" t="s">
        <v>117</v>
      </c>
      <c r="AF808" s="23" t="str">
        <f>IFERROR(VLOOKUP(AE808,Listas!$AD$1:$AF$65,2,FALSE),"")</f>
        <v>DIANA BARRERA MEDINA</v>
      </c>
      <c r="AG808" s="23">
        <f>IFERROR(VLOOKUP(AE808,Listas!$AD$1:$AF$65,3,FALSE),"")</f>
        <v>52964360</v>
      </c>
      <c r="AH808" s="17" t="s">
        <v>6056</v>
      </c>
      <c r="AI808" s="65" t="s">
        <v>6445</v>
      </c>
      <c r="AJ808" s="25" t="s">
        <v>4370</v>
      </c>
      <c r="AK808" s="26" t="s">
        <v>120</v>
      </c>
      <c r="AL808" s="26" t="s">
        <v>120</v>
      </c>
      <c r="AM808" s="90" t="s">
        <v>119</v>
      </c>
      <c r="AN808" s="105">
        <v>29128</v>
      </c>
      <c r="AO808" s="91">
        <f t="shared" ca="1" si="332"/>
        <v>46</v>
      </c>
      <c r="AP808" s="26" t="s">
        <v>121</v>
      </c>
      <c r="AQ808" s="26" t="s">
        <v>285</v>
      </c>
      <c r="AR808" s="89"/>
      <c r="AS808" s="27"/>
      <c r="AT808" s="16"/>
      <c r="AU808" s="27"/>
      <c r="AV808" s="86"/>
      <c r="AW808" s="27"/>
      <c r="AX808" s="27"/>
      <c r="AY808" s="27"/>
      <c r="AZ808" s="27"/>
      <c r="BA808" s="27"/>
      <c r="BB808" s="27"/>
      <c r="BC808" s="97"/>
      <c r="BD808" s="27"/>
      <c r="BE808" s="16"/>
      <c r="BF808" s="28">
        <f t="shared" si="333"/>
        <v>0</v>
      </c>
      <c r="BG808" s="29"/>
      <c r="BH808" s="27"/>
      <c r="BI808" s="30">
        <f t="shared" si="334"/>
        <v>175</v>
      </c>
      <c r="BJ808" s="31">
        <f t="shared" si="335"/>
        <v>45656</v>
      </c>
      <c r="BK808" s="27"/>
      <c r="BL808" s="16"/>
      <c r="BM808" s="27"/>
      <c r="BN808" s="16"/>
      <c r="BO808" s="27"/>
      <c r="BP808" s="16"/>
      <c r="BQ808" s="27"/>
      <c r="BR808" s="24"/>
      <c r="BS808" s="24"/>
      <c r="BT808" s="32"/>
      <c r="BU808" s="27"/>
      <c r="BV808" s="24"/>
      <c r="BW808" s="24"/>
      <c r="BX808" s="16"/>
      <c r="BY808" s="27"/>
      <c r="BZ808" s="24"/>
      <c r="CA808" s="24"/>
      <c r="CB808" s="16"/>
      <c r="CC808" s="49">
        <f t="shared" si="336"/>
        <v>0</v>
      </c>
      <c r="CD808" s="24"/>
      <c r="CE808" s="49">
        <f t="shared" si="337"/>
        <v>51395364</v>
      </c>
      <c r="CF808" s="50"/>
      <c r="CG808" s="49">
        <f t="shared" ca="1" si="323"/>
        <v>51395364</v>
      </c>
      <c r="CH808" s="33">
        <f t="shared" ca="1" si="339"/>
        <v>1</v>
      </c>
      <c r="CI808" s="33">
        <f t="shared" ca="1" si="340"/>
        <v>1</v>
      </c>
      <c r="CJ808" s="36">
        <f t="shared" ca="1" si="328"/>
        <v>100</v>
      </c>
      <c r="CK808" s="34">
        <f t="shared" si="329"/>
        <v>0</v>
      </c>
      <c r="CL808" s="21"/>
      <c r="CM808" s="35" t="str">
        <f t="shared" ca="1" si="338"/>
        <v>TERMINADO</v>
      </c>
      <c r="CN808" s="82"/>
      <c r="CP808" s="26" t="s">
        <v>123</v>
      </c>
    </row>
    <row r="809" spans="1:97" ht="24.75" customHeight="1">
      <c r="A809" s="48" t="s">
        <v>203</v>
      </c>
      <c r="B809" s="77" t="s">
        <v>6448</v>
      </c>
      <c r="C809" s="17" t="s">
        <v>104</v>
      </c>
      <c r="D809" s="18" t="s">
        <v>6449</v>
      </c>
      <c r="E809" s="17" t="s">
        <v>106</v>
      </c>
      <c r="F809" s="17" t="s">
        <v>107</v>
      </c>
      <c r="G809" s="17" t="s">
        <v>108</v>
      </c>
      <c r="H809" s="78">
        <v>1128063454</v>
      </c>
      <c r="I809" s="74" t="s">
        <v>206</v>
      </c>
      <c r="J809" s="16"/>
      <c r="K809" s="16"/>
      <c r="L809" s="20" t="s">
        <v>6450</v>
      </c>
      <c r="M809" s="16" t="s">
        <v>111</v>
      </c>
      <c r="N809" s="22">
        <v>45478</v>
      </c>
      <c r="O809" s="22">
        <v>45481</v>
      </c>
      <c r="P809" s="22">
        <v>45656</v>
      </c>
      <c r="Q809" s="23">
        <f t="shared" si="331"/>
        <v>175</v>
      </c>
      <c r="R809" s="17" t="s">
        <v>112</v>
      </c>
      <c r="S809" s="16" t="s">
        <v>6451</v>
      </c>
      <c r="T809" s="16" t="s">
        <v>114</v>
      </c>
      <c r="U809" s="67">
        <v>51395364</v>
      </c>
      <c r="V809" s="16" t="s">
        <v>115</v>
      </c>
      <c r="W809" s="224">
        <v>51395364</v>
      </c>
      <c r="X809" s="67">
        <v>8565894</v>
      </c>
      <c r="Y809" s="24"/>
      <c r="Z809" s="24"/>
      <c r="AA809" s="17" t="s">
        <v>116</v>
      </c>
      <c r="AB809" s="23" t="str">
        <f>IFERROR(VLOOKUP(AA809,Listas!$A$1:$C$14,2,FALSE),"")</f>
        <v>FREDY CÉSPEDES VILLA</v>
      </c>
      <c r="AC809" s="23">
        <f>IFERROR(VLOOKUP(AA809,Listas!$A$1:$C$14,3,FALSE),"")</f>
        <v>93363483</v>
      </c>
      <c r="AD809" s="17" t="s">
        <v>116</v>
      </c>
      <c r="AE809" s="17" t="s">
        <v>117</v>
      </c>
      <c r="AF809" s="23" t="str">
        <f>IFERROR(VLOOKUP(AE809,Listas!$AD$1:$AF$65,2,FALSE),"")</f>
        <v>DIANA BARRERA MEDINA</v>
      </c>
      <c r="AG809" s="23">
        <f>IFERROR(VLOOKUP(AE809,Listas!$AD$1:$AF$65,3,FALSE),"")</f>
        <v>52964360</v>
      </c>
      <c r="AH809" s="17" t="s">
        <v>6056</v>
      </c>
      <c r="AI809" s="65" t="s">
        <v>6445</v>
      </c>
      <c r="AJ809" s="25" t="s">
        <v>4370</v>
      </c>
      <c r="AK809" s="26" t="s">
        <v>120</v>
      </c>
      <c r="AL809" s="26" t="s">
        <v>120</v>
      </c>
      <c r="AM809" s="90" t="s">
        <v>119</v>
      </c>
      <c r="AN809" s="105">
        <v>32393</v>
      </c>
      <c r="AO809" s="91">
        <f t="shared" ca="1" si="332"/>
        <v>37</v>
      </c>
      <c r="AP809" s="26" t="s">
        <v>121</v>
      </c>
      <c r="AQ809" s="26" t="s">
        <v>122</v>
      </c>
      <c r="AR809" s="89"/>
      <c r="AS809" s="27"/>
      <c r="AT809" s="16"/>
      <c r="AU809" s="27"/>
      <c r="AV809" s="86"/>
      <c r="AW809" s="27"/>
      <c r="AX809" s="27"/>
      <c r="AY809" s="27"/>
      <c r="AZ809" s="27"/>
      <c r="BA809" s="27"/>
      <c r="BB809" s="27"/>
      <c r="BC809" s="97"/>
      <c r="BD809" s="27"/>
      <c r="BE809" s="16"/>
      <c r="BF809" s="28">
        <f t="shared" si="333"/>
        <v>0</v>
      </c>
      <c r="BG809" s="29"/>
      <c r="BH809" s="27"/>
      <c r="BI809" s="30">
        <f t="shared" si="334"/>
        <v>175</v>
      </c>
      <c r="BJ809" s="31">
        <f t="shared" si="335"/>
        <v>45656</v>
      </c>
      <c r="BK809" s="27"/>
      <c r="BL809" s="16"/>
      <c r="BM809" s="27"/>
      <c r="BN809" s="16"/>
      <c r="BO809" s="27"/>
      <c r="BP809" s="16"/>
      <c r="BQ809" s="27"/>
      <c r="BR809" s="24"/>
      <c r="BS809" s="24"/>
      <c r="BT809" s="32"/>
      <c r="BU809" s="27"/>
      <c r="BV809" s="24"/>
      <c r="BW809" s="24"/>
      <c r="BX809" s="16"/>
      <c r="BY809" s="27"/>
      <c r="BZ809" s="24"/>
      <c r="CA809" s="24"/>
      <c r="CB809" s="16"/>
      <c r="CC809" s="49">
        <f t="shared" si="336"/>
        <v>0</v>
      </c>
      <c r="CD809" s="24"/>
      <c r="CE809" s="49">
        <f t="shared" si="337"/>
        <v>51395364</v>
      </c>
      <c r="CF809" s="50"/>
      <c r="CG809" s="49">
        <f t="shared" ca="1" si="323"/>
        <v>51395364</v>
      </c>
      <c r="CH809" s="33">
        <f t="shared" ca="1" si="339"/>
        <v>1</v>
      </c>
      <c r="CI809" s="33">
        <f t="shared" ca="1" si="340"/>
        <v>1</v>
      </c>
      <c r="CJ809" s="36">
        <f t="shared" ca="1" si="328"/>
        <v>100</v>
      </c>
      <c r="CK809" s="34">
        <f t="shared" si="329"/>
        <v>0</v>
      </c>
      <c r="CL809" s="21"/>
      <c r="CM809" s="35" t="str">
        <f t="shared" ca="1" si="338"/>
        <v>TERMINADO</v>
      </c>
      <c r="CN809" s="82"/>
      <c r="CP809" s="26" t="s">
        <v>123</v>
      </c>
    </row>
    <row r="810" spans="1:97" ht="24.75" customHeight="1">
      <c r="A810" s="48" t="s">
        <v>102</v>
      </c>
      <c r="B810" s="77" t="s">
        <v>6452</v>
      </c>
      <c r="C810" s="17" t="s">
        <v>104</v>
      </c>
      <c r="D810" s="18" t="s">
        <v>6453</v>
      </c>
      <c r="E810" s="17" t="s">
        <v>106</v>
      </c>
      <c r="F810" s="17" t="s">
        <v>107</v>
      </c>
      <c r="G810" s="17" t="s">
        <v>108</v>
      </c>
      <c r="H810" s="78">
        <v>52935588</v>
      </c>
      <c r="I810" s="74" t="s">
        <v>6454</v>
      </c>
      <c r="J810" s="16"/>
      <c r="K810" s="16"/>
      <c r="L810" s="20" t="s">
        <v>6450</v>
      </c>
      <c r="M810" s="16" t="s">
        <v>111</v>
      </c>
      <c r="N810" s="22">
        <v>45478</v>
      </c>
      <c r="O810" s="22">
        <v>45481</v>
      </c>
      <c r="P810" s="22">
        <v>45656</v>
      </c>
      <c r="Q810" s="23">
        <f t="shared" si="331"/>
        <v>175</v>
      </c>
      <c r="R810" s="17" t="s">
        <v>112</v>
      </c>
      <c r="S810" s="16" t="s">
        <v>6444</v>
      </c>
      <c r="T810" s="16" t="s">
        <v>114</v>
      </c>
      <c r="U810" s="67">
        <v>51395364</v>
      </c>
      <c r="V810" s="16" t="s">
        <v>115</v>
      </c>
      <c r="W810" s="224">
        <v>51395364</v>
      </c>
      <c r="X810" s="67">
        <v>8565894</v>
      </c>
      <c r="Y810" s="24"/>
      <c r="Z810" s="24"/>
      <c r="AA810" s="17" t="s">
        <v>116</v>
      </c>
      <c r="AB810" s="23" t="str">
        <f>IFERROR(VLOOKUP(AA810,Listas!$A$1:$C$14,2,FALSE),"")</f>
        <v>FREDY CÉSPEDES VILLA</v>
      </c>
      <c r="AC810" s="23">
        <f>IFERROR(VLOOKUP(AA810,Listas!$A$1:$C$14,3,FALSE),"")</f>
        <v>93363483</v>
      </c>
      <c r="AD810" s="17" t="s">
        <v>116</v>
      </c>
      <c r="AE810" s="17" t="s">
        <v>117</v>
      </c>
      <c r="AF810" s="23" t="str">
        <f>IFERROR(VLOOKUP(AE810,Listas!$AD$1:$AF$65,2,FALSE),"")</f>
        <v>DIANA BARRERA MEDINA</v>
      </c>
      <c r="AG810" s="23">
        <f>IFERROR(VLOOKUP(AE810,Listas!$AD$1:$AF$65,3,FALSE),"")</f>
        <v>52964360</v>
      </c>
      <c r="AH810" s="17" t="s">
        <v>6056</v>
      </c>
      <c r="AI810" s="65" t="s">
        <v>6455</v>
      </c>
      <c r="AJ810" s="25" t="s">
        <v>4370</v>
      </c>
      <c r="AK810" s="26" t="s">
        <v>120</v>
      </c>
      <c r="AL810" s="26" t="s">
        <v>120</v>
      </c>
      <c r="AM810" s="90" t="s">
        <v>119</v>
      </c>
      <c r="AN810" s="105">
        <v>30552</v>
      </c>
      <c r="AO810" s="91">
        <f t="shared" ca="1" si="332"/>
        <v>42</v>
      </c>
      <c r="AP810" s="26" t="s">
        <v>121</v>
      </c>
      <c r="AQ810" s="26" t="s">
        <v>122</v>
      </c>
      <c r="AR810" s="89"/>
      <c r="AS810" s="27"/>
      <c r="AT810" s="16"/>
      <c r="AU810" s="27"/>
      <c r="AV810" s="86"/>
      <c r="AW810" s="27"/>
      <c r="AX810" s="27"/>
      <c r="AY810" s="27"/>
      <c r="AZ810" s="27"/>
      <c r="BA810" s="27"/>
      <c r="BB810" s="27"/>
      <c r="BC810" s="97"/>
      <c r="BD810" s="27"/>
      <c r="BE810" s="16"/>
      <c r="BF810" s="28">
        <f t="shared" si="333"/>
        <v>0</v>
      </c>
      <c r="BG810" s="29"/>
      <c r="BH810" s="27"/>
      <c r="BI810" s="30">
        <f t="shared" si="334"/>
        <v>175</v>
      </c>
      <c r="BJ810" s="31">
        <f t="shared" si="335"/>
        <v>45656</v>
      </c>
      <c r="BK810" s="27"/>
      <c r="BL810" s="16"/>
      <c r="BM810" s="27"/>
      <c r="BN810" s="16"/>
      <c r="BO810" s="27"/>
      <c r="BP810" s="16"/>
      <c r="BQ810" s="27"/>
      <c r="BR810" s="24"/>
      <c r="BS810" s="24"/>
      <c r="BT810" s="32"/>
      <c r="BU810" s="27"/>
      <c r="BV810" s="24"/>
      <c r="BW810" s="24"/>
      <c r="BX810" s="16"/>
      <c r="BY810" s="27"/>
      <c r="BZ810" s="24"/>
      <c r="CA810" s="24"/>
      <c r="CB810" s="16"/>
      <c r="CC810" s="49">
        <f t="shared" si="336"/>
        <v>0</v>
      </c>
      <c r="CD810" s="24"/>
      <c r="CE810" s="49">
        <f t="shared" si="337"/>
        <v>51395364</v>
      </c>
      <c r="CF810" s="50"/>
      <c r="CG810" s="49">
        <f t="shared" ca="1" si="323"/>
        <v>51395364</v>
      </c>
      <c r="CH810" s="33">
        <f t="shared" ca="1" si="339"/>
        <v>1</v>
      </c>
      <c r="CI810" s="33">
        <f t="shared" ca="1" si="340"/>
        <v>1</v>
      </c>
      <c r="CJ810" s="36">
        <f t="shared" ca="1" si="328"/>
        <v>100</v>
      </c>
      <c r="CK810" s="34">
        <f t="shared" si="329"/>
        <v>0</v>
      </c>
      <c r="CL810" s="21"/>
      <c r="CM810" s="35" t="str">
        <f t="shared" ca="1" si="338"/>
        <v>TERMINADO</v>
      </c>
      <c r="CN810" s="82"/>
      <c r="CP810" s="26" t="s">
        <v>123</v>
      </c>
    </row>
    <row r="811" spans="1:97" ht="24.75" customHeight="1">
      <c r="A811" s="48" t="s">
        <v>6456</v>
      </c>
      <c r="B811" s="77" t="s">
        <v>6457</v>
      </c>
      <c r="C811" s="17" t="s">
        <v>1423</v>
      </c>
      <c r="D811" s="18" t="s">
        <v>1424</v>
      </c>
      <c r="E811" s="17" t="s">
        <v>1425</v>
      </c>
      <c r="F811" s="17" t="s">
        <v>1426</v>
      </c>
      <c r="G811" s="17" t="s">
        <v>1427</v>
      </c>
      <c r="H811" s="78" t="s">
        <v>6458</v>
      </c>
      <c r="I811" s="74" t="s">
        <v>6459</v>
      </c>
      <c r="J811" s="16" t="s">
        <v>6460</v>
      </c>
      <c r="K811" s="16">
        <v>79900580</v>
      </c>
      <c r="L811" s="96" t="s">
        <v>6461</v>
      </c>
      <c r="M811" s="16" t="s">
        <v>111</v>
      </c>
      <c r="N811" s="22">
        <v>45478</v>
      </c>
      <c r="O811" s="22">
        <v>45481</v>
      </c>
      <c r="P811" s="22">
        <v>45656</v>
      </c>
      <c r="Q811" s="23">
        <f t="shared" ref="Q811:Q833" si="341">P811-O811</f>
        <v>175</v>
      </c>
      <c r="R811" s="17" t="s">
        <v>242</v>
      </c>
      <c r="S811" s="16" t="s">
        <v>6462</v>
      </c>
      <c r="T811" s="16" t="s">
        <v>6463</v>
      </c>
      <c r="U811" s="67">
        <v>254145094</v>
      </c>
      <c r="V811" s="16" t="s">
        <v>6464</v>
      </c>
      <c r="W811" s="228">
        <v>20000000</v>
      </c>
      <c r="X811" s="24"/>
      <c r="Y811" s="24"/>
      <c r="Z811" s="24"/>
      <c r="AA811" s="17" t="s">
        <v>116</v>
      </c>
      <c r="AB811" s="23" t="str">
        <f>IFERROR(VLOOKUP(AA811,Listas!$A$1:$C$14,2,FALSE),"")</f>
        <v>FREDY CÉSPEDES VILLA</v>
      </c>
      <c r="AC811" s="23">
        <f>IFERROR(VLOOKUP(AA811,Listas!$A$1:$C$14,3,FALSE),"")</f>
        <v>93363483</v>
      </c>
      <c r="AD811" s="17" t="s">
        <v>116</v>
      </c>
      <c r="AE811" s="17" t="s">
        <v>659</v>
      </c>
      <c r="AF811" s="23" t="str">
        <f>IFERROR(VLOOKUP(AE811,Listas!$AD$1:$AF$65,2,FALSE),"")</f>
        <v>TATIANA FORERO TORRES</v>
      </c>
      <c r="AG811" s="23">
        <f>IFERROR(VLOOKUP(AE811,Listas!$AD$1:$AF$65,3,FALSE),"")</f>
        <v>1072446921</v>
      </c>
      <c r="AH811" s="17" t="s">
        <v>6056</v>
      </c>
      <c r="AI811" s="65"/>
      <c r="AJ811" s="25" t="s">
        <v>1435</v>
      </c>
      <c r="AK811" s="26" t="s">
        <v>2071</v>
      </c>
      <c r="AL811" s="26" t="s">
        <v>2071</v>
      </c>
      <c r="AM811" s="90" t="s">
        <v>1435</v>
      </c>
      <c r="AN811" s="105"/>
      <c r="AO811" s="91" t="str">
        <f t="shared" ref="AO811:AO842" ca="1" si="342">IF(YEAR(TODAY())-YEAR(AN811)&gt;100," ",YEAR(TODAY())-YEAR(AN811))</f>
        <v xml:space="preserve"> </v>
      </c>
      <c r="AP811" s="26" t="s">
        <v>121</v>
      </c>
      <c r="AQ811" s="26" t="s">
        <v>220</v>
      </c>
      <c r="AR811" s="89"/>
      <c r="AS811" s="27"/>
      <c r="AT811" s="16"/>
      <c r="AU811" s="27"/>
      <c r="AV811" s="86"/>
      <c r="AW811" s="27"/>
      <c r="AX811" s="27"/>
      <c r="AY811" s="27"/>
      <c r="AZ811" s="27"/>
      <c r="BA811" s="27"/>
      <c r="BB811" s="27"/>
      <c r="BC811" s="97"/>
      <c r="BD811" s="27"/>
      <c r="BE811" s="16"/>
      <c r="BF811" s="28">
        <f t="shared" si="333"/>
        <v>0</v>
      </c>
      <c r="BG811" s="29"/>
      <c r="BH811" s="27"/>
      <c r="BI811" s="30">
        <f t="shared" si="334"/>
        <v>175</v>
      </c>
      <c r="BJ811" s="31">
        <f t="shared" si="335"/>
        <v>45656</v>
      </c>
      <c r="BK811" s="27"/>
      <c r="BL811" s="16"/>
      <c r="BM811" s="27"/>
      <c r="BN811" s="16"/>
      <c r="BO811" s="27"/>
      <c r="BP811" s="16"/>
      <c r="BQ811" s="27"/>
      <c r="BR811" s="24"/>
      <c r="BS811" s="24"/>
      <c r="BT811" s="32"/>
      <c r="BU811" s="27"/>
      <c r="BV811" s="24"/>
      <c r="BW811" s="24"/>
      <c r="BX811" s="16"/>
      <c r="BY811" s="27"/>
      <c r="BZ811" s="24"/>
      <c r="CA811" s="24"/>
      <c r="CB811" s="16"/>
      <c r="CC811" s="49">
        <f t="shared" si="336"/>
        <v>0</v>
      </c>
      <c r="CD811" s="24"/>
      <c r="CE811" s="49">
        <f t="shared" si="337"/>
        <v>20000000</v>
      </c>
      <c r="CF811" s="50"/>
      <c r="CG811" s="49">
        <f t="shared" ca="1" si="323"/>
        <v>20000000</v>
      </c>
      <c r="CH811" s="33">
        <f t="shared" ca="1" si="339"/>
        <v>1</v>
      </c>
      <c r="CI811" s="33">
        <f t="shared" ca="1" si="340"/>
        <v>1</v>
      </c>
      <c r="CJ811" s="36">
        <f t="shared" ca="1" si="328"/>
        <v>100</v>
      </c>
      <c r="CK811" s="34">
        <f t="shared" si="329"/>
        <v>0</v>
      </c>
      <c r="CL811" s="21"/>
      <c r="CM811" s="35" t="str">
        <f t="shared" ca="1" si="338"/>
        <v>TERMINADO</v>
      </c>
      <c r="CN811" s="82"/>
      <c r="CP811" s="83" t="s">
        <v>1424</v>
      </c>
    </row>
    <row r="812" spans="1:97" ht="24.75" customHeight="1">
      <c r="A812" s="48" t="s">
        <v>6456</v>
      </c>
      <c r="B812" s="77" t="s">
        <v>6465</v>
      </c>
      <c r="C812" s="17" t="s">
        <v>1423</v>
      </c>
      <c r="D812" s="18" t="s">
        <v>1424</v>
      </c>
      <c r="E812" s="17" t="s">
        <v>1425</v>
      </c>
      <c r="F812" s="17" t="s">
        <v>1426</v>
      </c>
      <c r="G812" s="17" t="s">
        <v>1427</v>
      </c>
      <c r="H812" s="78" t="s">
        <v>6458</v>
      </c>
      <c r="I812" s="74" t="s">
        <v>6459</v>
      </c>
      <c r="J812" s="16" t="s">
        <v>6460</v>
      </c>
      <c r="K812" s="16">
        <v>79900580</v>
      </c>
      <c r="L812" s="20" t="s">
        <v>6466</v>
      </c>
      <c r="M812" s="16" t="s">
        <v>111</v>
      </c>
      <c r="N812" s="22">
        <v>45478</v>
      </c>
      <c r="O812" s="22">
        <v>45481</v>
      </c>
      <c r="P812" s="22">
        <v>45656</v>
      </c>
      <c r="Q812" s="23">
        <f t="shared" si="341"/>
        <v>175</v>
      </c>
      <c r="R812" s="17" t="s">
        <v>242</v>
      </c>
      <c r="S812" s="16" t="s">
        <v>6462</v>
      </c>
      <c r="T812" s="16" t="s">
        <v>6463</v>
      </c>
      <c r="U812" s="67">
        <v>254145094</v>
      </c>
      <c r="V812" s="16" t="s">
        <v>6464</v>
      </c>
      <c r="W812" s="228">
        <v>28309551</v>
      </c>
      <c r="X812" s="24"/>
      <c r="Y812" s="24"/>
      <c r="Z812" s="24"/>
      <c r="AA812" s="17" t="s">
        <v>116</v>
      </c>
      <c r="AB812" s="23" t="str">
        <f>IFERROR(VLOOKUP(AA812,Listas!$A$1:$C$14,2,FALSE),"")</f>
        <v>FREDY CÉSPEDES VILLA</v>
      </c>
      <c r="AC812" s="23">
        <f>IFERROR(VLOOKUP(AA812,Listas!$A$1:$C$14,3,FALSE),"")</f>
        <v>93363483</v>
      </c>
      <c r="AD812" s="17" t="s">
        <v>116</v>
      </c>
      <c r="AE812" s="17" t="s">
        <v>659</v>
      </c>
      <c r="AF812" s="23" t="str">
        <f>IFERROR(VLOOKUP(AE812,Listas!$AD$1:$AF$65,2,FALSE),"")</f>
        <v>TATIANA FORERO TORRES</v>
      </c>
      <c r="AG812" s="23">
        <f>IFERROR(VLOOKUP(AE812,Listas!$AD$1:$AF$65,3,FALSE),"")</f>
        <v>1072446921</v>
      </c>
      <c r="AH812" s="17" t="s">
        <v>6056</v>
      </c>
      <c r="AI812" s="65"/>
      <c r="AJ812" s="25" t="s">
        <v>1435</v>
      </c>
      <c r="AK812" s="26" t="s">
        <v>2071</v>
      </c>
      <c r="AL812" s="26" t="s">
        <v>2071</v>
      </c>
      <c r="AM812" s="90" t="s">
        <v>1435</v>
      </c>
      <c r="AN812" s="105"/>
      <c r="AO812" s="91" t="str">
        <f t="shared" ca="1" si="342"/>
        <v xml:space="preserve"> </v>
      </c>
      <c r="AP812" s="26" t="s">
        <v>121</v>
      </c>
      <c r="AQ812" s="26" t="s">
        <v>220</v>
      </c>
      <c r="AR812" s="89"/>
      <c r="AS812" s="27"/>
      <c r="AT812" s="16"/>
      <c r="AU812" s="27"/>
      <c r="AV812" s="86"/>
      <c r="AW812" s="27"/>
      <c r="AX812" s="27"/>
      <c r="AY812" s="27"/>
      <c r="AZ812" s="27"/>
      <c r="BA812" s="27"/>
      <c r="BB812" s="27"/>
      <c r="BC812" s="97"/>
      <c r="BD812" s="27"/>
      <c r="BE812" s="16"/>
      <c r="BF812" s="28">
        <f t="shared" si="333"/>
        <v>0</v>
      </c>
      <c r="BG812" s="29"/>
      <c r="BH812" s="27"/>
      <c r="BI812" s="30">
        <f t="shared" si="334"/>
        <v>175</v>
      </c>
      <c r="BJ812" s="31">
        <f t="shared" si="335"/>
        <v>45656</v>
      </c>
      <c r="BK812" s="27"/>
      <c r="BL812" s="16"/>
      <c r="BM812" s="27"/>
      <c r="BN812" s="16"/>
      <c r="BO812" s="27"/>
      <c r="BP812" s="16"/>
      <c r="BQ812" s="27"/>
      <c r="BR812" s="24"/>
      <c r="BS812" s="24"/>
      <c r="BT812" s="32"/>
      <c r="BU812" s="27"/>
      <c r="BV812" s="24"/>
      <c r="BW812" s="24"/>
      <c r="BX812" s="16"/>
      <c r="BY812" s="27"/>
      <c r="BZ812" s="24"/>
      <c r="CA812" s="24"/>
      <c r="CB812" s="16"/>
      <c r="CC812" s="49">
        <f t="shared" si="336"/>
        <v>0</v>
      </c>
      <c r="CD812" s="24"/>
      <c r="CE812" s="49">
        <f t="shared" si="337"/>
        <v>28309551</v>
      </c>
      <c r="CF812" s="50"/>
      <c r="CG812" s="49">
        <f t="shared" ref="CG812:CG875" ca="1" si="343">IFERROR(IF(((CE812/BI812)*(TODAY()-N812))&gt;CE812,CE812,((CE812/BI812)*(TODAY()-N812))),"")</f>
        <v>28309551</v>
      </c>
      <c r="CH812" s="33">
        <f t="shared" ca="1" si="339"/>
        <v>1</v>
      </c>
      <c r="CI812" s="33">
        <f t="shared" ca="1" si="340"/>
        <v>1</v>
      </c>
      <c r="CJ812" s="36">
        <f t="shared" ca="1" si="328"/>
        <v>100</v>
      </c>
      <c r="CK812" s="34">
        <f t="shared" si="329"/>
        <v>0</v>
      </c>
      <c r="CL812" s="21"/>
      <c r="CM812" s="35" t="str">
        <f t="shared" ca="1" si="338"/>
        <v>TERMINADO</v>
      </c>
      <c r="CN812" s="82"/>
      <c r="CP812" s="83" t="s">
        <v>1424</v>
      </c>
    </row>
    <row r="813" spans="1:97" ht="24.75" customHeight="1">
      <c r="A813" s="48" t="s">
        <v>6456</v>
      </c>
      <c r="B813" s="77" t="s">
        <v>6467</v>
      </c>
      <c r="C813" s="17" t="s">
        <v>1423</v>
      </c>
      <c r="D813" s="18" t="s">
        <v>1424</v>
      </c>
      <c r="E813" s="17" t="s">
        <v>1425</v>
      </c>
      <c r="F813" s="17" t="s">
        <v>1426</v>
      </c>
      <c r="G813" s="17" t="s">
        <v>1427</v>
      </c>
      <c r="H813" s="78" t="s">
        <v>6458</v>
      </c>
      <c r="I813" s="74" t="s">
        <v>6459</v>
      </c>
      <c r="J813" s="16" t="s">
        <v>6460</v>
      </c>
      <c r="K813" s="16">
        <v>79900580</v>
      </c>
      <c r="L813" s="20" t="s">
        <v>6468</v>
      </c>
      <c r="M813" s="16" t="s">
        <v>111</v>
      </c>
      <c r="N813" s="22">
        <v>45478</v>
      </c>
      <c r="O813" s="22">
        <v>45481</v>
      </c>
      <c r="P813" s="22">
        <v>45656</v>
      </c>
      <c r="Q813" s="23">
        <f t="shared" si="341"/>
        <v>175</v>
      </c>
      <c r="R813" s="17" t="s">
        <v>242</v>
      </c>
      <c r="S813" s="16" t="s">
        <v>6462</v>
      </c>
      <c r="T813" s="16" t="s">
        <v>6463</v>
      </c>
      <c r="U813" s="67">
        <v>254145094</v>
      </c>
      <c r="V813" s="16" t="s">
        <v>6464</v>
      </c>
      <c r="W813" s="228">
        <v>40681728</v>
      </c>
      <c r="X813" s="24"/>
      <c r="Y813" s="24"/>
      <c r="Z813" s="24"/>
      <c r="AA813" s="17" t="s">
        <v>116</v>
      </c>
      <c r="AB813" s="23" t="str">
        <f>IFERROR(VLOOKUP(AA813,Listas!$A$1:$C$14,2,FALSE),"")</f>
        <v>FREDY CÉSPEDES VILLA</v>
      </c>
      <c r="AC813" s="23">
        <f>IFERROR(VLOOKUP(AA813,Listas!$A$1:$C$14,3,FALSE),"")</f>
        <v>93363483</v>
      </c>
      <c r="AD813" s="17" t="s">
        <v>116</v>
      </c>
      <c r="AE813" s="17" t="s">
        <v>659</v>
      </c>
      <c r="AF813" s="23" t="str">
        <f>IFERROR(VLOOKUP(AE813,Listas!$AD$1:$AF$65,2,FALSE),"")</f>
        <v>TATIANA FORERO TORRES</v>
      </c>
      <c r="AG813" s="23">
        <f>IFERROR(VLOOKUP(AE813,Listas!$AD$1:$AF$65,3,FALSE),"")</f>
        <v>1072446921</v>
      </c>
      <c r="AH813" s="17" t="s">
        <v>6056</v>
      </c>
      <c r="AI813" s="65"/>
      <c r="AJ813" s="25" t="s">
        <v>1435</v>
      </c>
      <c r="AK813" s="26" t="s">
        <v>2071</v>
      </c>
      <c r="AL813" s="26" t="s">
        <v>2071</v>
      </c>
      <c r="AM813" s="90" t="s">
        <v>1435</v>
      </c>
      <c r="AN813" s="105"/>
      <c r="AO813" s="91" t="str">
        <f t="shared" ca="1" si="342"/>
        <v xml:space="preserve"> </v>
      </c>
      <c r="AP813" s="26" t="s">
        <v>121</v>
      </c>
      <c r="AQ813" s="26" t="s">
        <v>220</v>
      </c>
      <c r="AR813" s="89"/>
      <c r="AS813" s="27"/>
      <c r="AT813" s="16"/>
      <c r="AU813" s="27"/>
      <c r="AV813" s="86"/>
      <c r="AW813" s="27"/>
      <c r="AX813" s="27"/>
      <c r="AY813" s="27"/>
      <c r="AZ813" s="27"/>
      <c r="BA813" s="27"/>
      <c r="BB813" s="27"/>
      <c r="BC813" s="97"/>
      <c r="BD813" s="27"/>
      <c r="BE813" s="16"/>
      <c r="BF813" s="28">
        <f t="shared" si="333"/>
        <v>0</v>
      </c>
      <c r="BG813" s="29"/>
      <c r="BH813" s="27"/>
      <c r="BI813" s="30">
        <f t="shared" si="334"/>
        <v>175</v>
      </c>
      <c r="BJ813" s="31">
        <f t="shared" si="335"/>
        <v>45656</v>
      </c>
      <c r="BK813" s="27"/>
      <c r="BL813" s="16"/>
      <c r="BM813" s="27"/>
      <c r="BN813" s="16"/>
      <c r="BO813" s="27"/>
      <c r="BP813" s="16"/>
      <c r="BQ813" s="27"/>
      <c r="BR813" s="24"/>
      <c r="BS813" s="24"/>
      <c r="BT813" s="32"/>
      <c r="BU813" s="27"/>
      <c r="BV813" s="24"/>
      <c r="BW813" s="24"/>
      <c r="BX813" s="16"/>
      <c r="BY813" s="27"/>
      <c r="BZ813" s="24"/>
      <c r="CA813" s="24"/>
      <c r="CB813" s="16"/>
      <c r="CC813" s="49">
        <f t="shared" si="336"/>
        <v>0</v>
      </c>
      <c r="CD813" s="24"/>
      <c r="CE813" s="49">
        <f t="shared" si="337"/>
        <v>40681728</v>
      </c>
      <c r="CF813" s="50"/>
      <c r="CG813" s="49">
        <f t="shared" ca="1" si="343"/>
        <v>40681728</v>
      </c>
      <c r="CH813" s="33">
        <f t="shared" ca="1" si="339"/>
        <v>1</v>
      </c>
      <c r="CI813" s="33">
        <f t="shared" ca="1" si="340"/>
        <v>1</v>
      </c>
      <c r="CJ813" s="36">
        <f t="shared" ca="1" si="328"/>
        <v>100</v>
      </c>
      <c r="CK813" s="34">
        <f t="shared" si="329"/>
        <v>0</v>
      </c>
      <c r="CL813" s="21"/>
      <c r="CM813" s="35" t="str">
        <f t="shared" ca="1" si="338"/>
        <v>TERMINADO</v>
      </c>
      <c r="CN813" s="82"/>
      <c r="CP813" s="83" t="s">
        <v>1424</v>
      </c>
    </row>
    <row r="814" spans="1:97" ht="24.75" customHeight="1">
      <c r="A814" s="48" t="s">
        <v>6456</v>
      </c>
      <c r="B814" s="77" t="s">
        <v>6469</v>
      </c>
      <c r="C814" s="17" t="s">
        <v>1423</v>
      </c>
      <c r="D814" s="18" t="s">
        <v>1424</v>
      </c>
      <c r="E814" s="17" t="s">
        <v>1425</v>
      </c>
      <c r="F814" s="17" t="s">
        <v>1426</v>
      </c>
      <c r="G814" s="17" t="s">
        <v>1427</v>
      </c>
      <c r="H814" s="78" t="s">
        <v>6458</v>
      </c>
      <c r="I814" s="74" t="s">
        <v>6459</v>
      </c>
      <c r="J814" s="16" t="s">
        <v>6460</v>
      </c>
      <c r="K814" s="16">
        <v>79900580</v>
      </c>
      <c r="L814" s="20" t="s">
        <v>6470</v>
      </c>
      <c r="M814" s="16" t="s">
        <v>111</v>
      </c>
      <c r="N814" s="22">
        <v>45478</v>
      </c>
      <c r="O814" s="22">
        <v>45481</v>
      </c>
      <c r="P814" s="22">
        <v>45656</v>
      </c>
      <c r="Q814" s="23">
        <f t="shared" si="341"/>
        <v>175</v>
      </c>
      <c r="R814" s="17" t="s">
        <v>242</v>
      </c>
      <c r="S814" s="16" t="s">
        <v>6462</v>
      </c>
      <c r="T814" s="16" t="s">
        <v>6463</v>
      </c>
      <c r="U814" s="67">
        <v>254145094</v>
      </c>
      <c r="V814" s="16" t="s">
        <v>6464</v>
      </c>
      <c r="W814" s="228">
        <v>30511296</v>
      </c>
      <c r="X814" s="24"/>
      <c r="Y814" s="24"/>
      <c r="Z814" s="24"/>
      <c r="AA814" s="17" t="s">
        <v>116</v>
      </c>
      <c r="AB814" s="23" t="str">
        <f>IFERROR(VLOOKUP(AA814,Listas!$A$1:$C$14,2,FALSE),"")</f>
        <v>FREDY CÉSPEDES VILLA</v>
      </c>
      <c r="AC814" s="23">
        <f>IFERROR(VLOOKUP(AA814,Listas!$A$1:$C$14,3,FALSE),"")</f>
        <v>93363483</v>
      </c>
      <c r="AD814" s="17" t="s">
        <v>116</v>
      </c>
      <c r="AE814" s="17" t="s">
        <v>659</v>
      </c>
      <c r="AF814" s="23" t="str">
        <f>IFERROR(VLOOKUP(AE814,Listas!$AD$1:$AF$65,2,FALSE),"")</f>
        <v>TATIANA FORERO TORRES</v>
      </c>
      <c r="AG814" s="23">
        <f>IFERROR(VLOOKUP(AE814,Listas!$AD$1:$AF$65,3,FALSE),"")</f>
        <v>1072446921</v>
      </c>
      <c r="AH814" s="17" t="s">
        <v>6056</v>
      </c>
      <c r="AI814" s="65"/>
      <c r="AJ814" s="25" t="s">
        <v>1435</v>
      </c>
      <c r="AK814" s="26" t="s">
        <v>2071</v>
      </c>
      <c r="AL814" s="26" t="s">
        <v>2071</v>
      </c>
      <c r="AM814" s="90" t="s">
        <v>1435</v>
      </c>
      <c r="AN814" s="105"/>
      <c r="AO814" s="91" t="str">
        <f t="shared" ca="1" si="342"/>
        <v xml:space="preserve"> </v>
      </c>
      <c r="AP814" s="26" t="s">
        <v>121</v>
      </c>
      <c r="AQ814" s="26" t="s">
        <v>220</v>
      </c>
      <c r="AR814" s="89"/>
      <c r="AS814" s="27"/>
      <c r="AT814" s="16"/>
      <c r="AU814" s="27"/>
      <c r="AV814" s="86"/>
      <c r="AW814" s="27"/>
      <c r="AX814" s="27"/>
      <c r="AY814" s="27"/>
      <c r="AZ814" s="27"/>
      <c r="BA814" s="27"/>
      <c r="BB814" s="27"/>
      <c r="BC814" s="97"/>
      <c r="BD814" s="27"/>
      <c r="BE814" s="16"/>
      <c r="BF814" s="28">
        <f t="shared" si="333"/>
        <v>0</v>
      </c>
      <c r="BG814" s="29"/>
      <c r="BH814" s="27"/>
      <c r="BI814" s="30">
        <f t="shared" si="334"/>
        <v>175</v>
      </c>
      <c r="BJ814" s="31">
        <f t="shared" si="335"/>
        <v>45656</v>
      </c>
      <c r="BK814" s="27"/>
      <c r="BL814" s="16"/>
      <c r="BM814" s="27"/>
      <c r="BN814" s="16"/>
      <c r="BO814" s="27"/>
      <c r="BP814" s="16"/>
      <c r="BQ814" s="27"/>
      <c r="BR814" s="24"/>
      <c r="BS814" s="24"/>
      <c r="BT814" s="32"/>
      <c r="BU814" s="27"/>
      <c r="BV814" s="24"/>
      <c r="BW814" s="24"/>
      <c r="BX814" s="16"/>
      <c r="BY814" s="27"/>
      <c r="BZ814" s="24"/>
      <c r="CA814" s="24"/>
      <c r="CB814" s="16"/>
      <c r="CC814" s="49">
        <f t="shared" si="336"/>
        <v>0</v>
      </c>
      <c r="CD814" s="24"/>
      <c r="CE814" s="49">
        <f t="shared" si="337"/>
        <v>30511296</v>
      </c>
      <c r="CF814" s="50"/>
      <c r="CG814" s="49">
        <f t="shared" ca="1" si="343"/>
        <v>30511296</v>
      </c>
      <c r="CH814" s="33">
        <f t="shared" ca="1" si="339"/>
        <v>1</v>
      </c>
      <c r="CI814" s="33">
        <f t="shared" ca="1" si="340"/>
        <v>1</v>
      </c>
      <c r="CJ814" s="36">
        <f t="shared" ca="1" si="328"/>
        <v>100</v>
      </c>
      <c r="CK814" s="34">
        <f t="shared" si="329"/>
        <v>0</v>
      </c>
      <c r="CL814" s="21"/>
      <c r="CM814" s="35" t="str">
        <f t="shared" ca="1" si="338"/>
        <v>TERMINADO</v>
      </c>
      <c r="CN814" s="82"/>
      <c r="CP814" s="83" t="s">
        <v>1424</v>
      </c>
    </row>
    <row r="815" spans="1:97" s="85" customFormat="1" ht="24.75" customHeight="1">
      <c r="A815" s="48" t="s">
        <v>1424</v>
      </c>
      <c r="B815" s="77" t="s">
        <v>6471</v>
      </c>
      <c r="C815" s="17" t="s">
        <v>2927</v>
      </c>
      <c r="D815" s="18" t="s">
        <v>6472</v>
      </c>
      <c r="E815" s="17" t="s">
        <v>2929</v>
      </c>
      <c r="F815" s="17" t="s">
        <v>1426</v>
      </c>
      <c r="G815" s="17" t="s">
        <v>1427</v>
      </c>
      <c r="H815" s="78" t="s">
        <v>6473</v>
      </c>
      <c r="I815" s="74" t="s">
        <v>6474</v>
      </c>
      <c r="J815" s="16" t="s">
        <v>6475</v>
      </c>
      <c r="K815" s="16">
        <v>74859131</v>
      </c>
      <c r="L815" s="20" t="s">
        <v>5291</v>
      </c>
      <c r="M815" s="16"/>
      <c r="N815" s="22">
        <v>45481</v>
      </c>
      <c r="O815" s="22">
        <v>45481</v>
      </c>
      <c r="P815" s="22">
        <v>45846</v>
      </c>
      <c r="Q815" s="23">
        <f t="shared" si="341"/>
        <v>365</v>
      </c>
      <c r="R815" s="17" t="s">
        <v>2934</v>
      </c>
      <c r="S815" s="16" t="s">
        <v>1424</v>
      </c>
      <c r="T815" s="16" t="s">
        <v>1424</v>
      </c>
      <c r="U815" s="24" t="s">
        <v>1424</v>
      </c>
      <c r="V815" s="16" t="s">
        <v>1424</v>
      </c>
      <c r="W815" s="227">
        <v>0</v>
      </c>
      <c r="X815" s="24"/>
      <c r="Y815" s="24" t="s">
        <v>2935</v>
      </c>
      <c r="Z815" s="24"/>
      <c r="AA815" s="17" t="s">
        <v>406</v>
      </c>
      <c r="AB815" s="23" t="str">
        <f>IFERROR(VLOOKUP(AA815,Listas!$A$1:$C$14,2,FALSE),"")</f>
        <v>EDUARDO ELÍAS BARCHA BOLÍVAR</v>
      </c>
      <c r="AC815" s="23">
        <f>IFERROR(VLOOKUP(AA815,Listas!$A$1:$C$14,3,FALSE),"")</f>
        <v>72133921</v>
      </c>
      <c r="AD815" s="17" t="s">
        <v>1523</v>
      </c>
      <c r="AE815" s="17" t="s">
        <v>1524</v>
      </c>
      <c r="AF815" s="23" t="str">
        <f>IFERROR(VLOOKUP(AE815,Listas!$AD$1:$AF$65,2,FALSE),"")</f>
        <v>IVETTE FRASSER SÁNCHEZ</v>
      </c>
      <c r="AG815" s="23">
        <f>IFERROR(VLOOKUP(AE815,Listas!$AD$1:$AF$65,3,FALSE),"")</f>
        <v>38285903</v>
      </c>
      <c r="AH815" s="17" t="s">
        <v>2936</v>
      </c>
      <c r="AI815" s="65"/>
      <c r="AJ815" s="25" t="s">
        <v>1435</v>
      </c>
      <c r="AK815" s="26" t="s">
        <v>2071</v>
      </c>
      <c r="AL815" s="26" t="s">
        <v>2071</v>
      </c>
      <c r="AM815" s="90" t="s">
        <v>1435</v>
      </c>
      <c r="AN815" s="105"/>
      <c r="AO815" s="91" t="str">
        <f t="shared" ca="1" si="342"/>
        <v xml:space="preserve"> </v>
      </c>
      <c r="AP815" s="26" t="s">
        <v>2937</v>
      </c>
      <c r="AQ815" s="26" t="s">
        <v>4526</v>
      </c>
      <c r="AR815" s="89"/>
      <c r="AS815" s="27"/>
      <c r="AT815" s="16"/>
      <c r="AU815" s="27"/>
      <c r="AV815" s="86"/>
      <c r="AW815" s="27"/>
      <c r="AX815" s="27"/>
      <c r="AY815" s="27"/>
      <c r="AZ815" s="27"/>
      <c r="BA815" s="27"/>
      <c r="BB815" s="27">
        <v>45800</v>
      </c>
      <c r="BC815" s="97">
        <v>176</v>
      </c>
      <c r="BD815" s="27"/>
      <c r="BE815" s="16"/>
      <c r="BF815" s="28">
        <f t="shared" si="333"/>
        <v>176</v>
      </c>
      <c r="BG815" s="29"/>
      <c r="BH815" s="27"/>
      <c r="BI815" s="30">
        <f t="shared" si="334"/>
        <v>541</v>
      </c>
      <c r="BJ815" s="31">
        <f t="shared" si="335"/>
        <v>46022</v>
      </c>
      <c r="BK815" s="27">
        <v>45800</v>
      </c>
      <c r="BL815" s="27" t="s">
        <v>6476</v>
      </c>
      <c r="BM815" s="27"/>
      <c r="BN815" s="16"/>
      <c r="BO815" s="27"/>
      <c r="BP815" s="16"/>
      <c r="BQ815" s="27"/>
      <c r="BR815" s="24"/>
      <c r="BS815" s="24"/>
      <c r="BT815" s="32"/>
      <c r="BU815" s="27"/>
      <c r="BV815" s="24"/>
      <c r="BW815" s="24"/>
      <c r="BX815" s="16"/>
      <c r="BY815" s="27"/>
      <c r="BZ815" s="24"/>
      <c r="CA815" s="24"/>
      <c r="CB815" s="16"/>
      <c r="CC815" s="49">
        <f t="shared" si="336"/>
        <v>0</v>
      </c>
      <c r="CD815" s="24"/>
      <c r="CE815" s="49" t="str">
        <f>IFERROR(IF(Y815=0,(W815+CC815)-CD815,IF(Y815&gt;0,(Y815+CC815)-CD815)),"")</f>
        <v/>
      </c>
      <c r="CF815" s="50">
        <v>346840</v>
      </c>
      <c r="CG815" s="49" t="str">
        <f t="shared" ca="1" si="343"/>
        <v/>
      </c>
      <c r="CH815" s="33">
        <f t="shared" ca="1" si="339"/>
        <v>0.86679174484052535</v>
      </c>
      <c r="CI815" s="33">
        <f t="shared" ca="1" si="340"/>
        <v>0.86679174484052535</v>
      </c>
      <c r="CJ815" s="36" t="str">
        <f t="shared" ca="1" si="328"/>
        <v/>
      </c>
      <c r="CK815" s="34" t="str">
        <f t="shared" si="329"/>
        <v/>
      </c>
      <c r="CL815" s="21"/>
      <c r="CM815" s="35" t="str">
        <f t="shared" ca="1" si="338"/>
        <v>VIGENTE</v>
      </c>
      <c r="CN815" s="82"/>
      <c r="CO815" s="145"/>
      <c r="CP815" s="83" t="s">
        <v>1424</v>
      </c>
      <c r="CQ815" s="83"/>
      <c r="CR815" s="83"/>
    </row>
    <row r="816" spans="1:97" s="85" customFormat="1" ht="24.75" customHeight="1">
      <c r="A816" s="48" t="s">
        <v>368</v>
      </c>
      <c r="B816" s="77" t="s">
        <v>6477</v>
      </c>
      <c r="C816" s="17" t="s">
        <v>104</v>
      </c>
      <c r="D816" s="18" t="s">
        <v>6478</v>
      </c>
      <c r="E816" s="17" t="s">
        <v>106</v>
      </c>
      <c r="F816" s="17" t="s">
        <v>107</v>
      </c>
      <c r="G816" s="17" t="s">
        <v>108</v>
      </c>
      <c r="H816" s="78">
        <v>52370324</v>
      </c>
      <c r="I816" s="74" t="s">
        <v>371</v>
      </c>
      <c r="J816" s="16"/>
      <c r="K816" s="16"/>
      <c r="L816" s="96" t="s">
        <v>372</v>
      </c>
      <c r="M816" s="16" t="s">
        <v>111</v>
      </c>
      <c r="N816" s="22">
        <v>45482</v>
      </c>
      <c r="O816" s="22">
        <v>45483</v>
      </c>
      <c r="P816" s="22">
        <v>45656</v>
      </c>
      <c r="Q816" s="23">
        <f t="shared" si="341"/>
        <v>173</v>
      </c>
      <c r="R816" s="17" t="s">
        <v>112</v>
      </c>
      <c r="S816" s="16" t="s">
        <v>6479</v>
      </c>
      <c r="T816" s="16" t="s">
        <v>114</v>
      </c>
      <c r="U816" s="67">
        <v>51395364</v>
      </c>
      <c r="V816" s="16" t="s">
        <v>115</v>
      </c>
      <c r="W816" s="224">
        <v>51395364</v>
      </c>
      <c r="X816" s="24">
        <v>8565894</v>
      </c>
      <c r="Y816" s="24"/>
      <c r="Z816" s="24"/>
      <c r="AA816" s="17" t="s">
        <v>116</v>
      </c>
      <c r="AB816" s="23" t="str">
        <f>IFERROR(VLOOKUP(AA816,Listas!$A$1:$C$14,2,FALSE),"")</f>
        <v>FREDY CÉSPEDES VILLA</v>
      </c>
      <c r="AC816" s="23">
        <f>IFERROR(VLOOKUP(AA816,Listas!$A$1:$C$14,3,FALSE),"")</f>
        <v>93363483</v>
      </c>
      <c r="AD816" s="17" t="s">
        <v>116</v>
      </c>
      <c r="AE816" s="17" t="s">
        <v>117</v>
      </c>
      <c r="AF816" s="23" t="str">
        <f>IFERROR(VLOOKUP(AE816,Listas!$AD$1:$AF$65,2,FALSE),"")</f>
        <v>DIANA BARRERA MEDINA</v>
      </c>
      <c r="AG816" s="23">
        <f>IFERROR(VLOOKUP(AE816,Listas!$AD$1:$AF$65,3,FALSE),"")</f>
        <v>52964360</v>
      </c>
      <c r="AH816" s="17" t="s">
        <v>118</v>
      </c>
      <c r="AI816" s="65" t="s">
        <v>6480</v>
      </c>
      <c r="AJ816" s="25" t="s">
        <v>4370</v>
      </c>
      <c r="AK816" s="26" t="s">
        <v>120</v>
      </c>
      <c r="AL816" s="26" t="s">
        <v>120</v>
      </c>
      <c r="AM816" s="90" t="s">
        <v>119</v>
      </c>
      <c r="AN816" s="105">
        <v>28286</v>
      </c>
      <c r="AO816" s="91">
        <f t="shared" ca="1" si="342"/>
        <v>48</v>
      </c>
      <c r="AP816" s="26" t="s">
        <v>121</v>
      </c>
      <c r="AQ816" s="26" t="s">
        <v>285</v>
      </c>
      <c r="AR816" s="89"/>
      <c r="AS816" s="27"/>
      <c r="AT816" s="16"/>
      <c r="AU816" s="27"/>
      <c r="AV816" s="86"/>
      <c r="AW816" s="27"/>
      <c r="AX816" s="27"/>
      <c r="AY816" s="27"/>
      <c r="AZ816" s="27"/>
      <c r="BA816" s="27"/>
      <c r="BB816" s="27"/>
      <c r="BC816" s="97"/>
      <c r="BD816" s="27"/>
      <c r="BE816" s="16"/>
      <c r="BF816" s="28">
        <f t="shared" si="333"/>
        <v>0</v>
      </c>
      <c r="BG816" s="29"/>
      <c r="BH816" s="27"/>
      <c r="BI816" s="30">
        <f t="shared" si="334"/>
        <v>173</v>
      </c>
      <c r="BJ816" s="31">
        <f t="shared" si="335"/>
        <v>45656</v>
      </c>
      <c r="BK816" s="27"/>
      <c r="BL816" s="16"/>
      <c r="BM816" s="27"/>
      <c r="BN816" s="16"/>
      <c r="BO816" s="27"/>
      <c r="BP816" s="16"/>
      <c r="BQ816" s="27"/>
      <c r="BR816" s="24"/>
      <c r="BS816" s="24"/>
      <c r="BT816" s="32"/>
      <c r="BU816" s="27"/>
      <c r="BV816" s="24"/>
      <c r="BW816" s="24"/>
      <c r="BX816" s="16"/>
      <c r="BY816" s="27"/>
      <c r="BZ816" s="24"/>
      <c r="CA816" s="24"/>
      <c r="CB816" s="16"/>
      <c r="CC816" s="49">
        <f t="shared" si="336"/>
        <v>0</v>
      </c>
      <c r="CD816" s="24"/>
      <c r="CE816" s="49">
        <f t="shared" si="337"/>
        <v>51395364</v>
      </c>
      <c r="CF816" s="50">
        <v>0</v>
      </c>
      <c r="CG816" s="49">
        <f t="shared" ca="1" si="343"/>
        <v>51395364</v>
      </c>
      <c r="CH816" s="33">
        <f t="shared" ca="1" si="339"/>
        <v>1</v>
      </c>
      <c r="CI816" s="33">
        <f t="shared" ca="1" si="340"/>
        <v>1</v>
      </c>
      <c r="CJ816" s="36">
        <f t="shared" ca="1" si="328"/>
        <v>100</v>
      </c>
      <c r="CK816" s="34">
        <f t="shared" si="329"/>
        <v>0</v>
      </c>
      <c r="CL816" s="21"/>
      <c r="CM816" s="35" t="str">
        <f t="shared" ca="1" si="338"/>
        <v>TERMINADO</v>
      </c>
      <c r="CN816" s="82"/>
      <c r="CO816" s="145"/>
      <c r="CP816" s="26" t="s">
        <v>123</v>
      </c>
      <c r="CQ816" s="83"/>
      <c r="CR816" s="83"/>
      <c r="CS816" s="151"/>
    </row>
    <row r="817" spans="1:96" ht="24.75" customHeight="1">
      <c r="A817" s="48" t="s">
        <v>6481</v>
      </c>
      <c r="B817" s="77" t="s">
        <v>6482</v>
      </c>
      <c r="C817" s="17" t="s">
        <v>104</v>
      </c>
      <c r="D817" s="18" t="s">
        <v>6483</v>
      </c>
      <c r="E817" s="17" t="s">
        <v>106</v>
      </c>
      <c r="F817" s="17" t="s">
        <v>107</v>
      </c>
      <c r="G817" s="17" t="s">
        <v>108</v>
      </c>
      <c r="H817" s="78">
        <v>1014194057</v>
      </c>
      <c r="I817" s="74" t="s">
        <v>6484</v>
      </c>
      <c r="J817" s="16"/>
      <c r="K817" s="16"/>
      <c r="L817" s="96" t="s">
        <v>6485</v>
      </c>
      <c r="M817" s="16" t="s">
        <v>111</v>
      </c>
      <c r="N817" s="22">
        <v>45482</v>
      </c>
      <c r="O817" s="22">
        <v>45483</v>
      </c>
      <c r="P817" s="22">
        <v>45656</v>
      </c>
      <c r="Q817" s="23">
        <f t="shared" si="341"/>
        <v>173</v>
      </c>
      <c r="R817" s="17" t="s">
        <v>242</v>
      </c>
      <c r="S817" s="16" t="s">
        <v>6486</v>
      </c>
      <c r="T817" s="16" t="s">
        <v>997</v>
      </c>
      <c r="U817" s="67">
        <v>62400000</v>
      </c>
      <c r="V817" s="16" t="s">
        <v>815</v>
      </c>
      <c r="W817" s="224">
        <v>62400000</v>
      </c>
      <c r="X817" s="24">
        <v>10400000</v>
      </c>
      <c r="Y817" s="24"/>
      <c r="Z817" s="24"/>
      <c r="AA817" s="17" t="s">
        <v>116</v>
      </c>
      <c r="AB817" s="23" t="str">
        <f>IFERROR(VLOOKUP(AA817,Listas!$A$1:$C$14,2,FALSE),"")</f>
        <v>FREDY CÉSPEDES VILLA</v>
      </c>
      <c r="AC817" s="23">
        <f>IFERROR(VLOOKUP(AA817,Listas!$A$1:$C$14,3,FALSE),"")</f>
        <v>93363483</v>
      </c>
      <c r="AD817" s="17" t="s">
        <v>816</v>
      </c>
      <c r="AE817" s="17" t="s">
        <v>1450</v>
      </c>
      <c r="AF817" s="23" t="str">
        <f>IFERROR(VLOOKUP(AE817,Listas!$AD$1:$AF$65,2,FALSE),"")</f>
        <v>LINA MARIA CRUZ SILVA</v>
      </c>
      <c r="AG817" s="23">
        <f>IFERROR(VLOOKUP(AE817,Listas!$AD$1:$AF$65,3,FALSE),"")</f>
        <v>52423537</v>
      </c>
      <c r="AH817" s="17" t="s">
        <v>118</v>
      </c>
      <c r="AI817" s="65" t="s">
        <v>6487</v>
      </c>
      <c r="AJ817" s="25" t="s">
        <v>4370</v>
      </c>
      <c r="AK817" s="26" t="s">
        <v>120</v>
      </c>
      <c r="AL817" s="26" t="s">
        <v>120</v>
      </c>
      <c r="AM817" s="90" t="s">
        <v>119</v>
      </c>
      <c r="AN817" s="105">
        <v>32375</v>
      </c>
      <c r="AO817" s="91">
        <f t="shared" ca="1" si="342"/>
        <v>37</v>
      </c>
      <c r="AP817" s="26" t="s">
        <v>121</v>
      </c>
      <c r="AQ817" s="26" t="s">
        <v>1641</v>
      </c>
      <c r="AR817" s="89"/>
      <c r="AS817" s="27"/>
      <c r="AT817" s="16"/>
      <c r="AU817" s="27"/>
      <c r="AV817" s="86"/>
      <c r="AW817" s="27"/>
      <c r="AX817" s="27"/>
      <c r="AY817" s="27"/>
      <c r="AZ817" s="27"/>
      <c r="BA817" s="27"/>
      <c r="BB817" s="27"/>
      <c r="BC817" s="97"/>
      <c r="BD817" s="27"/>
      <c r="BE817" s="16"/>
      <c r="BF817" s="28">
        <f t="shared" si="333"/>
        <v>0</v>
      </c>
      <c r="BG817" s="29"/>
      <c r="BH817" s="27"/>
      <c r="BI817" s="30">
        <f t="shared" si="334"/>
        <v>173</v>
      </c>
      <c r="BJ817" s="31">
        <f t="shared" si="335"/>
        <v>45656</v>
      </c>
      <c r="BK817" s="27"/>
      <c r="BL817" s="16"/>
      <c r="BM817" s="27"/>
      <c r="BN817" s="16"/>
      <c r="BO817" s="27"/>
      <c r="BP817" s="16"/>
      <c r="BQ817" s="27"/>
      <c r="BR817" s="24"/>
      <c r="BS817" s="24"/>
      <c r="BT817" s="32"/>
      <c r="BU817" s="27"/>
      <c r="BV817" s="24"/>
      <c r="BW817" s="24"/>
      <c r="BX817" s="16"/>
      <c r="BY817" s="27"/>
      <c r="BZ817" s="24"/>
      <c r="CA817" s="24"/>
      <c r="CB817" s="16"/>
      <c r="CC817" s="49">
        <f t="shared" si="336"/>
        <v>0</v>
      </c>
      <c r="CD817" s="24"/>
      <c r="CE817" s="49">
        <f t="shared" si="337"/>
        <v>62400000</v>
      </c>
      <c r="CF817" s="50"/>
      <c r="CG817" s="49">
        <f t="shared" ca="1" si="343"/>
        <v>62400000</v>
      </c>
      <c r="CH817" s="33">
        <f t="shared" ca="1" si="339"/>
        <v>1</v>
      </c>
      <c r="CI817" s="33">
        <f t="shared" ca="1" si="340"/>
        <v>1</v>
      </c>
      <c r="CJ817" s="36">
        <f t="shared" ca="1" si="328"/>
        <v>100</v>
      </c>
      <c r="CK817" s="34">
        <f t="shared" si="329"/>
        <v>0</v>
      </c>
      <c r="CL817" s="21"/>
      <c r="CM817" s="35" t="str">
        <f t="shared" ca="1" si="338"/>
        <v>TERMINADO</v>
      </c>
      <c r="CN817" s="82"/>
      <c r="CO817" s="145" t="s">
        <v>6488</v>
      </c>
      <c r="CP817" s="26" t="s">
        <v>123</v>
      </c>
    </row>
    <row r="818" spans="1:96" ht="24.75" customHeight="1">
      <c r="A818" s="48" t="s">
        <v>6456</v>
      </c>
      <c r="B818" s="77" t="s">
        <v>6489</v>
      </c>
      <c r="C818" s="17" t="s">
        <v>1423</v>
      </c>
      <c r="D818" s="18" t="s">
        <v>1424</v>
      </c>
      <c r="E818" s="17" t="s">
        <v>1425</v>
      </c>
      <c r="F818" s="17" t="s">
        <v>1426</v>
      </c>
      <c r="G818" s="17" t="s">
        <v>1427</v>
      </c>
      <c r="H818" s="78" t="s">
        <v>6458</v>
      </c>
      <c r="I818" s="74" t="s">
        <v>6459</v>
      </c>
      <c r="J818" s="16" t="s">
        <v>6460</v>
      </c>
      <c r="K818" s="16">
        <v>79900580</v>
      </c>
      <c r="L818" s="20" t="s">
        <v>6490</v>
      </c>
      <c r="M818" s="16" t="s">
        <v>111</v>
      </c>
      <c r="N818" s="22">
        <v>45482</v>
      </c>
      <c r="O818" s="22">
        <v>45482</v>
      </c>
      <c r="P818" s="22">
        <v>45656</v>
      </c>
      <c r="Q818" s="23">
        <f t="shared" si="341"/>
        <v>174</v>
      </c>
      <c r="R818" s="17" t="s">
        <v>242</v>
      </c>
      <c r="S818" s="16" t="s">
        <v>6462</v>
      </c>
      <c r="T818" s="16" t="s">
        <v>6463</v>
      </c>
      <c r="U818" s="67">
        <v>254145094</v>
      </c>
      <c r="V818" s="16" t="s">
        <v>6464</v>
      </c>
      <c r="W818" s="229">
        <v>17798256</v>
      </c>
      <c r="Y818" s="24"/>
      <c r="Z818" s="24"/>
      <c r="AA818" s="17" t="s">
        <v>116</v>
      </c>
      <c r="AB818" s="23" t="str">
        <f>IFERROR(VLOOKUP(AA818,Listas!$A$1:$C$14,2,FALSE),"")</f>
        <v>FREDY CÉSPEDES VILLA</v>
      </c>
      <c r="AC818" s="23">
        <f>IFERROR(VLOOKUP(AA818,Listas!$A$1:$C$14,3,FALSE),"")</f>
        <v>93363483</v>
      </c>
      <c r="AD818" s="17" t="s">
        <v>116</v>
      </c>
      <c r="AE818" s="17" t="s">
        <v>659</v>
      </c>
      <c r="AF818" s="23" t="str">
        <f>IFERROR(VLOOKUP(AE818,Listas!$AD$1:$AF$65,2,FALSE),"")</f>
        <v>TATIANA FORERO TORRES</v>
      </c>
      <c r="AG818" s="23">
        <f>IFERROR(VLOOKUP(AE818,Listas!$AD$1:$AF$65,3,FALSE),"")</f>
        <v>1072446921</v>
      </c>
      <c r="AH818" s="17" t="s">
        <v>6056</v>
      </c>
      <c r="AI818" s="65"/>
      <c r="AJ818" s="25" t="s">
        <v>1435</v>
      </c>
      <c r="AK818" s="26" t="s">
        <v>2071</v>
      </c>
      <c r="AL818" s="26" t="s">
        <v>2071</v>
      </c>
      <c r="AM818" s="90" t="s">
        <v>1435</v>
      </c>
      <c r="AN818" s="105"/>
      <c r="AO818" s="91" t="str">
        <f t="shared" ca="1" si="342"/>
        <v xml:space="preserve"> </v>
      </c>
      <c r="AP818" s="26" t="s">
        <v>121</v>
      </c>
      <c r="AQ818" s="26" t="s">
        <v>220</v>
      </c>
      <c r="AR818" s="89"/>
      <c r="AS818" s="27"/>
      <c r="AT818" s="16"/>
      <c r="AU818" s="27"/>
      <c r="AV818" s="86"/>
      <c r="AW818" s="27"/>
      <c r="AX818" s="27"/>
      <c r="AY818" s="27"/>
      <c r="AZ818" s="27"/>
      <c r="BA818" s="27"/>
      <c r="BB818" s="27"/>
      <c r="BC818" s="97"/>
      <c r="BD818" s="27"/>
      <c r="BE818" s="16"/>
      <c r="BF818" s="28">
        <f t="shared" si="333"/>
        <v>0</v>
      </c>
      <c r="BG818" s="29"/>
      <c r="BH818" s="27"/>
      <c r="BI818" s="30">
        <f t="shared" si="334"/>
        <v>174</v>
      </c>
      <c r="BJ818" s="31">
        <f t="shared" si="335"/>
        <v>45656</v>
      </c>
      <c r="BK818" s="27"/>
      <c r="BL818" s="16"/>
      <c r="BM818" s="27"/>
      <c r="BN818" s="16"/>
      <c r="BO818" s="27"/>
      <c r="BP818" s="16"/>
      <c r="BQ818" s="27"/>
      <c r="BR818" s="24"/>
      <c r="BS818" s="24"/>
      <c r="BT818" s="32"/>
      <c r="BU818" s="27"/>
      <c r="BV818" s="24"/>
      <c r="BW818" s="24"/>
      <c r="BX818" s="16"/>
      <c r="BY818" s="27"/>
      <c r="BZ818" s="24"/>
      <c r="CA818" s="24"/>
      <c r="CB818" s="16"/>
      <c r="CC818" s="49">
        <f t="shared" si="336"/>
        <v>0</v>
      </c>
      <c r="CD818" s="24"/>
      <c r="CE818" s="49">
        <f t="shared" si="337"/>
        <v>17798256</v>
      </c>
      <c r="CF818" s="50"/>
      <c r="CG818" s="49">
        <f t="shared" ca="1" si="343"/>
        <v>17798256</v>
      </c>
      <c r="CH818" s="33">
        <f t="shared" ca="1" si="339"/>
        <v>1</v>
      </c>
      <c r="CI818" s="33">
        <f t="shared" ca="1" si="340"/>
        <v>1</v>
      </c>
      <c r="CJ818" s="36">
        <f t="shared" ca="1" si="328"/>
        <v>100</v>
      </c>
      <c r="CK818" s="34">
        <f t="shared" si="329"/>
        <v>0</v>
      </c>
      <c r="CL818" s="21"/>
      <c r="CM818" s="35" t="str">
        <f t="shared" ca="1" si="338"/>
        <v>TERMINADO</v>
      </c>
      <c r="CN818" s="82"/>
      <c r="CP818" s="83" t="s">
        <v>1424</v>
      </c>
    </row>
    <row r="819" spans="1:96" ht="24.75" customHeight="1">
      <c r="A819" s="48" t="s">
        <v>6456</v>
      </c>
      <c r="B819" s="77" t="s">
        <v>6491</v>
      </c>
      <c r="C819" s="17" t="s">
        <v>1423</v>
      </c>
      <c r="D819" s="18" t="s">
        <v>1424</v>
      </c>
      <c r="E819" s="17" t="s">
        <v>1425</v>
      </c>
      <c r="F819" s="17" t="s">
        <v>1426</v>
      </c>
      <c r="G819" s="17" t="s">
        <v>1427</v>
      </c>
      <c r="H819" s="78" t="s">
        <v>6492</v>
      </c>
      <c r="I819" s="74" t="s">
        <v>6493</v>
      </c>
      <c r="J819" s="16" t="s">
        <v>6494</v>
      </c>
      <c r="K819" s="16"/>
      <c r="L819" s="20" t="s">
        <v>6495</v>
      </c>
      <c r="M819" s="16" t="s">
        <v>111</v>
      </c>
      <c r="N819" s="22">
        <v>45482</v>
      </c>
      <c r="O819" s="22">
        <v>45482</v>
      </c>
      <c r="P819" s="22">
        <v>45656</v>
      </c>
      <c r="Q819" s="23">
        <f t="shared" si="341"/>
        <v>174</v>
      </c>
      <c r="R819" s="17" t="s">
        <v>242</v>
      </c>
      <c r="S819" s="16" t="s">
        <v>6462</v>
      </c>
      <c r="T819" s="16" t="s">
        <v>6463</v>
      </c>
      <c r="U819" s="67">
        <v>254145094</v>
      </c>
      <c r="V819" s="16" t="s">
        <v>6464</v>
      </c>
      <c r="W819" s="229">
        <v>35596511</v>
      </c>
      <c r="Y819" s="24"/>
      <c r="Z819" s="24"/>
      <c r="AA819" s="17" t="s">
        <v>116</v>
      </c>
      <c r="AB819" s="23" t="str">
        <f>IFERROR(VLOOKUP(AA819,Listas!$A$1:$C$14,2,FALSE),"")</f>
        <v>FREDY CÉSPEDES VILLA</v>
      </c>
      <c r="AC819" s="23">
        <f>IFERROR(VLOOKUP(AA819,Listas!$A$1:$C$14,3,FALSE),"")</f>
        <v>93363483</v>
      </c>
      <c r="AD819" s="17" t="s">
        <v>116</v>
      </c>
      <c r="AE819" s="17" t="s">
        <v>659</v>
      </c>
      <c r="AF819" s="23" t="str">
        <f>IFERROR(VLOOKUP(AE819,Listas!$AD$1:$AF$65,2,FALSE),"")</f>
        <v>TATIANA FORERO TORRES</v>
      </c>
      <c r="AG819" s="23">
        <f>IFERROR(VLOOKUP(AE819,Listas!$AD$1:$AF$65,3,FALSE),"")</f>
        <v>1072446921</v>
      </c>
      <c r="AH819" s="17" t="s">
        <v>6056</v>
      </c>
      <c r="AI819" s="65"/>
      <c r="AJ819" s="25" t="s">
        <v>1435</v>
      </c>
      <c r="AK819" s="26" t="s">
        <v>2071</v>
      </c>
      <c r="AL819" s="26" t="s">
        <v>2071</v>
      </c>
      <c r="AM819" s="90" t="s">
        <v>1435</v>
      </c>
      <c r="AN819" s="105"/>
      <c r="AO819" s="91" t="str">
        <f t="shared" ca="1" si="342"/>
        <v xml:space="preserve"> </v>
      </c>
      <c r="AP819" s="26" t="s">
        <v>121</v>
      </c>
      <c r="AQ819" s="26" t="s">
        <v>220</v>
      </c>
      <c r="AR819" s="89"/>
      <c r="AS819" s="27"/>
      <c r="AT819" s="16"/>
      <c r="AU819" s="27"/>
      <c r="AV819" s="86"/>
      <c r="AW819" s="27"/>
      <c r="AX819" s="27"/>
      <c r="AY819" s="27"/>
      <c r="AZ819" s="27"/>
      <c r="BA819" s="27"/>
      <c r="BB819" s="27"/>
      <c r="BC819" s="97"/>
      <c r="BD819" s="27"/>
      <c r="BE819" s="16"/>
      <c r="BF819" s="28">
        <f t="shared" si="333"/>
        <v>0</v>
      </c>
      <c r="BG819" s="29"/>
      <c r="BH819" s="27"/>
      <c r="BI819" s="30">
        <f t="shared" si="334"/>
        <v>174</v>
      </c>
      <c r="BJ819" s="31">
        <f t="shared" si="335"/>
        <v>45656</v>
      </c>
      <c r="BK819" s="27"/>
      <c r="BL819" s="16"/>
      <c r="BM819" s="27"/>
      <c r="BN819" s="16"/>
      <c r="BO819" s="27"/>
      <c r="BP819" s="16"/>
      <c r="BQ819" s="27"/>
      <c r="BR819" s="24"/>
      <c r="BS819" s="24"/>
      <c r="BT819" s="32"/>
      <c r="BU819" s="27"/>
      <c r="BV819" s="24"/>
      <c r="BW819" s="24"/>
      <c r="BX819" s="16"/>
      <c r="BY819" s="27"/>
      <c r="BZ819" s="24"/>
      <c r="CA819" s="24"/>
      <c r="CB819" s="16"/>
      <c r="CC819" s="49">
        <f t="shared" si="336"/>
        <v>0</v>
      </c>
      <c r="CD819" s="24"/>
      <c r="CE819" s="49">
        <f t="shared" si="337"/>
        <v>35596511</v>
      </c>
      <c r="CF819" s="50"/>
      <c r="CG819" s="49">
        <f t="shared" ca="1" si="343"/>
        <v>35596511</v>
      </c>
      <c r="CH819" s="33">
        <f t="shared" ca="1" si="339"/>
        <v>1</v>
      </c>
      <c r="CI819" s="33">
        <f t="shared" ca="1" si="340"/>
        <v>1</v>
      </c>
      <c r="CJ819" s="36">
        <f t="shared" ca="1" si="328"/>
        <v>100</v>
      </c>
      <c r="CK819" s="34">
        <f t="shared" si="329"/>
        <v>0</v>
      </c>
      <c r="CL819" s="21"/>
      <c r="CM819" s="35" t="str">
        <f t="shared" ca="1" si="338"/>
        <v>TERMINADO</v>
      </c>
      <c r="CN819" s="82"/>
      <c r="CP819" s="83" t="s">
        <v>1424</v>
      </c>
    </row>
    <row r="820" spans="1:96" ht="24.75" customHeight="1">
      <c r="A820" s="48" t="s">
        <v>6496</v>
      </c>
      <c r="B820" s="77" t="s">
        <v>6497</v>
      </c>
      <c r="C820" s="17" t="s">
        <v>104</v>
      </c>
      <c r="D820" s="18" t="s">
        <v>6498</v>
      </c>
      <c r="E820" s="17" t="s">
        <v>106</v>
      </c>
      <c r="F820" s="17" t="s">
        <v>1426</v>
      </c>
      <c r="G820" s="17" t="s">
        <v>1427</v>
      </c>
      <c r="H820" s="78" t="s">
        <v>6499</v>
      </c>
      <c r="I820" s="74" t="s">
        <v>6500</v>
      </c>
      <c r="J820" s="16" t="s">
        <v>6501</v>
      </c>
      <c r="K820" s="16">
        <v>79596129</v>
      </c>
      <c r="L820" s="20" t="s">
        <v>6502</v>
      </c>
      <c r="M820" s="16" t="s">
        <v>111</v>
      </c>
      <c r="N820" s="22">
        <v>45482</v>
      </c>
      <c r="O820" s="22">
        <v>45496</v>
      </c>
      <c r="P820" s="22">
        <v>45657</v>
      </c>
      <c r="Q820" s="23">
        <f t="shared" si="341"/>
        <v>161</v>
      </c>
      <c r="R820" s="17" t="s">
        <v>242</v>
      </c>
      <c r="S820" s="16" t="s">
        <v>6503</v>
      </c>
      <c r="T820" s="16" t="s">
        <v>6504</v>
      </c>
      <c r="U820" s="67">
        <v>30000000</v>
      </c>
      <c r="V820" s="16" t="s">
        <v>6505</v>
      </c>
      <c r="W820" s="224">
        <v>15689808</v>
      </c>
      <c r="X820" s="24"/>
      <c r="Y820" s="24"/>
      <c r="Z820" s="24"/>
      <c r="AA820" s="17" t="s">
        <v>116</v>
      </c>
      <c r="AB820" s="23" t="str">
        <f>IFERROR(VLOOKUP(AA820,Listas!$A$1:$C$14,2,FALSE),"")</f>
        <v>FREDY CÉSPEDES VILLA</v>
      </c>
      <c r="AC820" s="23">
        <f>IFERROR(VLOOKUP(AA820,Listas!$A$1:$C$14,3,FALSE),"")</f>
        <v>93363483</v>
      </c>
      <c r="AD820" s="17" t="s">
        <v>116</v>
      </c>
      <c r="AE820" s="17" t="s">
        <v>2309</v>
      </c>
      <c r="AF820" s="23" t="str">
        <f>IFERROR(VLOOKUP(AE820,Listas!$AD$1:$AF$65,2,FALSE),"")</f>
        <v>YURY NAYIBE LADINO</v>
      </c>
      <c r="AG820" s="23">
        <f>IFERROR(VLOOKUP(AE820,Listas!$AD$1:$AF$65,3,FALSE),"")</f>
        <v>1013587191</v>
      </c>
      <c r="AH820" s="17" t="s">
        <v>5821</v>
      </c>
      <c r="AI820" s="65"/>
      <c r="AJ820" s="25" t="s">
        <v>1435</v>
      </c>
      <c r="AK820" s="26" t="s">
        <v>2071</v>
      </c>
      <c r="AL820" s="26" t="s">
        <v>2071</v>
      </c>
      <c r="AM820" s="90" t="s">
        <v>1435</v>
      </c>
      <c r="AN820" s="105"/>
      <c r="AO820" s="91" t="str">
        <f t="shared" ca="1" si="342"/>
        <v xml:space="preserve"> </v>
      </c>
      <c r="AP820" s="26" t="s">
        <v>121</v>
      </c>
      <c r="AQ820" s="26" t="s">
        <v>409</v>
      </c>
      <c r="AR820" s="89"/>
      <c r="AS820" s="27"/>
      <c r="AT820" s="16"/>
      <c r="AU820" s="27"/>
      <c r="AV820" s="86"/>
      <c r="AW820" s="27"/>
      <c r="AX820" s="27"/>
      <c r="AY820" s="27"/>
      <c r="AZ820" s="27"/>
      <c r="BA820" s="27"/>
      <c r="BB820" s="27"/>
      <c r="BC820" s="97"/>
      <c r="BD820" s="27"/>
      <c r="BE820" s="16"/>
      <c r="BF820" s="28">
        <f t="shared" si="333"/>
        <v>0</v>
      </c>
      <c r="BG820" s="29"/>
      <c r="BH820" s="27"/>
      <c r="BI820" s="30">
        <f t="shared" si="334"/>
        <v>161</v>
      </c>
      <c r="BJ820" s="31">
        <f t="shared" si="335"/>
        <v>45657</v>
      </c>
      <c r="BK820" s="27"/>
      <c r="BL820" s="16"/>
      <c r="BM820" s="27"/>
      <c r="BN820" s="16"/>
      <c r="BO820" s="27"/>
      <c r="BP820" s="16"/>
      <c r="BQ820" s="27"/>
      <c r="BR820" s="24"/>
      <c r="BS820" s="24"/>
      <c r="BT820" s="32"/>
      <c r="BU820" s="27"/>
      <c r="BV820" s="24"/>
      <c r="BW820" s="24"/>
      <c r="BX820" s="16"/>
      <c r="BY820" s="27"/>
      <c r="BZ820" s="24"/>
      <c r="CA820" s="24"/>
      <c r="CB820" s="16"/>
      <c r="CC820" s="49">
        <f t="shared" si="336"/>
        <v>0</v>
      </c>
      <c r="CD820" s="24"/>
      <c r="CE820" s="49">
        <f>IF(Y820=0,(W820+CC820)-CD820,IF(Y820&gt;0,(Y820+CC820)-CD820))</f>
        <v>15689808</v>
      </c>
      <c r="CF820" s="50">
        <v>236679844</v>
      </c>
      <c r="CG820" s="49">
        <f t="shared" ca="1" si="343"/>
        <v>15689808</v>
      </c>
      <c r="CH820" s="33">
        <f t="shared" ca="1" si="339"/>
        <v>1</v>
      </c>
      <c r="CI820" s="33">
        <f t="shared" ca="1" si="340"/>
        <v>1</v>
      </c>
      <c r="CJ820" s="36">
        <f t="shared" ca="1" si="328"/>
        <v>100</v>
      </c>
      <c r="CK820" s="34">
        <f t="shared" si="329"/>
        <v>1508.4942020960359</v>
      </c>
      <c r="CL820" s="21"/>
      <c r="CM820" s="35" t="str">
        <f t="shared" ca="1" si="338"/>
        <v>TERMINADO</v>
      </c>
      <c r="CN820" s="82"/>
      <c r="CP820" s="83" t="s">
        <v>1424</v>
      </c>
    </row>
    <row r="821" spans="1:96" ht="24.75" customHeight="1">
      <c r="A821" s="48" t="s">
        <v>6506</v>
      </c>
      <c r="B821" s="77" t="s">
        <v>6507</v>
      </c>
      <c r="C821" s="17" t="s">
        <v>5814</v>
      </c>
      <c r="D821" s="18" t="s">
        <v>6508</v>
      </c>
      <c r="E821" s="17" t="s">
        <v>106</v>
      </c>
      <c r="F821" s="17" t="s">
        <v>1426</v>
      </c>
      <c r="G821" s="17" t="s">
        <v>1427</v>
      </c>
      <c r="H821" s="78" t="s">
        <v>6509</v>
      </c>
      <c r="I821" s="74" t="s">
        <v>6510</v>
      </c>
      <c r="J821" s="16" t="s">
        <v>6511</v>
      </c>
      <c r="K821" s="16">
        <v>79201501</v>
      </c>
      <c r="L821" s="20" t="s">
        <v>6512</v>
      </c>
      <c r="M821" s="16" t="s">
        <v>111</v>
      </c>
      <c r="N821" s="22">
        <v>45482</v>
      </c>
      <c r="O821" s="22">
        <v>45491</v>
      </c>
      <c r="P821" s="22">
        <v>45657</v>
      </c>
      <c r="Q821" s="23">
        <f t="shared" si="341"/>
        <v>166</v>
      </c>
      <c r="R821" s="17" t="s">
        <v>242</v>
      </c>
      <c r="S821" s="16" t="s">
        <v>6513</v>
      </c>
      <c r="T821" s="16" t="s">
        <v>2469</v>
      </c>
      <c r="U821" s="67">
        <v>1000000</v>
      </c>
      <c r="V821" s="16" t="s">
        <v>2470</v>
      </c>
      <c r="W821" s="224">
        <v>975324</v>
      </c>
      <c r="X821" s="24"/>
      <c r="Y821" s="24"/>
      <c r="Z821" s="24"/>
      <c r="AA821" s="17" t="s">
        <v>116</v>
      </c>
      <c r="AB821" s="23" t="str">
        <f>IFERROR(VLOOKUP(AA821,Listas!$A$1:$C$14,2,FALSE),"")</f>
        <v>FREDY CÉSPEDES VILLA</v>
      </c>
      <c r="AC821" s="23">
        <f>IFERROR(VLOOKUP(AA821,Listas!$A$1:$C$14,3,FALSE),"")</f>
        <v>93363483</v>
      </c>
      <c r="AD821" s="17" t="s">
        <v>116</v>
      </c>
      <c r="AE821" s="17" t="s">
        <v>659</v>
      </c>
      <c r="AF821" s="23" t="str">
        <f>IFERROR(VLOOKUP(AE821,Listas!$AD$1:$AF$65,2,FALSE),"")</f>
        <v>TATIANA FORERO TORRES</v>
      </c>
      <c r="AG821" s="23">
        <f>IFERROR(VLOOKUP(AE821,Listas!$AD$1:$AF$65,3,FALSE),"")</f>
        <v>1072446921</v>
      </c>
      <c r="AH821" s="17" t="s">
        <v>5821</v>
      </c>
      <c r="AI821" s="65"/>
      <c r="AJ821" s="25" t="s">
        <v>1435</v>
      </c>
      <c r="AK821" s="26" t="s">
        <v>2071</v>
      </c>
      <c r="AL821" s="26" t="s">
        <v>2071</v>
      </c>
      <c r="AM821" s="90" t="s">
        <v>1435</v>
      </c>
      <c r="AN821" s="105"/>
      <c r="AO821" s="91" t="str">
        <f t="shared" ca="1" si="342"/>
        <v xml:space="preserve"> </v>
      </c>
      <c r="AP821" s="26" t="s">
        <v>121</v>
      </c>
      <c r="AQ821" s="26" t="s">
        <v>285</v>
      </c>
      <c r="AR821" s="89"/>
      <c r="AS821" s="27"/>
      <c r="AT821" s="16"/>
      <c r="AU821" s="27"/>
      <c r="AV821" s="86"/>
      <c r="AW821" s="27"/>
      <c r="AX821" s="27"/>
      <c r="AY821" s="27"/>
      <c r="AZ821" s="27"/>
      <c r="BA821" s="27"/>
      <c r="BB821" s="27"/>
      <c r="BC821" s="97"/>
      <c r="BD821" s="27"/>
      <c r="BE821" s="16"/>
      <c r="BF821" s="28">
        <f t="shared" si="333"/>
        <v>0</v>
      </c>
      <c r="BG821" s="29"/>
      <c r="BH821" s="27"/>
      <c r="BI821" s="30">
        <f t="shared" si="334"/>
        <v>166</v>
      </c>
      <c r="BJ821" s="31">
        <f t="shared" si="335"/>
        <v>45657</v>
      </c>
      <c r="BK821" s="27"/>
      <c r="BL821" s="16"/>
      <c r="BM821" s="27"/>
      <c r="BN821" s="16"/>
      <c r="BO821" s="27"/>
      <c r="BP821" s="16"/>
      <c r="BQ821" s="27"/>
      <c r="BR821" s="24"/>
      <c r="BS821" s="24"/>
      <c r="BT821" s="32"/>
      <c r="BU821" s="27"/>
      <c r="BV821" s="24"/>
      <c r="BW821" s="24"/>
      <c r="BX821" s="16"/>
      <c r="BY821" s="27"/>
      <c r="BZ821" s="24"/>
      <c r="CA821" s="24"/>
      <c r="CB821" s="16"/>
      <c r="CC821" s="49">
        <f t="shared" si="336"/>
        <v>0</v>
      </c>
      <c r="CD821" s="24"/>
      <c r="CE821" s="49">
        <f>IF(Y821=0,(W821+CC821)-CD821,IF(Y821&gt;0,(Y821+CC821)-CD821))</f>
        <v>975324</v>
      </c>
      <c r="CF821" s="50"/>
      <c r="CG821" s="49">
        <f t="shared" ca="1" si="343"/>
        <v>975324</v>
      </c>
      <c r="CH821" s="33">
        <f t="shared" ca="1" si="339"/>
        <v>1</v>
      </c>
      <c r="CI821" s="33">
        <f t="shared" ca="1" si="340"/>
        <v>1</v>
      </c>
      <c r="CJ821" s="36">
        <f t="shared" ca="1" si="328"/>
        <v>100</v>
      </c>
      <c r="CK821" s="34">
        <f t="shared" si="329"/>
        <v>0</v>
      </c>
      <c r="CL821" s="21"/>
      <c r="CM821" s="35" t="str">
        <f t="shared" ca="1" si="338"/>
        <v>TERMINADO</v>
      </c>
      <c r="CN821" s="82"/>
      <c r="CO821" s="145" t="s">
        <v>6514</v>
      </c>
      <c r="CP821" s="26"/>
    </row>
    <row r="822" spans="1:96" ht="24.75" customHeight="1">
      <c r="A822" s="48" t="s">
        <v>6515</v>
      </c>
      <c r="B822" s="77" t="s">
        <v>6516</v>
      </c>
      <c r="C822" s="17" t="s">
        <v>104</v>
      </c>
      <c r="D822" s="18" t="s">
        <v>6517</v>
      </c>
      <c r="E822" s="17" t="s">
        <v>106</v>
      </c>
      <c r="F822" s="17" t="s">
        <v>1426</v>
      </c>
      <c r="G822" s="17" t="s">
        <v>1427</v>
      </c>
      <c r="H822" s="78" t="s">
        <v>6518</v>
      </c>
      <c r="I822" s="74" t="s">
        <v>6519</v>
      </c>
      <c r="J822" s="16"/>
      <c r="K822" s="16"/>
      <c r="L822" s="20" t="s">
        <v>6520</v>
      </c>
      <c r="M822" s="16" t="s">
        <v>111</v>
      </c>
      <c r="N822" s="22">
        <v>45483</v>
      </c>
      <c r="O822" s="22">
        <v>45497</v>
      </c>
      <c r="P822" s="22">
        <v>45656</v>
      </c>
      <c r="Q822" s="23">
        <f t="shared" si="341"/>
        <v>159</v>
      </c>
      <c r="R822" s="17" t="s">
        <v>242</v>
      </c>
      <c r="S822" s="16" t="s">
        <v>6521</v>
      </c>
      <c r="T822" s="16" t="s">
        <v>6522</v>
      </c>
      <c r="U822" s="67">
        <v>206850000</v>
      </c>
      <c r="V822" s="16" t="s">
        <v>6277</v>
      </c>
      <c r="W822" s="224">
        <v>206850000</v>
      </c>
      <c r="X822" s="24"/>
      <c r="Y822" s="24"/>
      <c r="Z822" s="24"/>
      <c r="AA822" s="17" t="s">
        <v>116</v>
      </c>
      <c r="AB822" s="23" t="str">
        <f>IFERROR(VLOOKUP(AA822,Listas!$A$1:$C$14,2,FALSE),"")</f>
        <v>FREDY CÉSPEDES VILLA</v>
      </c>
      <c r="AC822" s="23">
        <f>IFERROR(VLOOKUP(AA822,Listas!$A$1:$C$14,3,FALSE),"")</f>
        <v>93363483</v>
      </c>
      <c r="AD822" s="17" t="s">
        <v>406</v>
      </c>
      <c r="AE822" s="17" t="s">
        <v>407</v>
      </c>
      <c r="AF822" s="23" t="str">
        <f>IFERROR(VLOOKUP(AE822,Listas!$AD$1:$AF$65,2,FALSE),"")</f>
        <v>MARÍA VICTORIA CAMARGO CORTÉS</v>
      </c>
      <c r="AG822" s="23">
        <f>IFERROR(VLOOKUP(AE822,Listas!$AD$1:$AF$65,3,FALSE),"")</f>
        <v>52496497</v>
      </c>
      <c r="AH822" s="17" t="s">
        <v>3186</v>
      </c>
      <c r="AI822" s="65"/>
      <c r="AJ822" s="25" t="s">
        <v>1435</v>
      </c>
      <c r="AK822" s="26" t="s">
        <v>2071</v>
      </c>
      <c r="AL822" s="26" t="s">
        <v>2071</v>
      </c>
      <c r="AM822" s="90" t="s">
        <v>1435</v>
      </c>
      <c r="AN822" s="105"/>
      <c r="AO822" s="91" t="str">
        <f t="shared" ca="1" si="342"/>
        <v xml:space="preserve"> </v>
      </c>
      <c r="AP822" s="26" t="s">
        <v>121</v>
      </c>
      <c r="AQ822" s="26" t="s">
        <v>1272</v>
      </c>
      <c r="AR822" s="89"/>
      <c r="AS822" s="27"/>
      <c r="AT822" s="16"/>
      <c r="AU822" s="27"/>
      <c r="AV822" s="86"/>
      <c r="AW822" s="27"/>
      <c r="AX822" s="27"/>
      <c r="AY822" s="27"/>
      <c r="AZ822" s="27"/>
      <c r="BA822" s="27"/>
      <c r="BB822" s="27"/>
      <c r="BC822" s="97"/>
      <c r="BD822" s="27"/>
      <c r="BE822" s="16"/>
      <c r="BF822" s="28">
        <f t="shared" si="333"/>
        <v>0</v>
      </c>
      <c r="BG822" s="29"/>
      <c r="BH822" s="27"/>
      <c r="BI822" s="30">
        <f t="shared" si="334"/>
        <v>159</v>
      </c>
      <c r="BJ822" s="31">
        <f t="shared" si="335"/>
        <v>45656</v>
      </c>
      <c r="BK822" s="27"/>
      <c r="BL822" s="16"/>
      <c r="BM822" s="27"/>
      <c r="BN822" s="16"/>
      <c r="BO822" s="27"/>
      <c r="BP822" s="16"/>
      <c r="BQ822" s="27"/>
      <c r="BR822" s="24"/>
      <c r="BS822" s="24"/>
      <c r="BT822" s="32"/>
      <c r="BU822" s="27"/>
      <c r="BV822" s="24"/>
      <c r="BW822" s="24"/>
      <c r="BX822" s="16"/>
      <c r="BY822" s="27"/>
      <c r="BZ822" s="24"/>
      <c r="CA822" s="24"/>
      <c r="CB822" s="16"/>
      <c r="CC822" s="49">
        <f t="shared" si="336"/>
        <v>0</v>
      </c>
      <c r="CD822" s="24"/>
      <c r="CE822" s="49">
        <f>IF(Y822=0,(W822+CC822)-CD822,IF(Y822&gt;0,(Y822+CC822)-CD822))</f>
        <v>206850000</v>
      </c>
      <c r="CF822" s="50"/>
      <c r="CG822" s="49">
        <f t="shared" ca="1" si="343"/>
        <v>206850000</v>
      </c>
      <c r="CH822" s="33">
        <f t="shared" ca="1" si="339"/>
        <v>1</v>
      </c>
      <c r="CI822" s="33">
        <f t="shared" ca="1" si="340"/>
        <v>1</v>
      </c>
      <c r="CJ822" s="36">
        <f t="shared" ca="1" si="328"/>
        <v>100</v>
      </c>
      <c r="CK822" s="34">
        <f t="shared" si="329"/>
        <v>0</v>
      </c>
      <c r="CL822" s="21"/>
      <c r="CM822" s="35" t="str">
        <f t="shared" ca="1" si="338"/>
        <v>TERMINADO</v>
      </c>
      <c r="CN822" s="82"/>
      <c r="CP822" s="83" t="s">
        <v>1424</v>
      </c>
    </row>
    <row r="823" spans="1:96" ht="24.75" customHeight="1">
      <c r="A823" s="48" t="s">
        <v>6523</v>
      </c>
      <c r="B823" s="77" t="s">
        <v>6524</v>
      </c>
      <c r="C823" s="17" t="s">
        <v>104</v>
      </c>
      <c r="D823" s="18" t="s">
        <v>6525</v>
      </c>
      <c r="E823" s="17" t="s">
        <v>106</v>
      </c>
      <c r="F823" s="17" t="s">
        <v>107</v>
      </c>
      <c r="G823" s="17" t="s">
        <v>108</v>
      </c>
      <c r="H823" s="78">
        <v>1151940720</v>
      </c>
      <c r="I823" s="74" t="s">
        <v>6526</v>
      </c>
      <c r="J823" s="16"/>
      <c r="K823" s="16"/>
      <c r="L823" s="96" t="s">
        <v>6527</v>
      </c>
      <c r="M823" s="16" t="s">
        <v>111</v>
      </c>
      <c r="N823" s="22">
        <v>45483</v>
      </c>
      <c r="O823" s="22">
        <v>45492</v>
      </c>
      <c r="P823" s="22">
        <v>45657</v>
      </c>
      <c r="Q823" s="23">
        <f t="shared" si="341"/>
        <v>165</v>
      </c>
      <c r="R823" s="17" t="s">
        <v>242</v>
      </c>
      <c r="S823" s="16" t="s">
        <v>6528</v>
      </c>
      <c r="T823" s="16" t="s">
        <v>1145</v>
      </c>
      <c r="U823" s="67">
        <v>72964000</v>
      </c>
      <c r="V823" s="16" t="s">
        <v>426</v>
      </c>
      <c r="W823" s="224">
        <v>72964000</v>
      </c>
      <c r="X823" s="67">
        <v>12876000</v>
      </c>
      <c r="Y823" s="24"/>
      <c r="Z823" s="24"/>
      <c r="AA823" s="17" t="s">
        <v>116</v>
      </c>
      <c r="AB823" s="23" t="str">
        <f>IFERROR(VLOOKUP(AA823,Listas!$A$1:$C$14,2,FALSE),"")</f>
        <v>FREDY CÉSPEDES VILLA</v>
      </c>
      <c r="AC823" s="23">
        <f>IFERROR(VLOOKUP(AA823,Listas!$A$1:$C$14,3,FALSE),"")</f>
        <v>93363483</v>
      </c>
      <c r="AD823" s="17" t="s">
        <v>427</v>
      </c>
      <c r="AE823" s="17" t="s">
        <v>428</v>
      </c>
      <c r="AF823" s="23" t="str">
        <f>IFERROR(VLOOKUP(AE823,Listas!$AD$1:$AF$65,2,FALSE),"")</f>
        <v>DINORAH PATRICIA ABADIA MURILLO</v>
      </c>
      <c r="AG823" s="23">
        <f>IFERROR(VLOOKUP(AE823,Listas!$AD$1:$AF$65,3,FALSE),"")</f>
        <v>52220857</v>
      </c>
      <c r="AH823" s="17" t="s">
        <v>118</v>
      </c>
      <c r="AI823" s="65" t="s">
        <v>6529</v>
      </c>
      <c r="AJ823" s="25" t="s">
        <v>4370</v>
      </c>
      <c r="AK823" s="26" t="s">
        <v>120</v>
      </c>
      <c r="AL823" s="26" t="s">
        <v>120</v>
      </c>
      <c r="AM823" s="90" t="s">
        <v>119</v>
      </c>
      <c r="AN823" s="105">
        <v>33415</v>
      </c>
      <c r="AO823" s="91">
        <f t="shared" ca="1" si="342"/>
        <v>34</v>
      </c>
      <c r="AP823" s="26" t="s">
        <v>121</v>
      </c>
      <c r="AQ823" s="26" t="s">
        <v>515</v>
      </c>
      <c r="AR823" s="89"/>
      <c r="AS823" s="27"/>
      <c r="AT823" s="16"/>
      <c r="AU823" s="27"/>
      <c r="AV823" s="86"/>
      <c r="AW823" s="27"/>
      <c r="AX823" s="27"/>
      <c r="AY823" s="27"/>
      <c r="AZ823" s="27"/>
      <c r="BA823" s="27"/>
      <c r="BB823" s="27"/>
      <c r="BC823" s="97"/>
      <c r="BD823" s="27"/>
      <c r="BE823" s="16"/>
      <c r="BF823" s="28">
        <f t="shared" si="333"/>
        <v>0</v>
      </c>
      <c r="BG823" s="29"/>
      <c r="BH823" s="27"/>
      <c r="BI823" s="30">
        <f t="shared" si="334"/>
        <v>165</v>
      </c>
      <c r="BJ823" s="31">
        <f t="shared" si="335"/>
        <v>45657</v>
      </c>
      <c r="BK823" s="27"/>
      <c r="BL823" s="16"/>
      <c r="BM823" s="27"/>
      <c r="BN823" s="16"/>
      <c r="BO823" s="27"/>
      <c r="BP823" s="16"/>
      <c r="BQ823" s="27"/>
      <c r="BR823" s="24"/>
      <c r="BS823" s="24"/>
      <c r="BT823" s="32"/>
      <c r="BU823" s="27"/>
      <c r="BV823" s="24"/>
      <c r="BW823" s="24"/>
      <c r="BX823" s="16"/>
      <c r="BY823" s="27"/>
      <c r="BZ823" s="24"/>
      <c r="CA823" s="24"/>
      <c r="CB823" s="16"/>
      <c r="CC823" s="49">
        <f t="shared" si="336"/>
        <v>0</v>
      </c>
      <c r="CD823" s="24"/>
      <c r="CE823" s="49">
        <f>IF(Y823=0,(X823+CC823)-CD823,IF(Y823&gt;0,(Y823+CC823)-CD823))</f>
        <v>12876000</v>
      </c>
      <c r="CF823" s="50"/>
      <c r="CG823" s="49">
        <f t="shared" ca="1" si="343"/>
        <v>12876000</v>
      </c>
      <c r="CH823" s="33">
        <f t="shared" ca="1" si="339"/>
        <v>1</v>
      </c>
      <c r="CI823" s="33">
        <f t="shared" ca="1" si="340"/>
        <v>1</v>
      </c>
      <c r="CJ823" s="36">
        <f t="shared" ca="1" si="328"/>
        <v>100</v>
      </c>
      <c r="CK823" s="34">
        <f t="shared" si="329"/>
        <v>0</v>
      </c>
      <c r="CL823" s="21"/>
      <c r="CM823" s="35" t="str">
        <f t="shared" ca="1" si="338"/>
        <v>TERMINADO</v>
      </c>
      <c r="CN823" s="82"/>
      <c r="CO823" s="145" t="s">
        <v>6530</v>
      </c>
      <c r="CP823" s="26" t="s">
        <v>123</v>
      </c>
    </row>
    <row r="824" spans="1:96" s="85" customFormat="1" ht="24.75" customHeight="1">
      <c r="A824" s="48" t="s">
        <v>787</v>
      </c>
      <c r="B824" s="77" t="s">
        <v>6531</v>
      </c>
      <c r="C824" s="17" t="s">
        <v>104</v>
      </c>
      <c r="D824" s="18" t="s">
        <v>6532</v>
      </c>
      <c r="E824" s="17" t="s">
        <v>106</v>
      </c>
      <c r="F824" s="17" t="s">
        <v>107</v>
      </c>
      <c r="G824" s="17" t="s">
        <v>108</v>
      </c>
      <c r="H824" s="78">
        <v>52967366</v>
      </c>
      <c r="I824" s="74" t="s">
        <v>6533</v>
      </c>
      <c r="J824" s="16"/>
      <c r="K824" s="16"/>
      <c r="L824" s="96" t="s">
        <v>760</v>
      </c>
      <c r="M824" s="16" t="s">
        <v>111</v>
      </c>
      <c r="N824" s="22">
        <v>45489</v>
      </c>
      <c r="O824" s="22">
        <v>45490</v>
      </c>
      <c r="P824" s="22">
        <v>45657</v>
      </c>
      <c r="Q824" s="23">
        <f t="shared" si="341"/>
        <v>167</v>
      </c>
      <c r="R824" s="17" t="s">
        <v>112</v>
      </c>
      <c r="S824" s="16" t="s">
        <v>6534</v>
      </c>
      <c r="T824" s="16" t="s">
        <v>114</v>
      </c>
      <c r="U824" s="67">
        <v>48540066</v>
      </c>
      <c r="V824" s="16" t="s">
        <v>742</v>
      </c>
      <c r="W824" s="224">
        <v>48540066</v>
      </c>
      <c r="X824" s="24">
        <v>8565894</v>
      </c>
      <c r="Y824" s="24"/>
      <c r="Z824" s="24"/>
      <c r="AA824" s="17" t="s">
        <v>116</v>
      </c>
      <c r="AB824" s="23" t="str">
        <f>IFERROR(VLOOKUP(AA824,Listas!$A$1:$C$14,2,FALSE),"")</f>
        <v>FREDY CÉSPEDES VILLA</v>
      </c>
      <c r="AC824" s="23">
        <f>IFERROR(VLOOKUP(AA824,Listas!$A$1:$C$14,3,FALSE),"")</f>
        <v>93363483</v>
      </c>
      <c r="AD824" s="17" t="s">
        <v>116</v>
      </c>
      <c r="AE824" s="17" t="s">
        <v>325</v>
      </c>
      <c r="AF824" s="23" t="str">
        <f>IFERROR(VLOOKUP(AE824,Listas!$AD$1:$AF$65,2,FALSE),"")</f>
        <v>SANDRA MILENA MÁRQUEZ PARRA</v>
      </c>
      <c r="AG824" s="23">
        <f>IFERROR(VLOOKUP(AE824,Listas!$AD$1:$AF$65,3,FALSE),"")</f>
        <v>52487587</v>
      </c>
      <c r="AH824" s="17" t="s">
        <v>118</v>
      </c>
      <c r="AI824" s="65" t="s">
        <v>785</v>
      </c>
      <c r="AJ824" s="25" t="s">
        <v>4370</v>
      </c>
      <c r="AK824" s="26" t="s">
        <v>120</v>
      </c>
      <c r="AL824" s="26" t="s">
        <v>120</v>
      </c>
      <c r="AM824" s="90" t="s">
        <v>119</v>
      </c>
      <c r="AN824" s="105">
        <v>30729</v>
      </c>
      <c r="AO824" s="91">
        <f t="shared" ca="1" si="342"/>
        <v>41</v>
      </c>
      <c r="AP824" s="26" t="s">
        <v>121</v>
      </c>
      <c r="AQ824" s="26" t="s">
        <v>327</v>
      </c>
      <c r="AR824" s="89"/>
      <c r="AS824" s="27"/>
      <c r="AT824" s="16"/>
      <c r="AU824" s="27"/>
      <c r="AV824" s="86"/>
      <c r="AW824" s="27"/>
      <c r="AX824" s="27"/>
      <c r="AY824" s="27"/>
      <c r="AZ824" s="27"/>
      <c r="BA824" s="27"/>
      <c r="BB824" s="27"/>
      <c r="BC824" s="97"/>
      <c r="BD824" s="27"/>
      <c r="BE824" s="16"/>
      <c r="BF824" s="28">
        <f t="shared" si="333"/>
        <v>0</v>
      </c>
      <c r="BG824" s="29"/>
      <c r="BH824" s="27"/>
      <c r="BI824" s="30">
        <f t="shared" si="334"/>
        <v>167</v>
      </c>
      <c r="BJ824" s="31">
        <f t="shared" si="335"/>
        <v>45657</v>
      </c>
      <c r="BK824" s="27"/>
      <c r="BL824" s="16"/>
      <c r="BM824" s="27"/>
      <c r="BN824" s="16"/>
      <c r="BO824" s="27"/>
      <c r="BP824" s="16"/>
      <c r="BQ824" s="27"/>
      <c r="BR824" s="24"/>
      <c r="BS824" s="24"/>
      <c r="BT824" s="32"/>
      <c r="BU824" s="27"/>
      <c r="BV824" s="24"/>
      <c r="BW824" s="24"/>
      <c r="BX824" s="16"/>
      <c r="BY824" s="27"/>
      <c r="BZ824" s="24"/>
      <c r="CA824" s="24"/>
      <c r="CB824" s="16"/>
      <c r="CC824" s="49">
        <f t="shared" si="336"/>
        <v>0</v>
      </c>
      <c r="CD824" s="24"/>
      <c r="CE824" s="49">
        <f t="shared" ref="CE824:CE859" si="344">IF(Y824=0,(W824+CC824)-CD824,IF(Y824&gt;0,(Y824+CC824)-CD824))</f>
        <v>48540066</v>
      </c>
      <c r="CF824" s="50"/>
      <c r="CG824" s="49">
        <f t="shared" ca="1" si="343"/>
        <v>48540066</v>
      </c>
      <c r="CH824" s="33">
        <f t="shared" ca="1" si="339"/>
        <v>1</v>
      </c>
      <c r="CI824" s="33">
        <f t="shared" ca="1" si="340"/>
        <v>1</v>
      </c>
      <c r="CJ824" s="36">
        <f t="shared" ca="1" si="328"/>
        <v>100</v>
      </c>
      <c r="CK824" s="34">
        <f t="shared" si="329"/>
        <v>0</v>
      </c>
      <c r="CL824" s="21"/>
      <c r="CM824" s="35" t="str">
        <f t="shared" ca="1" si="338"/>
        <v>TERMINADO</v>
      </c>
      <c r="CN824" s="82"/>
      <c r="CO824" s="145" t="s">
        <v>6535</v>
      </c>
      <c r="CP824" s="26" t="s">
        <v>123</v>
      </c>
      <c r="CQ824" s="83"/>
      <c r="CR824" s="83"/>
    </row>
    <row r="825" spans="1:96" ht="24.75" customHeight="1">
      <c r="A825" s="48" t="s">
        <v>6536</v>
      </c>
      <c r="B825" s="77" t="s">
        <v>6537</v>
      </c>
      <c r="C825" s="17" t="s">
        <v>104</v>
      </c>
      <c r="D825" s="18" t="s">
        <v>6538</v>
      </c>
      <c r="E825" s="17" t="s">
        <v>106</v>
      </c>
      <c r="F825" s="17" t="s">
        <v>1426</v>
      </c>
      <c r="G825" s="17" t="s">
        <v>1427</v>
      </c>
      <c r="H825" s="78" t="s">
        <v>6539</v>
      </c>
      <c r="I825" s="74" t="s">
        <v>6540</v>
      </c>
      <c r="J825" s="16" t="s">
        <v>6541</v>
      </c>
      <c r="K825" s="16">
        <v>52993934</v>
      </c>
      <c r="L825" s="20" t="s">
        <v>6542</v>
      </c>
      <c r="M825" s="16" t="s">
        <v>111</v>
      </c>
      <c r="N825" s="22">
        <v>45491</v>
      </c>
      <c r="O825" s="22">
        <v>45497</v>
      </c>
      <c r="P825" s="22">
        <v>45656</v>
      </c>
      <c r="Q825" s="23">
        <f t="shared" si="341"/>
        <v>159</v>
      </c>
      <c r="R825" s="17" t="s">
        <v>242</v>
      </c>
      <c r="S825" s="16" t="s">
        <v>6543</v>
      </c>
      <c r="T825" s="16" t="s">
        <v>6544</v>
      </c>
      <c r="U825" s="67">
        <v>1500000000</v>
      </c>
      <c r="V825" s="16" t="s">
        <v>6545</v>
      </c>
      <c r="W825" s="224">
        <v>1497880450</v>
      </c>
      <c r="X825" s="24"/>
      <c r="Y825" s="24"/>
      <c r="Z825" s="24"/>
      <c r="AA825" s="17" t="s">
        <v>116</v>
      </c>
      <c r="AB825" s="23" t="str">
        <f>IFERROR(VLOOKUP(AA825,Listas!$A$1:$C$14,2,FALSE),"")</f>
        <v>FREDY CÉSPEDES VILLA</v>
      </c>
      <c r="AC825" s="23">
        <f>IFERROR(VLOOKUP(AA825,Listas!$A$1:$C$14,3,FALSE),"")</f>
        <v>93363483</v>
      </c>
      <c r="AD825" s="17" t="s">
        <v>951</v>
      </c>
      <c r="AE825" s="17" t="s">
        <v>952</v>
      </c>
      <c r="AF825" s="23" t="str">
        <f>IFERROR(VLOOKUP(AE825,Listas!$AD$1:$AF$65,2,FALSE),"")</f>
        <v>ANDRES MAURICIO LUQUE AYALA</v>
      </c>
      <c r="AG825" s="23">
        <f>IFERROR(VLOOKUP(AE825,Listas!$AD$1:$AF$65,3,FALSE),"")</f>
        <v>11443937</v>
      </c>
      <c r="AH825" s="17" t="s">
        <v>6266</v>
      </c>
      <c r="AI825" s="65"/>
      <c r="AJ825" s="25" t="s">
        <v>1435</v>
      </c>
      <c r="AK825" s="26" t="s">
        <v>2071</v>
      </c>
      <c r="AL825" s="26" t="s">
        <v>2071</v>
      </c>
      <c r="AM825" s="90" t="s">
        <v>1435</v>
      </c>
      <c r="AN825" s="105"/>
      <c r="AO825" s="91" t="str">
        <f t="shared" ca="1" si="342"/>
        <v xml:space="preserve"> </v>
      </c>
      <c r="AP825" s="26" t="s">
        <v>121</v>
      </c>
      <c r="AQ825" s="26" t="s">
        <v>327</v>
      </c>
      <c r="AR825" s="89"/>
      <c r="AS825" s="27"/>
      <c r="AT825" s="16"/>
      <c r="AU825" s="27"/>
      <c r="AV825" s="86"/>
      <c r="AW825" s="27"/>
      <c r="AX825" s="27"/>
      <c r="AY825" s="27"/>
      <c r="AZ825" s="27"/>
      <c r="BA825" s="27"/>
      <c r="BB825" s="27"/>
      <c r="BC825" s="97"/>
      <c r="BD825" s="27"/>
      <c r="BE825" s="16"/>
      <c r="BF825" s="28">
        <f t="shared" si="333"/>
        <v>0</v>
      </c>
      <c r="BG825" s="29"/>
      <c r="BH825" s="27"/>
      <c r="BI825" s="30">
        <f t="shared" si="334"/>
        <v>159</v>
      </c>
      <c r="BJ825" s="31">
        <f t="shared" si="335"/>
        <v>45656</v>
      </c>
      <c r="BK825" s="27"/>
      <c r="BL825" s="16"/>
      <c r="BM825" s="27"/>
      <c r="BN825" s="16"/>
      <c r="BO825" s="27"/>
      <c r="BP825" s="16"/>
      <c r="BQ825" s="27"/>
      <c r="BR825" s="24"/>
      <c r="BS825" s="24"/>
      <c r="BT825" s="32"/>
      <c r="BU825" s="27"/>
      <c r="BV825" s="24"/>
      <c r="BW825" s="24"/>
      <c r="BX825" s="16"/>
      <c r="BY825" s="27"/>
      <c r="BZ825" s="24"/>
      <c r="CA825" s="24"/>
      <c r="CB825" s="16"/>
      <c r="CC825" s="49">
        <f t="shared" si="336"/>
        <v>0</v>
      </c>
      <c r="CD825" s="24"/>
      <c r="CE825" s="49">
        <f t="shared" si="344"/>
        <v>1497880450</v>
      </c>
      <c r="CF825" s="50"/>
      <c r="CG825" s="49">
        <f t="shared" ca="1" si="343"/>
        <v>1497880450</v>
      </c>
      <c r="CH825" s="33">
        <f t="shared" ca="1" si="339"/>
        <v>1</v>
      </c>
      <c r="CI825" s="33">
        <f t="shared" ca="1" si="340"/>
        <v>1</v>
      </c>
      <c r="CJ825" s="36">
        <f t="shared" ca="1" si="328"/>
        <v>100</v>
      </c>
      <c r="CK825" s="34">
        <f t="shared" si="329"/>
        <v>0</v>
      </c>
      <c r="CL825" s="21"/>
      <c r="CM825" s="35" t="str">
        <f t="shared" ca="1" si="338"/>
        <v>TERMINADO</v>
      </c>
      <c r="CN825" s="82"/>
      <c r="CP825" s="83" t="s">
        <v>1424</v>
      </c>
    </row>
    <row r="826" spans="1:96" s="85" customFormat="1" ht="24.75" customHeight="1">
      <c r="A826" s="48" t="s">
        <v>1266</v>
      </c>
      <c r="B826" s="77" t="s">
        <v>6546</v>
      </c>
      <c r="C826" s="17" t="s">
        <v>104</v>
      </c>
      <c r="D826" s="18" t="s">
        <v>6547</v>
      </c>
      <c r="E826" s="17" t="s">
        <v>106</v>
      </c>
      <c r="F826" s="17" t="s">
        <v>107</v>
      </c>
      <c r="G826" s="17" t="s">
        <v>108</v>
      </c>
      <c r="H826" s="78">
        <v>32749242</v>
      </c>
      <c r="I826" s="240" t="s">
        <v>1269</v>
      </c>
      <c r="J826" s="16"/>
      <c r="K826" s="16"/>
      <c r="L826" s="20" t="s">
        <v>6548</v>
      </c>
      <c r="M826" s="16" t="s">
        <v>111</v>
      </c>
      <c r="N826" s="22">
        <v>45492</v>
      </c>
      <c r="O826" s="22">
        <v>45495</v>
      </c>
      <c r="P826" s="22">
        <v>45656</v>
      </c>
      <c r="Q826" s="23">
        <f t="shared" si="341"/>
        <v>161</v>
      </c>
      <c r="R826" s="17" t="s">
        <v>242</v>
      </c>
      <c r="S826" s="16" t="s">
        <v>6549</v>
      </c>
      <c r="T826" s="16" t="s">
        <v>1145</v>
      </c>
      <c r="U826" s="67">
        <v>70818000</v>
      </c>
      <c r="V826" s="16" t="s">
        <v>426</v>
      </c>
      <c r="W826" s="224">
        <v>69530400</v>
      </c>
      <c r="X826" s="24">
        <v>12876000</v>
      </c>
      <c r="Y826" s="24"/>
      <c r="Z826" s="24"/>
      <c r="AA826" s="17" t="s">
        <v>116</v>
      </c>
      <c r="AB826" s="23" t="str">
        <f>IFERROR(VLOOKUP(AA826,Listas!$A$1:$C$14,2,FALSE),"")</f>
        <v>FREDY CÉSPEDES VILLA</v>
      </c>
      <c r="AC826" s="23">
        <f>IFERROR(VLOOKUP(AA826,Listas!$A$1:$C$14,3,FALSE),"")</f>
        <v>93363483</v>
      </c>
      <c r="AD826" s="17" t="s">
        <v>427</v>
      </c>
      <c r="AE826" s="17" t="s">
        <v>2341</v>
      </c>
      <c r="AF826" s="23" t="str">
        <f>IFERROR(VLOOKUP(AE826,Listas!$AD$1:$AF$65,2,FALSE),"")</f>
        <v>LUIS ALFONSO NIÑO MANCILLA</v>
      </c>
      <c r="AG826" s="23">
        <f>IFERROR(VLOOKUP(AE826,Listas!$AD$1:$AF$65,3,FALSE),"")</f>
        <v>79719453</v>
      </c>
      <c r="AH826" s="17" t="s">
        <v>118</v>
      </c>
      <c r="AI826" s="65" t="s">
        <v>6550</v>
      </c>
      <c r="AJ826" s="25" t="s">
        <v>4370</v>
      </c>
      <c r="AK826" s="26" t="s">
        <v>120</v>
      </c>
      <c r="AL826" s="26" t="s">
        <v>120</v>
      </c>
      <c r="AM826" s="90" t="s">
        <v>119</v>
      </c>
      <c r="AN826" s="105"/>
      <c r="AO826" s="91" t="str">
        <f t="shared" ca="1" si="342"/>
        <v xml:space="preserve"> </v>
      </c>
      <c r="AP826" s="26" t="s">
        <v>121</v>
      </c>
      <c r="AQ826" s="26" t="s">
        <v>1272</v>
      </c>
      <c r="AR826" s="89"/>
      <c r="AS826" s="27"/>
      <c r="AT826" s="16"/>
      <c r="AU826" s="27"/>
      <c r="AV826" s="86"/>
      <c r="AW826" s="27"/>
      <c r="AX826" s="27"/>
      <c r="AY826" s="27"/>
      <c r="AZ826" s="27"/>
      <c r="BA826" s="27"/>
      <c r="BB826" s="27"/>
      <c r="BC826" s="97"/>
      <c r="BD826" s="27"/>
      <c r="BE826" s="16"/>
      <c r="BF826" s="28">
        <f t="shared" si="333"/>
        <v>0</v>
      </c>
      <c r="BG826" s="29"/>
      <c r="BH826" s="27"/>
      <c r="BI826" s="30">
        <f t="shared" si="334"/>
        <v>161</v>
      </c>
      <c r="BJ826" s="31">
        <f t="shared" si="335"/>
        <v>45656</v>
      </c>
      <c r="BK826" s="27"/>
      <c r="BL826" s="16"/>
      <c r="BM826" s="27"/>
      <c r="BN826" s="16"/>
      <c r="BO826" s="27"/>
      <c r="BP826" s="16"/>
      <c r="BQ826" s="27"/>
      <c r="BR826" s="24"/>
      <c r="BS826" s="24"/>
      <c r="BT826" s="32"/>
      <c r="BU826" s="27"/>
      <c r="BV826" s="24"/>
      <c r="BW826" s="24"/>
      <c r="BX826" s="16"/>
      <c r="BY826" s="27"/>
      <c r="BZ826" s="24"/>
      <c r="CA826" s="24"/>
      <c r="CB826" s="16"/>
      <c r="CC826" s="49">
        <f t="shared" si="336"/>
        <v>0</v>
      </c>
      <c r="CD826" s="24"/>
      <c r="CE826" s="49">
        <f t="shared" si="344"/>
        <v>69530400</v>
      </c>
      <c r="CF826" s="50"/>
      <c r="CG826" s="49">
        <f t="shared" ca="1" si="343"/>
        <v>69530400</v>
      </c>
      <c r="CH826" s="33">
        <f t="shared" ca="1" si="339"/>
        <v>1</v>
      </c>
      <c r="CI826" s="33">
        <f t="shared" ca="1" si="340"/>
        <v>1</v>
      </c>
      <c r="CJ826" s="36">
        <f t="shared" ca="1" si="328"/>
        <v>100</v>
      </c>
      <c r="CK826" s="34">
        <f t="shared" si="329"/>
        <v>0</v>
      </c>
      <c r="CL826" s="21"/>
      <c r="CM826" s="35" t="str">
        <f t="shared" ca="1" si="338"/>
        <v>TERMINADO</v>
      </c>
      <c r="CN826" s="82"/>
      <c r="CO826" s="145" t="s">
        <v>6551</v>
      </c>
      <c r="CP826" s="26" t="s">
        <v>123</v>
      </c>
      <c r="CQ826" s="83"/>
      <c r="CR826" s="83"/>
    </row>
    <row r="827" spans="1:96" ht="24.75" customHeight="1">
      <c r="A827" s="48" t="s">
        <v>1000</v>
      </c>
      <c r="B827" s="77" t="s">
        <v>6552</v>
      </c>
      <c r="C827" s="17" t="s">
        <v>104</v>
      </c>
      <c r="D827" s="18" t="s">
        <v>6553</v>
      </c>
      <c r="E827" s="17" t="s">
        <v>106</v>
      </c>
      <c r="F827" s="17" t="s">
        <v>107</v>
      </c>
      <c r="G827" s="17" t="s">
        <v>108</v>
      </c>
      <c r="H827" s="78">
        <v>1032361713</v>
      </c>
      <c r="I827" s="74" t="s">
        <v>1003</v>
      </c>
      <c r="J827" s="16"/>
      <c r="K827" s="16"/>
      <c r="L827" s="20" t="s">
        <v>6554</v>
      </c>
      <c r="M827" s="16" t="s">
        <v>111</v>
      </c>
      <c r="N827" s="22">
        <v>45495</v>
      </c>
      <c r="O827" s="22">
        <v>45496</v>
      </c>
      <c r="P827" s="22">
        <v>45657</v>
      </c>
      <c r="Q827" s="23">
        <f t="shared" si="341"/>
        <v>161</v>
      </c>
      <c r="R827" s="17" t="s">
        <v>112</v>
      </c>
      <c r="S827" s="16" t="s">
        <v>6555</v>
      </c>
      <c r="T827" s="16" t="s">
        <v>114</v>
      </c>
      <c r="U827" s="67">
        <v>38542062</v>
      </c>
      <c r="V827" s="16" t="s">
        <v>742</v>
      </c>
      <c r="W827" s="224">
        <v>38542062</v>
      </c>
      <c r="X827" s="24">
        <v>7093631</v>
      </c>
      <c r="Y827" s="24"/>
      <c r="Z827" s="24"/>
      <c r="AA827" s="17" t="s">
        <v>116</v>
      </c>
      <c r="AB827" s="23" t="str">
        <f>IFERROR(VLOOKUP(AA827,Listas!$A$1:$C$14,2,FALSE),"")</f>
        <v>FREDY CÉSPEDES VILLA</v>
      </c>
      <c r="AC827" s="23">
        <f>IFERROR(VLOOKUP(AA827,Listas!$A$1:$C$14,3,FALSE),"")</f>
        <v>93363483</v>
      </c>
      <c r="AD827" s="17" t="s">
        <v>116</v>
      </c>
      <c r="AE827" s="17" t="s">
        <v>325</v>
      </c>
      <c r="AF827" s="23" t="str">
        <f>IFERROR(VLOOKUP(AE827,Listas!$AD$1:$AF$65,2,FALSE),"")</f>
        <v>SANDRA MILENA MÁRQUEZ PARRA</v>
      </c>
      <c r="AG827" s="23">
        <f>IFERROR(VLOOKUP(AE827,Listas!$AD$1:$AF$65,3,FALSE),"")</f>
        <v>52487587</v>
      </c>
      <c r="AH827" s="17" t="s">
        <v>118</v>
      </c>
      <c r="AI827" s="65" t="s">
        <v>1031</v>
      </c>
      <c r="AJ827" s="25" t="s">
        <v>4370</v>
      </c>
      <c r="AK827" s="26" t="s">
        <v>120</v>
      </c>
      <c r="AL827" s="26" t="s">
        <v>120</v>
      </c>
      <c r="AM827" s="90" t="s">
        <v>119</v>
      </c>
      <c r="AN827" s="105"/>
      <c r="AO827" s="91" t="str">
        <f t="shared" ca="1" si="342"/>
        <v xml:space="preserve"> </v>
      </c>
      <c r="AP827" s="26" t="s">
        <v>121</v>
      </c>
      <c r="AQ827" s="26" t="s">
        <v>327</v>
      </c>
      <c r="AR827" s="89"/>
      <c r="AS827" s="27"/>
      <c r="AT827" s="16"/>
      <c r="AU827" s="27"/>
      <c r="AV827" s="86"/>
      <c r="AW827" s="27"/>
      <c r="AX827" s="27"/>
      <c r="AY827" s="27"/>
      <c r="AZ827" s="27"/>
      <c r="BA827" s="27"/>
      <c r="BB827" s="27"/>
      <c r="BC827" s="97"/>
      <c r="BD827" s="27"/>
      <c r="BE827" s="16"/>
      <c r="BF827" s="28">
        <f t="shared" si="333"/>
        <v>0</v>
      </c>
      <c r="BG827" s="29"/>
      <c r="BH827" s="27"/>
      <c r="BI827" s="30">
        <f t="shared" si="334"/>
        <v>161</v>
      </c>
      <c r="BJ827" s="31">
        <f t="shared" si="335"/>
        <v>45657</v>
      </c>
      <c r="BK827" s="27"/>
      <c r="BL827" s="16"/>
      <c r="BM827" s="27"/>
      <c r="BN827" s="16"/>
      <c r="BO827" s="27"/>
      <c r="BP827" s="16"/>
      <c r="BQ827" s="27"/>
      <c r="BR827" s="24"/>
      <c r="BS827" s="24"/>
      <c r="BT827" s="32"/>
      <c r="BU827" s="27"/>
      <c r="BV827" s="24"/>
      <c r="BW827" s="24"/>
      <c r="BX827" s="16"/>
      <c r="BY827" s="27"/>
      <c r="BZ827" s="24"/>
      <c r="CA827" s="24"/>
      <c r="CB827" s="16"/>
      <c r="CC827" s="49">
        <f t="shared" si="336"/>
        <v>0</v>
      </c>
      <c r="CD827" s="24"/>
      <c r="CE827" s="49">
        <f t="shared" si="344"/>
        <v>38542062</v>
      </c>
      <c r="CF827" s="50"/>
      <c r="CG827" s="49">
        <f t="shared" ca="1" si="343"/>
        <v>38542062</v>
      </c>
      <c r="CH827" s="33">
        <f t="shared" ca="1" si="339"/>
        <v>1</v>
      </c>
      <c r="CI827" s="33">
        <f t="shared" ca="1" si="340"/>
        <v>1</v>
      </c>
      <c r="CJ827" s="36">
        <f t="shared" ca="1" si="328"/>
        <v>100</v>
      </c>
      <c r="CK827" s="34">
        <f t="shared" si="329"/>
        <v>0</v>
      </c>
      <c r="CL827" s="21"/>
      <c r="CM827" s="35" t="str">
        <f t="shared" ca="1" si="338"/>
        <v>TERMINADO</v>
      </c>
      <c r="CN827" s="82"/>
      <c r="CP827" s="26" t="s">
        <v>123</v>
      </c>
    </row>
    <row r="828" spans="1:96" s="85" customFormat="1" ht="24.75" customHeight="1">
      <c r="A828" s="48" t="s">
        <v>1424</v>
      </c>
      <c r="B828" s="77" t="s">
        <v>6556</v>
      </c>
      <c r="C828" s="17" t="s">
        <v>2927</v>
      </c>
      <c r="D828" s="18" t="s">
        <v>6557</v>
      </c>
      <c r="E828" s="17" t="s">
        <v>2929</v>
      </c>
      <c r="F828" s="17" t="s">
        <v>1426</v>
      </c>
      <c r="G828" s="17" t="s">
        <v>1427</v>
      </c>
      <c r="H828" s="78" t="s">
        <v>6558</v>
      </c>
      <c r="I828" s="74" t="s">
        <v>6559</v>
      </c>
      <c r="J828" s="16" t="s">
        <v>6560</v>
      </c>
      <c r="K828" s="16">
        <v>79263686</v>
      </c>
      <c r="L828" s="20" t="s">
        <v>5291</v>
      </c>
      <c r="M828" s="16"/>
      <c r="N828" s="22">
        <v>45497</v>
      </c>
      <c r="O828" s="22">
        <v>45497</v>
      </c>
      <c r="P828" s="22">
        <v>45862</v>
      </c>
      <c r="Q828" s="23">
        <f t="shared" si="341"/>
        <v>365</v>
      </c>
      <c r="R828" s="17" t="s">
        <v>2934</v>
      </c>
      <c r="S828" s="16" t="s">
        <v>1424</v>
      </c>
      <c r="T828" s="16" t="s">
        <v>1424</v>
      </c>
      <c r="U828" s="24" t="s">
        <v>1424</v>
      </c>
      <c r="V828" s="16" t="s">
        <v>1424</v>
      </c>
      <c r="W828" s="227">
        <v>0</v>
      </c>
      <c r="X828" s="24"/>
      <c r="Y828" s="24" t="s">
        <v>2935</v>
      </c>
      <c r="Z828" s="24"/>
      <c r="AA828" s="17" t="s">
        <v>406</v>
      </c>
      <c r="AB828" s="23" t="str">
        <f>IFERROR(VLOOKUP(AA828,Listas!$A$1:$C$14,2,FALSE),"")</f>
        <v>EDUARDO ELÍAS BARCHA BOLÍVAR</v>
      </c>
      <c r="AC828" s="23">
        <f>IFERROR(VLOOKUP(AA828,Listas!$A$1:$C$14,3,FALSE),"")</f>
        <v>72133921</v>
      </c>
      <c r="AD828" s="17" t="s">
        <v>1533</v>
      </c>
      <c r="AE828" s="17" t="s">
        <v>1534</v>
      </c>
      <c r="AF828" s="23" t="str">
        <f>IFERROR(VLOOKUP(AE828,Listas!$AD$1:$AF$65,2,FALSE),"")</f>
        <v>ESTEBAN GUERRERO ALVAREZ</v>
      </c>
      <c r="AG828" s="23">
        <f>IFERROR(VLOOKUP(AE828,Listas!$AD$1:$AF$65,3,FALSE),"")</f>
        <v>1032460552</v>
      </c>
      <c r="AH828" s="17" t="s">
        <v>2936</v>
      </c>
      <c r="AI828" s="65"/>
      <c r="AJ828" s="25" t="s">
        <v>1435</v>
      </c>
      <c r="AK828" s="26" t="s">
        <v>2071</v>
      </c>
      <c r="AL828" s="26" t="s">
        <v>2071</v>
      </c>
      <c r="AM828" s="90" t="s">
        <v>1435</v>
      </c>
      <c r="AN828" s="105"/>
      <c r="AO828" s="91" t="str">
        <f t="shared" ca="1" si="342"/>
        <v xml:space="preserve"> </v>
      </c>
      <c r="AP828" s="26" t="s">
        <v>2937</v>
      </c>
      <c r="AQ828" s="26" t="s">
        <v>3437</v>
      </c>
      <c r="AR828" s="89"/>
      <c r="AS828" s="27"/>
      <c r="AT828" s="16"/>
      <c r="AU828" s="27"/>
      <c r="AV828" s="86"/>
      <c r="AW828" s="27"/>
      <c r="AX828" s="27"/>
      <c r="AY828" s="27"/>
      <c r="AZ828" s="27"/>
      <c r="BA828" s="27"/>
      <c r="BB828" s="27">
        <v>45743</v>
      </c>
      <c r="BC828" s="97">
        <v>160</v>
      </c>
      <c r="BD828" s="27"/>
      <c r="BE828" s="16"/>
      <c r="BF828" s="28">
        <f t="shared" si="333"/>
        <v>160</v>
      </c>
      <c r="BG828" s="29"/>
      <c r="BH828" s="27"/>
      <c r="BI828" s="30">
        <f t="shared" si="334"/>
        <v>525</v>
      </c>
      <c r="BJ828" s="31">
        <f t="shared" si="335"/>
        <v>46022</v>
      </c>
      <c r="BK828" s="27">
        <v>45743</v>
      </c>
      <c r="BL828" s="16" t="s">
        <v>6561</v>
      </c>
      <c r="BM828" s="27"/>
      <c r="BN828" s="16"/>
      <c r="BO828" s="27"/>
      <c r="BP828" s="16"/>
      <c r="BQ828" s="27"/>
      <c r="BR828" s="24"/>
      <c r="BS828" s="24"/>
      <c r="BT828" s="32"/>
      <c r="BU828" s="27"/>
      <c r="BV828" s="24"/>
      <c r="BW828" s="24"/>
      <c r="BX828" s="16"/>
      <c r="BY828" s="27"/>
      <c r="BZ828" s="24"/>
      <c r="CA828" s="24"/>
      <c r="CB828" s="16"/>
      <c r="CC828" s="49">
        <f t="shared" si="336"/>
        <v>0</v>
      </c>
      <c r="CD828" s="24"/>
      <c r="CE828" s="49" t="str">
        <f>IFERROR(IF(Y828=0,(W828+CC828)-CD828,IF(Y828&gt;0,(Y828+CC828)-CD828)),"")</f>
        <v/>
      </c>
      <c r="CF828" s="50">
        <v>573366654.83999896</v>
      </c>
      <c r="CG828" s="49" t="str">
        <f t="shared" ca="1" si="343"/>
        <v/>
      </c>
      <c r="CH828" s="33">
        <f t="shared" ca="1" si="339"/>
        <v>0.8626692456479691</v>
      </c>
      <c r="CI828" s="33">
        <f t="shared" ca="1" si="340"/>
        <v>0.8626692456479691</v>
      </c>
      <c r="CJ828" s="36" t="str">
        <f t="shared" ca="1" si="328"/>
        <v/>
      </c>
      <c r="CK828" s="34" t="str">
        <f t="shared" si="329"/>
        <v/>
      </c>
      <c r="CL828" s="21"/>
      <c r="CM828" s="35" t="str">
        <f t="shared" ca="1" si="338"/>
        <v>VIGENTE</v>
      </c>
      <c r="CN828" s="82"/>
      <c r="CO828" s="145"/>
      <c r="CP828" s="83" t="s">
        <v>1424</v>
      </c>
      <c r="CQ828" s="83"/>
      <c r="CR828" s="83"/>
    </row>
    <row r="829" spans="1:96" ht="24.75" customHeight="1">
      <c r="A829" s="48" t="s">
        <v>1618</v>
      </c>
      <c r="B829" s="77" t="s">
        <v>6562</v>
      </c>
      <c r="C829" s="17" t="s">
        <v>104</v>
      </c>
      <c r="D829" s="18" t="s">
        <v>6563</v>
      </c>
      <c r="E829" s="17" t="s">
        <v>106</v>
      </c>
      <c r="F829" s="17" t="s">
        <v>107</v>
      </c>
      <c r="G829" s="17" t="s">
        <v>108</v>
      </c>
      <c r="H829" s="78">
        <v>79720987</v>
      </c>
      <c r="I829" s="74" t="s">
        <v>1621</v>
      </c>
      <c r="J829" s="16"/>
      <c r="K829" s="16"/>
      <c r="L829" s="20" t="s">
        <v>1622</v>
      </c>
      <c r="M829" s="16" t="s">
        <v>111</v>
      </c>
      <c r="N829" s="22">
        <v>45497</v>
      </c>
      <c r="O829" s="22">
        <v>45498</v>
      </c>
      <c r="P829" s="22">
        <v>45657</v>
      </c>
      <c r="Q829" s="23">
        <f t="shared" si="341"/>
        <v>159</v>
      </c>
      <c r="R829" s="17" t="s">
        <v>112</v>
      </c>
      <c r="S829" s="16" t="s">
        <v>6564</v>
      </c>
      <c r="T829" s="16" t="s">
        <v>114</v>
      </c>
      <c r="U829" s="67">
        <v>56623668</v>
      </c>
      <c r="V829" s="16" t="s">
        <v>742</v>
      </c>
      <c r="W829" s="224">
        <v>56623668</v>
      </c>
      <c r="X829" s="24">
        <v>10421534</v>
      </c>
      <c r="Y829" s="24"/>
      <c r="Z829" s="24"/>
      <c r="AA829" s="17" t="s">
        <v>116</v>
      </c>
      <c r="AB829" s="23" t="str">
        <f>IFERROR(VLOOKUP(AA829,Listas!$A$1:$C$14,2,FALSE),"")</f>
        <v>FREDY CÉSPEDES VILLA</v>
      </c>
      <c r="AC829" s="23">
        <f>IFERROR(VLOOKUP(AA829,Listas!$A$1:$C$14,3,FALSE),"")</f>
        <v>93363483</v>
      </c>
      <c r="AD829" s="17" t="s">
        <v>116</v>
      </c>
      <c r="AE829" s="17" t="s">
        <v>325</v>
      </c>
      <c r="AF829" s="23" t="str">
        <f>IFERROR(VLOOKUP(AE829,Listas!$AD$1:$AF$65,2,FALSE),"")</f>
        <v>SANDRA MILENA MÁRQUEZ PARRA</v>
      </c>
      <c r="AG829" s="23">
        <f>IFERROR(VLOOKUP(AE829,Listas!$AD$1:$AF$65,3,FALSE),"")</f>
        <v>52487587</v>
      </c>
      <c r="AH829" s="17" t="s">
        <v>118</v>
      </c>
      <c r="AI829" s="65" t="s">
        <v>6565</v>
      </c>
      <c r="AJ829" s="25" t="s">
        <v>4370</v>
      </c>
      <c r="AK829" s="26" t="s">
        <v>120</v>
      </c>
      <c r="AL829" s="26" t="s">
        <v>120</v>
      </c>
      <c r="AM829" s="90" t="s">
        <v>119</v>
      </c>
      <c r="AN829" s="105">
        <v>27940</v>
      </c>
      <c r="AO829" s="91">
        <f t="shared" ca="1" si="342"/>
        <v>49</v>
      </c>
      <c r="AP829" s="26" t="s">
        <v>121</v>
      </c>
      <c r="AQ829" s="26" t="s">
        <v>327</v>
      </c>
      <c r="AR829" s="89"/>
      <c r="AS829" s="27"/>
      <c r="AT829" s="16"/>
      <c r="AU829" s="27"/>
      <c r="AV829" s="86"/>
      <c r="AW829" s="27"/>
      <c r="AX829" s="27"/>
      <c r="AY829" s="27"/>
      <c r="AZ829" s="27"/>
      <c r="BA829" s="27"/>
      <c r="BB829" s="27"/>
      <c r="BC829" s="97"/>
      <c r="BD829" s="27"/>
      <c r="BE829" s="16"/>
      <c r="BF829" s="28">
        <f t="shared" si="333"/>
        <v>0</v>
      </c>
      <c r="BG829" s="29"/>
      <c r="BH829" s="27"/>
      <c r="BI829" s="30">
        <f t="shared" si="334"/>
        <v>159</v>
      </c>
      <c r="BJ829" s="31">
        <f t="shared" si="335"/>
        <v>45657</v>
      </c>
      <c r="BK829" s="27"/>
      <c r="BL829" s="16"/>
      <c r="BM829" s="27"/>
      <c r="BN829" s="16"/>
      <c r="BO829" s="27"/>
      <c r="BP829" s="16"/>
      <c r="BQ829" s="27"/>
      <c r="BR829" s="24"/>
      <c r="BS829" s="24"/>
      <c r="BT829" s="32"/>
      <c r="BU829" s="27"/>
      <c r="BV829" s="24"/>
      <c r="BW829" s="24"/>
      <c r="BX829" s="16"/>
      <c r="BY829" s="27"/>
      <c r="BZ829" s="24"/>
      <c r="CA829" s="24"/>
      <c r="CB829" s="16"/>
      <c r="CC829" s="49">
        <f t="shared" si="336"/>
        <v>0</v>
      </c>
      <c r="CD829" s="24"/>
      <c r="CE829" s="49">
        <f t="shared" si="344"/>
        <v>56623668</v>
      </c>
      <c r="CF829" s="50">
        <v>0</v>
      </c>
      <c r="CG829" s="49">
        <f t="shared" ca="1" si="343"/>
        <v>56623668</v>
      </c>
      <c r="CH829" s="33">
        <f t="shared" ca="1" si="339"/>
        <v>1</v>
      </c>
      <c r="CI829" s="33">
        <f t="shared" ca="1" si="340"/>
        <v>1</v>
      </c>
      <c r="CJ829" s="36">
        <f t="shared" ca="1" si="328"/>
        <v>100</v>
      </c>
      <c r="CK829" s="34">
        <f t="shared" si="329"/>
        <v>0</v>
      </c>
      <c r="CL829" s="21"/>
      <c r="CM829" s="35" t="str">
        <f t="shared" ca="1" si="338"/>
        <v>TERMINADO</v>
      </c>
      <c r="CN829" s="82"/>
      <c r="CP829" s="26" t="s">
        <v>142</v>
      </c>
    </row>
    <row r="830" spans="1:96" s="85" customFormat="1" ht="24.75" customHeight="1">
      <c r="A830" s="48" t="s">
        <v>1424</v>
      </c>
      <c r="B830" s="77" t="s">
        <v>6566</v>
      </c>
      <c r="C830" s="17" t="s">
        <v>2927</v>
      </c>
      <c r="D830" s="18" t="s">
        <v>6567</v>
      </c>
      <c r="E830" s="17" t="s">
        <v>2929</v>
      </c>
      <c r="F830" s="17" t="s">
        <v>1426</v>
      </c>
      <c r="G830" s="17" t="s">
        <v>1427</v>
      </c>
      <c r="H830" s="78" t="s">
        <v>6568</v>
      </c>
      <c r="I830" s="74" t="s">
        <v>6569</v>
      </c>
      <c r="J830" s="16" t="s">
        <v>6570</v>
      </c>
      <c r="K830" s="16">
        <v>8409935</v>
      </c>
      <c r="L830" s="20" t="s">
        <v>5291</v>
      </c>
      <c r="M830" s="16"/>
      <c r="N830" s="22">
        <v>45499</v>
      </c>
      <c r="O830" s="22">
        <v>45499</v>
      </c>
      <c r="P830" s="22">
        <v>45864</v>
      </c>
      <c r="Q830" s="23">
        <f t="shared" si="341"/>
        <v>365</v>
      </c>
      <c r="R830" s="17" t="s">
        <v>2934</v>
      </c>
      <c r="S830" s="16" t="s">
        <v>1424</v>
      </c>
      <c r="T830" s="16" t="s">
        <v>1424</v>
      </c>
      <c r="U830" s="24" t="s">
        <v>1424</v>
      </c>
      <c r="V830" s="16" t="s">
        <v>1424</v>
      </c>
      <c r="W830" s="227">
        <v>0</v>
      </c>
      <c r="X830" s="24"/>
      <c r="Y830" s="24" t="s">
        <v>2935</v>
      </c>
      <c r="Z830" s="24"/>
      <c r="AA830" s="17" t="s">
        <v>406</v>
      </c>
      <c r="AB830" s="23" t="str">
        <f>IFERROR(VLOOKUP(AA830,Listas!$A$1:$C$14,2,FALSE),"")</f>
        <v>EDUARDO ELÍAS BARCHA BOLÍVAR</v>
      </c>
      <c r="AC830" s="23">
        <f>IFERROR(VLOOKUP(AA830,Listas!$A$1:$C$14,3,FALSE),"")</f>
        <v>72133921</v>
      </c>
      <c r="AD830" s="17" t="s">
        <v>472</v>
      </c>
      <c r="AE830" s="17" t="s">
        <v>473</v>
      </c>
      <c r="AF830" s="23" t="str">
        <f>IFERROR(VLOOKUP(AE830,Listas!$AD$1:$AF$65,2,FALSE),"")</f>
        <v>DANIEL ALBERTO CASTAÑO LOPEZ</v>
      </c>
      <c r="AG830" s="23">
        <f>IFERROR(VLOOKUP(AE830,Listas!$AD$1:$AF$65,3,FALSE),"")</f>
        <v>7544385</v>
      </c>
      <c r="AH830" s="17" t="s">
        <v>2936</v>
      </c>
      <c r="AI830" s="65"/>
      <c r="AJ830" s="25" t="s">
        <v>1435</v>
      </c>
      <c r="AK830" s="26" t="s">
        <v>2071</v>
      </c>
      <c r="AL830" s="26" t="s">
        <v>2071</v>
      </c>
      <c r="AM830" s="90" t="s">
        <v>1435</v>
      </c>
      <c r="AN830" s="105"/>
      <c r="AO830" s="91" t="str">
        <f t="shared" ca="1" si="342"/>
        <v xml:space="preserve"> </v>
      </c>
      <c r="AP830" s="26" t="s">
        <v>2937</v>
      </c>
      <c r="AQ830" s="26" t="s">
        <v>3437</v>
      </c>
      <c r="AR830" s="89"/>
      <c r="AS830" s="27"/>
      <c r="AT830" s="16"/>
      <c r="AU830" s="27"/>
      <c r="AV830" s="86"/>
      <c r="AW830" s="27"/>
      <c r="AX830" s="27"/>
      <c r="AY830" s="27"/>
      <c r="AZ830" s="27"/>
      <c r="BA830" s="27"/>
      <c r="BB830" s="27">
        <v>45786</v>
      </c>
      <c r="BC830" s="97">
        <v>158</v>
      </c>
      <c r="BD830" s="27"/>
      <c r="BE830" s="16"/>
      <c r="BF830" s="28">
        <f t="shared" si="333"/>
        <v>158</v>
      </c>
      <c r="BG830" s="29"/>
      <c r="BH830" s="27"/>
      <c r="BI830" s="30">
        <f t="shared" si="334"/>
        <v>523</v>
      </c>
      <c r="BJ830" s="31">
        <f t="shared" si="335"/>
        <v>46022</v>
      </c>
      <c r="BK830" s="27">
        <v>45786</v>
      </c>
      <c r="BL830" s="16" t="s">
        <v>6571</v>
      </c>
      <c r="BM830" s="27"/>
      <c r="BN830" s="16"/>
      <c r="BO830" s="27"/>
      <c r="BP830" s="16"/>
      <c r="BQ830" s="27"/>
      <c r="BR830" s="24"/>
      <c r="BS830" s="24"/>
      <c r="BT830" s="32"/>
      <c r="BU830" s="27"/>
      <c r="BV830" s="24"/>
      <c r="BW830" s="24"/>
      <c r="BX830" s="16"/>
      <c r="BY830" s="27"/>
      <c r="BZ830" s="24"/>
      <c r="CA830" s="24"/>
      <c r="CB830" s="16"/>
      <c r="CC830" s="49">
        <f t="shared" si="336"/>
        <v>0</v>
      </c>
      <c r="CD830" s="24"/>
      <c r="CE830" s="49" t="str">
        <f>IFERROR(IF(Y830=0,(W830+CC830)-CD830,IF(Y830&gt;0,(Y830+CC830)-CD830)),"")</f>
        <v/>
      </c>
      <c r="CF830" s="50">
        <v>1446893</v>
      </c>
      <c r="CG830" s="49" t="str">
        <f t="shared" ca="1" si="343"/>
        <v/>
      </c>
      <c r="CH830" s="33">
        <f t="shared" ca="1" si="339"/>
        <v>0.86213592233009706</v>
      </c>
      <c r="CI830" s="33">
        <f t="shared" ca="1" si="340"/>
        <v>0.86213592233009706</v>
      </c>
      <c r="CJ830" s="36" t="str">
        <f t="shared" ca="1" si="328"/>
        <v/>
      </c>
      <c r="CK830" s="34" t="str">
        <f t="shared" si="329"/>
        <v/>
      </c>
      <c r="CL830" s="21"/>
      <c r="CM830" s="35" t="str">
        <f t="shared" ca="1" si="338"/>
        <v>VIGENTE</v>
      </c>
      <c r="CN830" s="82"/>
      <c r="CO830" s="145"/>
      <c r="CP830" s="83" t="s">
        <v>1424</v>
      </c>
      <c r="CQ830" s="83"/>
      <c r="CR830" s="83"/>
    </row>
    <row r="831" spans="1:96" s="85" customFormat="1" ht="24.75" customHeight="1">
      <c r="A831" s="48" t="s">
        <v>6572</v>
      </c>
      <c r="B831" s="77" t="s">
        <v>6573</v>
      </c>
      <c r="C831" s="17" t="s">
        <v>104</v>
      </c>
      <c r="D831" s="18" t="s">
        <v>6574</v>
      </c>
      <c r="E831" s="17" t="s">
        <v>106</v>
      </c>
      <c r="F831" s="17" t="s">
        <v>1426</v>
      </c>
      <c r="G831" s="17" t="s">
        <v>1427</v>
      </c>
      <c r="H831" s="78">
        <v>9014289451</v>
      </c>
      <c r="I831" s="74" t="s">
        <v>6575</v>
      </c>
      <c r="J831" s="16"/>
      <c r="K831" s="16"/>
      <c r="L831" s="20" t="s">
        <v>6576</v>
      </c>
      <c r="M831" s="16"/>
      <c r="N831" s="22">
        <v>45502</v>
      </c>
      <c r="O831" s="22">
        <v>45512</v>
      </c>
      <c r="P831" s="22">
        <v>45656</v>
      </c>
      <c r="Q831" s="23">
        <f t="shared" si="341"/>
        <v>144</v>
      </c>
      <c r="R831" s="17" t="s">
        <v>242</v>
      </c>
      <c r="S831" s="16" t="s">
        <v>6577</v>
      </c>
      <c r="T831" s="16" t="s">
        <v>6578</v>
      </c>
      <c r="U831" s="24">
        <v>1835771350</v>
      </c>
      <c r="V831" s="16" t="s">
        <v>6579</v>
      </c>
      <c r="W831" s="227">
        <v>1835771350</v>
      </c>
      <c r="X831" s="24"/>
      <c r="Y831" s="24"/>
      <c r="Z831" s="24"/>
      <c r="AA831" s="17" t="s">
        <v>116</v>
      </c>
      <c r="AB831" s="23" t="str">
        <f>IFERROR(VLOOKUP(AA831,Listas!$A$1:$C$14,2,FALSE),"")</f>
        <v>FREDY CÉSPEDES VILLA</v>
      </c>
      <c r="AC831" s="23">
        <f>IFERROR(VLOOKUP(AA831,Listas!$A$1:$C$14,3,FALSE),"")</f>
        <v>93363483</v>
      </c>
      <c r="AD831" s="17" t="s">
        <v>116</v>
      </c>
      <c r="AE831" s="17" t="s">
        <v>940</v>
      </c>
      <c r="AF831" s="23" t="str">
        <f>IFERROR(VLOOKUP(AE831,Listas!$AD$1:$AF$65,2,FALSE),"")</f>
        <v>GERARDO ALONSO RODRÍGUEZ PINEDA</v>
      </c>
      <c r="AG831" s="23">
        <f>IFERROR(VLOOKUP(AE831,Listas!$AD$1:$AF$65,3,FALSE),"")</f>
        <v>79466595</v>
      </c>
      <c r="AH831" s="17" t="s">
        <v>118</v>
      </c>
      <c r="AI831" s="65"/>
      <c r="AJ831" s="25" t="s">
        <v>1435</v>
      </c>
      <c r="AK831" s="26" t="s">
        <v>2071</v>
      </c>
      <c r="AL831" s="26" t="s">
        <v>2071</v>
      </c>
      <c r="AM831" s="90" t="s">
        <v>1435</v>
      </c>
      <c r="AN831" s="105"/>
      <c r="AO831" s="91" t="str">
        <f t="shared" ca="1" si="342"/>
        <v xml:space="preserve"> </v>
      </c>
      <c r="AP831" s="26" t="s">
        <v>121</v>
      </c>
      <c r="AQ831" s="26" t="s">
        <v>327</v>
      </c>
      <c r="AR831" s="89"/>
      <c r="AS831" s="27"/>
      <c r="AT831" s="16"/>
      <c r="AU831" s="27"/>
      <c r="AV831" s="86"/>
      <c r="AW831" s="27"/>
      <c r="AX831" s="27"/>
      <c r="AY831" s="27"/>
      <c r="AZ831" s="27"/>
      <c r="BA831" s="27"/>
      <c r="BB831" s="27"/>
      <c r="BC831" s="97"/>
      <c r="BD831" s="27"/>
      <c r="BE831" s="16"/>
      <c r="BF831" s="28">
        <f t="shared" si="333"/>
        <v>0</v>
      </c>
      <c r="BG831" s="29"/>
      <c r="BH831" s="27"/>
      <c r="BI831" s="30">
        <f t="shared" si="334"/>
        <v>144</v>
      </c>
      <c r="BJ831" s="31">
        <f t="shared" si="335"/>
        <v>45656</v>
      </c>
      <c r="BK831" s="27"/>
      <c r="BL831" s="16"/>
      <c r="BM831" s="27"/>
      <c r="BN831" s="16"/>
      <c r="BO831" s="27"/>
      <c r="BP831" s="16"/>
      <c r="BQ831" s="27"/>
      <c r="BR831" s="24"/>
      <c r="BS831" s="24"/>
      <c r="BT831" s="32"/>
      <c r="BU831" s="27"/>
      <c r="BV831" s="24"/>
      <c r="BW831" s="24"/>
      <c r="BX831" s="16"/>
      <c r="BY831" s="27"/>
      <c r="BZ831" s="24"/>
      <c r="CA831" s="24"/>
      <c r="CB831" s="16"/>
      <c r="CC831" s="49">
        <f t="shared" si="336"/>
        <v>0</v>
      </c>
      <c r="CD831" s="24"/>
      <c r="CE831" s="49">
        <f t="shared" si="344"/>
        <v>1835771350</v>
      </c>
      <c r="CF831" s="50"/>
      <c r="CG831" s="49">
        <f t="shared" ca="1" si="343"/>
        <v>1835771350</v>
      </c>
      <c r="CH831" s="33">
        <f t="shared" ca="1" si="339"/>
        <v>1</v>
      </c>
      <c r="CI831" s="33">
        <f t="shared" ca="1" si="340"/>
        <v>1</v>
      </c>
      <c r="CJ831" s="36">
        <f t="shared" ca="1" si="328"/>
        <v>100</v>
      </c>
      <c r="CK831" s="34">
        <f t="shared" si="329"/>
        <v>0</v>
      </c>
      <c r="CL831" s="21"/>
      <c r="CM831" s="35" t="str">
        <f t="shared" ca="1" si="338"/>
        <v>TERMINADO</v>
      </c>
      <c r="CN831" s="82"/>
      <c r="CO831" s="145" t="s">
        <v>6580</v>
      </c>
      <c r="CP831" s="83" t="s">
        <v>1424</v>
      </c>
      <c r="CQ831" s="83"/>
      <c r="CR831" s="83"/>
    </row>
    <row r="832" spans="1:96" ht="24.75" customHeight="1">
      <c r="A832" s="48" t="s">
        <v>6581</v>
      </c>
      <c r="B832" s="77" t="s">
        <v>6582</v>
      </c>
      <c r="C832" s="17" t="s">
        <v>104</v>
      </c>
      <c r="D832" s="18" t="s">
        <v>6583</v>
      </c>
      <c r="E832" s="17" t="s">
        <v>106</v>
      </c>
      <c r="F832" s="17" t="s">
        <v>107</v>
      </c>
      <c r="G832" s="17" t="s">
        <v>108</v>
      </c>
      <c r="H832" s="78">
        <v>52425549</v>
      </c>
      <c r="I832" s="74" t="s">
        <v>6584</v>
      </c>
      <c r="J832" s="16"/>
      <c r="K832" s="16"/>
      <c r="L832" s="20" t="s">
        <v>1387</v>
      </c>
      <c r="M832" s="16" t="s">
        <v>111</v>
      </c>
      <c r="N832" s="22">
        <v>45506</v>
      </c>
      <c r="O832" s="22">
        <v>45512</v>
      </c>
      <c r="P832" s="22">
        <v>45657</v>
      </c>
      <c r="Q832" s="23">
        <f t="shared" si="341"/>
        <v>145</v>
      </c>
      <c r="R832" s="17" t="s">
        <v>242</v>
      </c>
      <c r="S832" s="16" t="s">
        <v>6585</v>
      </c>
      <c r="T832" s="16" t="s">
        <v>1145</v>
      </c>
      <c r="U832" s="67">
        <v>54444000</v>
      </c>
      <c r="V832" s="16" t="s">
        <v>426</v>
      </c>
      <c r="W832" s="224">
        <v>45370000</v>
      </c>
      <c r="X832" s="24">
        <v>9074000</v>
      </c>
      <c r="Y832" s="24"/>
      <c r="Z832" s="24"/>
      <c r="AA832" s="17" t="s">
        <v>116</v>
      </c>
      <c r="AB832" s="23" t="str">
        <f>IFERROR(VLOOKUP(AA832,Listas!$A$1:$C$14,2,FALSE),"")</f>
        <v>FREDY CÉSPEDES VILLA</v>
      </c>
      <c r="AC832" s="23">
        <f>IFERROR(VLOOKUP(AA832,Listas!$A$1:$C$14,3,FALSE),"")</f>
        <v>93363483</v>
      </c>
      <c r="AD832" s="17" t="s">
        <v>427</v>
      </c>
      <c r="AE832" s="17" t="s">
        <v>428</v>
      </c>
      <c r="AF832" s="23" t="str">
        <f>IFERROR(VLOOKUP(AE832,Listas!$AD$1:$AF$65,2,FALSE),"")</f>
        <v>DINORAH PATRICIA ABADIA MURILLO</v>
      </c>
      <c r="AG832" s="23">
        <f>IFERROR(VLOOKUP(AE832,Listas!$AD$1:$AF$65,3,FALSE),"")</f>
        <v>52220857</v>
      </c>
      <c r="AH832" s="17" t="s">
        <v>118</v>
      </c>
      <c r="AI832" s="65"/>
      <c r="AJ832" s="25" t="s">
        <v>4370</v>
      </c>
      <c r="AK832" s="26" t="s">
        <v>120</v>
      </c>
      <c r="AL832" s="26" t="s">
        <v>120</v>
      </c>
      <c r="AM832" s="90" t="s">
        <v>119</v>
      </c>
      <c r="AN832" s="105"/>
      <c r="AO832" s="91" t="str">
        <f t="shared" ca="1" si="342"/>
        <v xml:space="preserve"> </v>
      </c>
      <c r="AP832" s="26" t="s">
        <v>121</v>
      </c>
      <c r="AQ832" s="26" t="s">
        <v>515</v>
      </c>
      <c r="AR832" s="89"/>
      <c r="AS832" s="27"/>
      <c r="AT832" s="16"/>
      <c r="AU832" s="27"/>
      <c r="AV832" s="86"/>
      <c r="AW832" s="27"/>
      <c r="AX832" s="27"/>
      <c r="AY832" s="27"/>
      <c r="AZ832" s="27"/>
      <c r="BA832" s="27"/>
      <c r="BB832" s="27"/>
      <c r="BC832" s="97"/>
      <c r="BD832" s="27"/>
      <c r="BE832" s="16"/>
      <c r="BF832" s="28">
        <f t="shared" si="333"/>
        <v>0</v>
      </c>
      <c r="BG832" s="29"/>
      <c r="BH832" s="27"/>
      <c r="BI832" s="30">
        <f t="shared" si="334"/>
        <v>145</v>
      </c>
      <c r="BJ832" s="31">
        <f t="shared" si="335"/>
        <v>45657</v>
      </c>
      <c r="BK832" s="27"/>
      <c r="BL832" s="16"/>
      <c r="BM832" s="27"/>
      <c r="BN832" s="16"/>
      <c r="BO832" s="27"/>
      <c r="BP832" s="16"/>
      <c r="BQ832" s="27"/>
      <c r="BR832" s="24"/>
      <c r="BS832" s="24"/>
      <c r="BT832" s="32"/>
      <c r="BU832" s="27"/>
      <c r="BV832" s="24"/>
      <c r="BW832" s="24"/>
      <c r="BX832" s="16"/>
      <c r="BY832" s="27"/>
      <c r="BZ832" s="24"/>
      <c r="CA832" s="24"/>
      <c r="CB832" s="16"/>
      <c r="CC832" s="49">
        <f t="shared" si="336"/>
        <v>0</v>
      </c>
      <c r="CD832" s="24"/>
      <c r="CE832" s="49">
        <f t="shared" si="344"/>
        <v>45370000</v>
      </c>
      <c r="CF832" s="50">
        <v>5141922</v>
      </c>
      <c r="CG832" s="49">
        <f t="shared" ca="1" si="343"/>
        <v>45370000</v>
      </c>
      <c r="CH832" s="33">
        <f t="shared" ca="1" si="339"/>
        <v>1</v>
      </c>
      <c r="CI832" s="33">
        <f t="shared" ca="1" si="340"/>
        <v>1</v>
      </c>
      <c r="CJ832" s="36">
        <f t="shared" ca="1" si="328"/>
        <v>100</v>
      </c>
      <c r="CK832" s="34">
        <f t="shared" si="329"/>
        <v>11.33330835353758</v>
      </c>
      <c r="CL832" s="21"/>
      <c r="CM832" s="35" t="str">
        <f t="shared" ca="1" si="338"/>
        <v>TERMINADO</v>
      </c>
      <c r="CN832" s="82"/>
      <c r="CP832" s="26" t="s">
        <v>123</v>
      </c>
    </row>
    <row r="833" spans="1:96" ht="24.75" customHeight="1">
      <c r="A833" s="48" t="s">
        <v>2805</v>
      </c>
      <c r="B833" s="77" t="s">
        <v>6586</v>
      </c>
      <c r="C833" s="17" t="s">
        <v>104</v>
      </c>
      <c r="D833" s="18" t="s">
        <v>6587</v>
      </c>
      <c r="E833" s="17" t="s">
        <v>106</v>
      </c>
      <c r="F833" s="17" t="s">
        <v>1426</v>
      </c>
      <c r="G833" s="17" t="s">
        <v>1427</v>
      </c>
      <c r="H833" s="78" t="s">
        <v>6588</v>
      </c>
      <c r="I833" s="74" t="s">
        <v>6589</v>
      </c>
      <c r="J833" s="16" t="s">
        <v>6590</v>
      </c>
      <c r="K833" s="16"/>
      <c r="L833" s="20" t="s">
        <v>6591</v>
      </c>
      <c r="M833" s="16"/>
      <c r="N833" s="22">
        <v>45506</v>
      </c>
      <c r="O833" s="22">
        <v>45526</v>
      </c>
      <c r="P833" s="22">
        <v>45656</v>
      </c>
      <c r="Q833" s="23">
        <f t="shared" si="341"/>
        <v>130</v>
      </c>
      <c r="R833" s="17" t="s">
        <v>242</v>
      </c>
      <c r="S833" s="16" t="s">
        <v>6592</v>
      </c>
      <c r="T833" s="16"/>
      <c r="U833" s="67">
        <v>12579448</v>
      </c>
      <c r="V833" s="16" t="s">
        <v>2812</v>
      </c>
      <c r="W833" s="224">
        <v>12579448</v>
      </c>
      <c r="X833" s="24"/>
      <c r="Y833" s="24"/>
      <c r="Z833" s="24"/>
      <c r="AA833" s="17" t="s">
        <v>116</v>
      </c>
      <c r="AB833" s="23" t="str">
        <f>IFERROR(VLOOKUP(AA833,Listas!$A$1:$C$14,2,FALSE),"")</f>
        <v>FREDY CÉSPEDES VILLA</v>
      </c>
      <c r="AC833" s="23">
        <f>IFERROR(VLOOKUP(AA833,Listas!$A$1:$C$14,3,FALSE),"")</f>
        <v>93363483</v>
      </c>
      <c r="AD833" s="17" t="s">
        <v>282</v>
      </c>
      <c r="AE833" s="17" t="s">
        <v>283</v>
      </c>
      <c r="AF833" s="23" t="str">
        <f>IFERROR(VLOOKUP(AE833,Listas!$AD$1:$AF$65,2,FALSE),"")</f>
        <v>MARÍA STELLA CARREÑO JURADO</v>
      </c>
      <c r="AG833" s="23">
        <f>IFERROR(VLOOKUP(AE833,Listas!$AD$1:$AF$65,3,FALSE),"")</f>
        <v>51774925</v>
      </c>
      <c r="AH833" s="17" t="s">
        <v>118</v>
      </c>
      <c r="AI833" s="65"/>
      <c r="AJ833" s="25" t="s">
        <v>1435</v>
      </c>
      <c r="AK833" s="26" t="s">
        <v>2071</v>
      </c>
      <c r="AL833" s="26" t="s">
        <v>2071</v>
      </c>
      <c r="AM833" s="90" t="s">
        <v>1435</v>
      </c>
      <c r="AN833" s="105"/>
      <c r="AO833" s="91" t="str">
        <f t="shared" ca="1" si="342"/>
        <v xml:space="preserve"> </v>
      </c>
      <c r="AP833" s="26" t="s">
        <v>121</v>
      </c>
      <c r="AQ833" s="26" t="s">
        <v>486</v>
      </c>
      <c r="AR833" s="89"/>
      <c r="AS833" s="27"/>
      <c r="AT833" s="16"/>
      <c r="AU833" s="27"/>
      <c r="AV833" s="86"/>
      <c r="AW833" s="27"/>
      <c r="AX833" s="27"/>
      <c r="AY833" s="27"/>
      <c r="AZ833" s="27"/>
      <c r="BA833" s="27"/>
      <c r="BB833" s="27"/>
      <c r="BC833" s="97"/>
      <c r="BD833" s="27"/>
      <c r="BE833" s="16"/>
      <c r="BF833" s="28">
        <f t="shared" si="333"/>
        <v>0</v>
      </c>
      <c r="BG833" s="29"/>
      <c r="BH833" s="27"/>
      <c r="BI833" s="30">
        <f t="shared" si="334"/>
        <v>130</v>
      </c>
      <c r="BJ833" s="31">
        <f t="shared" si="335"/>
        <v>45656</v>
      </c>
      <c r="BK833" s="27"/>
      <c r="BL833" s="16"/>
      <c r="BM833" s="27"/>
      <c r="BN833" s="16"/>
      <c r="BO833" s="27"/>
      <c r="BP833" s="16"/>
      <c r="BQ833" s="27"/>
      <c r="BR833" s="24"/>
      <c r="BS833" s="24"/>
      <c r="BT833" s="32"/>
      <c r="BU833" s="27"/>
      <c r="BV833" s="24"/>
      <c r="BW833" s="24"/>
      <c r="BX833" s="16"/>
      <c r="BY833" s="27"/>
      <c r="BZ833" s="24"/>
      <c r="CA833" s="24"/>
      <c r="CB833" s="16"/>
      <c r="CC833" s="49">
        <f t="shared" si="336"/>
        <v>0</v>
      </c>
      <c r="CD833" s="24"/>
      <c r="CE833" s="49">
        <f t="shared" si="344"/>
        <v>12579448</v>
      </c>
      <c r="CF833" s="50"/>
      <c r="CG833" s="49">
        <f t="shared" ca="1" si="343"/>
        <v>12579448</v>
      </c>
      <c r="CH833" s="33">
        <f t="shared" ca="1" si="339"/>
        <v>1</v>
      </c>
      <c r="CI833" s="33">
        <f t="shared" ca="1" si="340"/>
        <v>1</v>
      </c>
      <c r="CJ833" s="36">
        <f t="shared" ca="1" si="328"/>
        <v>100</v>
      </c>
      <c r="CK833" s="34">
        <f t="shared" si="329"/>
        <v>0</v>
      </c>
      <c r="CL833" s="21"/>
      <c r="CM833" s="35" t="str">
        <f t="shared" ca="1" si="338"/>
        <v>TERMINADO</v>
      </c>
      <c r="CN833" s="82"/>
      <c r="CP833" s="83" t="s">
        <v>1424</v>
      </c>
    </row>
    <row r="834" spans="1:96" s="85" customFormat="1" ht="24.75" customHeight="1">
      <c r="A834" s="48" t="s">
        <v>1424</v>
      </c>
      <c r="B834" s="77" t="s">
        <v>6593</v>
      </c>
      <c r="C834" s="17" t="s">
        <v>2927</v>
      </c>
      <c r="D834" s="18" t="s">
        <v>1424</v>
      </c>
      <c r="E834" s="17" t="s">
        <v>6197</v>
      </c>
      <c r="F834" s="17" t="s">
        <v>1426</v>
      </c>
      <c r="G834" s="17" t="s">
        <v>1427</v>
      </c>
      <c r="H834" s="78" t="s">
        <v>6594</v>
      </c>
      <c r="I834" s="74" t="s">
        <v>6595</v>
      </c>
      <c r="J834" s="16" t="s">
        <v>6596</v>
      </c>
      <c r="K834" s="16">
        <v>52449403</v>
      </c>
      <c r="L834" s="20" t="s">
        <v>6597</v>
      </c>
      <c r="M834" s="16"/>
      <c r="N834" s="22">
        <v>45506</v>
      </c>
      <c r="O834" s="22">
        <v>45509</v>
      </c>
      <c r="P834" s="22">
        <v>47700</v>
      </c>
      <c r="Q834" s="23">
        <f t="shared" ref="Q834" si="345">P834-O834</f>
        <v>2191</v>
      </c>
      <c r="R834" s="17" t="s">
        <v>2934</v>
      </c>
      <c r="S834" s="16" t="s">
        <v>1424</v>
      </c>
      <c r="T834" s="16" t="s">
        <v>1424</v>
      </c>
      <c r="U834" s="67">
        <v>0</v>
      </c>
      <c r="V834" s="16" t="s">
        <v>1424</v>
      </c>
      <c r="W834" s="224">
        <v>0</v>
      </c>
      <c r="X834" s="24"/>
      <c r="Y834" s="24">
        <v>273751033</v>
      </c>
      <c r="Z834" s="24"/>
      <c r="AA834" s="17" t="s">
        <v>427</v>
      </c>
      <c r="AB834" s="23" t="str">
        <f>IFERROR(VLOOKUP(AA834,Listas!$A$1:$C$14,2,FALSE),"")</f>
        <v>DINORAH PATRICIA ABADIA MURILLO</v>
      </c>
      <c r="AC834" s="23">
        <f>IFERROR(VLOOKUP(AA834,Listas!$A$1:$C$14,3,FALSE),"")</f>
        <v>52220857</v>
      </c>
      <c r="AD834" s="17" t="s">
        <v>427</v>
      </c>
      <c r="AE834" s="17" t="s">
        <v>428</v>
      </c>
      <c r="AF834" s="23" t="str">
        <f>IFERROR(VLOOKUP(AE834,Listas!$AD$1:$AF$65,2,FALSE),"")</f>
        <v>DINORAH PATRICIA ABADIA MURILLO</v>
      </c>
      <c r="AG834" s="23">
        <f>IFERROR(VLOOKUP(AE834,Listas!$AD$1:$AF$65,3,FALSE),"")</f>
        <v>52220857</v>
      </c>
      <c r="AH834" s="17" t="s">
        <v>2936</v>
      </c>
      <c r="AI834" s="65"/>
      <c r="AJ834" s="25" t="s">
        <v>1435</v>
      </c>
      <c r="AK834" s="26" t="s">
        <v>2071</v>
      </c>
      <c r="AL834" s="26" t="s">
        <v>2071</v>
      </c>
      <c r="AM834" s="90" t="s">
        <v>1435</v>
      </c>
      <c r="AN834" s="105"/>
      <c r="AO834" s="91" t="str">
        <f t="shared" ca="1" si="342"/>
        <v xml:space="preserve"> </v>
      </c>
      <c r="AP834" s="26" t="s">
        <v>2937</v>
      </c>
      <c r="AQ834" s="26" t="s">
        <v>3453</v>
      </c>
      <c r="AR834" s="89"/>
      <c r="AS834" s="27"/>
      <c r="AT834" s="16"/>
      <c r="AU834" s="27"/>
      <c r="AV834" s="86"/>
      <c r="AW834" s="27"/>
      <c r="AX834" s="27"/>
      <c r="AY834" s="27"/>
      <c r="AZ834" s="27"/>
      <c r="BA834" s="27"/>
      <c r="BB834" s="27"/>
      <c r="BC834" s="97"/>
      <c r="BD834" s="27"/>
      <c r="BE834" s="16"/>
      <c r="BF834" s="28">
        <f t="shared" si="333"/>
        <v>0</v>
      </c>
      <c r="BG834" s="29"/>
      <c r="BH834" s="27"/>
      <c r="BI834" s="30">
        <f t="shared" si="334"/>
        <v>2191</v>
      </c>
      <c r="BJ834" s="31">
        <f t="shared" si="335"/>
        <v>47700</v>
      </c>
      <c r="BK834" s="27">
        <v>45730</v>
      </c>
      <c r="BL834" s="16" t="s">
        <v>6598</v>
      </c>
      <c r="BM834" s="27"/>
      <c r="BN834" s="16"/>
      <c r="BO834" s="27"/>
      <c r="BP834" s="16"/>
      <c r="BQ834" s="27"/>
      <c r="BR834" s="24"/>
      <c r="BS834" s="24"/>
      <c r="BT834" s="32"/>
      <c r="BU834" s="27"/>
      <c r="BV834" s="24"/>
      <c r="BW834" s="24"/>
      <c r="BX834" s="16"/>
      <c r="BY834" s="27"/>
      <c r="BZ834" s="24"/>
      <c r="CA834" s="24"/>
      <c r="CB834" s="16"/>
      <c r="CC834" s="49">
        <f t="shared" si="336"/>
        <v>0</v>
      </c>
      <c r="CD834" s="24"/>
      <c r="CE834" s="49">
        <f t="shared" si="344"/>
        <v>273751033</v>
      </c>
      <c r="CF834" s="50"/>
      <c r="CG834" s="49">
        <f t="shared" ca="1" si="343"/>
        <v>55474878.435417615</v>
      </c>
      <c r="CH834" s="33">
        <f t="shared" ca="1" si="339"/>
        <v>0.2013888888888889</v>
      </c>
      <c r="CI834" s="33">
        <f t="shared" ca="1" si="340"/>
        <v>0.2013888888888889</v>
      </c>
      <c r="CJ834" s="36">
        <f t="shared" ca="1" si="328"/>
        <v>20.26471930625285</v>
      </c>
      <c r="CK834" s="34">
        <f t="shared" si="329"/>
        <v>0</v>
      </c>
      <c r="CL834" s="21"/>
      <c r="CM834" s="35" t="str">
        <f t="shared" ca="1" si="338"/>
        <v>VIGENTE</v>
      </c>
      <c r="CN834" s="82"/>
      <c r="CO834" s="145"/>
      <c r="CP834" s="83"/>
      <c r="CQ834" s="83"/>
      <c r="CR834" s="83"/>
    </row>
    <row r="835" spans="1:96" s="221" customFormat="1" ht="24.75" customHeight="1">
      <c r="A835" s="48" t="s">
        <v>6599</v>
      </c>
      <c r="B835" s="77" t="s">
        <v>6600</v>
      </c>
      <c r="C835" s="17" t="s">
        <v>104</v>
      </c>
      <c r="D835" s="18" t="s">
        <v>6601</v>
      </c>
      <c r="E835" s="17" t="s">
        <v>106</v>
      </c>
      <c r="F835" s="17" t="s">
        <v>107</v>
      </c>
      <c r="G835" s="17" t="s">
        <v>108</v>
      </c>
      <c r="H835" s="78">
        <v>1013645158</v>
      </c>
      <c r="I835" s="74" t="s">
        <v>6602</v>
      </c>
      <c r="J835" s="16"/>
      <c r="K835" s="16"/>
      <c r="L835" s="20" t="s">
        <v>6603</v>
      </c>
      <c r="M835" s="16" t="s">
        <v>111</v>
      </c>
      <c r="N835" s="22">
        <v>45509</v>
      </c>
      <c r="O835" s="115">
        <v>45517</v>
      </c>
      <c r="P835" s="22">
        <v>45656</v>
      </c>
      <c r="Q835" s="23">
        <f t="shared" ref="Q835:Q866" si="346">P835-O835</f>
        <v>139</v>
      </c>
      <c r="R835" s="17" t="s">
        <v>112</v>
      </c>
      <c r="S835" s="16" t="s">
        <v>6604</v>
      </c>
      <c r="T835" s="16" t="s">
        <v>4581</v>
      </c>
      <c r="U835" s="67">
        <v>44138268</v>
      </c>
      <c r="V835" s="16" t="s">
        <v>1318</v>
      </c>
      <c r="W835" s="224">
        <v>18390945</v>
      </c>
      <c r="X835" s="24">
        <v>3678189</v>
      </c>
      <c r="Y835" s="24"/>
      <c r="Z835" s="24"/>
      <c r="AA835" s="17" t="s">
        <v>116</v>
      </c>
      <c r="AB835" s="23" t="str">
        <f>IFERROR(VLOOKUP(AA835,Listas!$A$1:$C$14,2,FALSE),"")</f>
        <v>FREDY CÉSPEDES VILLA</v>
      </c>
      <c r="AC835" s="23">
        <f>IFERROR(VLOOKUP(AA835,Listas!$A$1:$C$14,3,FALSE),"")</f>
        <v>93363483</v>
      </c>
      <c r="AD835" s="17" t="s">
        <v>116</v>
      </c>
      <c r="AE835" s="17" t="s">
        <v>659</v>
      </c>
      <c r="AF835" s="23" t="str">
        <f>IFERROR(VLOOKUP(AE835,Listas!$AD$1:$AF$65,2,FALSE),"")</f>
        <v>TATIANA FORERO TORRES</v>
      </c>
      <c r="AG835" s="23">
        <f>IFERROR(VLOOKUP(AE835,Listas!$AD$1:$AF$65,3,FALSE),"")</f>
        <v>1072446921</v>
      </c>
      <c r="AH835" s="17" t="s">
        <v>118</v>
      </c>
      <c r="AI835" s="65"/>
      <c r="AJ835" s="25" t="s">
        <v>4370</v>
      </c>
      <c r="AK835" s="26" t="s">
        <v>120</v>
      </c>
      <c r="AL835" s="26" t="s">
        <v>120</v>
      </c>
      <c r="AM835" s="90" t="s">
        <v>119</v>
      </c>
      <c r="AN835" s="105"/>
      <c r="AO835" s="91" t="str">
        <f t="shared" ca="1" si="342"/>
        <v xml:space="preserve"> </v>
      </c>
      <c r="AP835" s="26" t="s">
        <v>121</v>
      </c>
      <c r="AQ835" s="26" t="s">
        <v>285</v>
      </c>
      <c r="AR835" s="89"/>
      <c r="AS835" s="27"/>
      <c r="AT835" s="16"/>
      <c r="AU835" s="27"/>
      <c r="AV835" s="86"/>
      <c r="AW835" s="27"/>
      <c r="AX835" s="27"/>
      <c r="AY835" s="27"/>
      <c r="AZ835" s="27"/>
      <c r="BA835" s="27"/>
      <c r="BB835" s="27"/>
      <c r="BC835" s="97"/>
      <c r="BD835" s="27"/>
      <c r="BE835" s="16"/>
      <c r="BF835" s="28">
        <f t="shared" si="333"/>
        <v>0</v>
      </c>
      <c r="BG835" s="29"/>
      <c r="BH835" s="27"/>
      <c r="BI835" s="30">
        <f t="shared" si="334"/>
        <v>139</v>
      </c>
      <c r="BJ835" s="31">
        <f t="shared" si="335"/>
        <v>45656</v>
      </c>
      <c r="BK835" s="27"/>
      <c r="BL835" s="16"/>
      <c r="BM835" s="27"/>
      <c r="BN835" s="16"/>
      <c r="BO835" s="27"/>
      <c r="BP835" s="16"/>
      <c r="BQ835" s="27"/>
      <c r="BR835" s="24"/>
      <c r="BS835" s="24"/>
      <c r="BT835" s="32"/>
      <c r="BU835" s="27"/>
      <c r="BV835" s="24"/>
      <c r="BW835" s="24"/>
      <c r="BX835" s="16"/>
      <c r="BY835" s="27"/>
      <c r="BZ835" s="24"/>
      <c r="CA835" s="24"/>
      <c r="CB835" s="16"/>
      <c r="CC835" s="49">
        <f t="shared" si="336"/>
        <v>0</v>
      </c>
      <c r="CD835" s="24"/>
      <c r="CE835" s="49">
        <f t="shared" si="344"/>
        <v>18390945</v>
      </c>
      <c r="CF835" s="50"/>
      <c r="CG835" s="49">
        <f t="shared" ca="1" si="343"/>
        <v>18390945</v>
      </c>
      <c r="CH835" s="33">
        <f t="shared" ca="1" si="339"/>
        <v>1</v>
      </c>
      <c r="CI835" s="33">
        <f t="shared" ca="1" si="340"/>
        <v>1</v>
      </c>
      <c r="CJ835" s="36">
        <f t="shared" ca="1" si="328"/>
        <v>100</v>
      </c>
      <c r="CK835" s="34">
        <f t="shared" si="329"/>
        <v>0</v>
      </c>
      <c r="CL835" s="21"/>
      <c r="CM835" s="35" t="str">
        <f t="shared" ca="1" si="338"/>
        <v>TERMINADO</v>
      </c>
      <c r="CN835" s="82"/>
      <c r="CO835" s="145"/>
      <c r="CP835" s="26" t="s">
        <v>142</v>
      </c>
      <c r="CQ835" s="83"/>
      <c r="CR835" s="83"/>
    </row>
    <row r="836" spans="1:96" s="222" customFormat="1" ht="24.75" customHeight="1">
      <c r="A836" s="48" t="s">
        <v>6605</v>
      </c>
      <c r="B836" s="77" t="s">
        <v>6606</v>
      </c>
      <c r="C836" s="17" t="s">
        <v>5814</v>
      </c>
      <c r="D836" s="18" t="s">
        <v>6607</v>
      </c>
      <c r="E836" s="17" t="s">
        <v>6608</v>
      </c>
      <c r="F836" s="17" t="s">
        <v>1426</v>
      </c>
      <c r="G836" s="17" t="s">
        <v>1427</v>
      </c>
      <c r="H836" s="78" t="s">
        <v>6609</v>
      </c>
      <c r="I836" s="74" t="s">
        <v>6610</v>
      </c>
      <c r="J836" s="16" t="s">
        <v>6611</v>
      </c>
      <c r="K836" s="16">
        <v>79687935</v>
      </c>
      <c r="L836" s="20" t="s">
        <v>6612</v>
      </c>
      <c r="M836" s="16" t="s">
        <v>111</v>
      </c>
      <c r="N836" s="22">
        <v>45509</v>
      </c>
      <c r="O836" s="115">
        <v>45517</v>
      </c>
      <c r="P836" s="22">
        <v>45881</v>
      </c>
      <c r="Q836" s="23">
        <f t="shared" si="346"/>
        <v>364</v>
      </c>
      <c r="R836" s="17" t="s">
        <v>242</v>
      </c>
      <c r="S836" s="16" t="s">
        <v>6613</v>
      </c>
      <c r="T836" s="16" t="s">
        <v>2811</v>
      </c>
      <c r="U836" s="67">
        <v>79119474</v>
      </c>
      <c r="V836" s="16" t="s">
        <v>3076</v>
      </c>
      <c r="W836" s="224">
        <v>65222616</v>
      </c>
      <c r="X836" s="24"/>
      <c r="Y836" s="24"/>
      <c r="Z836" s="24"/>
      <c r="AA836" s="17" t="s">
        <v>116</v>
      </c>
      <c r="AB836" s="23" t="str">
        <f>IFERROR(VLOOKUP(AA836,Listas!$A$1:$C$14,2,FALSE),"")</f>
        <v>FREDY CÉSPEDES VILLA</v>
      </c>
      <c r="AC836" s="23">
        <f>IFERROR(VLOOKUP(AA836,Listas!$A$1:$C$14,3,FALSE),"")</f>
        <v>93363483</v>
      </c>
      <c r="AD836" s="17" t="s">
        <v>816</v>
      </c>
      <c r="AE836" s="17" t="s">
        <v>6614</v>
      </c>
      <c r="AF836" s="23" t="str">
        <f>IFERROR(VLOOKUP(AE836,Listas!$AD$1:$AF$65,2,FALSE),"")</f>
        <v>VICTOR RAUL BAUTISTA GALINDO</v>
      </c>
      <c r="AG836" s="23">
        <f>IFERROR(VLOOKUP(AE836,Listas!$AD$1:$AF$65,3,FALSE),"")</f>
        <v>79352968</v>
      </c>
      <c r="AH836" s="17" t="s">
        <v>5821</v>
      </c>
      <c r="AI836" s="65"/>
      <c r="AJ836" s="25" t="s">
        <v>1435</v>
      </c>
      <c r="AK836" s="26" t="s">
        <v>2071</v>
      </c>
      <c r="AL836" s="26" t="s">
        <v>2071</v>
      </c>
      <c r="AM836" s="90" t="s">
        <v>1435</v>
      </c>
      <c r="AN836" s="105"/>
      <c r="AO836" s="91" t="str">
        <f t="shared" ca="1" si="342"/>
        <v xml:space="preserve"> </v>
      </c>
      <c r="AP836" s="26" t="s">
        <v>121</v>
      </c>
      <c r="AQ836" s="26" t="s">
        <v>285</v>
      </c>
      <c r="AR836" s="89"/>
      <c r="AS836" s="27"/>
      <c r="AT836" s="16"/>
      <c r="AU836" s="27"/>
      <c r="AV836" s="86"/>
      <c r="AW836" s="27"/>
      <c r="AX836" s="27"/>
      <c r="AY836" s="27"/>
      <c r="AZ836" s="27"/>
      <c r="BA836" s="27"/>
      <c r="BB836" s="27"/>
      <c r="BC836" s="97"/>
      <c r="BD836" s="27"/>
      <c r="BE836" s="16"/>
      <c r="BF836" s="28">
        <f t="shared" si="333"/>
        <v>0</v>
      </c>
      <c r="BG836" s="29"/>
      <c r="BH836" s="27"/>
      <c r="BI836" s="30">
        <f t="shared" si="334"/>
        <v>364</v>
      </c>
      <c r="BJ836" s="31">
        <f t="shared" si="335"/>
        <v>45881</v>
      </c>
      <c r="BK836" s="27"/>
      <c r="BL836" s="16"/>
      <c r="BM836" s="27"/>
      <c r="BN836" s="16"/>
      <c r="BO836" s="27"/>
      <c r="BP836" s="16"/>
      <c r="BQ836" s="27"/>
      <c r="BR836" s="24"/>
      <c r="BS836" s="24"/>
      <c r="BT836" s="32"/>
      <c r="BU836" s="27"/>
      <c r="BV836" s="24"/>
      <c r="BW836" s="24"/>
      <c r="BX836" s="16"/>
      <c r="BY836" s="27"/>
      <c r="BZ836" s="24"/>
      <c r="CA836" s="24"/>
      <c r="CB836" s="16"/>
      <c r="CC836" s="49">
        <f t="shared" si="336"/>
        <v>0</v>
      </c>
      <c r="CD836" s="24"/>
      <c r="CE836" s="49">
        <f t="shared" si="344"/>
        <v>65222616</v>
      </c>
      <c r="CF836" s="50"/>
      <c r="CG836" s="49">
        <f t="shared" ca="1" si="343"/>
        <v>65222616</v>
      </c>
      <c r="CH836" s="33">
        <f t="shared" ca="1" si="339"/>
        <v>1</v>
      </c>
      <c r="CI836" s="33">
        <f t="shared" ca="1" si="340"/>
        <v>1</v>
      </c>
      <c r="CJ836" s="36">
        <f t="shared" ca="1" si="328"/>
        <v>100</v>
      </c>
      <c r="CK836" s="34">
        <f t="shared" si="329"/>
        <v>0</v>
      </c>
      <c r="CL836" s="21"/>
      <c r="CM836" s="35" t="str">
        <f t="shared" ca="1" si="338"/>
        <v>TERMINADO</v>
      </c>
      <c r="CN836" s="82"/>
      <c r="CO836" s="145"/>
      <c r="CP836" s="83" t="s">
        <v>1424</v>
      </c>
      <c r="CQ836" s="83"/>
      <c r="CR836" s="83"/>
    </row>
    <row r="837" spans="1:96" s="222" customFormat="1" ht="24.75" customHeight="1">
      <c r="A837" s="48" t="s">
        <v>6615</v>
      </c>
      <c r="B837" s="77" t="s">
        <v>6616</v>
      </c>
      <c r="C837" s="17" t="s">
        <v>104</v>
      </c>
      <c r="D837" s="18" t="s">
        <v>6617</v>
      </c>
      <c r="E837" s="17" t="s">
        <v>106</v>
      </c>
      <c r="F837" s="17" t="s">
        <v>1426</v>
      </c>
      <c r="G837" s="17" t="s">
        <v>1427</v>
      </c>
      <c r="H837" s="78" t="s">
        <v>6618</v>
      </c>
      <c r="I837" s="74" t="s">
        <v>6619</v>
      </c>
      <c r="J837" s="16" t="s">
        <v>6620</v>
      </c>
      <c r="K837" s="16" t="s">
        <v>6621</v>
      </c>
      <c r="L837" s="20" t="s">
        <v>6622</v>
      </c>
      <c r="M837" s="16" t="s">
        <v>111</v>
      </c>
      <c r="N837" s="22">
        <v>45512</v>
      </c>
      <c r="O837" s="115">
        <v>45525</v>
      </c>
      <c r="P837" s="22">
        <v>45777</v>
      </c>
      <c r="Q837" s="23">
        <f t="shared" si="346"/>
        <v>252</v>
      </c>
      <c r="R837" s="17" t="s">
        <v>242</v>
      </c>
      <c r="S837" s="16" t="s">
        <v>6623</v>
      </c>
      <c r="T837" s="16" t="s">
        <v>6624</v>
      </c>
      <c r="U837" s="67">
        <v>4018765087</v>
      </c>
      <c r="V837" s="16" t="s">
        <v>6625</v>
      </c>
      <c r="W837" s="224">
        <v>4018765087</v>
      </c>
      <c r="X837" s="24"/>
      <c r="Y837" s="24"/>
      <c r="Z837" s="24"/>
      <c r="AA837" s="17" t="s">
        <v>116</v>
      </c>
      <c r="AB837" s="23" t="str">
        <f>IFERROR(VLOOKUP(AA837,Listas!$A$1:$C$14,2,FALSE),"")</f>
        <v>FREDY CÉSPEDES VILLA</v>
      </c>
      <c r="AC837" s="23">
        <f>IFERROR(VLOOKUP(AA837,Listas!$A$1:$C$14,3,FALSE),"")</f>
        <v>93363483</v>
      </c>
      <c r="AD837" s="17" t="s">
        <v>345</v>
      </c>
      <c r="AE837" s="17" t="s">
        <v>346</v>
      </c>
      <c r="AF837" s="23" t="str">
        <f>IFERROR(VLOOKUP(AE837,Listas!$AD$1:$AF$65,2,FALSE),"")</f>
        <v>RODOLFO GIOVANNI CANCHILA SUÁREZ</v>
      </c>
      <c r="AG837" s="23">
        <f>IFERROR(VLOOKUP(AE837,Listas!$AD$1:$AF$65,3,FALSE),"")</f>
        <v>79672493</v>
      </c>
      <c r="AH837" s="17" t="s">
        <v>6266</v>
      </c>
      <c r="AI837" s="65"/>
      <c r="AJ837" s="25" t="s">
        <v>1435</v>
      </c>
      <c r="AK837" s="26" t="s">
        <v>2071</v>
      </c>
      <c r="AL837" s="26" t="s">
        <v>2071</v>
      </c>
      <c r="AM837" s="90" t="s">
        <v>1435</v>
      </c>
      <c r="AN837" s="105"/>
      <c r="AO837" s="91" t="str">
        <f t="shared" ca="1" si="342"/>
        <v xml:space="preserve"> </v>
      </c>
      <c r="AP837" s="26" t="s">
        <v>121</v>
      </c>
      <c r="AQ837" s="26" t="s">
        <v>409</v>
      </c>
      <c r="AR837" s="89"/>
      <c r="AS837" s="27"/>
      <c r="AT837" s="16"/>
      <c r="AU837" s="27"/>
      <c r="AV837" s="86"/>
      <c r="AW837" s="27"/>
      <c r="AX837" s="27"/>
      <c r="AY837" s="27"/>
      <c r="AZ837" s="27"/>
      <c r="BA837" s="27"/>
      <c r="BB837" s="27"/>
      <c r="BC837" s="97"/>
      <c r="BD837" s="27"/>
      <c r="BE837" s="16"/>
      <c r="BF837" s="28">
        <f t="shared" si="333"/>
        <v>0</v>
      </c>
      <c r="BG837" s="29"/>
      <c r="BH837" s="27"/>
      <c r="BI837" s="30">
        <f t="shared" si="334"/>
        <v>252</v>
      </c>
      <c r="BJ837" s="31">
        <f t="shared" si="335"/>
        <v>45777</v>
      </c>
      <c r="BK837" s="27"/>
      <c r="BL837" s="16"/>
      <c r="BM837" s="27"/>
      <c r="BN837" s="16"/>
      <c r="BO837" s="27"/>
      <c r="BP837" s="16"/>
      <c r="BQ837" s="27"/>
      <c r="BR837" s="24"/>
      <c r="BS837" s="24"/>
      <c r="BT837" s="32"/>
      <c r="BU837" s="27"/>
      <c r="BV837" s="24"/>
      <c r="BW837" s="24"/>
      <c r="BX837" s="16"/>
      <c r="BY837" s="27"/>
      <c r="BZ837" s="24"/>
      <c r="CA837" s="24"/>
      <c r="CB837" s="16"/>
      <c r="CC837" s="49">
        <f t="shared" si="336"/>
        <v>0</v>
      </c>
      <c r="CD837" s="24"/>
      <c r="CE837" s="49">
        <f t="shared" si="344"/>
        <v>4018765087</v>
      </c>
      <c r="CF837" s="50"/>
      <c r="CG837" s="49">
        <f t="shared" ca="1" si="343"/>
        <v>4018765087</v>
      </c>
      <c r="CH837" s="33">
        <f t="shared" ca="1" si="339"/>
        <v>1</v>
      </c>
      <c r="CI837" s="33">
        <f t="shared" ca="1" si="340"/>
        <v>1</v>
      </c>
      <c r="CJ837" s="36">
        <f t="shared" ca="1" si="328"/>
        <v>100</v>
      </c>
      <c r="CK837" s="34">
        <f t="shared" si="329"/>
        <v>0</v>
      </c>
      <c r="CL837" s="21"/>
      <c r="CM837" s="35" t="str">
        <f t="shared" ca="1" si="338"/>
        <v>TERMINADO</v>
      </c>
      <c r="CN837" s="82"/>
      <c r="CO837" s="145"/>
      <c r="CP837" s="83" t="s">
        <v>1424</v>
      </c>
      <c r="CQ837" s="83"/>
      <c r="CR837" s="83"/>
    </row>
    <row r="838" spans="1:96" s="222" customFormat="1" ht="24.75" customHeight="1">
      <c r="A838" s="48" t="s">
        <v>6626</v>
      </c>
      <c r="B838" s="77" t="s">
        <v>6627</v>
      </c>
      <c r="C838" s="17" t="s">
        <v>104</v>
      </c>
      <c r="D838" s="18" t="s">
        <v>6628</v>
      </c>
      <c r="E838" s="17" t="s">
        <v>106</v>
      </c>
      <c r="F838" s="17" t="s">
        <v>107</v>
      </c>
      <c r="G838" s="17" t="s">
        <v>108</v>
      </c>
      <c r="H838" s="78">
        <v>1065820425</v>
      </c>
      <c r="I838" s="74" t="s">
        <v>6629</v>
      </c>
      <c r="J838" s="16"/>
      <c r="K838" s="16"/>
      <c r="L838" s="20" t="s">
        <v>6630</v>
      </c>
      <c r="M838" s="16" t="s">
        <v>111</v>
      </c>
      <c r="N838" s="22">
        <v>45513</v>
      </c>
      <c r="O838" s="115">
        <v>45517</v>
      </c>
      <c r="P838" s="22">
        <v>45657</v>
      </c>
      <c r="Q838" s="23">
        <f t="shared" si="346"/>
        <v>140</v>
      </c>
      <c r="R838" s="17" t="s">
        <v>242</v>
      </c>
      <c r="S838" s="16" t="s">
        <v>6631</v>
      </c>
      <c r="T838" s="16" t="s">
        <v>6632</v>
      </c>
      <c r="U838" s="67">
        <v>35562500</v>
      </c>
      <c r="V838" s="16" t="s">
        <v>688</v>
      </c>
      <c r="W838" s="224">
        <v>35562500</v>
      </c>
      <c r="X838" s="24">
        <v>7112500</v>
      </c>
      <c r="Y838" s="24"/>
      <c r="Z838" s="24"/>
      <c r="AA838" s="17" t="s">
        <v>116</v>
      </c>
      <c r="AB838" s="23" t="str">
        <f>IFERROR(VLOOKUP(AA838,Listas!$A$1:$C$14,2,FALSE),"")</f>
        <v>FREDY CÉSPEDES VILLA</v>
      </c>
      <c r="AC838" s="23">
        <f>IFERROR(VLOOKUP(AA838,Listas!$A$1:$C$14,3,FALSE),"")</f>
        <v>93363483</v>
      </c>
      <c r="AD838" s="17" t="s">
        <v>304</v>
      </c>
      <c r="AE838" s="17" t="s">
        <v>305</v>
      </c>
      <c r="AF838" s="23" t="str">
        <f>IFERROR(VLOOKUP(AE838,Listas!$AD$1:$AF$65,2,FALSE),"")</f>
        <v>ALVARO HERNAN URQUIJO GOMEZ</v>
      </c>
      <c r="AG838" s="23">
        <v>80505520</v>
      </c>
      <c r="AH838" s="17" t="s">
        <v>118</v>
      </c>
      <c r="AI838" s="65" t="s">
        <v>6633</v>
      </c>
      <c r="AJ838" s="25" t="s">
        <v>4370</v>
      </c>
      <c r="AK838" s="26" t="s">
        <v>120</v>
      </c>
      <c r="AL838" s="26" t="s">
        <v>120</v>
      </c>
      <c r="AM838" s="90" t="s">
        <v>119</v>
      </c>
      <c r="AN838" s="105">
        <v>35018</v>
      </c>
      <c r="AO838" s="91">
        <f t="shared" ca="1" si="342"/>
        <v>30</v>
      </c>
      <c r="AP838" s="26" t="s">
        <v>121</v>
      </c>
      <c r="AQ838" s="26" t="s">
        <v>122</v>
      </c>
      <c r="AR838" s="89"/>
      <c r="AS838" s="27"/>
      <c r="AT838" s="16"/>
      <c r="AU838" s="27"/>
      <c r="AV838" s="86"/>
      <c r="AW838" s="27"/>
      <c r="AX838" s="27"/>
      <c r="AY838" s="27"/>
      <c r="AZ838" s="27"/>
      <c r="BA838" s="27"/>
      <c r="BB838" s="27"/>
      <c r="BC838" s="97"/>
      <c r="BD838" s="27"/>
      <c r="BE838" s="16"/>
      <c r="BF838" s="28">
        <f t="shared" si="333"/>
        <v>0</v>
      </c>
      <c r="BG838" s="29"/>
      <c r="BH838" s="27"/>
      <c r="BI838" s="30">
        <f t="shared" si="334"/>
        <v>140</v>
      </c>
      <c r="BJ838" s="31">
        <f t="shared" si="335"/>
        <v>45657</v>
      </c>
      <c r="BK838" s="27"/>
      <c r="BL838" s="16"/>
      <c r="BM838" s="27"/>
      <c r="BN838" s="16"/>
      <c r="BO838" s="27"/>
      <c r="BP838" s="16"/>
      <c r="BQ838" s="27"/>
      <c r="BR838" s="24"/>
      <c r="BS838" s="24"/>
      <c r="BT838" s="32"/>
      <c r="BU838" s="27"/>
      <c r="BV838" s="24"/>
      <c r="BW838" s="24"/>
      <c r="BX838" s="16"/>
      <c r="BY838" s="27"/>
      <c r="BZ838" s="24"/>
      <c r="CA838" s="24"/>
      <c r="CB838" s="16"/>
      <c r="CC838" s="49">
        <f t="shared" si="336"/>
        <v>0</v>
      </c>
      <c r="CD838" s="24"/>
      <c r="CE838" s="49">
        <f t="shared" si="344"/>
        <v>35562500</v>
      </c>
      <c r="CF838" s="50"/>
      <c r="CG838" s="49">
        <f t="shared" ca="1" si="343"/>
        <v>35562500</v>
      </c>
      <c r="CH838" s="33">
        <f t="shared" ca="1" si="339"/>
        <v>1</v>
      </c>
      <c r="CI838" s="33">
        <f t="shared" ca="1" si="340"/>
        <v>1</v>
      </c>
      <c r="CJ838" s="36">
        <f t="shared" ca="1" si="328"/>
        <v>100</v>
      </c>
      <c r="CK838" s="34">
        <f t="shared" si="329"/>
        <v>0</v>
      </c>
      <c r="CL838" s="21"/>
      <c r="CM838" s="35" t="str">
        <f t="shared" ca="1" si="338"/>
        <v>TERMINADO</v>
      </c>
      <c r="CN838" s="82"/>
      <c r="CO838" s="145" t="s">
        <v>6634</v>
      </c>
      <c r="CP838" s="26" t="s">
        <v>123</v>
      </c>
      <c r="CQ838" s="83"/>
      <c r="CR838" s="83"/>
    </row>
    <row r="839" spans="1:96" s="222" customFormat="1" ht="24.75" customHeight="1">
      <c r="A839" s="48" t="s">
        <v>1383</v>
      </c>
      <c r="B839" s="77" t="s">
        <v>6635</v>
      </c>
      <c r="C839" s="17" t="s">
        <v>104</v>
      </c>
      <c r="D839" s="18" t="s">
        <v>6636</v>
      </c>
      <c r="E839" s="17" t="s">
        <v>106</v>
      </c>
      <c r="F839" s="17" t="s">
        <v>107</v>
      </c>
      <c r="G839" s="17" t="s">
        <v>108</v>
      </c>
      <c r="H839" s="78">
        <v>1052387982</v>
      </c>
      <c r="I839" s="240" t="s">
        <v>6637</v>
      </c>
      <c r="J839" s="16"/>
      <c r="K839" s="16"/>
      <c r="L839" s="20" t="s">
        <v>6638</v>
      </c>
      <c r="M839" s="16" t="s">
        <v>111</v>
      </c>
      <c r="N839" s="22">
        <v>45513</v>
      </c>
      <c r="O839" s="22">
        <v>45518</v>
      </c>
      <c r="P839" s="22">
        <v>45657</v>
      </c>
      <c r="Q839" s="23">
        <f t="shared" si="346"/>
        <v>139</v>
      </c>
      <c r="R839" s="17" t="s">
        <v>242</v>
      </c>
      <c r="S839" s="16" t="s">
        <v>6639</v>
      </c>
      <c r="T839" s="16" t="s">
        <v>1145</v>
      </c>
      <c r="U839" s="67">
        <v>49907000</v>
      </c>
      <c r="V839" s="16" t="s">
        <v>426</v>
      </c>
      <c r="W839" s="224">
        <v>45370000</v>
      </c>
      <c r="X839" s="24">
        <v>9074000</v>
      </c>
      <c r="Y839" s="24"/>
      <c r="Z839" s="24"/>
      <c r="AA839" s="17" t="s">
        <v>116</v>
      </c>
      <c r="AB839" s="23" t="str">
        <f>IFERROR(VLOOKUP(AA839,Listas!$A$1:$C$14,2,FALSE),"")</f>
        <v>FREDY CÉSPEDES VILLA</v>
      </c>
      <c r="AC839" s="23">
        <f>IFERROR(VLOOKUP(AA839,Listas!$A$1:$C$14,3,FALSE),"")</f>
        <v>93363483</v>
      </c>
      <c r="AD839" s="17" t="s">
        <v>427</v>
      </c>
      <c r="AE839" s="17" t="s">
        <v>1390</v>
      </c>
      <c r="AF839" s="23" t="str">
        <f>IFERROR(VLOOKUP(AE839,Listas!$AD$1:$AF$65,2,FALSE),"")</f>
        <v>BLANCA FLOR AMÉZQUITA RODRÍGUEZ</v>
      </c>
      <c r="AG839" s="23">
        <f>IFERROR(VLOOKUP(AE839,Listas!$AD$1:$AF$65,3,FALSE),"")</f>
        <v>51613966</v>
      </c>
      <c r="AH839" s="17" t="s">
        <v>118</v>
      </c>
      <c r="AI839" s="65" t="s">
        <v>6640</v>
      </c>
      <c r="AJ839" s="25" t="s">
        <v>4370</v>
      </c>
      <c r="AK839" s="26" t="s">
        <v>120</v>
      </c>
      <c r="AL839" s="26" t="s">
        <v>120</v>
      </c>
      <c r="AM839" s="90" t="s">
        <v>119</v>
      </c>
      <c r="AN839" s="105"/>
      <c r="AO839" s="91" t="str">
        <f t="shared" ca="1" si="342"/>
        <v xml:space="preserve"> </v>
      </c>
      <c r="AP839" s="26" t="s">
        <v>121</v>
      </c>
      <c r="AQ839" s="26" t="s">
        <v>1272</v>
      </c>
      <c r="AR839" s="89"/>
      <c r="AS839" s="27"/>
      <c r="AT839" s="16"/>
      <c r="AU839" s="27"/>
      <c r="AV839" s="86"/>
      <c r="AW839" s="27"/>
      <c r="AX839" s="27"/>
      <c r="AY839" s="27"/>
      <c r="AZ839" s="27"/>
      <c r="BA839" s="27"/>
      <c r="BB839" s="27"/>
      <c r="BC839" s="97"/>
      <c r="BD839" s="27"/>
      <c r="BE839" s="16"/>
      <c r="BF839" s="28">
        <f t="shared" si="333"/>
        <v>0</v>
      </c>
      <c r="BG839" s="29"/>
      <c r="BH839" s="27"/>
      <c r="BI839" s="30">
        <f t="shared" si="334"/>
        <v>139</v>
      </c>
      <c r="BJ839" s="31">
        <f t="shared" si="335"/>
        <v>45657</v>
      </c>
      <c r="BK839" s="27"/>
      <c r="BL839" s="16"/>
      <c r="BM839" s="27"/>
      <c r="BN839" s="16"/>
      <c r="BO839" s="27"/>
      <c r="BP839" s="16"/>
      <c r="BQ839" s="27"/>
      <c r="BR839" s="24"/>
      <c r="BS839" s="24"/>
      <c r="BT839" s="32"/>
      <c r="BU839" s="27"/>
      <c r="BV839" s="24"/>
      <c r="BW839" s="24"/>
      <c r="BX839" s="16"/>
      <c r="BY839" s="27"/>
      <c r="BZ839" s="24"/>
      <c r="CA839" s="24"/>
      <c r="CB839" s="16"/>
      <c r="CC839" s="49">
        <f t="shared" si="336"/>
        <v>0</v>
      </c>
      <c r="CD839" s="24"/>
      <c r="CE839" s="49">
        <f t="shared" si="344"/>
        <v>45370000</v>
      </c>
      <c r="CF839" s="50"/>
      <c r="CG839" s="49">
        <f t="shared" ca="1" si="343"/>
        <v>45370000</v>
      </c>
      <c r="CH839" s="33">
        <f t="shared" ca="1" si="339"/>
        <v>1</v>
      </c>
      <c r="CI839" s="33">
        <f t="shared" ca="1" si="340"/>
        <v>1</v>
      </c>
      <c r="CJ839" s="36">
        <f t="shared" ca="1" si="328"/>
        <v>100</v>
      </c>
      <c r="CK839" s="34">
        <f t="shared" si="329"/>
        <v>0</v>
      </c>
      <c r="CL839" s="21"/>
      <c r="CM839" s="35" t="str">
        <f t="shared" ca="1" si="338"/>
        <v>TERMINADO</v>
      </c>
      <c r="CN839" s="82"/>
      <c r="CO839" s="145" t="s">
        <v>6641</v>
      </c>
      <c r="CP839" s="26" t="s">
        <v>123</v>
      </c>
      <c r="CQ839" s="83"/>
      <c r="CR839" s="83"/>
    </row>
    <row r="840" spans="1:96" s="222" customFormat="1" ht="24.75" customHeight="1">
      <c r="A840" s="48" t="s">
        <v>1376</v>
      </c>
      <c r="B840" s="77" t="s">
        <v>6642</v>
      </c>
      <c r="C840" s="17" t="s">
        <v>104</v>
      </c>
      <c r="D840" s="18" t="s">
        <v>6643</v>
      </c>
      <c r="E840" s="17" t="s">
        <v>106</v>
      </c>
      <c r="F840" s="17" t="s">
        <v>107</v>
      </c>
      <c r="G840" s="17" t="s">
        <v>108</v>
      </c>
      <c r="H840" s="78">
        <v>98522530</v>
      </c>
      <c r="I840" s="74" t="s">
        <v>6644</v>
      </c>
      <c r="J840" s="16"/>
      <c r="K840" s="16"/>
      <c r="L840" s="20" t="s">
        <v>6645</v>
      </c>
      <c r="M840" s="16" t="s">
        <v>111</v>
      </c>
      <c r="N840" s="22">
        <v>45516</v>
      </c>
      <c r="O840" s="115">
        <v>45524</v>
      </c>
      <c r="P840" s="22">
        <v>45656</v>
      </c>
      <c r="Q840" s="23">
        <f t="shared" si="346"/>
        <v>132</v>
      </c>
      <c r="R840" s="17" t="s">
        <v>242</v>
      </c>
      <c r="S840" s="16" t="s">
        <v>6646</v>
      </c>
      <c r="T840" s="16" t="s">
        <v>6647</v>
      </c>
      <c r="U840" s="67">
        <v>33038310</v>
      </c>
      <c r="V840" s="16" t="s">
        <v>344</v>
      </c>
      <c r="W840" s="224">
        <v>33038310</v>
      </c>
      <c r="X840" s="24">
        <v>5762496</v>
      </c>
      <c r="Y840" s="24"/>
      <c r="Z840" s="24"/>
      <c r="AA840" s="17" t="s">
        <v>116</v>
      </c>
      <c r="AB840" s="23" t="str">
        <f>IFERROR(VLOOKUP(AA840,Listas!$A$1:$C$14,2,FALSE),"")</f>
        <v>FREDY CÉSPEDES VILLA</v>
      </c>
      <c r="AC840" s="23">
        <f>IFERROR(VLOOKUP(AA840,Listas!$A$1:$C$14,3,FALSE),"")</f>
        <v>93363483</v>
      </c>
      <c r="AD840" s="17" t="s">
        <v>472</v>
      </c>
      <c r="AE840" s="17" t="s">
        <v>473</v>
      </c>
      <c r="AF840" s="23" t="str">
        <f>IFERROR(VLOOKUP(AE840,Listas!$AD$1:$AF$65,2,FALSE),"")</f>
        <v>DANIEL ALBERTO CASTAÑO LOPEZ</v>
      </c>
      <c r="AG840" s="23">
        <f>IFERROR(VLOOKUP(AE840,Listas!$AD$1:$AF$65,3,FALSE),"")</f>
        <v>7544385</v>
      </c>
      <c r="AH840" s="17" t="s">
        <v>118</v>
      </c>
      <c r="AI840" s="65" t="s">
        <v>6648</v>
      </c>
      <c r="AJ840" s="25" t="s">
        <v>4370</v>
      </c>
      <c r="AK840" s="26" t="s">
        <v>120</v>
      </c>
      <c r="AL840" s="26" t="s">
        <v>120</v>
      </c>
      <c r="AM840" s="90" t="s">
        <v>119</v>
      </c>
      <c r="AN840" s="105"/>
      <c r="AO840" s="91" t="str">
        <f t="shared" ca="1" si="342"/>
        <v xml:space="preserve"> </v>
      </c>
      <c r="AP840" s="26" t="s">
        <v>121</v>
      </c>
      <c r="AQ840" s="26" t="s">
        <v>486</v>
      </c>
      <c r="AR840" s="89"/>
      <c r="AS840" s="27"/>
      <c r="AT840" s="16"/>
      <c r="AU840" s="27"/>
      <c r="AV840" s="86"/>
      <c r="AW840" s="27"/>
      <c r="AX840" s="27"/>
      <c r="AY840" s="27"/>
      <c r="AZ840" s="27"/>
      <c r="BA840" s="27"/>
      <c r="BB840" s="27"/>
      <c r="BC840" s="97"/>
      <c r="BD840" s="27"/>
      <c r="BE840" s="16"/>
      <c r="BF840" s="28">
        <f t="shared" si="333"/>
        <v>0</v>
      </c>
      <c r="BG840" s="29"/>
      <c r="BH840" s="27"/>
      <c r="BI840" s="30">
        <f t="shared" si="334"/>
        <v>132</v>
      </c>
      <c r="BJ840" s="31">
        <f t="shared" si="335"/>
        <v>45656</v>
      </c>
      <c r="BK840" s="27"/>
      <c r="BL840" s="16"/>
      <c r="BM840" s="27"/>
      <c r="BN840" s="16"/>
      <c r="BO840" s="27"/>
      <c r="BP840" s="16"/>
      <c r="BQ840" s="27"/>
      <c r="BR840" s="24"/>
      <c r="BS840" s="24"/>
      <c r="BT840" s="32"/>
      <c r="BU840" s="27"/>
      <c r="BV840" s="24"/>
      <c r="BW840" s="24"/>
      <c r="BX840" s="16"/>
      <c r="BY840" s="27"/>
      <c r="BZ840" s="24"/>
      <c r="CA840" s="24"/>
      <c r="CB840" s="16"/>
      <c r="CC840" s="49">
        <f t="shared" si="336"/>
        <v>0</v>
      </c>
      <c r="CD840" s="24"/>
      <c r="CE840" s="49">
        <f t="shared" si="344"/>
        <v>33038310</v>
      </c>
      <c r="CF840" s="50">
        <v>960416</v>
      </c>
      <c r="CG840" s="49">
        <f t="shared" ca="1" si="343"/>
        <v>33038310</v>
      </c>
      <c r="CH840" s="33">
        <f t="shared" ca="1" si="339"/>
        <v>1</v>
      </c>
      <c r="CI840" s="33">
        <f t="shared" ca="1" si="340"/>
        <v>1</v>
      </c>
      <c r="CJ840" s="36">
        <f t="shared" ref="CJ840:CJ903" ca="1" si="347">IFERROR(IF(((CG840/CE840)*100)&gt;100,100,((CG840/CE840)*100)),"")</f>
        <v>100</v>
      </c>
      <c r="CK840" s="34">
        <f t="shared" ref="CK840:CK903" si="348">IFERROR((CF840/CE840)*100,"")</f>
        <v>2.90697677938127</v>
      </c>
      <c r="CL840" s="21"/>
      <c r="CM840" s="35" t="str">
        <f t="shared" ca="1" si="338"/>
        <v>TERMINADO</v>
      </c>
      <c r="CN840" s="82"/>
      <c r="CO840" s="145" t="s">
        <v>6649</v>
      </c>
      <c r="CP840" s="26" t="s">
        <v>142</v>
      </c>
      <c r="CQ840" s="83"/>
      <c r="CR840" s="83"/>
    </row>
    <row r="841" spans="1:96" s="85" customFormat="1" ht="24.75" customHeight="1">
      <c r="A841" s="48" t="s">
        <v>1424</v>
      </c>
      <c r="B841" s="77" t="s">
        <v>6650</v>
      </c>
      <c r="C841" s="17" t="s">
        <v>2927</v>
      </c>
      <c r="D841" s="18" t="s">
        <v>1424</v>
      </c>
      <c r="E841" s="17" t="s">
        <v>6197</v>
      </c>
      <c r="F841" s="17" t="s">
        <v>1426</v>
      </c>
      <c r="G841" s="17" t="s">
        <v>1427</v>
      </c>
      <c r="H841" s="78" t="s">
        <v>6651</v>
      </c>
      <c r="I841" s="74" t="s">
        <v>6652</v>
      </c>
      <c r="J841" s="16" t="s">
        <v>6653</v>
      </c>
      <c r="K841" s="16">
        <v>38559759</v>
      </c>
      <c r="L841" s="20" t="s">
        <v>6654</v>
      </c>
      <c r="M841" s="16"/>
      <c r="N841" s="22">
        <v>45516</v>
      </c>
      <c r="O841" s="181">
        <v>45516</v>
      </c>
      <c r="P841" s="22">
        <v>47342</v>
      </c>
      <c r="Q841" s="23">
        <f t="shared" si="346"/>
        <v>1826</v>
      </c>
      <c r="R841" s="17" t="s">
        <v>2934</v>
      </c>
      <c r="S841" s="16" t="s">
        <v>1424</v>
      </c>
      <c r="T841" s="16" t="s">
        <v>1424</v>
      </c>
      <c r="U841" s="67">
        <v>0</v>
      </c>
      <c r="V841" s="16" t="s">
        <v>1424</v>
      </c>
      <c r="W841" s="224">
        <v>0</v>
      </c>
      <c r="X841" s="24"/>
      <c r="Y841" s="24">
        <v>13641518664</v>
      </c>
      <c r="Z841" s="24"/>
      <c r="AA841" s="17" t="s">
        <v>427</v>
      </c>
      <c r="AB841" s="23" t="str">
        <f>IFERROR(VLOOKUP(AA841,Listas!$A$1:$C$14,2,FALSE),"")</f>
        <v>DINORAH PATRICIA ABADIA MURILLO</v>
      </c>
      <c r="AC841" s="23">
        <f>IFERROR(VLOOKUP(AA841,Listas!$A$1:$C$14,3,FALSE),"")</f>
        <v>52220857</v>
      </c>
      <c r="AD841" s="17" t="s">
        <v>427</v>
      </c>
      <c r="AE841" s="17" t="s">
        <v>428</v>
      </c>
      <c r="AF841" s="23" t="str">
        <f>IFERROR(VLOOKUP(AE841,Listas!$AD$1:$AF$65,2,FALSE),"")</f>
        <v>DINORAH PATRICIA ABADIA MURILLO</v>
      </c>
      <c r="AG841" s="23">
        <f>IFERROR(VLOOKUP(AE841,Listas!$AD$1:$AF$65,3,FALSE),"")</f>
        <v>52220857</v>
      </c>
      <c r="AH841" s="17" t="s">
        <v>2936</v>
      </c>
      <c r="AI841" s="65"/>
      <c r="AJ841" s="25" t="s">
        <v>1435</v>
      </c>
      <c r="AK841" s="26" t="s">
        <v>2071</v>
      </c>
      <c r="AL841" s="26" t="s">
        <v>2071</v>
      </c>
      <c r="AM841" s="90" t="s">
        <v>1435</v>
      </c>
      <c r="AN841" s="105"/>
      <c r="AO841" s="91" t="str">
        <f t="shared" ca="1" si="342"/>
        <v xml:space="preserve"> </v>
      </c>
      <c r="AP841" s="26" t="s">
        <v>2937</v>
      </c>
      <c r="AQ841" s="26" t="s">
        <v>3133</v>
      </c>
      <c r="AR841" s="89"/>
      <c r="AS841" s="27"/>
      <c r="AT841" s="16"/>
      <c r="AU841" s="27"/>
      <c r="AV841" s="86"/>
      <c r="AW841" s="27"/>
      <c r="AX841" s="27"/>
      <c r="AY841" s="27"/>
      <c r="AZ841" s="27"/>
      <c r="BA841" s="27"/>
      <c r="BB841" s="27"/>
      <c r="BC841" s="97"/>
      <c r="BD841" s="27"/>
      <c r="BE841" s="16"/>
      <c r="BF841" s="28">
        <f t="shared" si="333"/>
        <v>0</v>
      </c>
      <c r="BG841" s="29"/>
      <c r="BH841" s="27"/>
      <c r="BI841" s="30">
        <f t="shared" si="334"/>
        <v>1826</v>
      </c>
      <c r="BJ841" s="31">
        <f t="shared" si="335"/>
        <v>47342</v>
      </c>
      <c r="BK841" s="27"/>
      <c r="BL841" s="16"/>
      <c r="BM841" s="27"/>
      <c r="BN841" s="16"/>
      <c r="BO841" s="27"/>
      <c r="BP841" s="16"/>
      <c r="BQ841" s="27"/>
      <c r="BR841" s="24"/>
      <c r="BS841" s="24"/>
      <c r="BT841" s="32"/>
      <c r="BU841" s="27"/>
      <c r="BV841" s="24"/>
      <c r="BW841" s="24"/>
      <c r="BX841" s="16"/>
      <c r="BY841" s="27"/>
      <c r="BZ841" s="24"/>
      <c r="CA841" s="24"/>
      <c r="CB841" s="16"/>
      <c r="CC841" s="49">
        <f t="shared" si="336"/>
        <v>0</v>
      </c>
      <c r="CD841" s="24"/>
      <c r="CE841" s="49">
        <f t="shared" si="344"/>
        <v>13641518664</v>
      </c>
      <c r="CF841" s="50"/>
      <c r="CG841" s="49">
        <f t="shared" ca="1" si="343"/>
        <v>3242288663.842278</v>
      </c>
      <c r="CH841" s="33">
        <f t="shared" ca="1" si="339"/>
        <v>0.23777777777777778</v>
      </c>
      <c r="CI841" s="33">
        <f t="shared" ca="1" si="340"/>
        <v>0.23777777777777778</v>
      </c>
      <c r="CJ841" s="36">
        <f t="shared" ca="1" si="347"/>
        <v>23.767798466593646</v>
      </c>
      <c r="CK841" s="34">
        <f t="shared" si="348"/>
        <v>0</v>
      </c>
      <c r="CL841" s="21"/>
      <c r="CM841" s="35" t="str">
        <f t="shared" ca="1" si="338"/>
        <v>VIGENTE</v>
      </c>
      <c r="CN841" s="82"/>
      <c r="CO841" s="145"/>
      <c r="CP841" s="26"/>
      <c r="CQ841" s="83"/>
      <c r="CR841" s="83"/>
    </row>
    <row r="842" spans="1:96" s="222" customFormat="1" ht="24.75" customHeight="1">
      <c r="A842" s="48" t="s">
        <v>6655</v>
      </c>
      <c r="B842" s="77" t="s">
        <v>6656</v>
      </c>
      <c r="C842" s="17" t="s">
        <v>104</v>
      </c>
      <c r="D842" s="18" t="s">
        <v>6657</v>
      </c>
      <c r="E842" s="17" t="s">
        <v>106</v>
      </c>
      <c r="F842" s="17" t="s">
        <v>107</v>
      </c>
      <c r="G842" s="17" t="s">
        <v>108</v>
      </c>
      <c r="H842" s="78">
        <v>1013642159</v>
      </c>
      <c r="I842" s="74" t="s">
        <v>6658</v>
      </c>
      <c r="J842" s="16"/>
      <c r="K842" s="16"/>
      <c r="L842" s="20" t="s">
        <v>5176</v>
      </c>
      <c r="M842" s="16" t="s">
        <v>111</v>
      </c>
      <c r="N842" s="22">
        <v>45517</v>
      </c>
      <c r="O842" s="22">
        <v>45520</v>
      </c>
      <c r="P842" s="22">
        <v>45657</v>
      </c>
      <c r="Q842" s="23">
        <f t="shared" si="346"/>
        <v>137</v>
      </c>
      <c r="R842" s="17" t="s">
        <v>242</v>
      </c>
      <c r="S842" s="16" t="s">
        <v>6659</v>
      </c>
      <c r="T842" s="16" t="s">
        <v>1145</v>
      </c>
      <c r="U842" s="67">
        <v>35562500</v>
      </c>
      <c r="V842" s="16" t="s">
        <v>426</v>
      </c>
      <c r="W842" s="224">
        <v>35562500</v>
      </c>
      <c r="X842" s="24">
        <v>7112500</v>
      </c>
      <c r="Y842" s="24"/>
      <c r="Z842" s="24"/>
      <c r="AA842" s="17" t="s">
        <v>116</v>
      </c>
      <c r="AB842" s="23" t="str">
        <f>IFERROR(VLOOKUP(AA842,Listas!$A$1:$C$14,2,FALSE),"")</f>
        <v>FREDY CÉSPEDES VILLA</v>
      </c>
      <c r="AC842" s="23">
        <f>IFERROR(VLOOKUP(AA842,Listas!$A$1:$C$14,3,FALSE),"")</f>
        <v>93363483</v>
      </c>
      <c r="AD842" s="17" t="s">
        <v>427</v>
      </c>
      <c r="AE842" s="17" t="s">
        <v>428</v>
      </c>
      <c r="AF842" s="23" t="str">
        <f>IFERROR(VLOOKUP(AE842,Listas!$AD$1:$AF$65,2,FALSE),"")</f>
        <v>DINORAH PATRICIA ABADIA MURILLO</v>
      </c>
      <c r="AG842" s="23">
        <f>IFERROR(VLOOKUP(AE842,Listas!$AD$1:$AF$65,3,FALSE),"")</f>
        <v>52220857</v>
      </c>
      <c r="AH842" s="17" t="s">
        <v>118</v>
      </c>
      <c r="AI842" s="65" t="s">
        <v>6660</v>
      </c>
      <c r="AJ842" s="25" t="s">
        <v>4370</v>
      </c>
      <c r="AK842" s="26" t="s">
        <v>120</v>
      </c>
      <c r="AL842" s="26" t="s">
        <v>120</v>
      </c>
      <c r="AM842" s="90" t="s">
        <v>119</v>
      </c>
      <c r="AN842" s="105">
        <v>34174</v>
      </c>
      <c r="AO842" s="91">
        <f t="shared" ca="1" si="342"/>
        <v>32</v>
      </c>
      <c r="AP842" s="26" t="s">
        <v>121</v>
      </c>
      <c r="AQ842" s="26" t="s">
        <v>515</v>
      </c>
      <c r="AR842" s="89"/>
      <c r="AS842" s="27"/>
      <c r="AT842" s="16"/>
      <c r="AU842" s="27"/>
      <c r="AV842" s="86"/>
      <c r="AW842" s="27"/>
      <c r="AX842" s="27"/>
      <c r="AY842" s="27"/>
      <c r="AZ842" s="27"/>
      <c r="BA842" s="27"/>
      <c r="BB842" s="27"/>
      <c r="BC842" s="97"/>
      <c r="BD842" s="27"/>
      <c r="BE842" s="16"/>
      <c r="BF842" s="28">
        <f t="shared" si="333"/>
        <v>0</v>
      </c>
      <c r="BG842" s="29"/>
      <c r="BH842" s="27"/>
      <c r="BI842" s="30">
        <f t="shared" si="334"/>
        <v>137</v>
      </c>
      <c r="BJ842" s="31">
        <f t="shared" si="335"/>
        <v>45657</v>
      </c>
      <c r="BK842" s="27"/>
      <c r="BL842" s="16"/>
      <c r="BM842" s="27"/>
      <c r="BN842" s="16"/>
      <c r="BO842" s="27"/>
      <c r="BP842" s="16"/>
      <c r="BQ842" s="27"/>
      <c r="BR842" s="24"/>
      <c r="BS842" s="24"/>
      <c r="BT842" s="32"/>
      <c r="BU842" s="27"/>
      <c r="BV842" s="24"/>
      <c r="BW842" s="24"/>
      <c r="BX842" s="16"/>
      <c r="BY842" s="27"/>
      <c r="BZ842" s="24"/>
      <c r="CA842" s="24"/>
      <c r="CB842" s="16"/>
      <c r="CC842" s="49">
        <f t="shared" si="336"/>
        <v>0</v>
      </c>
      <c r="CD842" s="24"/>
      <c r="CE842" s="49">
        <f t="shared" si="344"/>
        <v>35562500</v>
      </c>
      <c r="CF842" s="50">
        <v>2133750</v>
      </c>
      <c r="CG842" s="49">
        <f t="shared" ca="1" si="343"/>
        <v>35562500</v>
      </c>
      <c r="CH842" s="33">
        <f t="shared" ca="1" si="339"/>
        <v>1</v>
      </c>
      <c r="CI842" s="33">
        <f t="shared" ca="1" si="340"/>
        <v>1</v>
      </c>
      <c r="CJ842" s="36">
        <f t="shared" ca="1" si="347"/>
        <v>100</v>
      </c>
      <c r="CK842" s="34">
        <f t="shared" si="348"/>
        <v>6</v>
      </c>
      <c r="CL842" s="21"/>
      <c r="CM842" s="35" t="str">
        <f t="shared" ca="1" si="338"/>
        <v>TERMINADO</v>
      </c>
      <c r="CN842" s="82"/>
      <c r="CO842" s="145" t="s">
        <v>6661</v>
      </c>
      <c r="CP842" s="26" t="s">
        <v>123</v>
      </c>
      <c r="CQ842" s="83"/>
      <c r="CR842" s="83"/>
    </row>
    <row r="843" spans="1:96" s="106" customFormat="1" ht="24.75" customHeight="1">
      <c r="A843" s="48" t="s">
        <v>6662</v>
      </c>
      <c r="B843" s="77" t="s">
        <v>6663</v>
      </c>
      <c r="C843" s="17" t="s">
        <v>104</v>
      </c>
      <c r="D843" s="18" t="s">
        <v>6664</v>
      </c>
      <c r="E843" s="17" t="s">
        <v>106</v>
      </c>
      <c r="F843" s="17" t="s">
        <v>107</v>
      </c>
      <c r="G843" s="17" t="s">
        <v>108</v>
      </c>
      <c r="H843" s="78">
        <v>1015431081</v>
      </c>
      <c r="I843" s="74" t="s">
        <v>6665</v>
      </c>
      <c r="J843" s="16"/>
      <c r="K843" s="16"/>
      <c r="L843" s="20" t="s">
        <v>6666</v>
      </c>
      <c r="M843" s="16" t="s">
        <v>111</v>
      </c>
      <c r="N843" s="22">
        <v>45517</v>
      </c>
      <c r="O843" s="22">
        <v>45524</v>
      </c>
      <c r="P843" s="22">
        <v>45657</v>
      </c>
      <c r="Q843" s="23">
        <f t="shared" si="346"/>
        <v>133</v>
      </c>
      <c r="R843" s="17" t="s">
        <v>242</v>
      </c>
      <c r="S843" s="16" t="s">
        <v>6667</v>
      </c>
      <c r="T843" s="16" t="s">
        <v>1145</v>
      </c>
      <c r="U843" s="67">
        <v>35562500</v>
      </c>
      <c r="V843" s="16" t="s">
        <v>426</v>
      </c>
      <c r="W843" s="224">
        <v>35562500</v>
      </c>
      <c r="X843" s="24">
        <v>7112500</v>
      </c>
      <c r="Y843" s="24"/>
      <c r="Z843" s="24"/>
      <c r="AA843" s="17" t="s">
        <v>116</v>
      </c>
      <c r="AB843" s="23" t="str">
        <f>IFERROR(VLOOKUP(AA843,Listas!$A$1:$C$14,2,FALSE),"")</f>
        <v>FREDY CÉSPEDES VILLA</v>
      </c>
      <c r="AC843" s="23">
        <f>IFERROR(VLOOKUP(AA843,Listas!$A$1:$C$14,3,FALSE),"")</f>
        <v>93363483</v>
      </c>
      <c r="AD843" s="17" t="s">
        <v>427</v>
      </c>
      <c r="AE843" s="17" t="s">
        <v>428</v>
      </c>
      <c r="AF843" s="23" t="str">
        <f>IFERROR(VLOOKUP(AE843,Listas!$AD$1:$AF$65,2,FALSE),"")</f>
        <v>DINORAH PATRICIA ABADIA MURILLO</v>
      </c>
      <c r="AG843" s="23">
        <f>IFERROR(VLOOKUP(AE843,Listas!$AD$1:$AF$65,3,FALSE),"")</f>
        <v>52220857</v>
      </c>
      <c r="AH843" s="17" t="s">
        <v>118</v>
      </c>
      <c r="AI843" s="65" t="s">
        <v>6668</v>
      </c>
      <c r="AJ843" s="25" t="s">
        <v>4370</v>
      </c>
      <c r="AK843" s="26" t="s">
        <v>120</v>
      </c>
      <c r="AL843" s="26" t="s">
        <v>120</v>
      </c>
      <c r="AM843" s="90" t="s">
        <v>119</v>
      </c>
      <c r="AN843" s="105">
        <v>33702</v>
      </c>
      <c r="AO843" s="91">
        <f t="shared" ref="AO843" ca="1" si="349">IF(YEAR(TODAY())-YEAR(AN843)&gt;100," ",YEAR(TODAY())-YEAR(AN843))</f>
        <v>33</v>
      </c>
      <c r="AP843" s="26" t="s">
        <v>121</v>
      </c>
      <c r="AQ843" s="26" t="s">
        <v>515</v>
      </c>
      <c r="AR843" s="89"/>
      <c r="AS843" s="27"/>
      <c r="AT843" s="16"/>
      <c r="AU843" s="27"/>
      <c r="AV843" s="86"/>
      <c r="AW843" s="27"/>
      <c r="AX843" s="27"/>
      <c r="AY843" s="27"/>
      <c r="AZ843" s="27"/>
      <c r="BA843" s="27"/>
      <c r="BB843" s="27"/>
      <c r="BC843" s="97"/>
      <c r="BD843" s="27"/>
      <c r="BE843" s="16"/>
      <c r="BF843" s="28">
        <f t="shared" ref="BF843:BF906" si="350">BC843+BE843</f>
        <v>0</v>
      </c>
      <c r="BG843" s="29"/>
      <c r="BH843" s="27"/>
      <c r="BI843" s="30">
        <f t="shared" ref="BI843:BI906" si="351">BF843+Q843</f>
        <v>133</v>
      </c>
      <c r="BJ843" s="31">
        <f t="shared" ref="BJ843:BJ906" si="352">IF(BH843="",P843+BF843,BH843)</f>
        <v>45657</v>
      </c>
      <c r="BK843" s="27"/>
      <c r="BL843" s="16"/>
      <c r="BM843" s="27"/>
      <c r="BN843" s="16"/>
      <c r="BO843" s="27"/>
      <c r="BP843" s="16"/>
      <c r="BQ843" s="27"/>
      <c r="BR843" s="24"/>
      <c r="BS843" s="24"/>
      <c r="BT843" s="32"/>
      <c r="BU843" s="27"/>
      <c r="BV843" s="24"/>
      <c r="BW843" s="24"/>
      <c r="BX843" s="16"/>
      <c r="BY843" s="27"/>
      <c r="BZ843" s="24"/>
      <c r="CA843" s="24"/>
      <c r="CB843" s="16"/>
      <c r="CC843" s="49">
        <f t="shared" ref="CC843:CC906" si="353">BR843+BV843+BZ843</f>
        <v>0</v>
      </c>
      <c r="CD843" s="24"/>
      <c r="CE843" s="49">
        <f t="shared" si="344"/>
        <v>35562500</v>
      </c>
      <c r="CF843" s="50"/>
      <c r="CG843" s="49">
        <f t="shared" ca="1" si="343"/>
        <v>35562500</v>
      </c>
      <c r="CH843" s="33">
        <f t="shared" ca="1" si="339"/>
        <v>1</v>
      </c>
      <c r="CI843" s="33">
        <f t="shared" ca="1" si="340"/>
        <v>1</v>
      </c>
      <c r="CJ843" s="36">
        <f t="shared" ca="1" si="347"/>
        <v>100</v>
      </c>
      <c r="CK843" s="34">
        <f t="shared" si="348"/>
        <v>0</v>
      </c>
      <c r="CL843" s="21"/>
      <c r="CM843" s="35" t="str">
        <f t="shared" ref="CM843:CM874" ca="1" si="354">IF(CL843&gt;1/1/6,"LIQUIDADO",IF(BJ843=$BE$20003,"",IF(BJ843&gt;=TODAY(),"VIGENTE",IF(BJ843&lt;TODAY(),"TERMINADO",))))</f>
        <v>TERMINADO</v>
      </c>
      <c r="CN843" s="82"/>
      <c r="CO843" s="145" t="s">
        <v>6669</v>
      </c>
      <c r="CP843" s="26" t="s">
        <v>123</v>
      </c>
      <c r="CQ843" s="83"/>
      <c r="CR843" s="83"/>
    </row>
    <row r="844" spans="1:96" s="156" customFormat="1" ht="24.75" customHeight="1">
      <c r="A844" s="48"/>
      <c r="B844" s="345" t="s">
        <v>6670</v>
      </c>
      <c r="C844" s="345" t="s">
        <v>1583</v>
      </c>
      <c r="D844" s="18"/>
      <c r="E844" s="17"/>
      <c r="F844" s="17"/>
      <c r="G844" s="17"/>
      <c r="H844" s="78"/>
      <c r="I844" s="74"/>
      <c r="J844" s="16"/>
      <c r="K844" s="16"/>
      <c r="L844" s="96"/>
      <c r="M844" s="16"/>
      <c r="N844" s="22">
        <v>45520</v>
      </c>
      <c r="O844" s="22"/>
      <c r="P844" s="22"/>
      <c r="Q844" s="23">
        <f t="shared" si="346"/>
        <v>0</v>
      </c>
      <c r="R844" s="17"/>
      <c r="S844" s="16"/>
      <c r="T844" s="16"/>
      <c r="U844" s="67"/>
      <c r="V844" s="16"/>
      <c r="W844" s="24"/>
      <c r="X844" s="24"/>
      <c r="Y844" s="24"/>
      <c r="Z844" s="24"/>
      <c r="AA844" s="17"/>
      <c r="AB844" s="23" t="str">
        <f>IFERROR(VLOOKUP(AA844,Listas!$A$1:$C$14,2,FALSE),"")</f>
        <v/>
      </c>
      <c r="AC844" s="23" t="str">
        <f>IFERROR(VLOOKUP(AA844,Listas!$A$1:$C$14,3,FALSE),"")</f>
        <v/>
      </c>
      <c r="AD844" s="17"/>
      <c r="AE844" s="17"/>
      <c r="AF844" s="23" t="str">
        <f>IFERROR(VLOOKUP(AE844,Listas!$AD$1:$AF$65,2,FALSE),"")</f>
        <v/>
      </c>
      <c r="AG844" s="23" t="str">
        <f>IFERROR(VLOOKUP(AE844,Listas!$AD$1:$AF$65,3,FALSE),"")</f>
        <v/>
      </c>
      <c r="AH844" s="17"/>
      <c r="AI844" s="65"/>
      <c r="AJ844" s="25"/>
      <c r="AK844" s="26"/>
      <c r="AL844" s="26"/>
      <c r="AM844" s="90"/>
      <c r="AN844" s="105"/>
      <c r="AO844" s="91" t="str">
        <f t="shared" ref="AO844:AO846" ca="1" si="355">IF(YEAR(TODAY())-YEAR(AN844)&gt;100," ",YEAR(TODAY())-YEAR(AN844))</f>
        <v xml:space="preserve"> </v>
      </c>
      <c r="AP844" s="26"/>
      <c r="AQ844" s="26"/>
      <c r="AR844" s="89"/>
      <c r="AS844" s="27"/>
      <c r="AT844" s="16"/>
      <c r="AU844" s="27"/>
      <c r="AV844" s="86"/>
      <c r="AW844" s="27"/>
      <c r="AX844" s="27"/>
      <c r="AY844" s="27"/>
      <c r="AZ844" s="27"/>
      <c r="BA844" s="27"/>
      <c r="BB844" s="27"/>
      <c r="BC844" s="97"/>
      <c r="BD844" s="27"/>
      <c r="BE844" s="16"/>
      <c r="BF844" s="28">
        <f t="shared" si="350"/>
        <v>0</v>
      </c>
      <c r="BG844" s="29"/>
      <c r="BH844" s="27"/>
      <c r="BI844" s="30">
        <f t="shared" si="351"/>
        <v>0</v>
      </c>
      <c r="BJ844" s="31">
        <f t="shared" si="352"/>
        <v>0</v>
      </c>
      <c r="BK844" s="27"/>
      <c r="BL844" s="16"/>
      <c r="BM844" s="27"/>
      <c r="BN844" s="16"/>
      <c r="BO844" s="27"/>
      <c r="BP844" s="16"/>
      <c r="BQ844" s="27"/>
      <c r="BR844" s="24"/>
      <c r="BS844" s="24"/>
      <c r="BT844" s="32"/>
      <c r="BU844" s="27"/>
      <c r="BV844" s="24"/>
      <c r="BW844" s="24"/>
      <c r="BX844" s="16"/>
      <c r="BY844" s="27"/>
      <c r="BZ844" s="24"/>
      <c r="CA844" s="24"/>
      <c r="CB844" s="16"/>
      <c r="CC844" s="49">
        <f t="shared" si="353"/>
        <v>0</v>
      </c>
      <c r="CD844" s="24"/>
      <c r="CE844" s="49">
        <f t="shared" si="344"/>
        <v>0</v>
      </c>
      <c r="CF844" s="50"/>
      <c r="CG844" s="49" t="str">
        <f t="shared" ca="1" si="343"/>
        <v/>
      </c>
      <c r="CH844" s="33">
        <f t="shared" ca="1" si="339"/>
        <v>1</v>
      </c>
      <c r="CI844" s="33">
        <f t="shared" ca="1" si="340"/>
        <v>1</v>
      </c>
      <c r="CJ844" s="36" t="str">
        <f t="shared" ca="1" si="347"/>
        <v/>
      </c>
      <c r="CK844" s="34" t="str">
        <f t="shared" si="348"/>
        <v/>
      </c>
      <c r="CL844" s="21"/>
      <c r="CM844" s="35" t="str">
        <f t="shared" ca="1" si="354"/>
        <v/>
      </c>
      <c r="CN844" s="82"/>
      <c r="CO844" s="145"/>
      <c r="CP844" s="26"/>
      <c r="CQ844" s="83"/>
      <c r="CR844" s="83"/>
    </row>
    <row r="845" spans="1:96" s="85" customFormat="1" ht="24.75" customHeight="1">
      <c r="A845" s="48" t="s">
        <v>1424</v>
      </c>
      <c r="B845" s="77" t="s">
        <v>6671</v>
      </c>
      <c r="C845" s="17" t="s">
        <v>2927</v>
      </c>
      <c r="D845" s="18" t="s">
        <v>6672</v>
      </c>
      <c r="E845" s="17" t="s">
        <v>4162</v>
      </c>
      <c r="F845" s="17" t="s">
        <v>1426</v>
      </c>
      <c r="G845" s="17" t="s">
        <v>1427</v>
      </c>
      <c r="H845" s="78" t="s">
        <v>4628</v>
      </c>
      <c r="I845" s="74" t="s">
        <v>4629</v>
      </c>
      <c r="J845" s="16" t="s">
        <v>6673</v>
      </c>
      <c r="K845" s="104">
        <v>79802614</v>
      </c>
      <c r="L845" s="20" t="s">
        <v>6674</v>
      </c>
      <c r="M845" s="16"/>
      <c r="N845" s="22">
        <v>45520</v>
      </c>
      <c r="O845" s="22">
        <v>45525</v>
      </c>
      <c r="P845" s="22">
        <v>46366</v>
      </c>
      <c r="Q845" s="23">
        <f t="shared" si="346"/>
        <v>841</v>
      </c>
      <c r="R845" s="17" t="s">
        <v>2934</v>
      </c>
      <c r="S845" s="16" t="s">
        <v>1424</v>
      </c>
      <c r="T845" s="16" t="s">
        <v>1424</v>
      </c>
      <c r="U845" s="24">
        <v>0</v>
      </c>
      <c r="V845" s="16" t="s">
        <v>1424</v>
      </c>
      <c r="W845" s="227">
        <v>0</v>
      </c>
      <c r="X845" s="24"/>
      <c r="Y845" s="24">
        <v>5469882895</v>
      </c>
      <c r="Z845" s="24" t="s">
        <v>6675</v>
      </c>
      <c r="AA845" s="17" t="s">
        <v>427</v>
      </c>
      <c r="AB845" s="23" t="str">
        <f>IFERROR(VLOOKUP(AA845,Listas!$A$1:$C$14,2,FALSE),"")</f>
        <v>DINORAH PATRICIA ABADIA MURILLO</v>
      </c>
      <c r="AC845" s="23">
        <f>IFERROR(VLOOKUP(AA845,Listas!$A$1:$C$14,3,FALSE),"")</f>
        <v>52220857</v>
      </c>
      <c r="AD845" s="17" t="s">
        <v>427</v>
      </c>
      <c r="AE845" s="17" t="s">
        <v>428</v>
      </c>
      <c r="AF845" s="23" t="str">
        <f>IFERROR(VLOOKUP(AE845,Listas!$AD$1:$AF$65,2,FALSE),"")</f>
        <v>DINORAH PATRICIA ABADIA MURILLO</v>
      </c>
      <c r="AG845" s="23">
        <f>IFERROR(VLOOKUP(AE845,Listas!$AD$1:$AF$65,3,FALSE),"")</f>
        <v>52220857</v>
      </c>
      <c r="AH845" s="17" t="s">
        <v>2936</v>
      </c>
      <c r="AI845" s="65"/>
      <c r="AJ845" s="25" t="s">
        <v>1435</v>
      </c>
      <c r="AK845" s="26" t="s">
        <v>2071</v>
      </c>
      <c r="AL845" s="26" t="s">
        <v>2071</v>
      </c>
      <c r="AM845" s="90" t="s">
        <v>1435</v>
      </c>
      <c r="AN845" s="105"/>
      <c r="AO845" s="91" t="str">
        <f t="shared" ca="1" si="355"/>
        <v xml:space="preserve"> </v>
      </c>
      <c r="AP845" s="26" t="s">
        <v>2937</v>
      </c>
      <c r="AQ845" s="26" t="s">
        <v>3437</v>
      </c>
      <c r="AR845" s="89"/>
      <c r="AS845" s="27"/>
      <c r="AT845" s="16"/>
      <c r="AU845" s="27"/>
      <c r="AV845" s="86"/>
      <c r="AW845" s="27"/>
      <c r="AX845" s="27"/>
      <c r="AY845" s="27"/>
      <c r="AZ845" s="27"/>
      <c r="BA845" s="27"/>
      <c r="BB845" s="27"/>
      <c r="BC845" s="97"/>
      <c r="BD845" s="27"/>
      <c r="BE845" s="16"/>
      <c r="BF845" s="28">
        <f t="shared" si="350"/>
        <v>0</v>
      </c>
      <c r="BG845" s="29"/>
      <c r="BH845" s="27"/>
      <c r="BI845" s="30">
        <f t="shared" si="351"/>
        <v>841</v>
      </c>
      <c r="BJ845" s="31">
        <f t="shared" si="352"/>
        <v>46366</v>
      </c>
      <c r="BK845" s="27"/>
      <c r="BL845" s="16"/>
      <c r="BM845" s="27"/>
      <c r="BN845" s="16"/>
      <c r="BO845" s="27"/>
      <c r="BP845" s="16"/>
      <c r="BQ845" s="27"/>
      <c r="BR845" s="24"/>
      <c r="BS845" s="24"/>
      <c r="BT845" s="32"/>
      <c r="BU845" s="27"/>
      <c r="BV845" s="24"/>
      <c r="BW845" s="24"/>
      <c r="BX845" s="16"/>
      <c r="BY845" s="27"/>
      <c r="BZ845" s="24"/>
      <c r="CA845" s="24"/>
      <c r="CB845" s="16"/>
      <c r="CC845" s="49">
        <f t="shared" si="353"/>
        <v>0</v>
      </c>
      <c r="CD845" s="24"/>
      <c r="CE845" s="49">
        <f t="shared" si="344"/>
        <v>5469882895</v>
      </c>
      <c r="CF845" s="50"/>
      <c r="CG845" s="49">
        <f t="shared" ca="1" si="343"/>
        <v>2796729660.9393578</v>
      </c>
      <c r="CH845" s="33">
        <f t="shared" ca="1" si="339"/>
        <v>0.50542822677925214</v>
      </c>
      <c r="CI845" s="33">
        <f t="shared" ca="1" si="340"/>
        <v>0.50542822677925214</v>
      </c>
      <c r="CJ845" s="36">
        <f t="shared" ca="1" si="347"/>
        <v>51.129607609988106</v>
      </c>
      <c r="CK845" s="34">
        <f t="shared" si="348"/>
        <v>0</v>
      </c>
      <c r="CL845" s="21"/>
      <c r="CM845" s="35" t="str">
        <f t="shared" ca="1" si="354"/>
        <v>VIGENTE</v>
      </c>
      <c r="CN845" s="82"/>
      <c r="CO845" s="145"/>
      <c r="CP845" s="26"/>
      <c r="CQ845" s="83"/>
      <c r="CR845" s="83"/>
    </row>
    <row r="846" spans="1:96" ht="24.75" customHeight="1">
      <c r="A846" s="48" t="s">
        <v>4121</v>
      </c>
      <c r="B846" s="77" t="s">
        <v>6676</v>
      </c>
      <c r="C846" s="17" t="s">
        <v>104</v>
      </c>
      <c r="D846" s="18" t="s">
        <v>6677</v>
      </c>
      <c r="E846" s="17" t="s">
        <v>106</v>
      </c>
      <c r="F846" s="17" t="s">
        <v>107</v>
      </c>
      <c r="G846" s="17" t="s">
        <v>108</v>
      </c>
      <c r="H846" s="78">
        <v>1016077489</v>
      </c>
      <c r="I846" s="74" t="s">
        <v>6678</v>
      </c>
      <c r="J846" s="16"/>
      <c r="K846" s="16"/>
      <c r="L846" s="20" t="s">
        <v>5702</v>
      </c>
      <c r="M846" s="16" t="s">
        <v>111</v>
      </c>
      <c r="N846" s="22">
        <v>45520</v>
      </c>
      <c r="O846" s="115">
        <v>45524</v>
      </c>
      <c r="P846" s="22">
        <v>45656</v>
      </c>
      <c r="Q846" s="23">
        <f t="shared" si="346"/>
        <v>132</v>
      </c>
      <c r="R846" s="17" t="s">
        <v>242</v>
      </c>
      <c r="S846" s="16" t="s">
        <v>6679</v>
      </c>
      <c r="T846" s="16" t="s">
        <v>6647</v>
      </c>
      <c r="U846" s="67">
        <v>41105805</v>
      </c>
      <c r="V846" s="16" t="s">
        <v>344</v>
      </c>
      <c r="W846" s="224">
        <v>41105805</v>
      </c>
      <c r="X846" s="24">
        <v>4659600</v>
      </c>
      <c r="Y846" s="24"/>
      <c r="Z846" s="24"/>
      <c r="AA846" s="17" t="s">
        <v>116</v>
      </c>
      <c r="AB846" s="23" t="str">
        <f>IFERROR(VLOOKUP(AA846,Listas!$A$1:$C$14,2,FALSE),"")</f>
        <v>FREDY CÉSPEDES VILLA</v>
      </c>
      <c r="AC846" s="23">
        <f>IFERROR(VLOOKUP(AA846,Listas!$A$1:$C$14,3,FALSE),"")</f>
        <v>93363483</v>
      </c>
      <c r="AD846" s="17" t="s">
        <v>345</v>
      </c>
      <c r="AE846" s="17" t="s">
        <v>346</v>
      </c>
      <c r="AF846" s="23" t="str">
        <f>IFERROR(VLOOKUP(AE846,Listas!$AD$1:$AF$65,2,FALSE),"")</f>
        <v>RODOLFO GIOVANNI CANCHILA SUÁREZ</v>
      </c>
      <c r="AG846" s="23">
        <f>IFERROR(VLOOKUP(AE846,Listas!$AD$1:$AF$65,3,FALSE),"")</f>
        <v>79672493</v>
      </c>
      <c r="AH846" s="17" t="s">
        <v>118</v>
      </c>
      <c r="AI846" s="65" t="s">
        <v>6680</v>
      </c>
      <c r="AJ846" s="25" t="s">
        <v>4370</v>
      </c>
      <c r="AK846" s="26" t="s">
        <v>120</v>
      </c>
      <c r="AL846" s="26" t="s">
        <v>120</v>
      </c>
      <c r="AM846" s="90" t="s">
        <v>119</v>
      </c>
      <c r="AN846" s="105">
        <v>34880</v>
      </c>
      <c r="AO846" s="91">
        <f t="shared" ca="1" si="355"/>
        <v>30</v>
      </c>
      <c r="AP846" s="26" t="s">
        <v>121</v>
      </c>
      <c r="AQ846" s="26" t="s">
        <v>347</v>
      </c>
      <c r="AR846" s="89"/>
      <c r="AS846" s="27"/>
      <c r="AT846" s="16"/>
      <c r="AU846" s="27"/>
      <c r="AV846" s="86"/>
      <c r="AW846" s="27"/>
      <c r="AX846" s="27"/>
      <c r="AY846" s="27"/>
      <c r="AZ846" s="27"/>
      <c r="BA846" s="27"/>
      <c r="BB846" s="27"/>
      <c r="BC846" s="97"/>
      <c r="BD846" s="27"/>
      <c r="BE846" s="16"/>
      <c r="BF846" s="28">
        <f t="shared" si="350"/>
        <v>0</v>
      </c>
      <c r="BG846" s="29"/>
      <c r="BH846" s="27"/>
      <c r="BI846" s="30">
        <f t="shared" si="351"/>
        <v>132</v>
      </c>
      <c r="BJ846" s="31">
        <f t="shared" si="352"/>
        <v>45656</v>
      </c>
      <c r="BK846" s="27"/>
      <c r="BL846" s="16"/>
      <c r="BM846" s="27"/>
      <c r="BN846" s="16"/>
      <c r="BO846" s="27"/>
      <c r="BP846" s="16"/>
      <c r="BQ846" s="27"/>
      <c r="BR846" s="24"/>
      <c r="BS846" s="24"/>
      <c r="BT846" s="32"/>
      <c r="BU846" s="27"/>
      <c r="BV846" s="24"/>
      <c r="BW846" s="24"/>
      <c r="BX846" s="16"/>
      <c r="BY846" s="27"/>
      <c r="BZ846" s="24"/>
      <c r="CA846" s="24"/>
      <c r="CB846" s="16"/>
      <c r="CC846" s="49">
        <f t="shared" si="353"/>
        <v>0</v>
      </c>
      <c r="CD846" s="24"/>
      <c r="CE846" s="49">
        <f t="shared" si="344"/>
        <v>41105805</v>
      </c>
      <c r="CF846" s="50"/>
      <c r="CG846" s="49">
        <f t="shared" ca="1" si="343"/>
        <v>41105805</v>
      </c>
      <c r="CH846" s="33">
        <f t="shared" ca="1" si="339"/>
        <v>1</v>
      </c>
      <c r="CI846" s="33">
        <f t="shared" ca="1" si="340"/>
        <v>1</v>
      </c>
      <c r="CJ846" s="36">
        <f t="shared" ca="1" si="347"/>
        <v>100</v>
      </c>
      <c r="CK846" s="34">
        <f t="shared" si="348"/>
        <v>0</v>
      </c>
      <c r="CL846" s="21"/>
      <c r="CM846" s="35" t="str">
        <f t="shared" ca="1" si="354"/>
        <v>TERMINADO</v>
      </c>
      <c r="CN846" s="82"/>
      <c r="CO846" s="145" t="s">
        <v>6681</v>
      </c>
      <c r="CP846" s="26" t="s">
        <v>123</v>
      </c>
    </row>
    <row r="847" spans="1:96" ht="24.75" customHeight="1">
      <c r="A847" s="48" t="s">
        <v>6682</v>
      </c>
      <c r="B847" s="77" t="s">
        <v>6683</v>
      </c>
      <c r="C847" s="17" t="s">
        <v>104</v>
      </c>
      <c r="D847" s="18" t="s">
        <v>6684</v>
      </c>
      <c r="E847" s="17" t="s">
        <v>106</v>
      </c>
      <c r="F847" s="17" t="s">
        <v>1426</v>
      </c>
      <c r="G847" s="17" t="s">
        <v>1427</v>
      </c>
      <c r="H847" s="78" t="s">
        <v>6685</v>
      </c>
      <c r="I847" s="74" t="s">
        <v>6686</v>
      </c>
      <c r="J847" s="16" t="s">
        <v>6687</v>
      </c>
      <c r="K847" s="104">
        <v>51742203</v>
      </c>
      <c r="L847" s="20" t="s">
        <v>6688</v>
      </c>
      <c r="M847" s="16" t="s">
        <v>111</v>
      </c>
      <c r="N847" s="22">
        <v>45520</v>
      </c>
      <c r="O847" s="115">
        <v>45530</v>
      </c>
      <c r="P847" s="22">
        <v>45838</v>
      </c>
      <c r="Q847" s="23">
        <f t="shared" si="346"/>
        <v>308</v>
      </c>
      <c r="R847" s="17" t="s">
        <v>242</v>
      </c>
      <c r="S847" s="16" t="s">
        <v>6689</v>
      </c>
      <c r="T847" s="16" t="s">
        <v>6504</v>
      </c>
      <c r="U847" s="67"/>
      <c r="V847" s="16" t="s">
        <v>6690</v>
      </c>
      <c r="W847" s="224">
        <v>41856000</v>
      </c>
      <c r="X847" s="24"/>
      <c r="Y847" s="24"/>
      <c r="Z847" s="24"/>
      <c r="AA847" s="17" t="s">
        <v>116</v>
      </c>
      <c r="AB847" s="23" t="str">
        <f>IFERROR(VLOOKUP(AA847,Listas!$A$1:$C$14,2,FALSE),"")</f>
        <v>FREDY CÉSPEDES VILLA</v>
      </c>
      <c r="AC847" s="23">
        <f>IFERROR(VLOOKUP(AA847,Listas!$A$1:$C$14,3,FALSE),"")</f>
        <v>93363483</v>
      </c>
      <c r="AD847" s="17" t="s">
        <v>116</v>
      </c>
      <c r="AE847" s="17" t="s">
        <v>2309</v>
      </c>
      <c r="AF847" s="23" t="str">
        <f>IFERROR(VLOOKUP(AE847,Listas!$AD$1:$AF$65,2,FALSE),"")</f>
        <v>YURY NAYIBE LADINO</v>
      </c>
      <c r="AG847" s="23">
        <f>IFERROR(VLOOKUP(AE847,Listas!$AD$1:$AF$65,3,FALSE),"")</f>
        <v>1013587191</v>
      </c>
      <c r="AH847" s="17" t="s">
        <v>118</v>
      </c>
      <c r="AI847" s="65"/>
      <c r="AJ847" s="25" t="s">
        <v>1435</v>
      </c>
      <c r="AK847" s="26" t="s">
        <v>2071</v>
      </c>
      <c r="AL847" s="26" t="s">
        <v>2071</v>
      </c>
      <c r="AM847" s="90" t="s">
        <v>1435</v>
      </c>
      <c r="AN847" s="105"/>
      <c r="AO847" s="91" t="str">
        <f t="shared" ref="AO847:AO859" ca="1" si="356">IF(YEAR(TODAY())-YEAR(AN847)&gt;100," ",YEAR(TODAY())-YEAR(AN847))</f>
        <v xml:space="preserve"> </v>
      </c>
      <c r="AP847" s="26" t="s">
        <v>121</v>
      </c>
      <c r="AQ847" s="26" t="s">
        <v>122</v>
      </c>
      <c r="AR847" s="89"/>
      <c r="AS847" s="27"/>
      <c r="AT847" s="16"/>
      <c r="AU847" s="27"/>
      <c r="AV847" s="86"/>
      <c r="AW847" s="27"/>
      <c r="AX847" s="27"/>
      <c r="AY847" s="27"/>
      <c r="AZ847" s="27"/>
      <c r="BA847" s="27"/>
      <c r="BB847" s="27"/>
      <c r="BC847" s="97"/>
      <c r="BD847" s="27"/>
      <c r="BE847" s="16"/>
      <c r="BF847" s="28">
        <f t="shared" si="350"/>
        <v>0</v>
      </c>
      <c r="BG847" s="29"/>
      <c r="BH847" s="27"/>
      <c r="BI847" s="30">
        <f t="shared" si="351"/>
        <v>308</v>
      </c>
      <c r="BJ847" s="31">
        <f t="shared" si="352"/>
        <v>45838</v>
      </c>
      <c r="BK847" s="27"/>
      <c r="BL847" s="16"/>
      <c r="BM847" s="27"/>
      <c r="BN847" s="16"/>
      <c r="BO847" s="27"/>
      <c r="BP847" s="16"/>
      <c r="BQ847" s="27"/>
      <c r="BR847" s="24"/>
      <c r="BS847" s="24"/>
      <c r="BT847" s="32"/>
      <c r="BU847" s="27"/>
      <c r="BV847" s="24"/>
      <c r="BW847" s="24"/>
      <c r="BX847" s="16"/>
      <c r="BY847" s="27"/>
      <c r="BZ847" s="24"/>
      <c r="CA847" s="24"/>
      <c r="CB847" s="16"/>
      <c r="CC847" s="49">
        <f t="shared" si="353"/>
        <v>0</v>
      </c>
      <c r="CD847" s="24"/>
      <c r="CE847" s="49">
        <f t="shared" si="344"/>
        <v>41856000</v>
      </c>
      <c r="CF847" s="50"/>
      <c r="CG847" s="49">
        <f t="shared" ca="1" si="343"/>
        <v>41856000</v>
      </c>
      <c r="CH847" s="33">
        <f t="shared" ca="1" si="339"/>
        <v>1</v>
      </c>
      <c r="CI847" s="33">
        <f t="shared" ca="1" si="340"/>
        <v>1</v>
      </c>
      <c r="CJ847" s="36">
        <f t="shared" ca="1" si="347"/>
        <v>100</v>
      </c>
      <c r="CK847" s="34">
        <f t="shared" si="348"/>
        <v>0</v>
      </c>
      <c r="CL847" s="21"/>
      <c r="CM847" s="35" t="str">
        <f t="shared" ca="1" si="354"/>
        <v>TERMINADO</v>
      </c>
      <c r="CN847" s="82"/>
      <c r="CP847" s="26"/>
    </row>
    <row r="848" spans="1:96" ht="24.75" customHeight="1">
      <c r="A848" s="48" t="s">
        <v>6691</v>
      </c>
      <c r="B848" s="77" t="s">
        <v>6692</v>
      </c>
      <c r="C848" s="17" t="s">
        <v>104</v>
      </c>
      <c r="D848" s="18" t="s">
        <v>6693</v>
      </c>
      <c r="E848" s="17" t="s">
        <v>106</v>
      </c>
      <c r="F848" s="17" t="s">
        <v>107</v>
      </c>
      <c r="G848" s="17" t="s">
        <v>108</v>
      </c>
      <c r="H848" s="78">
        <v>22798512</v>
      </c>
      <c r="I848" s="74" t="s">
        <v>6694</v>
      </c>
      <c r="J848" s="16"/>
      <c r="K848" s="16"/>
      <c r="L848" s="20" t="s">
        <v>6695</v>
      </c>
      <c r="M848" s="16" t="s">
        <v>111</v>
      </c>
      <c r="N848" s="22">
        <v>45520</v>
      </c>
      <c r="O848" s="115">
        <v>45520</v>
      </c>
      <c r="P848" s="22">
        <v>45657</v>
      </c>
      <c r="Q848" s="23">
        <f t="shared" si="346"/>
        <v>137</v>
      </c>
      <c r="R848" s="17" t="s">
        <v>6696</v>
      </c>
      <c r="S848" s="16" t="s">
        <v>6697</v>
      </c>
      <c r="T848" s="16" t="s">
        <v>314</v>
      </c>
      <c r="U848" s="67">
        <v>23299500</v>
      </c>
      <c r="V848" s="16" t="s">
        <v>6698</v>
      </c>
      <c r="W848" s="224">
        <v>35562500</v>
      </c>
      <c r="X848" s="24">
        <v>4659900</v>
      </c>
      <c r="Y848" s="24"/>
      <c r="Z848" s="24"/>
      <c r="AA848" s="17" t="s">
        <v>116</v>
      </c>
      <c r="AB848" s="23" t="str">
        <f>IFERROR(VLOOKUP(AA848,Listas!$A$1:$C$14,2,FALSE),"")</f>
        <v>FREDY CÉSPEDES VILLA</v>
      </c>
      <c r="AC848" s="23">
        <f>IFERROR(VLOOKUP(AA848,Listas!$A$1:$C$14,3,FALSE),"")</f>
        <v>93363483</v>
      </c>
      <c r="AD848" s="17" t="s">
        <v>304</v>
      </c>
      <c r="AE848" s="17" t="s">
        <v>305</v>
      </c>
      <c r="AF848" s="23" t="str">
        <f>IFERROR(VLOOKUP(AE848,Listas!$AD$1:$AF$65,2,FALSE),"")</f>
        <v>ALVARO HERNAN URQUIJO GOMEZ</v>
      </c>
      <c r="AG848" s="23">
        <v>80505520</v>
      </c>
      <c r="AH848" s="17" t="s">
        <v>6056</v>
      </c>
      <c r="AI848" s="65" t="s">
        <v>6699</v>
      </c>
      <c r="AJ848" s="25" t="s">
        <v>4370</v>
      </c>
      <c r="AK848" s="26" t="s">
        <v>120</v>
      </c>
      <c r="AL848" s="26" t="s">
        <v>120</v>
      </c>
      <c r="AM848" s="90" t="s">
        <v>119</v>
      </c>
      <c r="AN848" s="105">
        <v>29014</v>
      </c>
      <c r="AO848" s="91">
        <f t="shared" ca="1" si="356"/>
        <v>46</v>
      </c>
      <c r="AP848" s="26" t="s">
        <v>121</v>
      </c>
      <c r="AQ848" s="26" t="s">
        <v>122</v>
      </c>
      <c r="AR848" s="89"/>
      <c r="AS848" s="27"/>
      <c r="AT848" s="16"/>
      <c r="AU848" s="27"/>
      <c r="AV848" s="86"/>
      <c r="AW848" s="27"/>
      <c r="AX848" s="27"/>
      <c r="AY848" s="27"/>
      <c r="AZ848" s="27"/>
      <c r="BA848" s="27"/>
      <c r="BB848" s="27"/>
      <c r="BC848" s="97"/>
      <c r="BD848" s="27"/>
      <c r="BE848" s="16"/>
      <c r="BF848" s="28">
        <f t="shared" si="350"/>
        <v>0</v>
      </c>
      <c r="BG848" s="29"/>
      <c r="BH848" s="27"/>
      <c r="BI848" s="30">
        <f t="shared" si="351"/>
        <v>137</v>
      </c>
      <c r="BJ848" s="31">
        <f t="shared" si="352"/>
        <v>45657</v>
      </c>
      <c r="BK848" s="27"/>
      <c r="BL848" s="16"/>
      <c r="BM848" s="27"/>
      <c r="BN848" s="16"/>
      <c r="BO848" s="27"/>
      <c r="BP848" s="16"/>
      <c r="BQ848" s="27"/>
      <c r="BR848" s="24"/>
      <c r="BS848" s="24"/>
      <c r="BT848" s="32"/>
      <c r="BU848" s="27"/>
      <c r="BV848" s="24"/>
      <c r="BW848" s="24"/>
      <c r="BX848" s="16"/>
      <c r="BY848" s="27"/>
      <c r="BZ848" s="24"/>
      <c r="CA848" s="24"/>
      <c r="CB848" s="16"/>
      <c r="CC848" s="49">
        <f t="shared" si="353"/>
        <v>0</v>
      </c>
      <c r="CD848" s="24"/>
      <c r="CE848" s="49">
        <f t="shared" si="344"/>
        <v>35562500</v>
      </c>
      <c r="CF848" s="50"/>
      <c r="CG848" s="49">
        <f t="shared" ca="1" si="343"/>
        <v>35562500</v>
      </c>
      <c r="CH848" s="33">
        <f t="shared" ca="1" si="339"/>
        <v>1</v>
      </c>
      <c r="CI848" s="33">
        <f t="shared" ca="1" si="340"/>
        <v>1</v>
      </c>
      <c r="CJ848" s="36">
        <f t="shared" ca="1" si="347"/>
        <v>100</v>
      </c>
      <c r="CK848" s="34">
        <f t="shared" si="348"/>
        <v>0</v>
      </c>
      <c r="CL848" s="21"/>
      <c r="CM848" s="35" t="str">
        <f t="shared" ca="1" si="354"/>
        <v>TERMINADO</v>
      </c>
      <c r="CN848" s="82"/>
      <c r="CO848" s="145" t="s">
        <v>6700</v>
      </c>
      <c r="CP848" s="26" t="s">
        <v>123</v>
      </c>
    </row>
    <row r="849" spans="1:96" s="85" customFormat="1" ht="24.75" customHeight="1">
      <c r="A849" s="48" t="s">
        <v>1424</v>
      </c>
      <c r="B849" s="77" t="s">
        <v>6701</v>
      </c>
      <c r="C849" s="17" t="s">
        <v>2927</v>
      </c>
      <c r="D849" s="18" t="s">
        <v>1424</v>
      </c>
      <c r="E849" s="17" t="s">
        <v>6197</v>
      </c>
      <c r="F849" s="17" t="s">
        <v>1426</v>
      </c>
      <c r="G849" s="17" t="s">
        <v>1427</v>
      </c>
      <c r="H849" s="78" t="s">
        <v>6702</v>
      </c>
      <c r="I849" s="74" t="s">
        <v>6703</v>
      </c>
      <c r="J849" s="16" t="s">
        <v>6704</v>
      </c>
      <c r="K849" s="104">
        <v>53006353</v>
      </c>
      <c r="L849" s="20" t="s">
        <v>6705</v>
      </c>
      <c r="M849" s="16"/>
      <c r="N849" s="22">
        <v>45524</v>
      </c>
      <c r="O849" s="181">
        <v>45525</v>
      </c>
      <c r="P849" s="22">
        <v>46011</v>
      </c>
      <c r="Q849" s="23">
        <f t="shared" si="346"/>
        <v>486</v>
      </c>
      <c r="R849" s="17" t="s">
        <v>2934</v>
      </c>
      <c r="S849" s="16" t="s">
        <v>1424</v>
      </c>
      <c r="T849" s="16" t="s">
        <v>1424</v>
      </c>
      <c r="U849" s="24">
        <v>0</v>
      </c>
      <c r="V849" s="16" t="s">
        <v>1424</v>
      </c>
      <c r="W849" s="227">
        <v>0</v>
      </c>
      <c r="X849" s="24"/>
      <c r="Y849" s="24">
        <v>75000000</v>
      </c>
      <c r="Z849" s="24"/>
      <c r="AA849" s="17" t="s">
        <v>427</v>
      </c>
      <c r="AB849" s="23" t="str">
        <f>IFERROR(VLOOKUP(AA849,Listas!$A$1:$C$14,2,FALSE),"")</f>
        <v>DINORAH PATRICIA ABADIA MURILLO</v>
      </c>
      <c r="AC849" s="23">
        <f>IFERROR(VLOOKUP(AA849,Listas!$A$1:$C$14,3,FALSE),"")</f>
        <v>52220857</v>
      </c>
      <c r="AD849" s="17" t="s">
        <v>427</v>
      </c>
      <c r="AE849" s="17" t="s">
        <v>428</v>
      </c>
      <c r="AF849" s="23" t="str">
        <f>IFERROR(VLOOKUP(AE849,Listas!$AD$1:$AF$65,2,FALSE),"")</f>
        <v>DINORAH PATRICIA ABADIA MURILLO</v>
      </c>
      <c r="AG849" s="23">
        <f>IFERROR(VLOOKUP(AE849,Listas!$AD$1:$AF$65,3,FALSE),"")</f>
        <v>52220857</v>
      </c>
      <c r="AH849" s="17" t="s">
        <v>2936</v>
      </c>
      <c r="AI849" s="65"/>
      <c r="AJ849" s="25" t="s">
        <v>1435</v>
      </c>
      <c r="AK849" s="26" t="s">
        <v>2071</v>
      </c>
      <c r="AL849" s="26" t="s">
        <v>2071</v>
      </c>
      <c r="AM849" s="90" t="s">
        <v>1435</v>
      </c>
      <c r="AN849" s="105"/>
      <c r="AO849" s="91" t="str">
        <f t="shared" ca="1" si="356"/>
        <v xml:space="preserve"> </v>
      </c>
      <c r="AP849" s="26" t="s">
        <v>2937</v>
      </c>
      <c r="AQ849" s="26" t="s">
        <v>3453</v>
      </c>
      <c r="AR849" s="89"/>
      <c r="AS849" s="27"/>
      <c r="AT849" s="16"/>
      <c r="AU849" s="27"/>
      <c r="AV849" s="86"/>
      <c r="AW849" s="27"/>
      <c r="AX849" s="27"/>
      <c r="AY849" s="27"/>
      <c r="AZ849" s="27"/>
      <c r="BA849" s="27"/>
      <c r="BB849" s="27"/>
      <c r="BC849" s="97"/>
      <c r="BD849" s="27"/>
      <c r="BE849" s="16"/>
      <c r="BF849" s="28">
        <f t="shared" si="350"/>
        <v>0</v>
      </c>
      <c r="BG849" s="29"/>
      <c r="BH849" s="27"/>
      <c r="BI849" s="30">
        <f t="shared" si="351"/>
        <v>486</v>
      </c>
      <c r="BJ849" s="31">
        <f t="shared" si="352"/>
        <v>46011</v>
      </c>
      <c r="BK849" s="27"/>
      <c r="BL849" s="16"/>
      <c r="BM849" s="27"/>
      <c r="BN849" s="16"/>
      <c r="BO849" s="27"/>
      <c r="BP849" s="16"/>
      <c r="BQ849" s="27"/>
      <c r="BR849" s="24"/>
      <c r="BS849" s="24"/>
      <c r="BT849" s="32"/>
      <c r="BU849" s="27"/>
      <c r="BV849" s="24"/>
      <c r="BW849" s="24"/>
      <c r="BX849" s="16"/>
      <c r="BY849" s="27"/>
      <c r="BZ849" s="24"/>
      <c r="CA849" s="24"/>
      <c r="CB849" s="16"/>
      <c r="CC849" s="49">
        <f t="shared" si="353"/>
        <v>0</v>
      </c>
      <c r="CD849" s="24"/>
      <c r="CE849" s="49">
        <f t="shared" si="344"/>
        <v>75000000</v>
      </c>
      <c r="CF849" s="50"/>
      <c r="CG849" s="49">
        <f t="shared" ca="1" si="343"/>
        <v>65740740.740740739</v>
      </c>
      <c r="CH849" s="33">
        <f t="shared" ca="1" si="339"/>
        <v>0.87473903966597077</v>
      </c>
      <c r="CI849" s="33">
        <f t="shared" ca="1" si="340"/>
        <v>0.87473903966597077</v>
      </c>
      <c r="CJ849" s="36">
        <f t="shared" ca="1" si="347"/>
        <v>87.654320987654316</v>
      </c>
      <c r="CK849" s="34">
        <f t="shared" si="348"/>
        <v>0</v>
      </c>
      <c r="CL849" s="21"/>
      <c r="CM849" s="35" t="str">
        <f t="shared" ca="1" si="354"/>
        <v>VIGENTE</v>
      </c>
      <c r="CN849" s="82"/>
      <c r="CO849" s="145"/>
      <c r="CP849" s="26"/>
      <c r="CQ849" s="83"/>
      <c r="CR849" s="83"/>
    </row>
    <row r="850" spans="1:96" ht="24.75" customHeight="1">
      <c r="A850" s="48" t="s">
        <v>6706</v>
      </c>
      <c r="B850" s="77" t="s">
        <v>6707</v>
      </c>
      <c r="C850" s="17" t="s">
        <v>104</v>
      </c>
      <c r="D850" s="18" t="s">
        <v>6708</v>
      </c>
      <c r="E850" s="17" t="s">
        <v>6709</v>
      </c>
      <c r="F850" s="17" t="s">
        <v>1426</v>
      </c>
      <c r="G850" s="17" t="s">
        <v>1427</v>
      </c>
      <c r="H850" s="78" t="s">
        <v>6710</v>
      </c>
      <c r="I850" s="74" t="s">
        <v>6711</v>
      </c>
      <c r="J850" s="16" t="s">
        <v>6712</v>
      </c>
      <c r="K850" s="104">
        <v>79564954</v>
      </c>
      <c r="L850" s="223" t="s">
        <v>6713</v>
      </c>
      <c r="M850" s="16" t="s">
        <v>6714</v>
      </c>
      <c r="N850" s="22">
        <v>45525</v>
      </c>
      <c r="O850" s="115">
        <v>45530</v>
      </c>
      <c r="P850" s="22">
        <v>45713</v>
      </c>
      <c r="Q850" s="23">
        <f t="shared" si="346"/>
        <v>183</v>
      </c>
      <c r="R850" s="17" t="s">
        <v>2934</v>
      </c>
      <c r="S850" s="16" t="s">
        <v>1424</v>
      </c>
      <c r="T850" s="16" t="s">
        <v>1424</v>
      </c>
      <c r="U850" s="67">
        <v>0</v>
      </c>
      <c r="V850" s="16" t="s">
        <v>1424</v>
      </c>
      <c r="W850" s="225">
        <v>0</v>
      </c>
      <c r="X850" s="24">
        <v>0</v>
      </c>
      <c r="Y850" s="24"/>
      <c r="Z850" s="24"/>
      <c r="AA850" s="17" t="s">
        <v>116</v>
      </c>
      <c r="AB850" s="23" t="str">
        <f>IFERROR(VLOOKUP(AA850,Listas!$A$1:$C$14,2,FALSE),"")</f>
        <v>FREDY CÉSPEDES VILLA</v>
      </c>
      <c r="AC850" s="23">
        <f>IFERROR(VLOOKUP(AA850,Listas!$A$1:$C$14,3,FALSE),"")</f>
        <v>93363483</v>
      </c>
      <c r="AD850" s="17" t="s">
        <v>116</v>
      </c>
      <c r="AE850" s="17" t="s">
        <v>659</v>
      </c>
      <c r="AF850" s="23" t="str">
        <f>IFERROR(VLOOKUP(AE850,Listas!$AD$1:$AF$65,2,FALSE),"")</f>
        <v>TATIANA FORERO TORRES</v>
      </c>
      <c r="AG850" s="23">
        <f>IFERROR(VLOOKUP(AE850,Listas!$AD$1:$AF$65,3,FALSE),"")</f>
        <v>1072446921</v>
      </c>
      <c r="AH850" s="17" t="s">
        <v>118</v>
      </c>
      <c r="AI850" s="65"/>
      <c r="AJ850" s="25" t="s">
        <v>1435</v>
      </c>
      <c r="AK850" s="26" t="s">
        <v>2071</v>
      </c>
      <c r="AL850" s="26" t="s">
        <v>2071</v>
      </c>
      <c r="AM850" s="90" t="s">
        <v>1435</v>
      </c>
      <c r="AN850" s="105"/>
      <c r="AO850" s="91" t="str">
        <f t="shared" ca="1" si="356"/>
        <v xml:space="preserve"> </v>
      </c>
      <c r="AP850" s="26" t="s">
        <v>121</v>
      </c>
      <c r="AQ850" s="26" t="s">
        <v>285</v>
      </c>
      <c r="AR850" s="89"/>
      <c r="AS850" s="27"/>
      <c r="AT850" s="16"/>
      <c r="AU850" s="27"/>
      <c r="AV850" s="86"/>
      <c r="AW850" s="27"/>
      <c r="AX850" s="27"/>
      <c r="AY850" s="27"/>
      <c r="AZ850" s="27"/>
      <c r="BA850" s="27"/>
      <c r="BB850" s="27"/>
      <c r="BC850" s="97"/>
      <c r="BD850" s="27"/>
      <c r="BE850" s="16"/>
      <c r="BF850" s="28">
        <f t="shared" si="350"/>
        <v>0</v>
      </c>
      <c r="BG850" s="29"/>
      <c r="BH850" s="27"/>
      <c r="BI850" s="30">
        <f t="shared" si="351"/>
        <v>183</v>
      </c>
      <c r="BJ850" s="31">
        <f t="shared" si="352"/>
        <v>45713</v>
      </c>
      <c r="BK850" s="27"/>
      <c r="BL850" s="16"/>
      <c r="BM850" s="27"/>
      <c r="BN850" s="16"/>
      <c r="BO850" s="27"/>
      <c r="BP850" s="16"/>
      <c r="BQ850" s="27"/>
      <c r="BR850" s="24"/>
      <c r="BS850" s="24"/>
      <c r="BT850" s="32"/>
      <c r="BU850" s="27"/>
      <c r="BV850" s="24"/>
      <c r="BW850" s="24"/>
      <c r="BX850" s="16"/>
      <c r="BY850" s="27"/>
      <c r="BZ850" s="24"/>
      <c r="CA850" s="24"/>
      <c r="CB850" s="16"/>
      <c r="CC850" s="49">
        <f t="shared" si="353"/>
        <v>0</v>
      </c>
      <c r="CD850" s="24"/>
      <c r="CE850" s="361">
        <f>IF(Y850=0,(W850+CC850)-CD850,IF(Y850&gt;0,(Y850+CC850)-CD850))</f>
        <v>0</v>
      </c>
      <c r="CF850" s="50">
        <v>0</v>
      </c>
      <c r="CG850" s="49">
        <f t="shared" ca="1" si="343"/>
        <v>0</v>
      </c>
      <c r="CH850" s="33">
        <f t="shared" ca="1" si="339"/>
        <v>1</v>
      </c>
      <c r="CI850" s="33">
        <f t="shared" ca="1" si="340"/>
        <v>1</v>
      </c>
      <c r="CJ850" s="36" t="str">
        <f t="shared" ca="1" si="347"/>
        <v/>
      </c>
      <c r="CK850" s="34" t="str">
        <f t="shared" si="348"/>
        <v/>
      </c>
      <c r="CL850" s="21"/>
      <c r="CM850" s="35" t="str">
        <f t="shared" ca="1" si="354"/>
        <v>TERMINADO</v>
      </c>
      <c r="CN850" s="82"/>
      <c r="CP850" s="26"/>
    </row>
    <row r="851" spans="1:96" s="106" customFormat="1" ht="24.75" customHeight="1">
      <c r="A851" s="48" t="s">
        <v>6715</v>
      </c>
      <c r="B851" s="77" t="s">
        <v>6716</v>
      </c>
      <c r="C851" s="17" t="s">
        <v>104</v>
      </c>
      <c r="D851" s="18" t="s">
        <v>6717</v>
      </c>
      <c r="E851" s="17" t="s">
        <v>6608</v>
      </c>
      <c r="F851" s="17" t="s">
        <v>1426</v>
      </c>
      <c r="G851" s="17" t="s">
        <v>1427</v>
      </c>
      <c r="H851" s="78" t="s">
        <v>6718</v>
      </c>
      <c r="I851" s="74" t="s">
        <v>6719</v>
      </c>
      <c r="J851" s="16"/>
      <c r="K851" s="104"/>
      <c r="L851" s="175" t="s">
        <v>6720</v>
      </c>
      <c r="M851" s="16" t="s">
        <v>111</v>
      </c>
      <c r="N851" s="22">
        <v>45526</v>
      </c>
      <c r="O851" s="115">
        <v>45531</v>
      </c>
      <c r="P851" s="22">
        <v>45896</v>
      </c>
      <c r="Q851" s="23">
        <f t="shared" si="346"/>
        <v>365</v>
      </c>
      <c r="R851" s="17" t="s">
        <v>242</v>
      </c>
      <c r="S851" s="16" t="s">
        <v>6721</v>
      </c>
      <c r="T851" s="16" t="s">
        <v>2811</v>
      </c>
      <c r="U851" s="67">
        <v>48460453</v>
      </c>
      <c r="V851" s="16" t="s">
        <v>3076</v>
      </c>
      <c r="W851" s="225">
        <v>48460453</v>
      </c>
      <c r="X851" s="16"/>
      <c r="Y851" s="24"/>
      <c r="Z851" s="24"/>
      <c r="AA851" s="17" t="s">
        <v>116</v>
      </c>
      <c r="AB851" s="23" t="str">
        <f>IFERROR(VLOOKUP(AA851,Listas!$A$1:$C$14,2,FALSE),"")</f>
        <v>FREDY CÉSPEDES VILLA</v>
      </c>
      <c r="AC851" s="23">
        <f>IFERROR(VLOOKUP(AA851,Listas!$A$1:$C$14,3,FALSE),"")</f>
        <v>93363483</v>
      </c>
      <c r="AD851" s="17" t="s">
        <v>282</v>
      </c>
      <c r="AE851" s="17" t="s">
        <v>293</v>
      </c>
      <c r="AF851" s="23" t="str">
        <f>IFERROR(VLOOKUP(AE851,Listas!$AD$1:$AF$65,2,FALSE),"")</f>
        <v>MÓNICA PINTO GARCÍA</v>
      </c>
      <c r="AG851" s="23">
        <f>IFERROR(VLOOKUP(AE851,Listas!$AD$1:$AF$65,3,FALSE),"")</f>
        <v>52867207</v>
      </c>
      <c r="AH851" s="17" t="s">
        <v>118</v>
      </c>
      <c r="AI851" s="65"/>
      <c r="AJ851" s="25" t="s">
        <v>1435</v>
      </c>
      <c r="AK851" s="26" t="s">
        <v>2071</v>
      </c>
      <c r="AL851" s="26" t="s">
        <v>2071</v>
      </c>
      <c r="AM851" s="90" t="s">
        <v>1435</v>
      </c>
      <c r="AN851" s="105"/>
      <c r="AO851" s="91" t="str">
        <f t="shared" ca="1" si="356"/>
        <v xml:space="preserve"> </v>
      </c>
      <c r="AP851" s="26" t="s">
        <v>121</v>
      </c>
      <c r="AQ851" s="26" t="s">
        <v>819</v>
      </c>
      <c r="AR851" s="89"/>
      <c r="AS851" s="27"/>
      <c r="AT851" s="16"/>
      <c r="AU851" s="27"/>
      <c r="AV851" s="86"/>
      <c r="AW851" s="27"/>
      <c r="AX851" s="27"/>
      <c r="AY851" s="27"/>
      <c r="AZ851" s="27"/>
      <c r="BA851" s="27"/>
      <c r="BB851" s="27"/>
      <c r="BC851" s="97"/>
      <c r="BD851" s="27"/>
      <c r="BE851" s="16"/>
      <c r="BF851" s="28">
        <f t="shared" si="350"/>
        <v>0</v>
      </c>
      <c r="BG851" s="29"/>
      <c r="BH851" s="27"/>
      <c r="BI851" s="30">
        <f t="shared" si="351"/>
        <v>365</v>
      </c>
      <c r="BJ851" s="31">
        <f t="shared" si="352"/>
        <v>45896</v>
      </c>
      <c r="BK851" s="27"/>
      <c r="BL851" s="16"/>
      <c r="BM851" s="27"/>
      <c r="BN851" s="16"/>
      <c r="BO851" s="27"/>
      <c r="BP851" s="16"/>
      <c r="BQ851" s="27"/>
      <c r="BR851" s="24"/>
      <c r="BS851" s="24"/>
      <c r="BT851" s="32"/>
      <c r="BU851" s="27"/>
      <c r="BV851" s="24"/>
      <c r="BW851" s="24"/>
      <c r="BX851" s="16"/>
      <c r="BY851" s="27"/>
      <c r="BZ851" s="24"/>
      <c r="CA851" s="24"/>
      <c r="CB851" s="16"/>
      <c r="CC851" s="49">
        <f t="shared" si="353"/>
        <v>0</v>
      </c>
      <c r="CD851" s="24"/>
      <c r="CE851" s="49">
        <f t="shared" si="344"/>
        <v>48460453</v>
      </c>
      <c r="CF851" s="50"/>
      <c r="CG851" s="49">
        <f t="shared" ca="1" si="343"/>
        <v>48460453</v>
      </c>
      <c r="CH851" s="33">
        <f t="shared" ca="1" si="339"/>
        <v>1</v>
      </c>
      <c r="CI851" s="33">
        <f t="shared" ca="1" si="340"/>
        <v>1</v>
      </c>
      <c r="CJ851" s="36">
        <f t="shared" ca="1" si="347"/>
        <v>100</v>
      </c>
      <c r="CK851" s="34">
        <f t="shared" si="348"/>
        <v>0</v>
      </c>
      <c r="CL851" s="21"/>
      <c r="CM851" s="35" t="str">
        <f t="shared" ca="1" si="354"/>
        <v>TERMINADO</v>
      </c>
      <c r="CN851" s="82"/>
      <c r="CO851" s="145"/>
      <c r="CP851" s="26"/>
      <c r="CQ851" s="83"/>
      <c r="CR851" s="83"/>
    </row>
    <row r="852" spans="1:96" s="38" customFormat="1" ht="24.75" customHeight="1">
      <c r="A852" s="48" t="s">
        <v>1814</v>
      </c>
      <c r="B852" s="77" t="s">
        <v>6722</v>
      </c>
      <c r="C852" s="17" t="s">
        <v>104</v>
      </c>
      <c r="D852" s="18" t="s">
        <v>6723</v>
      </c>
      <c r="E852" s="17" t="s">
        <v>106</v>
      </c>
      <c r="F852" s="17" t="s">
        <v>107</v>
      </c>
      <c r="G852" s="17" t="s">
        <v>108</v>
      </c>
      <c r="H852" s="78">
        <v>52793942</v>
      </c>
      <c r="I852" s="74" t="s">
        <v>6724</v>
      </c>
      <c r="J852" s="16"/>
      <c r="K852" s="104"/>
      <c r="L852" s="96" t="s">
        <v>6725</v>
      </c>
      <c r="M852" s="16" t="s">
        <v>111</v>
      </c>
      <c r="N852" s="22">
        <v>45527</v>
      </c>
      <c r="O852" s="22">
        <v>45534</v>
      </c>
      <c r="P852" s="22">
        <v>45656</v>
      </c>
      <c r="Q852" s="23">
        <f t="shared" si="346"/>
        <v>122</v>
      </c>
      <c r="R852" s="17" t="s">
        <v>242</v>
      </c>
      <c r="S852" s="16" t="s">
        <v>6726</v>
      </c>
      <c r="T852" s="16" t="s">
        <v>343</v>
      </c>
      <c r="U852" s="67">
        <v>42617946</v>
      </c>
      <c r="V852" s="16" t="s">
        <v>437</v>
      </c>
      <c r="W852" s="225">
        <v>42617946</v>
      </c>
      <c r="X852" s="24">
        <v>8092015</v>
      </c>
      <c r="Y852" s="24"/>
      <c r="Z852" s="24"/>
      <c r="AA852" s="17" t="s">
        <v>116</v>
      </c>
      <c r="AB852" s="23" t="str">
        <f>IFERROR(VLOOKUP(AA852,Listas!$A$1:$C$14,2,FALSE),"")</f>
        <v>FREDY CÉSPEDES VILLA</v>
      </c>
      <c r="AC852" s="23">
        <f>IFERROR(VLOOKUP(AA852,Listas!$A$1:$C$14,3,FALSE),"")</f>
        <v>93363483</v>
      </c>
      <c r="AD852" s="17" t="s">
        <v>345</v>
      </c>
      <c r="AE852" s="17" t="s">
        <v>632</v>
      </c>
      <c r="AF852" s="23" t="str">
        <f>IFERROR(VLOOKUP(AE852,Listas!$AD$1:$AF$65,2,FALSE),"")</f>
        <v>MANUEL ALBERTO LOZANO CARDONA</v>
      </c>
      <c r="AG852" s="23">
        <f>IFERROR(VLOOKUP(AE852,Listas!$AD$1:$AF$65,3,FALSE),"")</f>
        <v>79940034</v>
      </c>
      <c r="AH852" s="17" t="s">
        <v>6056</v>
      </c>
      <c r="AI852" s="65" t="s">
        <v>6727</v>
      </c>
      <c r="AJ852" s="25" t="s">
        <v>4370</v>
      </c>
      <c r="AK852" s="26" t="s">
        <v>120</v>
      </c>
      <c r="AL852" s="26" t="s">
        <v>120</v>
      </c>
      <c r="AM852" s="90" t="s">
        <v>119</v>
      </c>
      <c r="AN852" s="105">
        <v>29498</v>
      </c>
      <c r="AO852" s="91">
        <f t="shared" ca="1" si="356"/>
        <v>45</v>
      </c>
      <c r="AP852" s="26" t="s">
        <v>121</v>
      </c>
      <c r="AQ852" s="26" t="s">
        <v>347</v>
      </c>
      <c r="AR852" s="89"/>
      <c r="AS852" s="27"/>
      <c r="AT852" s="16"/>
      <c r="AU852" s="27"/>
      <c r="AV852" s="86"/>
      <c r="AW852" s="27"/>
      <c r="AX852" s="27"/>
      <c r="AY852" s="27"/>
      <c r="AZ852" s="27"/>
      <c r="BA852" s="27"/>
      <c r="BB852" s="27"/>
      <c r="BC852" s="97"/>
      <c r="BD852" s="27"/>
      <c r="BE852" s="16"/>
      <c r="BF852" s="28">
        <f t="shared" si="350"/>
        <v>0</v>
      </c>
      <c r="BG852" s="29"/>
      <c r="BH852" s="27"/>
      <c r="BI852" s="30">
        <f t="shared" si="351"/>
        <v>122</v>
      </c>
      <c r="BJ852" s="31">
        <f t="shared" si="352"/>
        <v>45656</v>
      </c>
      <c r="BK852" s="27"/>
      <c r="BL852" s="16"/>
      <c r="BM852" s="27"/>
      <c r="BN852" s="16"/>
      <c r="BO852" s="27"/>
      <c r="BP852" s="16"/>
      <c r="BQ852" s="27"/>
      <c r="BR852" s="24"/>
      <c r="BS852" s="24"/>
      <c r="BT852" s="32"/>
      <c r="BU852" s="27"/>
      <c r="BV852" s="24"/>
      <c r="BW852" s="24"/>
      <c r="BX852" s="16"/>
      <c r="BY852" s="27"/>
      <c r="BZ852" s="24"/>
      <c r="CA852" s="24"/>
      <c r="CB852" s="16"/>
      <c r="CC852" s="49">
        <f t="shared" si="353"/>
        <v>0</v>
      </c>
      <c r="CD852" s="24"/>
      <c r="CE852" s="49">
        <f t="shared" si="344"/>
        <v>42617946</v>
      </c>
      <c r="CF852" s="50"/>
      <c r="CG852" s="49">
        <f t="shared" ca="1" si="343"/>
        <v>42617946</v>
      </c>
      <c r="CH852" s="33">
        <f t="shared" ca="1" si="339"/>
        <v>1</v>
      </c>
      <c r="CI852" s="33">
        <f t="shared" ca="1" si="340"/>
        <v>1</v>
      </c>
      <c r="CJ852" s="36">
        <f t="shared" ca="1" si="347"/>
        <v>100</v>
      </c>
      <c r="CK852" s="34">
        <f t="shared" si="348"/>
        <v>0</v>
      </c>
      <c r="CL852" s="21"/>
      <c r="CM852" s="35" t="str">
        <f t="shared" ca="1" si="354"/>
        <v>TERMINADO</v>
      </c>
      <c r="CN852" s="82"/>
      <c r="CO852" s="145" t="s">
        <v>6728</v>
      </c>
      <c r="CP852" s="26" t="s">
        <v>123</v>
      </c>
      <c r="CQ852" s="83"/>
      <c r="CR852" s="83"/>
    </row>
    <row r="853" spans="1:96" s="85" customFormat="1" ht="24.75" customHeight="1">
      <c r="A853" s="48" t="s">
        <v>3730</v>
      </c>
      <c r="B853" s="77" t="s">
        <v>6729</v>
      </c>
      <c r="C853" s="17" t="s">
        <v>104</v>
      </c>
      <c r="D853" s="18" t="s">
        <v>6730</v>
      </c>
      <c r="E853" s="17" t="s">
        <v>106</v>
      </c>
      <c r="F853" s="17" t="s">
        <v>107</v>
      </c>
      <c r="G853" s="17" t="s">
        <v>108</v>
      </c>
      <c r="H853" s="78">
        <v>1069944401</v>
      </c>
      <c r="I853" s="74" t="s">
        <v>5198</v>
      </c>
      <c r="J853" s="16"/>
      <c r="K853" s="16"/>
      <c r="L853" s="20" t="s">
        <v>6731</v>
      </c>
      <c r="M853" s="16" t="s">
        <v>111</v>
      </c>
      <c r="N853" s="115">
        <v>45527</v>
      </c>
      <c r="O853" s="115">
        <v>45543</v>
      </c>
      <c r="P853" s="115">
        <v>45656</v>
      </c>
      <c r="Q853" s="23">
        <f t="shared" si="346"/>
        <v>113</v>
      </c>
      <c r="R853" s="17" t="s">
        <v>242</v>
      </c>
      <c r="S853" s="117" t="s">
        <v>6732</v>
      </c>
      <c r="T853" s="16" t="s">
        <v>6733</v>
      </c>
      <c r="U853" s="67">
        <v>40460075</v>
      </c>
      <c r="V853" s="16" t="s">
        <v>2308</v>
      </c>
      <c r="W853" s="224">
        <v>34525930</v>
      </c>
      <c r="X853" s="24">
        <v>8092015</v>
      </c>
      <c r="Y853" s="24"/>
      <c r="Z853" s="24"/>
      <c r="AA853" s="17" t="s">
        <v>116</v>
      </c>
      <c r="AB853" s="23" t="str">
        <f>IFERROR(VLOOKUP(AA853,Listas!$A$1:$C$14,2,FALSE),"")</f>
        <v>FREDY CÉSPEDES VILLA</v>
      </c>
      <c r="AC853" s="23">
        <f>IFERROR(VLOOKUP(AA853,Listas!$A$1:$C$14,3,FALSE),"")</f>
        <v>93363483</v>
      </c>
      <c r="AD853" s="17" t="s">
        <v>116</v>
      </c>
      <c r="AE853" s="17" t="s">
        <v>2309</v>
      </c>
      <c r="AF853" s="23" t="str">
        <f>IFERROR(VLOOKUP(AE853,Listas!$AD$1:$AF$65,2,FALSE),"")</f>
        <v>YURY NAYIBE LADINO</v>
      </c>
      <c r="AG853" s="23">
        <f>IFERROR(VLOOKUP(AE853,Listas!$AD$1:$AF$65,3,FALSE),"")</f>
        <v>1013587191</v>
      </c>
      <c r="AH853" s="17" t="s">
        <v>6101</v>
      </c>
      <c r="AI853" s="65" t="s">
        <v>6734</v>
      </c>
      <c r="AJ853" s="25" t="s">
        <v>4370</v>
      </c>
      <c r="AK853" s="26" t="s">
        <v>120</v>
      </c>
      <c r="AL853" s="26" t="s">
        <v>120</v>
      </c>
      <c r="AM853" s="90" t="s">
        <v>119</v>
      </c>
      <c r="AN853" s="105">
        <v>33915</v>
      </c>
      <c r="AO853" s="91">
        <f t="shared" ca="1" si="356"/>
        <v>33</v>
      </c>
      <c r="AP853" s="26" t="s">
        <v>121</v>
      </c>
      <c r="AQ853" s="26" t="s">
        <v>285</v>
      </c>
      <c r="AR853" s="89"/>
      <c r="AS853" s="27"/>
      <c r="AT853" s="16"/>
      <c r="AU853" s="27"/>
      <c r="AV853" s="86"/>
      <c r="AW853" s="27"/>
      <c r="AX853" s="27"/>
      <c r="AY853" s="27"/>
      <c r="AZ853" s="27"/>
      <c r="BA853" s="27"/>
      <c r="BB853" s="27"/>
      <c r="BC853" s="97"/>
      <c r="BD853" s="27"/>
      <c r="BE853" s="16"/>
      <c r="BF853" s="28">
        <f t="shared" si="350"/>
        <v>0</v>
      </c>
      <c r="BG853" s="29"/>
      <c r="BH853" s="27"/>
      <c r="BI853" s="30">
        <f t="shared" si="351"/>
        <v>113</v>
      </c>
      <c r="BJ853" s="31">
        <f t="shared" si="352"/>
        <v>45656</v>
      </c>
      <c r="BK853" s="27"/>
      <c r="BL853" s="16"/>
      <c r="BM853" s="27"/>
      <c r="BN853" s="16"/>
      <c r="BO853" s="27"/>
      <c r="BP853" s="16"/>
      <c r="BQ853" s="27"/>
      <c r="BR853" s="24"/>
      <c r="BS853" s="24"/>
      <c r="BT853" s="32"/>
      <c r="BU853" s="27"/>
      <c r="BV853" s="24"/>
      <c r="BW853" s="24"/>
      <c r="BX853" s="16"/>
      <c r="BY853" s="27"/>
      <c r="BZ853" s="24"/>
      <c r="CA853" s="24"/>
      <c r="CB853" s="16"/>
      <c r="CC853" s="49">
        <f t="shared" si="353"/>
        <v>0</v>
      </c>
      <c r="CD853" s="24"/>
      <c r="CE853" s="49">
        <f t="shared" si="344"/>
        <v>34525930</v>
      </c>
      <c r="CF853" s="50"/>
      <c r="CG853" s="49">
        <f t="shared" ca="1" si="343"/>
        <v>34525930</v>
      </c>
      <c r="CH853" s="33">
        <f t="shared" ca="1" si="339"/>
        <v>1</v>
      </c>
      <c r="CI853" s="33">
        <f t="shared" ca="1" si="340"/>
        <v>1</v>
      </c>
      <c r="CJ853" s="36">
        <f t="shared" ca="1" si="347"/>
        <v>100</v>
      </c>
      <c r="CK853" s="34">
        <f t="shared" si="348"/>
        <v>0</v>
      </c>
      <c r="CL853" s="21"/>
      <c r="CM853" s="35" t="str">
        <f t="shared" ca="1" si="354"/>
        <v>TERMINADO</v>
      </c>
      <c r="CN853" s="82"/>
      <c r="CO853" s="145"/>
      <c r="CP853" s="26" t="s">
        <v>142</v>
      </c>
      <c r="CQ853" s="83"/>
      <c r="CR853" s="83"/>
    </row>
    <row r="854" spans="1:96" s="38" customFormat="1" ht="24.75" customHeight="1">
      <c r="A854" s="48" t="s">
        <v>6735</v>
      </c>
      <c r="B854" s="77" t="s">
        <v>6736</v>
      </c>
      <c r="C854" s="17" t="s">
        <v>104</v>
      </c>
      <c r="D854" s="18" t="s">
        <v>6737</v>
      </c>
      <c r="E854" s="17" t="s">
        <v>106</v>
      </c>
      <c r="F854" s="17" t="s">
        <v>107</v>
      </c>
      <c r="G854" s="17" t="s">
        <v>108</v>
      </c>
      <c r="H854" s="78">
        <v>1104432284</v>
      </c>
      <c r="I854" s="74" t="s">
        <v>6738</v>
      </c>
      <c r="J854" s="16"/>
      <c r="K854" s="104"/>
      <c r="L854" s="96" t="s">
        <v>6739</v>
      </c>
      <c r="M854" s="16" t="s">
        <v>111</v>
      </c>
      <c r="N854" s="22">
        <v>45527</v>
      </c>
      <c r="O854" s="181">
        <v>45543</v>
      </c>
      <c r="P854" s="22">
        <v>45656</v>
      </c>
      <c r="Q854" s="23">
        <f t="shared" si="346"/>
        <v>113</v>
      </c>
      <c r="R854" s="17" t="s">
        <v>242</v>
      </c>
      <c r="S854" s="16" t="s">
        <v>6740</v>
      </c>
      <c r="T854" s="16" t="s">
        <v>1460</v>
      </c>
      <c r="U854" s="67">
        <v>36958033</v>
      </c>
      <c r="V854" s="16" t="s">
        <v>5463</v>
      </c>
      <c r="W854" s="224">
        <v>36958033</v>
      </c>
      <c r="X854" s="24">
        <v>8093000</v>
      </c>
      <c r="Y854" s="24"/>
      <c r="Z854" s="24"/>
      <c r="AA854" s="17" t="s">
        <v>116</v>
      </c>
      <c r="AB854" s="23" t="str">
        <f>IFERROR(VLOOKUP(AA854,Listas!$A$1:$C$14,2,FALSE),"")</f>
        <v>FREDY CÉSPEDES VILLA</v>
      </c>
      <c r="AC854" s="23">
        <f>IFERROR(VLOOKUP(AA854,Listas!$A$1:$C$14,3,FALSE),"")</f>
        <v>93363483</v>
      </c>
      <c r="AD854" s="17" t="s">
        <v>607</v>
      </c>
      <c r="AE854" s="17" t="s">
        <v>1155</v>
      </c>
      <c r="AF854" s="23" t="str">
        <f>IFERROR(VLOOKUP(AE854,Listas!$AD$1:$AF$65,2,FALSE),"")</f>
        <v>MARÍA FRANCISCA CEPEDA QUINTERO</v>
      </c>
      <c r="AG854" s="23">
        <f>IFERROR(VLOOKUP(AE854,Listas!$AD$1:$AF$65,3,FALSE),"")</f>
        <v>53062608</v>
      </c>
      <c r="AH854" s="17" t="s">
        <v>118</v>
      </c>
      <c r="AI854" s="65" t="s">
        <v>6741</v>
      </c>
      <c r="AJ854" s="25" t="s">
        <v>4370</v>
      </c>
      <c r="AK854" s="26" t="s">
        <v>120</v>
      </c>
      <c r="AL854" s="26" t="s">
        <v>120</v>
      </c>
      <c r="AM854" s="90" t="s">
        <v>119</v>
      </c>
      <c r="AN854" s="105">
        <v>35325</v>
      </c>
      <c r="AO854" s="91">
        <f t="shared" ca="1" si="356"/>
        <v>29</v>
      </c>
      <c r="AP854" s="26" t="s">
        <v>121</v>
      </c>
      <c r="AQ854" s="26" t="s">
        <v>486</v>
      </c>
      <c r="AR854" s="89"/>
      <c r="AS854" s="27"/>
      <c r="AT854" s="16"/>
      <c r="AU854" s="27"/>
      <c r="AV854" s="86"/>
      <c r="AW854" s="27"/>
      <c r="AX854" s="27"/>
      <c r="AY854" s="27"/>
      <c r="AZ854" s="27"/>
      <c r="BA854" s="27"/>
      <c r="BB854" s="27"/>
      <c r="BC854" s="97"/>
      <c r="BD854" s="27"/>
      <c r="BE854" s="16"/>
      <c r="BF854" s="28">
        <f t="shared" si="350"/>
        <v>0</v>
      </c>
      <c r="BG854" s="29"/>
      <c r="BH854" s="27"/>
      <c r="BI854" s="30">
        <f t="shared" si="351"/>
        <v>113</v>
      </c>
      <c r="BJ854" s="31">
        <f t="shared" si="352"/>
        <v>45656</v>
      </c>
      <c r="BK854" s="27"/>
      <c r="BL854" s="16"/>
      <c r="BM854" s="27"/>
      <c r="BN854" s="16"/>
      <c r="BO854" s="27"/>
      <c r="BP854" s="16"/>
      <c r="BQ854" s="27"/>
      <c r="BR854" s="24"/>
      <c r="BS854" s="24"/>
      <c r="BT854" s="32"/>
      <c r="BU854" s="27"/>
      <c r="BV854" s="24"/>
      <c r="BW854" s="24"/>
      <c r="BX854" s="16"/>
      <c r="BY854" s="27"/>
      <c r="BZ854" s="24"/>
      <c r="CA854" s="24"/>
      <c r="CB854" s="16"/>
      <c r="CC854" s="49">
        <f t="shared" si="353"/>
        <v>0</v>
      </c>
      <c r="CD854" s="24"/>
      <c r="CE854" s="49">
        <f t="shared" si="344"/>
        <v>36958033</v>
      </c>
      <c r="CF854" s="50"/>
      <c r="CG854" s="49">
        <f t="shared" ca="1" si="343"/>
        <v>36958033</v>
      </c>
      <c r="CH854" s="33">
        <f t="shared" ca="1" si="339"/>
        <v>1</v>
      </c>
      <c r="CI854" s="33">
        <f t="shared" ca="1" si="340"/>
        <v>1</v>
      </c>
      <c r="CJ854" s="36">
        <f t="shared" ca="1" si="347"/>
        <v>100</v>
      </c>
      <c r="CK854" s="34">
        <f t="shared" si="348"/>
        <v>0</v>
      </c>
      <c r="CL854" s="21"/>
      <c r="CM854" s="35" t="str">
        <f t="shared" ca="1" si="354"/>
        <v>TERMINADO</v>
      </c>
      <c r="CN854" s="82"/>
      <c r="CO854" s="145"/>
      <c r="CP854" s="26" t="s">
        <v>123</v>
      </c>
      <c r="CQ854" s="83"/>
      <c r="CR854" s="83"/>
    </row>
    <row r="855" spans="1:96" s="222" customFormat="1" ht="24.75" customHeight="1">
      <c r="A855" s="48" t="s">
        <v>6742</v>
      </c>
      <c r="B855" s="77" t="s">
        <v>6743</v>
      </c>
      <c r="C855" s="17" t="s">
        <v>104</v>
      </c>
      <c r="D855" s="18" t="s">
        <v>6744</v>
      </c>
      <c r="E855" s="17" t="s">
        <v>106</v>
      </c>
      <c r="F855" s="17" t="s">
        <v>107</v>
      </c>
      <c r="G855" s="17" t="s">
        <v>108</v>
      </c>
      <c r="H855" s="78">
        <v>80114639</v>
      </c>
      <c r="I855" s="74" t="s">
        <v>6745</v>
      </c>
      <c r="J855" s="16"/>
      <c r="K855" s="104"/>
      <c r="L855" s="96" t="s">
        <v>6746</v>
      </c>
      <c r="M855" s="16" t="s">
        <v>111</v>
      </c>
      <c r="N855" s="22">
        <v>45527</v>
      </c>
      <c r="O855" s="115">
        <v>45532</v>
      </c>
      <c r="P855" s="22">
        <v>45656</v>
      </c>
      <c r="Q855" s="23">
        <f t="shared" si="346"/>
        <v>124</v>
      </c>
      <c r="R855" s="17" t="s">
        <v>112</v>
      </c>
      <c r="S855" s="16" t="s">
        <v>6747</v>
      </c>
      <c r="T855" s="16" t="s">
        <v>6748</v>
      </c>
      <c r="U855" s="67">
        <v>55908408</v>
      </c>
      <c r="V855" s="16" t="s">
        <v>1318</v>
      </c>
      <c r="W855" s="224">
        <v>20344470</v>
      </c>
      <c r="X855" s="24">
        <v>4659039</v>
      </c>
      <c r="Y855" s="24"/>
      <c r="Z855" s="24"/>
      <c r="AA855" s="17" t="s">
        <v>116</v>
      </c>
      <c r="AB855" s="23" t="str">
        <f>IFERROR(VLOOKUP(AA855,Listas!$A$1:$C$14,2,FALSE),"")</f>
        <v>FREDY CÉSPEDES VILLA</v>
      </c>
      <c r="AC855" s="23">
        <f>IFERROR(VLOOKUP(AA855,Listas!$A$1:$C$14,3,FALSE),"")</f>
        <v>93363483</v>
      </c>
      <c r="AD855" s="17" t="s">
        <v>116</v>
      </c>
      <c r="AE855" s="17" t="s">
        <v>659</v>
      </c>
      <c r="AF855" s="23" t="str">
        <f>IFERROR(VLOOKUP(AE855,Listas!$AD$1:$AF$65,2,FALSE),"")</f>
        <v>TATIANA FORERO TORRES</v>
      </c>
      <c r="AG855" s="23">
        <f>IFERROR(VLOOKUP(AE855,Listas!$AD$1:$AF$65,3,FALSE),"")</f>
        <v>1072446921</v>
      </c>
      <c r="AH855" s="17" t="s">
        <v>118</v>
      </c>
      <c r="AI855" s="65"/>
      <c r="AJ855" s="25" t="s">
        <v>4370</v>
      </c>
      <c r="AK855" s="26" t="s">
        <v>120</v>
      </c>
      <c r="AL855" s="26" t="s">
        <v>120</v>
      </c>
      <c r="AM855" s="90" t="s">
        <v>119</v>
      </c>
      <c r="AN855" s="105">
        <v>29957</v>
      </c>
      <c r="AO855" s="91">
        <f t="shared" ca="1" si="356"/>
        <v>43</v>
      </c>
      <c r="AP855" s="26" t="s">
        <v>121</v>
      </c>
      <c r="AQ855" s="26" t="s">
        <v>285</v>
      </c>
      <c r="AR855" s="89"/>
      <c r="AS855" s="27"/>
      <c r="AT855" s="16"/>
      <c r="AU855" s="27"/>
      <c r="AV855" s="86"/>
      <c r="AW855" s="27"/>
      <c r="AX855" s="27"/>
      <c r="AY855" s="27"/>
      <c r="AZ855" s="27"/>
      <c r="BA855" s="27"/>
      <c r="BB855" s="27"/>
      <c r="BC855" s="97"/>
      <c r="BD855" s="27"/>
      <c r="BE855" s="16"/>
      <c r="BF855" s="28">
        <f t="shared" si="350"/>
        <v>0</v>
      </c>
      <c r="BG855" s="29"/>
      <c r="BH855" s="27"/>
      <c r="BI855" s="30">
        <f t="shared" si="351"/>
        <v>124</v>
      </c>
      <c r="BJ855" s="31">
        <f t="shared" si="352"/>
        <v>45656</v>
      </c>
      <c r="BK855" s="27"/>
      <c r="BL855" s="16"/>
      <c r="BM855" s="27"/>
      <c r="BN855" s="16"/>
      <c r="BO855" s="27"/>
      <c r="BP855" s="16"/>
      <c r="BQ855" s="27"/>
      <c r="BR855" s="24"/>
      <c r="BS855" s="24"/>
      <c r="BT855" s="32"/>
      <c r="BU855" s="27"/>
      <c r="BV855" s="24"/>
      <c r="BW855" s="24"/>
      <c r="BX855" s="16"/>
      <c r="BY855" s="27"/>
      <c r="BZ855" s="24"/>
      <c r="CA855" s="24"/>
      <c r="CB855" s="16"/>
      <c r="CC855" s="49">
        <f t="shared" si="353"/>
        <v>0</v>
      </c>
      <c r="CD855" s="24"/>
      <c r="CE855" s="49">
        <f t="shared" si="344"/>
        <v>20344470</v>
      </c>
      <c r="CF855" s="50"/>
      <c r="CG855" s="49">
        <f t="shared" ca="1" si="343"/>
        <v>20344470</v>
      </c>
      <c r="CH855" s="33">
        <f t="shared" ca="1" si="339"/>
        <v>1</v>
      </c>
      <c r="CI855" s="33">
        <f t="shared" ca="1" si="340"/>
        <v>1</v>
      </c>
      <c r="CJ855" s="36">
        <f t="shared" ca="1" si="347"/>
        <v>100</v>
      </c>
      <c r="CK855" s="34">
        <f t="shared" si="348"/>
        <v>0</v>
      </c>
      <c r="CL855" s="21"/>
      <c r="CM855" s="35" t="str">
        <f t="shared" ca="1" si="354"/>
        <v>TERMINADO</v>
      </c>
      <c r="CN855" s="82"/>
      <c r="CO855" s="145"/>
      <c r="CP855" s="26" t="s">
        <v>142</v>
      </c>
      <c r="CQ855" s="83"/>
      <c r="CR855" s="83"/>
    </row>
    <row r="856" spans="1:96" s="222" customFormat="1" ht="24.75" customHeight="1">
      <c r="A856" s="48" t="s">
        <v>6749</v>
      </c>
      <c r="B856" s="77" t="s">
        <v>6750</v>
      </c>
      <c r="C856" s="17" t="s">
        <v>104</v>
      </c>
      <c r="D856" s="18" t="s">
        <v>6751</v>
      </c>
      <c r="E856" s="17" t="s">
        <v>106</v>
      </c>
      <c r="F856" s="17" t="s">
        <v>107</v>
      </c>
      <c r="G856" s="17" t="s">
        <v>108</v>
      </c>
      <c r="H856" s="78">
        <v>1069743525</v>
      </c>
      <c r="I856" s="74" t="s">
        <v>6752</v>
      </c>
      <c r="J856" s="16"/>
      <c r="K856" s="104"/>
      <c r="L856" s="96" t="s">
        <v>6753</v>
      </c>
      <c r="M856" s="16" t="s">
        <v>111</v>
      </c>
      <c r="N856" s="22">
        <v>45527</v>
      </c>
      <c r="O856" s="115">
        <v>45531</v>
      </c>
      <c r="P856" s="22">
        <v>45656</v>
      </c>
      <c r="Q856" s="23">
        <f t="shared" si="346"/>
        <v>125</v>
      </c>
      <c r="R856" s="17" t="s">
        <v>112</v>
      </c>
      <c r="S856" s="16" t="s">
        <v>6754</v>
      </c>
      <c r="T856" s="16" t="s">
        <v>6748</v>
      </c>
      <c r="U856" s="67">
        <v>48000000</v>
      </c>
      <c r="V856" s="16" t="s">
        <v>1318</v>
      </c>
      <c r="W856" s="224">
        <v>31058000</v>
      </c>
      <c r="X856" s="24">
        <v>7112500</v>
      </c>
      <c r="Y856" s="24"/>
      <c r="Z856" s="24"/>
      <c r="AA856" s="17" t="s">
        <v>116</v>
      </c>
      <c r="AB856" s="23" t="str">
        <f>IFERROR(VLOOKUP(AA856,Listas!$A$1:$C$14,2,FALSE),"")</f>
        <v>FREDY CÉSPEDES VILLA</v>
      </c>
      <c r="AC856" s="23">
        <f>IFERROR(VLOOKUP(AA856,Listas!$A$1:$C$14,3,FALSE),"")</f>
        <v>93363483</v>
      </c>
      <c r="AD856" s="17" t="s">
        <v>116</v>
      </c>
      <c r="AE856" s="17" t="s">
        <v>659</v>
      </c>
      <c r="AF856" s="23" t="str">
        <f>IFERROR(VLOOKUP(AE856,Listas!$AD$1:$AF$65,2,FALSE),"")</f>
        <v>TATIANA FORERO TORRES</v>
      </c>
      <c r="AG856" s="23">
        <f>IFERROR(VLOOKUP(AE856,Listas!$AD$1:$AF$65,3,FALSE),"")</f>
        <v>1072446921</v>
      </c>
      <c r="AH856" s="17" t="s">
        <v>118</v>
      </c>
      <c r="AI856" s="65"/>
      <c r="AJ856" s="25" t="s">
        <v>4370</v>
      </c>
      <c r="AK856" s="26" t="s">
        <v>120</v>
      </c>
      <c r="AL856" s="26" t="s">
        <v>120</v>
      </c>
      <c r="AM856" s="90" t="s">
        <v>119</v>
      </c>
      <c r="AN856" s="105">
        <v>34064</v>
      </c>
      <c r="AO856" s="91">
        <f t="shared" ca="1" si="356"/>
        <v>32</v>
      </c>
      <c r="AP856" s="26" t="s">
        <v>121</v>
      </c>
      <c r="AQ856" s="26" t="s">
        <v>285</v>
      </c>
      <c r="AR856" s="89"/>
      <c r="AS856" s="27"/>
      <c r="AT856" s="16"/>
      <c r="AU856" s="27"/>
      <c r="AV856" s="86"/>
      <c r="AW856" s="27"/>
      <c r="AX856" s="27"/>
      <c r="AY856" s="27"/>
      <c r="AZ856" s="27"/>
      <c r="BA856" s="27"/>
      <c r="BB856" s="27"/>
      <c r="BC856" s="97"/>
      <c r="BD856" s="27"/>
      <c r="BE856" s="16"/>
      <c r="BF856" s="28">
        <f t="shared" si="350"/>
        <v>0</v>
      </c>
      <c r="BG856" s="29"/>
      <c r="BH856" s="27"/>
      <c r="BI856" s="30">
        <f t="shared" si="351"/>
        <v>125</v>
      </c>
      <c r="BJ856" s="31">
        <f t="shared" si="352"/>
        <v>45656</v>
      </c>
      <c r="BK856" s="27"/>
      <c r="BL856" s="16"/>
      <c r="BM856" s="27"/>
      <c r="BN856" s="16"/>
      <c r="BO856" s="27"/>
      <c r="BP856" s="16"/>
      <c r="BQ856" s="27"/>
      <c r="BR856" s="24"/>
      <c r="BS856" s="24"/>
      <c r="BT856" s="32"/>
      <c r="BU856" s="27"/>
      <c r="BV856" s="24"/>
      <c r="BW856" s="24"/>
      <c r="BX856" s="16"/>
      <c r="BY856" s="27"/>
      <c r="BZ856" s="24"/>
      <c r="CA856" s="24"/>
      <c r="CB856" s="16"/>
      <c r="CC856" s="49">
        <f t="shared" si="353"/>
        <v>0</v>
      </c>
      <c r="CD856" s="24"/>
      <c r="CE856" s="49">
        <f t="shared" si="344"/>
        <v>31058000</v>
      </c>
      <c r="CF856" s="50"/>
      <c r="CG856" s="49">
        <f t="shared" ca="1" si="343"/>
        <v>31058000</v>
      </c>
      <c r="CH856" s="33">
        <f t="shared" ca="1" si="339"/>
        <v>1</v>
      </c>
      <c r="CI856" s="33">
        <f t="shared" ca="1" si="340"/>
        <v>1</v>
      </c>
      <c r="CJ856" s="36">
        <f t="shared" ca="1" si="347"/>
        <v>100</v>
      </c>
      <c r="CK856" s="34">
        <f t="shared" si="348"/>
        <v>0</v>
      </c>
      <c r="CL856" s="21"/>
      <c r="CM856" s="35" t="str">
        <f t="shared" ca="1" si="354"/>
        <v>TERMINADO</v>
      </c>
      <c r="CN856" s="82"/>
      <c r="CO856" s="145"/>
      <c r="CP856" s="26" t="s">
        <v>142</v>
      </c>
      <c r="CQ856" s="83"/>
      <c r="CR856" s="83"/>
    </row>
    <row r="857" spans="1:96" s="85" customFormat="1" ht="24.75" customHeight="1">
      <c r="A857" s="48" t="s">
        <v>6755</v>
      </c>
      <c r="B857" s="77" t="s">
        <v>6756</v>
      </c>
      <c r="C857" s="17" t="s">
        <v>104</v>
      </c>
      <c r="D857" s="18" t="s">
        <v>6757</v>
      </c>
      <c r="E857" s="17" t="s">
        <v>106</v>
      </c>
      <c r="F857" s="17" t="s">
        <v>1426</v>
      </c>
      <c r="G857" s="17" t="s">
        <v>1427</v>
      </c>
      <c r="H857" s="78" t="s">
        <v>6758</v>
      </c>
      <c r="I857" s="74" t="s">
        <v>6759</v>
      </c>
      <c r="J857" s="16" t="s">
        <v>6760</v>
      </c>
      <c r="K857" s="104">
        <v>11519766</v>
      </c>
      <c r="L857" s="96" t="s">
        <v>6761</v>
      </c>
      <c r="M857" s="16" t="s">
        <v>111</v>
      </c>
      <c r="N857" s="22">
        <v>45530</v>
      </c>
      <c r="O857" s="181">
        <v>45552</v>
      </c>
      <c r="P857" s="22">
        <v>45895</v>
      </c>
      <c r="Q857" s="23">
        <f t="shared" si="346"/>
        <v>343</v>
      </c>
      <c r="R857" s="17" t="s">
        <v>242</v>
      </c>
      <c r="S857" s="16" t="s">
        <v>6762</v>
      </c>
      <c r="T857" s="16" t="s">
        <v>2811</v>
      </c>
      <c r="U857" s="67">
        <v>23455770</v>
      </c>
      <c r="V857" s="16" t="s">
        <v>3076</v>
      </c>
      <c r="W857" s="224">
        <v>23455770</v>
      </c>
      <c r="X857" s="24"/>
      <c r="Y857" s="24"/>
      <c r="Z857" s="24"/>
      <c r="AA857" s="17" t="s">
        <v>116</v>
      </c>
      <c r="AB857" s="23" t="str">
        <f>IFERROR(VLOOKUP(AA857,Listas!$A$1:$C$14,2,FALSE),"")</f>
        <v>FREDY CÉSPEDES VILLA</v>
      </c>
      <c r="AC857" s="23">
        <f>IFERROR(VLOOKUP(AA857,Listas!$A$1:$C$14,3,FALSE),"")</f>
        <v>93363483</v>
      </c>
      <c r="AD857" s="17" t="s">
        <v>816</v>
      </c>
      <c r="AE857" s="17" t="s">
        <v>3578</v>
      </c>
      <c r="AF857" s="23" t="str">
        <f>IFERROR(VLOOKUP(AE857,Listas!$AD$1:$AF$65,2,FALSE),"")</f>
        <v>MARTHA RUTH ROBAYO LÓPEZ</v>
      </c>
      <c r="AG857" s="23">
        <f>IFERROR(VLOOKUP(AE857,Listas!$AD$1:$AF$65,3,FALSE),"")</f>
        <v>52193887</v>
      </c>
      <c r="AH857" s="17" t="s">
        <v>6056</v>
      </c>
      <c r="AI857" s="65"/>
      <c r="AJ857" s="25" t="s">
        <v>1435</v>
      </c>
      <c r="AK857" s="26" t="s">
        <v>2071</v>
      </c>
      <c r="AL857" s="26" t="s">
        <v>2071</v>
      </c>
      <c r="AM857" s="90" t="s">
        <v>1435</v>
      </c>
      <c r="AN857" s="105"/>
      <c r="AO857" s="91" t="str">
        <f t="shared" ca="1" si="356"/>
        <v xml:space="preserve"> </v>
      </c>
      <c r="AP857" s="26" t="s">
        <v>121</v>
      </c>
      <c r="AQ857" s="26" t="s">
        <v>486</v>
      </c>
      <c r="AR857" s="89"/>
      <c r="AS857" s="27"/>
      <c r="AT857" s="16"/>
      <c r="AU857" s="27"/>
      <c r="AV857" s="86"/>
      <c r="AW857" s="27"/>
      <c r="AX857" s="27"/>
      <c r="AY857" s="27"/>
      <c r="AZ857" s="27"/>
      <c r="BA857" s="27"/>
      <c r="BB857" s="27"/>
      <c r="BC857" s="97"/>
      <c r="BD857" s="27"/>
      <c r="BE857" s="16"/>
      <c r="BF857" s="28">
        <f t="shared" si="350"/>
        <v>0</v>
      </c>
      <c r="BG857" s="29"/>
      <c r="BH857" s="27"/>
      <c r="BI857" s="30">
        <f t="shared" si="351"/>
        <v>343</v>
      </c>
      <c r="BJ857" s="31">
        <f t="shared" si="352"/>
        <v>45895</v>
      </c>
      <c r="BK857" s="27"/>
      <c r="BL857" s="16"/>
      <c r="BM857" s="27"/>
      <c r="BN857" s="16"/>
      <c r="BO857" s="27"/>
      <c r="BP857" s="16"/>
      <c r="BQ857" s="27"/>
      <c r="BR857" s="24"/>
      <c r="BS857" s="24"/>
      <c r="BT857" s="32"/>
      <c r="BU857" s="27"/>
      <c r="BV857" s="24"/>
      <c r="BW857" s="24"/>
      <c r="BX857" s="16"/>
      <c r="BY857" s="27"/>
      <c r="BZ857" s="24"/>
      <c r="CA857" s="24"/>
      <c r="CB857" s="16"/>
      <c r="CC857" s="49">
        <f t="shared" si="353"/>
        <v>0</v>
      </c>
      <c r="CD857" s="24"/>
      <c r="CE857" s="49">
        <f t="shared" si="344"/>
        <v>23455770</v>
      </c>
      <c r="CF857" s="50"/>
      <c r="CG857" s="49">
        <f t="shared" ca="1" si="343"/>
        <v>23455770</v>
      </c>
      <c r="CH857" s="33">
        <f t="shared" ref="CH857:CH921" ca="1" si="357">IF(TODAY()&gt;BJ857,1,+(DAYS360(O857,TODAY())/DAYS360(O857,BJ857)))</f>
        <v>1</v>
      </c>
      <c r="CI857" s="33">
        <f t="shared" ref="CI857:CI921" ca="1" si="358">+IF(CL857&gt;0,DAYS360(O857,CL857)/DAYS360(O857,BJ857),CH857)</f>
        <v>1</v>
      </c>
      <c r="CJ857" s="36">
        <f t="shared" ca="1" si="347"/>
        <v>100</v>
      </c>
      <c r="CK857" s="34">
        <f t="shared" si="348"/>
        <v>0</v>
      </c>
      <c r="CL857" s="21"/>
      <c r="CM857" s="35" t="str">
        <f t="shared" ca="1" si="354"/>
        <v>TERMINADO</v>
      </c>
      <c r="CN857" s="82"/>
      <c r="CO857" s="145"/>
      <c r="CP857" s="26"/>
      <c r="CQ857" s="83"/>
      <c r="CR857" s="83"/>
    </row>
    <row r="858" spans="1:96" s="85" customFormat="1" ht="24.75" customHeight="1">
      <c r="A858" s="48" t="s">
        <v>1424</v>
      </c>
      <c r="B858" s="77" t="s">
        <v>6763</v>
      </c>
      <c r="C858" s="17" t="s">
        <v>2927</v>
      </c>
      <c r="D858" s="18" t="s">
        <v>1424</v>
      </c>
      <c r="E858" s="17" t="s">
        <v>6197</v>
      </c>
      <c r="F858" s="17" t="s">
        <v>1426</v>
      </c>
      <c r="G858" s="17" t="s">
        <v>1427</v>
      </c>
      <c r="H858" s="78" t="s">
        <v>6764</v>
      </c>
      <c r="I858" s="74" t="s">
        <v>6765</v>
      </c>
      <c r="J858" s="16" t="s">
        <v>6766</v>
      </c>
      <c r="K858" s="104">
        <v>1062278910</v>
      </c>
      <c r="L858" s="96" t="s">
        <v>6767</v>
      </c>
      <c r="M858" s="16"/>
      <c r="N858" s="22">
        <v>45531</v>
      </c>
      <c r="O858" s="22">
        <v>45534</v>
      </c>
      <c r="P858" s="22">
        <v>47664</v>
      </c>
      <c r="Q858" s="23">
        <f t="shared" si="346"/>
        <v>2130</v>
      </c>
      <c r="R858" s="17" t="s">
        <v>2934</v>
      </c>
      <c r="S858" s="16" t="s">
        <v>1424</v>
      </c>
      <c r="T858" s="16" t="s">
        <v>1424</v>
      </c>
      <c r="U858" s="67">
        <v>0</v>
      </c>
      <c r="V858" s="16" t="s">
        <v>1424</v>
      </c>
      <c r="W858" s="224">
        <v>0</v>
      </c>
      <c r="X858" s="24"/>
      <c r="Y858" s="24">
        <v>25784551976</v>
      </c>
      <c r="Z858" s="24"/>
      <c r="AA858" s="17" t="s">
        <v>427</v>
      </c>
      <c r="AB858" s="23" t="str">
        <f>IFERROR(VLOOKUP(AA858,Listas!$A$1:$C$14,2,FALSE),"")</f>
        <v>DINORAH PATRICIA ABADIA MURILLO</v>
      </c>
      <c r="AC858" s="23">
        <f>IFERROR(VLOOKUP(AA858,Listas!$A$1:$C$14,3,FALSE),"")</f>
        <v>52220857</v>
      </c>
      <c r="AD858" s="17" t="s">
        <v>427</v>
      </c>
      <c r="AE858" s="17" t="s">
        <v>428</v>
      </c>
      <c r="AF858" s="23" t="str">
        <f>IFERROR(VLOOKUP(AE858,Listas!$AD$1:$AF$65,2,FALSE),"")</f>
        <v>DINORAH PATRICIA ABADIA MURILLO</v>
      </c>
      <c r="AG858" s="23">
        <f>IFERROR(VLOOKUP(AE858,Listas!$AD$1:$AF$65,3,FALSE),"")</f>
        <v>52220857</v>
      </c>
      <c r="AH858" s="17" t="s">
        <v>2936</v>
      </c>
      <c r="AI858" s="65"/>
      <c r="AJ858" s="25" t="s">
        <v>1435</v>
      </c>
      <c r="AK858" s="26" t="s">
        <v>2071</v>
      </c>
      <c r="AL858" s="26" t="s">
        <v>2071</v>
      </c>
      <c r="AM858" s="90" t="s">
        <v>1435</v>
      </c>
      <c r="AN858" s="105"/>
      <c r="AO858" s="91" t="str">
        <f t="shared" ca="1" si="356"/>
        <v xml:space="preserve"> </v>
      </c>
      <c r="AP858" s="26" t="s">
        <v>2937</v>
      </c>
      <c r="AQ858" s="26" t="s">
        <v>3133</v>
      </c>
      <c r="AR858" s="89"/>
      <c r="AS858" s="27"/>
      <c r="AT858" s="16"/>
      <c r="AU858" s="27"/>
      <c r="AV858" s="86"/>
      <c r="AW858" s="27"/>
      <c r="AX858" s="27"/>
      <c r="AY858" s="27"/>
      <c r="AZ858" s="27"/>
      <c r="BA858" s="27"/>
      <c r="BB858" s="27"/>
      <c r="BC858" s="97"/>
      <c r="BD858" s="27"/>
      <c r="BE858" s="16"/>
      <c r="BF858" s="28">
        <f t="shared" si="350"/>
        <v>0</v>
      </c>
      <c r="BG858" s="29"/>
      <c r="BH858" s="27"/>
      <c r="BI858" s="30">
        <f t="shared" si="351"/>
        <v>2130</v>
      </c>
      <c r="BJ858" s="31">
        <f t="shared" si="352"/>
        <v>47664</v>
      </c>
      <c r="BK858" s="27"/>
      <c r="BL858" s="16"/>
      <c r="BM858" s="27"/>
      <c r="BN858" s="16"/>
      <c r="BO858" s="27"/>
      <c r="BP858" s="16"/>
      <c r="BQ858" s="27"/>
      <c r="BR858" s="24"/>
      <c r="BS858" s="24"/>
      <c r="BT858" s="32"/>
      <c r="BU858" s="27"/>
      <c r="BV858" s="24"/>
      <c r="BW858" s="24"/>
      <c r="BX858" s="16"/>
      <c r="BY858" s="27"/>
      <c r="BZ858" s="24"/>
      <c r="CA858" s="24"/>
      <c r="CB858" s="16"/>
      <c r="CC858" s="49">
        <f t="shared" si="353"/>
        <v>0</v>
      </c>
      <c r="CD858" s="24"/>
      <c r="CE858" s="49">
        <f t="shared" si="344"/>
        <v>25784551976</v>
      </c>
      <c r="CF858" s="50"/>
      <c r="CG858" s="49">
        <f t="shared" ca="1" si="343"/>
        <v>5072172430.9596243</v>
      </c>
      <c r="CH858" s="33">
        <f t="shared" ca="1" si="357"/>
        <v>0.19523809523809524</v>
      </c>
      <c r="CI858" s="33">
        <f t="shared" ca="1" si="358"/>
        <v>0.19523809523809524</v>
      </c>
      <c r="CJ858" s="36">
        <f t="shared" ca="1" si="347"/>
        <v>19.671361502347416</v>
      </c>
      <c r="CK858" s="34">
        <f t="shared" si="348"/>
        <v>0</v>
      </c>
      <c r="CL858" s="21"/>
      <c r="CM858" s="35" t="str">
        <f t="shared" ca="1" si="354"/>
        <v>VIGENTE</v>
      </c>
      <c r="CN858" s="82"/>
      <c r="CO858" s="145"/>
      <c r="CP858" s="26"/>
      <c r="CQ858" s="83"/>
      <c r="CR858" s="83"/>
    </row>
    <row r="859" spans="1:96" ht="24.75" customHeight="1">
      <c r="A859" s="48" t="s">
        <v>6768</v>
      </c>
      <c r="B859" s="77" t="s">
        <v>6769</v>
      </c>
      <c r="C859" s="17" t="s">
        <v>104</v>
      </c>
      <c r="D859" s="18" t="s">
        <v>6770</v>
      </c>
      <c r="E859" s="17" t="s">
        <v>106</v>
      </c>
      <c r="F859" s="17" t="s">
        <v>1426</v>
      </c>
      <c r="G859" s="17" t="s">
        <v>1427</v>
      </c>
      <c r="H859" s="78" t="s">
        <v>6771</v>
      </c>
      <c r="I859" s="240" t="s">
        <v>5993</v>
      </c>
      <c r="J859" s="16" t="s">
        <v>6772</v>
      </c>
      <c r="K859" s="104">
        <v>51967655</v>
      </c>
      <c r="L859" s="20" t="s">
        <v>6773</v>
      </c>
      <c r="M859" s="16"/>
      <c r="N859" s="22">
        <v>45537</v>
      </c>
      <c r="O859" s="115">
        <v>45540</v>
      </c>
      <c r="P859" s="22">
        <v>45657</v>
      </c>
      <c r="Q859" s="23">
        <f t="shared" si="346"/>
        <v>117</v>
      </c>
      <c r="R859" s="17" t="s">
        <v>242</v>
      </c>
      <c r="S859" s="16" t="s">
        <v>6774</v>
      </c>
      <c r="T859" s="16" t="s">
        <v>2811</v>
      </c>
      <c r="U859" s="67">
        <v>1849860980</v>
      </c>
      <c r="V859" s="16" t="s">
        <v>3076</v>
      </c>
      <c r="W859" s="224">
        <v>1554817850</v>
      </c>
      <c r="X859" s="24"/>
      <c r="Y859" s="24"/>
      <c r="Z859" s="24"/>
      <c r="AA859" s="17" t="s">
        <v>116</v>
      </c>
      <c r="AB859" s="23" t="str">
        <f>IFERROR(VLOOKUP(AA859,Listas!$A$1:$C$14,2,FALSE),"")</f>
        <v>FREDY CÉSPEDES VILLA</v>
      </c>
      <c r="AC859" s="23">
        <f>IFERROR(VLOOKUP(AA859,Listas!$A$1:$C$14,3,FALSE),"")</f>
        <v>93363483</v>
      </c>
      <c r="AD859" s="17" t="s">
        <v>406</v>
      </c>
      <c r="AE859" s="17" t="s">
        <v>407</v>
      </c>
      <c r="AF859" s="23" t="str">
        <f>IFERROR(VLOOKUP(AE859,Listas!$AD$1:$AF$65,2,FALSE),"")</f>
        <v>MARÍA VICTORIA CAMARGO CORTÉS</v>
      </c>
      <c r="AG859" s="23">
        <f>IFERROR(VLOOKUP(AE859,Listas!$AD$1:$AF$65,3,FALSE),"")</f>
        <v>52496497</v>
      </c>
      <c r="AH859" s="17" t="s">
        <v>6266</v>
      </c>
      <c r="AI859" s="65"/>
      <c r="AJ859" s="25" t="s">
        <v>1435</v>
      </c>
      <c r="AK859" s="26" t="s">
        <v>2071</v>
      </c>
      <c r="AL859" s="26" t="s">
        <v>2071</v>
      </c>
      <c r="AM859" s="90" t="s">
        <v>1435</v>
      </c>
      <c r="AN859" s="105"/>
      <c r="AO859" s="91" t="str">
        <f t="shared" ca="1" si="356"/>
        <v xml:space="preserve"> </v>
      </c>
      <c r="AP859" s="26" t="s">
        <v>121</v>
      </c>
      <c r="AQ859" s="26" t="s">
        <v>1272</v>
      </c>
      <c r="AR859" s="89"/>
      <c r="AS859" s="27"/>
      <c r="AT859" s="16"/>
      <c r="AU859" s="27"/>
      <c r="AV859" s="86"/>
      <c r="AW859" s="27"/>
      <c r="AX859" s="27"/>
      <c r="AY859" s="27"/>
      <c r="AZ859" s="27"/>
      <c r="BA859" s="27"/>
      <c r="BB859" s="27"/>
      <c r="BC859" s="97"/>
      <c r="BD859" s="27"/>
      <c r="BE859" s="16"/>
      <c r="BF859" s="28">
        <f t="shared" si="350"/>
        <v>0</v>
      </c>
      <c r="BG859" s="29"/>
      <c r="BH859" s="27"/>
      <c r="BI859" s="30">
        <f t="shared" si="351"/>
        <v>117</v>
      </c>
      <c r="BJ859" s="31">
        <f t="shared" si="352"/>
        <v>45657</v>
      </c>
      <c r="BK859" s="27"/>
      <c r="BL859" s="16"/>
      <c r="BM859" s="27"/>
      <c r="BN859" s="16"/>
      <c r="BO859" s="27"/>
      <c r="BP859" s="16"/>
      <c r="BQ859" s="27"/>
      <c r="BR859" s="24"/>
      <c r="BS859" s="24"/>
      <c r="BT859" s="32"/>
      <c r="BU859" s="27"/>
      <c r="BV859" s="24"/>
      <c r="BW859" s="24"/>
      <c r="BX859" s="16"/>
      <c r="BY859" s="27"/>
      <c r="BZ859" s="24"/>
      <c r="CA859" s="24"/>
      <c r="CB859" s="16"/>
      <c r="CC859" s="49">
        <f t="shared" si="353"/>
        <v>0</v>
      </c>
      <c r="CD859" s="24"/>
      <c r="CE859" s="49">
        <f t="shared" si="344"/>
        <v>1554817850</v>
      </c>
      <c r="CF859" s="50"/>
      <c r="CG859" s="49">
        <f t="shared" ca="1" si="343"/>
        <v>1554817850</v>
      </c>
      <c r="CH859" s="33">
        <f t="shared" ca="1" si="357"/>
        <v>1</v>
      </c>
      <c r="CI859" s="33">
        <f t="shared" ca="1" si="358"/>
        <v>1</v>
      </c>
      <c r="CJ859" s="36">
        <f t="shared" ca="1" si="347"/>
        <v>100</v>
      </c>
      <c r="CK859" s="34">
        <f t="shared" si="348"/>
        <v>0</v>
      </c>
      <c r="CL859" s="21"/>
      <c r="CM859" s="35" t="str">
        <f t="shared" ca="1" si="354"/>
        <v>TERMINADO</v>
      </c>
      <c r="CN859" s="82"/>
      <c r="CP859" s="26"/>
    </row>
    <row r="860" spans="1:96" s="85" customFormat="1" ht="24.75" customHeight="1">
      <c r="A860" s="48" t="s">
        <v>1424</v>
      </c>
      <c r="B860" s="77" t="s">
        <v>6775</v>
      </c>
      <c r="C860" s="17" t="s">
        <v>2927</v>
      </c>
      <c r="D860" s="18" t="s">
        <v>6776</v>
      </c>
      <c r="E860" s="17" t="s">
        <v>2929</v>
      </c>
      <c r="F860" s="17" t="s">
        <v>1426</v>
      </c>
      <c r="G860" s="17" t="s">
        <v>1427</v>
      </c>
      <c r="H860" s="78" t="s">
        <v>6777</v>
      </c>
      <c r="I860" s="74" t="s">
        <v>6778</v>
      </c>
      <c r="J860" s="16" t="s">
        <v>6779</v>
      </c>
      <c r="K860" s="104">
        <v>19078203</v>
      </c>
      <c r="L860" s="20" t="s">
        <v>5291</v>
      </c>
      <c r="M860" s="16"/>
      <c r="N860" s="22">
        <v>45533</v>
      </c>
      <c r="O860" s="115">
        <v>45533</v>
      </c>
      <c r="P860" s="22">
        <v>45898</v>
      </c>
      <c r="Q860" s="23">
        <f t="shared" si="346"/>
        <v>365</v>
      </c>
      <c r="R860" s="17" t="s">
        <v>2934</v>
      </c>
      <c r="S860" s="16" t="s">
        <v>1424</v>
      </c>
      <c r="T860" s="16" t="s">
        <v>1424</v>
      </c>
      <c r="U860" s="67" t="s">
        <v>1424</v>
      </c>
      <c r="V860" s="16" t="s">
        <v>1424</v>
      </c>
      <c r="W860" s="224">
        <v>0</v>
      </c>
      <c r="X860" s="24"/>
      <c r="Y860" s="24" t="s">
        <v>2935</v>
      </c>
      <c r="Z860" s="24"/>
      <c r="AA860" s="17" t="s">
        <v>406</v>
      </c>
      <c r="AB860" s="23" t="str">
        <f>IFERROR(VLOOKUP(AA860,Listas!$A$1:$C$14,2,FALSE),"")</f>
        <v>EDUARDO ELÍAS BARCHA BOLÍVAR</v>
      </c>
      <c r="AC860" s="23">
        <f>IFERROR(VLOOKUP(AA860,Listas!$A$1:$C$14,3,FALSE),"")</f>
        <v>72133921</v>
      </c>
      <c r="AD860" s="17" t="s">
        <v>1533</v>
      </c>
      <c r="AE860" s="17" t="s">
        <v>1534</v>
      </c>
      <c r="AF860" s="23" t="str">
        <f>IFERROR(VLOOKUP(AE860,Listas!$AD$1:$AF$65,2,FALSE),"")</f>
        <v>ESTEBAN GUERRERO ALVAREZ</v>
      </c>
      <c r="AG860" s="23">
        <f>IFERROR(VLOOKUP(AE860,Listas!$AD$1:$AF$65,3,FALSE),"")</f>
        <v>1032460552</v>
      </c>
      <c r="AH860" s="17" t="s">
        <v>2936</v>
      </c>
      <c r="AI860" s="65"/>
      <c r="AJ860" s="25" t="s">
        <v>1435</v>
      </c>
      <c r="AK860" s="26" t="s">
        <v>2071</v>
      </c>
      <c r="AL860" s="26" t="s">
        <v>2071</v>
      </c>
      <c r="AM860" s="90" t="s">
        <v>1435</v>
      </c>
      <c r="AN860" s="105"/>
      <c r="AO860" s="91" t="str">
        <f t="shared" ref="AO860" ca="1" si="359">IF(YEAR(TODAY())-YEAR(AN860)&gt;100," ",YEAR(TODAY())-YEAR(AN860))</f>
        <v xml:space="preserve"> </v>
      </c>
      <c r="AP860" s="26" t="s">
        <v>2937</v>
      </c>
      <c r="AQ860" s="26" t="s">
        <v>3508</v>
      </c>
      <c r="AR860" s="89"/>
      <c r="AS860" s="27"/>
      <c r="AT860" s="16"/>
      <c r="AU860" s="27"/>
      <c r="AV860" s="86"/>
      <c r="AW860" s="27"/>
      <c r="AX860" s="27"/>
      <c r="AY860" s="27"/>
      <c r="AZ860" s="27"/>
      <c r="BA860" s="27"/>
      <c r="BB860" s="27">
        <v>45722</v>
      </c>
      <c r="BC860" s="97">
        <v>124</v>
      </c>
      <c r="BD860" s="27"/>
      <c r="BE860" s="16"/>
      <c r="BF860" s="28">
        <f t="shared" si="350"/>
        <v>124</v>
      </c>
      <c r="BG860" s="29"/>
      <c r="BH860" s="27"/>
      <c r="BI860" s="30">
        <f t="shared" si="351"/>
        <v>489</v>
      </c>
      <c r="BJ860" s="31">
        <f t="shared" si="352"/>
        <v>46022</v>
      </c>
      <c r="BK860" s="27">
        <v>45722</v>
      </c>
      <c r="BL860" s="16" t="s">
        <v>6780</v>
      </c>
      <c r="BM860" s="27"/>
      <c r="BN860" s="16"/>
      <c r="BO860" s="27"/>
      <c r="BP860" s="16"/>
      <c r="BQ860" s="27"/>
      <c r="BR860" s="24"/>
      <c r="BS860" s="24"/>
      <c r="BT860" s="32"/>
      <c r="BU860" s="27"/>
      <c r="BV860" s="24"/>
      <c r="BW860" s="24"/>
      <c r="BX860" s="16"/>
      <c r="BY860" s="27"/>
      <c r="BZ860" s="24"/>
      <c r="CA860" s="24"/>
      <c r="CB860" s="16"/>
      <c r="CC860" s="49">
        <f t="shared" si="353"/>
        <v>0</v>
      </c>
      <c r="CD860" s="24"/>
      <c r="CE860" s="49" t="str">
        <f>IFERROR(IF(Y860=0,(W860+CC860)-CD860,IF(Y860&gt;0,(Y860+CC860)-CD860)),"")</f>
        <v/>
      </c>
      <c r="CF860" s="50">
        <v>1816813</v>
      </c>
      <c r="CG860" s="49" t="str">
        <f t="shared" ca="1" si="343"/>
        <v/>
      </c>
      <c r="CH860" s="33">
        <f t="shared" ca="1" si="357"/>
        <v>0.85269709543568462</v>
      </c>
      <c r="CI860" s="33">
        <f t="shared" ca="1" si="358"/>
        <v>0.85269709543568462</v>
      </c>
      <c r="CJ860" s="36" t="str">
        <f t="shared" ca="1" si="347"/>
        <v/>
      </c>
      <c r="CK860" s="34" t="str">
        <f t="shared" si="348"/>
        <v/>
      </c>
      <c r="CL860" s="21"/>
      <c r="CM860" s="35" t="str">
        <f t="shared" ca="1" si="354"/>
        <v>VIGENTE</v>
      </c>
      <c r="CN860" s="82"/>
      <c r="CO860" s="145"/>
      <c r="CP860" s="83" t="s">
        <v>1424</v>
      </c>
      <c r="CQ860" s="83"/>
      <c r="CR860" s="83"/>
    </row>
    <row r="861" spans="1:96" s="38" customFormat="1" ht="24.75" customHeight="1">
      <c r="A861" s="48" t="s">
        <v>6781</v>
      </c>
      <c r="B861" s="77" t="s">
        <v>6782</v>
      </c>
      <c r="C861" s="17" t="s">
        <v>104</v>
      </c>
      <c r="D861" s="18" t="s">
        <v>6783</v>
      </c>
      <c r="E861" s="17" t="s">
        <v>106</v>
      </c>
      <c r="F861" s="17" t="s">
        <v>107</v>
      </c>
      <c r="G861" s="17" t="s">
        <v>108</v>
      </c>
      <c r="H861" s="78">
        <v>79792392</v>
      </c>
      <c r="I861" s="74" t="s">
        <v>6784</v>
      </c>
      <c r="J861" s="16"/>
      <c r="K861" s="104"/>
      <c r="L861" s="20" t="s">
        <v>6785</v>
      </c>
      <c r="M861" s="16" t="s">
        <v>111</v>
      </c>
      <c r="N861" s="22">
        <v>45533</v>
      </c>
      <c r="O861" s="22">
        <v>45540</v>
      </c>
      <c r="P861" s="22">
        <v>45656</v>
      </c>
      <c r="Q861" s="23">
        <f t="shared" si="346"/>
        <v>116</v>
      </c>
      <c r="R861" s="17" t="s">
        <v>242</v>
      </c>
      <c r="S861" s="16" t="s">
        <v>6786</v>
      </c>
      <c r="T861" s="16" t="s">
        <v>343</v>
      </c>
      <c r="U861" s="67">
        <v>28416827</v>
      </c>
      <c r="V861" s="16" t="s">
        <v>344</v>
      </c>
      <c r="W861" s="224">
        <v>28416827</v>
      </c>
      <c r="X861" s="24">
        <v>5026858</v>
      </c>
      <c r="Y861" s="24"/>
      <c r="Z861" s="24"/>
      <c r="AA861" s="17" t="s">
        <v>116</v>
      </c>
      <c r="AB861" s="23" t="str">
        <f>IFERROR(VLOOKUP(AA861,Listas!$A$1:$C$14,2,FALSE),"")</f>
        <v>FREDY CÉSPEDES VILLA</v>
      </c>
      <c r="AC861" s="23">
        <f>IFERROR(VLOOKUP(AA861,Listas!$A$1:$C$14,3,FALSE),"")</f>
        <v>93363483</v>
      </c>
      <c r="AD861" s="17" t="s">
        <v>345</v>
      </c>
      <c r="AE861" s="17" t="s">
        <v>632</v>
      </c>
      <c r="AF861" s="23" t="str">
        <f>IFERROR(VLOOKUP(AE861,Listas!$AD$1:$AF$65,2,FALSE),"")</f>
        <v>MANUEL ALBERTO LOZANO CARDONA</v>
      </c>
      <c r="AG861" s="23">
        <f>IFERROR(VLOOKUP(AE861,Listas!$AD$1:$AF$65,3,FALSE),"")</f>
        <v>79940034</v>
      </c>
      <c r="AH861" s="17" t="s">
        <v>118</v>
      </c>
      <c r="AI861" s="65" t="s">
        <v>6787</v>
      </c>
      <c r="AJ861" s="25" t="s">
        <v>4370</v>
      </c>
      <c r="AK861" s="26" t="s">
        <v>120</v>
      </c>
      <c r="AL861" s="26" t="s">
        <v>120</v>
      </c>
      <c r="AM861" s="90" t="s">
        <v>119</v>
      </c>
      <c r="AN861" s="105">
        <v>28303</v>
      </c>
      <c r="AO861" s="91">
        <f t="shared" ref="AO861:AO868" ca="1" si="360">IF(YEAR(TODAY())-YEAR(AN861)&gt;100," ",YEAR(TODAY())-YEAR(AN861))</f>
        <v>48</v>
      </c>
      <c r="AP861" s="26" t="s">
        <v>121</v>
      </c>
      <c r="AQ861" s="26" t="s">
        <v>347</v>
      </c>
      <c r="AR861" s="89"/>
      <c r="AS861" s="27"/>
      <c r="AT861" s="16"/>
      <c r="AU861" s="27"/>
      <c r="AV861" s="86"/>
      <c r="AW861" s="27"/>
      <c r="AX861" s="27"/>
      <c r="AY861" s="27"/>
      <c r="AZ861" s="27"/>
      <c r="BA861" s="27"/>
      <c r="BB861" s="27"/>
      <c r="BC861" s="97"/>
      <c r="BD861" s="27"/>
      <c r="BE861" s="16"/>
      <c r="BF861" s="28">
        <f t="shared" si="350"/>
        <v>0</v>
      </c>
      <c r="BG861" s="29"/>
      <c r="BH861" s="27"/>
      <c r="BI861" s="30">
        <f t="shared" si="351"/>
        <v>116</v>
      </c>
      <c r="BJ861" s="31">
        <f t="shared" si="352"/>
        <v>45656</v>
      </c>
      <c r="BK861" s="27"/>
      <c r="BL861" s="16"/>
      <c r="BM861" s="27"/>
      <c r="BN861" s="16"/>
      <c r="BO861" s="27"/>
      <c r="BP861" s="16"/>
      <c r="BQ861" s="27"/>
      <c r="BR861" s="24"/>
      <c r="BS861" s="24"/>
      <c r="BT861" s="32"/>
      <c r="BU861" s="27"/>
      <c r="BV861" s="24"/>
      <c r="BW861" s="24"/>
      <c r="BX861" s="16"/>
      <c r="BY861" s="27"/>
      <c r="BZ861" s="24"/>
      <c r="CA861" s="24"/>
      <c r="CB861" s="16"/>
      <c r="CC861" s="49">
        <f t="shared" si="353"/>
        <v>0</v>
      </c>
      <c r="CD861" s="24"/>
      <c r="CE861" s="49">
        <f>IF(Y861=0,(X861+CC861)-CD861,IF(Y861&gt;0,(Y861+CC861)-CD861))</f>
        <v>5026858</v>
      </c>
      <c r="CF861" s="50"/>
      <c r="CG861" s="49">
        <f t="shared" ca="1" si="343"/>
        <v>5026858</v>
      </c>
      <c r="CH861" s="33">
        <f t="shared" ca="1" si="357"/>
        <v>1</v>
      </c>
      <c r="CI861" s="33">
        <f t="shared" ca="1" si="358"/>
        <v>1</v>
      </c>
      <c r="CJ861" s="36">
        <f t="shared" ca="1" si="347"/>
        <v>100</v>
      </c>
      <c r="CK861" s="34">
        <f t="shared" si="348"/>
        <v>0</v>
      </c>
      <c r="CL861" s="21"/>
      <c r="CM861" s="35" t="str">
        <f t="shared" ca="1" si="354"/>
        <v>TERMINADO</v>
      </c>
      <c r="CN861" s="82"/>
      <c r="CO861" s="146" t="s">
        <v>6788</v>
      </c>
      <c r="CP861" s="26" t="s">
        <v>142</v>
      </c>
      <c r="CQ861" s="83"/>
      <c r="CR861" s="83"/>
    </row>
    <row r="862" spans="1:96" ht="24.75" customHeight="1">
      <c r="A862" s="48" t="s">
        <v>6789</v>
      </c>
      <c r="B862" s="77" t="s">
        <v>6790</v>
      </c>
      <c r="C862" s="17" t="s">
        <v>104</v>
      </c>
      <c r="D862" s="18" t="s">
        <v>6791</v>
      </c>
      <c r="E862" s="17" t="s">
        <v>106</v>
      </c>
      <c r="F862" s="17" t="s">
        <v>107</v>
      </c>
      <c r="G862" s="17" t="s">
        <v>108</v>
      </c>
      <c r="H862" s="78">
        <v>1000469482</v>
      </c>
      <c r="I862" s="74" t="s">
        <v>6792</v>
      </c>
      <c r="J862" s="16"/>
      <c r="K862" s="16"/>
      <c r="L862" s="96" t="s">
        <v>6793</v>
      </c>
      <c r="M862" s="16" t="s">
        <v>111</v>
      </c>
      <c r="N862" s="22">
        <v>45539</v>
      </c>
      <c r="O862" s="22">
        <v>45544</v>
      </c>
      <c r="P862" s="22">
        <v>45657</v>
      </c>
      <c r="Q862" s="23">
        <f t="shared" si="346"/>
        <v>113</v>
      </c>
      <c r="R862" s="17" t="s">
        <v>112</v>
      </c>
      <c r="S862" s="16" t="s">
        <v>6794</v>
      </c>
      <c r="T862" s="16" t="s">
        <v>2776</v>
      </c>
      <c r="U862" s="67">
        <v>20969550</v>
      </c>
      <c r="V862" s="16" t="s">
        <v>1336</v>
      </c>
      <c r="W862" s="224">
        <v>20969550</v>
      </c>
      <c r="X862" s="24">
        <v>4659900</v>
      </c>
      <c r="Y862" s="24"/>
      <c r="Z862" s="24"/>
      <c r="AA862" s="17" t="s">
        <v>116</v>
      </c>
      <c r="AB862" s="23" t="str">
        <f>IFERROR(VLOOKUP(AA862,Listas!$A$1:$C$14,2,FALSE),"")</f>
        <v>FREDY CÉSPEDES VILLA</v>
      </c>
      <c r="AC862" s="23">
        <f>IFERROR(VLOOKUP(AA862,Listas!$A$1:$C$14,3,FALSE),"")</f>
        <v>93363483</v>
      </c>
      <c r="AD862" s="17" t="s">
        <v>217</v>
      </c>
      <c r="AE862" s="17" t="s">
        <v>539</v>
      </c>
      <c r="AF862" s="23" t="str">
        <f>IFERROR(VLOOKUP(AE862,Listas!$AD$1:$AF$65,2,FALSE),"")</f>
        <v>DORIS POVEDA BELTRÁN</v>
      </c>
      <c r="AG862" s="23">
        <f>IFERROR(VLOOKUP(AE862,Listas!$AD$1:$AF$65,3,FALSE),"")</f>
        <v>52049845</v>
      </c>
      <c r="AH862" s="17" t="s">
        <v>118</v>
      </c>
      <c r="AI862" s="65" t="s">
        <v>6795</v>
      </c>
      <c r="AJ862" s="25" t="s">
        <v>4370</v>
      </c>
      <c r="AK862" s="26" t="s">
        <v>120</v>
      </c>
      <c r="AL862" s="26" t="s">
        <v>120</v>
      </c>
      <c r="AM862" s="90" t="s">
        <v>119</v>
      </c>
      <c r="AN862" s="105">
        <v>37058</v>
      </c>
      <c r="AO862" s="91">
        <f t="shared" ca="1" si="360"/>
        <v>24</v>
      </c>
      <c r="AP862" s="26" t="s">
        <v>121</v>
      </c>
      <c r="AQ862" s="26" t="s">
        <v>1641</v>
      </c>
      <c r="AR862" s="89"/>
      <c r="AS862" s="27"/>
      <c r="AT862" s="16"/>
      <c r="AU862" s="27"/>
      <c r="AV862" s="86"/>
      <c r="AW862" s="27"/>
      <c r="AX862" s="27"/>
      <c r="AY862" s="27"/>
      <c r="AZ862" s="27"/>
      <c r="BA862" s="27"/>
      <c r="BB862" s="27"/>
      <c r="BC862" s="97"/>
      <c r="BD862" s="27"/>
      <c r="BE862" s="16"/>
      <c r="BF862" s="28">
        <f t="shared" si="350"/>
        <v>0</v>
      </c>
      <c r="BG862" s="29"/>
      <c r="BH862" s="27"/>
      <c r="BI862" s="30">
        <f t="shared" si="351"/>
        <v>113</v>
      </c>
      <c r="BJ862" s="31">
        <f t="shared" si="352"/>
        <v>45657</v>
      </c>
      <c r="BK862" s="27"/>
      <c r="BL862" s="16"/>
      <c r="BM862" s="27"/>
      <c r="BN862" s="16"/>
      <c r="BO862" s="27"/>
      <c r="BP862" s="16"/>
      <c r="BQ862" s="27"/>
      <c r="BR862" s="24"/>
      <c r="BS862" s="24"/>
      <c r="BT862" s="32"/>
      <c r="BU862" s="27"/>
      <c r="BV862" s="24"/>
      <c r="BW862" s="24"/>
      <c r="BX862" s="16"/>
      <c r="BY862" s="27"/>
      <c r="BZ862" s="24"/>
      <c r="CA862" s="24"/>
      <c r="CB862" s="16"/>
      <c r="CC862" s="49">
        <f t="shared" si="353"/>
        <v>0</v>
      </c>
      <c r="CD862" s="24"/>
      <c r="CE862" s="49">
        <f>IF(Y862=0,(W861+CC862)-CD862,IF(Y862&gt;0,(Y862+CC862)-CD862))</f>
        <v>28416827</v>
      </c>
      <c r="CF862" s="50"/>
      <c r="CG862" s="49">
        <f t="shared" ca="1" si="343"/>
        <v>28416827</v>
      </c>
      <c r="CH862" s="33">
        <f t="shared" ca="1" si="357"/>
        <v>1</v>
      </c>
      <c r="CI862" s="33">
        <f t="shared" ca="1" si="358"/>
        <v>1</v>
      </c>
      <c r="CJ862" s="36">
        <f t="shared" ca="1" si="347"/>
        <v>100</v>
      </c>
      <c r="CK862" s="34">
        <f t="shared" si="348"/>
        <v>0</v>
      </c>
      <c r="CL862" s="21"/>
      <c r="CM862" s="35" t="str">
        <f t="shared" ca="1" si="354"/>
        <v>TERMINADO</v>
      </c>
      <c r="CN862" s="82"/>
      <c r="CP862" s="26" t="s">
        <v>123</v>
      </c>
    </row>
    <row r="863" spans="1:96" s="222" customFormat="1" ht="24.75" customHeight="1">
      <c r="A863" s="48" t="s">
        <v>6796</v>
      </c>
      <c r="B863" s="77" t="s">
        <v>6797</v>
      </c>
      <c r="C863" s="17" t="s">
        <v>5814</v>
      </c>
      <c r="D863" s="18" t="s">
        <v>6798</v>
      </c>
      <c r="E863" s="17" t="s">
        <v>106</v>
      </c>
      <c r="F863" s="17" t="s">
        <v>1426</v>
      </c>
      <c r="G863" s="17" t="s">
        <v>1427</v>
      </c>
      <c r="H863" s="78" t="s">
        <v>6799</v>
      </c>
      <c r="I863" s="74" t="s">
        <v>6800</v>
      </c>
      <c r="J863" s="16" t="s">
        <v>6801</v>
      </c>
      <c r="K863" s="16">
        <v>19371661</v>
      </c>
      <c r="L863" s="96" t="s">
        <v>6802</v>
      </c>
      <c r="M863" s="16"/>
      <c r="N863" s="22">
        <v>45533</v>
      </c>
      <c r="O863" s="22">
        <v>45553</v>
      </c>
      <c r="P863" s="22">
        <v>45656</v>
      </c>
      <c r="Q863" s="23">
        <f t="shared" si="346"/>
        <v>103</v>
      </c>
      <c r="R863" s="17" t="s">
        <v>242</v>
      </c>
      <c r="S863" s="16" t="s">
        <v>6803</v>
      </c>
      <c r="T863" s="16" t="s">
        <v>6804</v>
      </c>
      <c r="U863" s="67" t="s">
        <v>6805</v>
      </c>
      <c r="V863" s="16" t="s">
        <v>6806</v>
      </c>
      <c r="W863" s="224">
        <v>239994440</v>
      </c>
      <c r="X863" s="24"/>
      <c r="Y863" s="24"/>
      <c r="Z863" s="24"/>
      <c r="AA863" s="17" t="s">
        <v>116</v>
      </c>
      <c r="AB863" s="23" t="str">
        <f>IFERROR(VLOOKUP(AA863,Listas!$A$1:$C$14,2,FALSE),"")</f>
        <v>FREDY CÉSPEDES VILLA</v>
      </c>
      <c r="AC863" s="23">
        <f>IFERROR(VLOOKUP(AA863,Listas!$A$1:$C$14,3,FALSE),"")</f>
        <v>93363483</v>
      </c>
      <c r="AD863" s="17" t="s">
        <v>816</v>
      </c>
      <c r="AE863" s="17" t="s">
        <v>2577</v>
      </c>
      <c r="AF863" s="23" t="str">
        <f>IFERROR(VLOOKUP(AE863,Listas!$AD$1:$AF$65,2,FALSE),"")</f>
        <v>VICTOR RAUL BAUTISTA GALINDO</v>
      </c>
      <c r="AG863" s="23">
        <f>IFERROR(VLOOKUP(AE863,Listas!$AD$1:$AF$65,3,FALSE),"")</f>
        <v>79352968</v>
      </c>
      <c r="AH863" s="17" t="s">
        <v>3186</v>
      </c>
      <c r="AI863" s="65"/>
      <c r="AJ863" s="25" t="s">
        <v>1435</v>
      </c>
      <c r="AK863" s="26" t="s">
        <v>2071</v>
      </c>
      <c r="AL863" s="26" t="s">
        <v>2071</v>
      </c>
      <c r="AM863" s="90" t="s">
        <v>1435</v>
      </c>
      <c r="AN863" s="105"/>
      <c r="AO863" s="91" t="str">
        <f t="shared" ca="1" si="360"/>
        <v xml:space="preserve"> </v>
      </c>
      <c r="AP863" s="26" t="s">
        <v>121</v>
      </c>
      <c r="AQ863" s="26" t="s">
        <v>486</v>
      </c>
      <c r="AR863" s="89"/>
      <c r="AS863" s="27"/>
      <c r="AT863" s="16"/>
      <c r="AU863" s="27"/>
      <c r="AV863" s="86"/>
      <c r="AW863" s="27"/>
      <c r="AX863" s="27"/>
      <c r="AY863" s="27"/>
      <c r="AZ863" s="27"/>
      <c r="BA863" s="27"/>
      <c r="BB863" s="27"/>
      <c r="BC863" s="97"/>
      <c r="BD863" s="27"/>
      <c r="BE863" s="16"/>
      <c r="BF863" s="28">
        <f t="shared" si="350"/>
        <v>0</v>
      </c>
      <c r="BG863" s="29"/>
      <c r="BH863" s="27"/>
      <c r="BI863" s="30">
        <f t="shared" si="351"/>
        <v>103</v>
      </c>
      <c r="BJ863" s="31">
        <f t="shared" si="352"/>
        <v>45656</v>
      </c>
      <c r="BK863" s="27"/>
      <c r="BL863" s="16"/>
      <c r="BM863" s="27"/>
      <c r="BN863" s="16"/>
      <c r="BO863" s="27"/>
      <c r="BP863" s="16"/>
      <c r="BQ863" s="27"/>
      <c r="BR863" s="24"/>
      <c r="BS863" s="24"/>
      <c r="BT863" s="32"/>
      <c r="BU863" s="27"/>
      <c r="BV863" s="24"/>
      <c r="BW863" s="24"/>
      <c r="BX863" s="16"/>
      <c r="BY863" s="27"/>
      <c r="BZ863" s="24"/>
      <c r="CA863" s="24"/>
      <c r="CB863" s="16"/>
      <c r="CC863" s="49">
        <f t="shared" si="353"/>
        <v>0</v>
      </c>
      <c r="CD863" s="24"/>
      <c r="CE863" s="49">
        <f t="shared" ref="CE863:CE893" si="361">IF(Y863=0,(W863+CC863)-CD863,IF(Y863&gt;0,(Y863+CC863)-CD863))</f>
        <v>239994440</v>
      </c>
      <c r="CF863" s="50"/>
      <c r="CG863" s="49">
        <f t="shared" ca="1" si="343"/>
        <v>239994440</v>
      </c>
      <c r="CH863" s="33">
        <f t="shared" ca="1" si="357"/>
        <v>1</v>
      </c>
      <c r="CI863" s="33">
        <f t="shared" ca="1" si="358"/>
        <v>1</v>
      </c>
      <c r="CJ863" s="36">
        <f t="shared" ca="1" si="347"/>
        <v>100</v>
      </c>
      <c r="CK863" s="34">
        <f t="shared" si="348"/>
        <v>0</v>
      </c>
      <c r="CL863" s="21"/>
      <c r="CM863" s="35" t="str">
        <f t="shared" ca="1" si="354"/>
        <v>TERMINADO</v>
      </c>
      <c r="CN863" s="82"/>
      <c r="CO863" s="145"/>
      <c r="CP863" s="26"/>
      <c r="CQ863" s="83"/>
      <c r="CR863" s="83"/>
    </row>
    <row r="864" spans="1:96" s="222" customFormat="1" ht="24.75" customHeight="1">
      <c r="A864" s="48" t="s">
        <v>6807</v>
      </c>
      <c r="B864" s="77" t="s">
        <v>6808</v>
      </c>
      <c r="C864" s="17" t="s">
        <v>104</v>
      </c>
      <c r="D864" s="18" t="s">
        <v>6809</v>
      </c>
      <c r="E864" s="17" t="s">
        <v>106</v>
      </c>
      <c r="F864" s="17" t="s">
        <v>1426</v>
      </c>
      <c r="G864" s="17" t="s">
        <v>5731</v>
      </c>
      <c r="H864" s="78" t="s">
        <v>6810</v>
      </c>
      <c r="I864" s="74" t="s">
        <v>6811</v>
      </c>
      <c r="J864" s="16"/>
      <c r="K864" s="16"/>
      <c r="L864" s="96" t="s">
        <v>6812</v>
      </c>
      <c r="M864" s="16"/>
      <c r="N864" s="22">
        <v>45538</v>
      </c>
      <c r="O864" s="22">
        <v>45539</v>
      </c>
      <c r="P864" s="22">
        <v>45908</v>
      </c>
      <c r="Q864" s="23">
        <f t="shared" si="346"/>
        <v>369</v>
      </c>
      <c r="R864" s="17" t="s">
        <v>242</v>
      </c>
      <c r="S864" s="16" t="s">
        <v>6813</v>
      </c>
      <c r="T864" s="16" t="s">
        <v>2811</v>
      </c>
      <c r="U864" s="67">
        <v>510518700</v>
      </c>
      <c r="V864" s="16" t="s">
        <v>3076</v>
      </c>
      <c r="W864" s="224">
        <v>510518700</v>
      </c>
      <c r="X864" s="24"/>
      <c r="Y864" s="24"/>
      <c r="Z864" s="24"/>
      <c r="AA864" s="17" t="s">
        <v>116</v>
      </c>
      <c r="AB864" s="23" t="str">
        <f>IFERROR(VLOOKUP(AA864,Listas!$A$1:$C$14,2,FALSE),"")</f>
        <v>FREDY CÉSPEDES VILLA</v>
      </c>
      <c r="AC864" s="23">
        <f>IFERROR(VLOOKUP(AA864,Listas!$A$1:$C$14,3,FALSE),"")</f>
        <v>93363483</v>
      </c>
      <c r="AD864" s="17" t="s">
        <v>217</v>
      </c>
      <c r="AE864" s="17" t="s">
        <v>6422</v>
      </c>
      <c r="AF864" s="23" t="str">
        <f>IFERROR(VLOOKUP(AE864,Listas!$AD$1:$AF$65,2,FALSE),"")</f>
        <v>JOSÉ GÓMEZ CARDONA</v>
      </c>
      <c r="AG864" s="23">
        <f>IFERROR(VLOOKUP(AE864,Listas!$AD$1:$AF$65,3,FALSE),"")</f>
        <v>4488888</v>
      </c>
      <c r="AH864" s="17" t="s">
        <v>118</v>
      </c>
      <c r="AI864" s="65"/>
      <c r="AJ864" s="25" t="s">
        <v>1435</v>
      </c>
      <c r="AK864" s="26" t="s">
        <v>2071</v>
      </c>
      <c r="AL864" s="26" t="s">
        <v>2071</v>
      </c>
      <c r="AM864" s="90" t="s">
        <v>1435</v>
      </c>
      <c r="AN864" s="105"/>
      <c r="AO864" s="91" t="str">
        <f t="shared" ca="1" si="360"/>
        <v xml:space="preserve"> </v>
      </c>
      <c r="AP864" s="26" t="s">
        <v>121</v>
      </c>
      <c r="AQ864" s="26" t="s">
        <v>1641</v>
      </c>
      <c r="AR864" s="89"/>
      <c r="AS864" s="27"/>
      <c r="AT864" s="16"/>
      <c r="AU864" s="27"/>
      <c r="AV864" s="86"/>
      <c r="AW864" s="27"/>
      <c r="AX864" s="27"/>
      <c r="AY864" s="27"/>
      <c r="AZ864" s="27"/>
      <c r="BA864" s="27"/>
      <c r="BB864" s="27"/>
      <c r="BC864" s="97"/>
      <c r="BD864" s="27"/>
      <c r="BE864" s="16"/>
      <c r="BF864" s="28">
        <f t="shared" si="350"/>
        <v>0</v>
      </c>
      <c r="BG864" s="29"/>
      <c r="BH864" s="27"/>
      <c r="BI864" s="30">
        <f t="shared" si="351"/>
        <v>369</v>
      </c>
      <c r="BJ864" s="31">
        <f t="shared" si="352"/>
        <v>45908</v>
      </c>
      <c r="BK864" s="27"/>
      <c r="BL864" s="16"/>
      <c r="BM864" s="27"/>
      <c r="BN864" s="16"/>
      <c r="BO864" s="27"/>
      <c r="BP864" s="16"/>
      <c r="BQ864" s="27"/>
      <c r="BR864" s="24"/>
      <c r="BS864" s="24"/>
      <c r="BT864" s="32"/>
      <c r="BU864" s="27"/>
      <c r="BV864" s="24"/>
      <c r="BW864" s="24"/>
      <c r="BX864" s="16"/>
      <c r="BY864" s="27"/>
      <c r="BZ864" s="24"/>
      <c r="CA864" s="24"/>
      <c r="CB864" s="16"/>
      <c r="CC864" s="49">
        <f t="shared" si="353"/>
        <v>0</v>
      </c>
      <c r="CD864" s="24"/>
      <c r="CE864" s="49">
        <f t="shared" si="361"/>
        <v>510518700</v>
      </c>
      <c r="CF864" s="50"/>
      <c r="CG864" s="49">
        <f t="shared" ca="1" si="343"/>
        <v>510518700</v>
      </c>
      <c r="CH864" s="33">
        <f t="shared" ca="1" si="357"/>
        <v>1</v>
      </c>
      <c r="CI864" s="33">
        <f t="shared" ca="1" si="358"/>
        <v>1</v>
      </c>
      <c r="CJ864" s="36">
        <f t="shared" ca="1" si="347"/>
        <v>100</v>
      </c>
      <c r="CK864" s="34">
        <f t="shared" si="348"/>
        <v>0</v>
      </c>
      <c r="CL864" s="21"/>
      <c r="CM864" s="35" t="str">
        <f t="shared" ca="1" si="354"/>
        <v>TERMINADO</v>
      </c>
      <c r="CN864" s="82"/>
      <c r="CO864" s="145"/>
      <c r="CP864" s="26"/>
      <c r="CQ864" s="83"/>
      <c r="CR864" s="83"/>
    </row>
    <row r="865" spans="1:96" s="85" customFormat="1" ht="24.75" customHeight="1">
      <c r="A865" s="48" t="s">
        <v>6814</v>
      </c>
      <c r="B865" s="77" t="s">
        <v>6815</v>
      </c>
      <c r="C865" s="17" t="s">
        <v>104</v>
      </c>
      <c r="D865" s="18" t="s">
        <v>6816</v>
      </c>
      <c r="E865" s="17" t="s">
        <v>106</v>
      </c>
      <c r="F865" s="17" t="s">
        <v>107</v>
      </c>
      <c r="G865" s="17" t="s">
        <v>108</v>
      </c>
      <c r="H865" s="78">
        <v>52061620</v>
      </c>
      <c r="I865" s="74" t="s">
        <v>6817</v>
      </c>
      <c r="J865" s="16"/>
      <c r="K865" s="16"/>
      <c r="L865" s="96" t="s">
        <v>6818</v>
      </c>
      <c r="M865" s="16" t="s">
        <v>111</v>
      </c>
      <c r="N865" s="22">
        <v>45541</v>
      </c>
      <c r="O865" s="22">
        <v>45545</v>
      </c>
      <c r="P865" s="22">
        <v>45657</v>
      </c>
      <c r="Q865" s="23">
        <f t="shared" si="346"/>
        <v>112</v>
      </c>
      <c r="R865" s="17" t="s">
        <v>242</v>
      </c>
      <c r="S865" s="16" t="s">
        <v>6819</v>
      </c>
      <c r="T865" s="16" t="s">
        <v>1145</v>
      </c>
      <c r="U865" s="67">
        <v>60456250</v>
      </c>
      <c r="V865" s="16" t="s">
        <v>426</v>
      </c>
      <c r="W865" s="224">
        <v>22760000</v>
      </c>
      <c r="X865" s="24">
        <v>7112500</v>
      </c>
      <c r="Y865" s="24"/>
      <c r="Z865" s="24"/>
      <c r="AA865" s="17" t="s">
        <v>116</v>
      </c>
      <c r="AB865" s="23" t="str">
        <f>IFERROR(VLOOKUP(AA865,Listas!$A$1:$C$14,2,FALSE),"")</f>
        <v>FREDY CÉSPEDES VILLA</v>
      </c>
      <c r="AC865" s="23">
        <f>IFERROR(VLOOKUP(AA865,Listas!$A$1:$C$14,3,FALSE),"")</f>
        <v>93363483</v>
      </c>
      <c r="AD865" s="17" t="s">
        <v>427</v>
      </c>
      <c r="AE865" s="17" t="s">
        <v>428</v>
      </c>
      <c r="AF865" s="23" t="str">
        <f>IFERROR(VLOOKUP(AE865,Listas!$AD$1:$AF$65,2,FALSE),"")</f>
        <v>DINORAH PATRICIA ABADIA MURILLO</v>
      </c>
      <c r="AG865" s="23">
        <f>IFERROR(VLOOKUP(AE865,Listas!$AD$1:$AF$65,3,FALSE),"")</f>
        <v>52220857</v>
      </c>
      <c r="AH865" s="17" t="s">
        <v>118</v>
      </c>
      <c r="AI865" s="65" t="s">
        <v>6820</v>
      </c>
      <c r="AJ865" s="25" t="s">
        <v>4370</v>
      </c>
      <c r="AK865" s="26" t="s">
        <v>120</v>
      </c>
      <c r="AL865" s="26" t="s">
        <v>120</v>
      </c>
      <c r="AM865" s="90" t="s">
        <v>119</v>
      </c>
      <c r="AN865" s="105">
        <v>26427</v>
      </c>
      <c r="AO865" s="91">
        <f t="shared" ca="1" si="360"/>
        <v>53</v>
      </c>
      <c r="AP865" s="26" t="s">
        <v>121</v>
      </c>
      <c r="AQ865" s="26" t="s">
        <v>515</v>
      </c>
      <c r="AR865" s="89"/>
      <c r="AS865" s="27"/>
      <c r="AT865" s="16"/>
      <c r="AU865" s="27"/>
      <c r="AV865" s="86"/>
      <c r="AW865" s="27"/>
      <c r="AX865" s="27"/>
      <c r="AY865" s="27"/>
      <c r="AZ865" s="27"/>
      <c r="BA865" s="27"/>
      <c r="BB865" s="27"/>
      <c r="BC865" s="97"/>
      <c r="BD865" s="27"/>
      <c r="BE865" s="16"/>
      <c r="BF865" s="28">
        <f t="shared" si="350"/>
        <v>0</v>
      </c>
      <c r="BG865" s="29"/>
      <c r="BH865" s="27"/>
      <c r="BI865" s="30">
        <f t="shared" si="351"/>
        <v>112</v>
      </c>
      <c r="BJ865" s="31">
        <f t="shared" si="352"/>
        <v>45657</v>
      </c>
      <c r="BK865" s="27"/>
      <c r="BL865" s="16"/>
      <c r="BM865" s="27"/>
      <c r="BN865" s="16"/>
      <c r="BO865" s="27"/>
      <c r="BP865" s="16"/>
      <c r="BQ865" s="27"/>
      <c r="BR865" s="24"/>
      <c r="BS865" s="24"/>
      <c r="BT865" s="32"/>
      <c r="BU865" s="27"/>
      <c r="BV865" s="24"/>
      <c r="BW865" s="24"/>
      <c r="BX865" s="16"/>
      <c r="BY865" s="27"/>
      <c r="BZ865" s="24"/>
      <c r="CA865" s="24"/>
      <c r="CB865" s="16"/>
      <c r="CC865" s="49">
        <f t="shared" si="353"/>
        <v>0</v>
      </c>
      <c r="CD865" s="24"/>
      <c r="CE865" s="49">
        <f t="shared" si="361"/>
        <v>22760000</v>
      </c>
      <c r="CF865" s="50"/>
      <c r="CG865" s="49">
        <f t="shared" ca="1" si="343"/>
        <v>22760000</v>
      </c>
      <c r="CH865" s="33">
        <f t="shared" ca="1" si="357"/>
        <v>1</v>
      </c>
      <c r="CI865" s="33">
        <f t="shared" ca="1" si="358"/>
        <v>1</v>
      </c>
      <c r="CJ865" s="36">
        <f t="shared" ca="1" si="347"/>
        <v>100</v>
      </c>
      <c r="CK865" s="34">
        <f t="shared" si="348"/>
        <v>0</v>
      </c>
      <c r="CL865" s="21"/>
      <c r="CM865" s="35" t="str">
        <f t="shared" ca="1" si="354"/>
        <v>TERMINADO</v>
      </c>
      <c r="CN865" s="82"/>
      <c r="CO865" s="145" t="s">
        <v>6821</v>
      </c>
      <c r="CP865" s="26" t="s">
        <v>123</v>
      </c>
      <c r="CQ865" s="83"/>
      <c r="CR865" s="83"/>
    </row>
    <row r="866" spans="1:96" s="85" customFormat="1" ht="24.75" customHeight="1">
      <c r="A866" s="48" t="s">
        <v>1424</v>
      </c>
      <c r="B866" s="77" t="s">
        <v>6822</v>
      </c>
      <c r="C866" s="17" t="s">
        <v>2927</v>
      </c>
      <c r="D866" s="18" t="s">
        <v>6823</v>
      </c>
      <c r="E866" s="17" t="s">
        <v>2929</v>
      </c>
      <c r="F866" s="17" t="s">
        <v>1426</v>
      </c>
      <c r="G866" s="17" t="s">
        <v>1427</v>
      </c>
      <c r="H866" s="78" t="s">
        <v>6824</v>
      </c>
      <c r="I866" s="74" t="s">
        <v>6825</v>
      </c>
      <c r="J866" s="16" t="s">
        <v>6826</v>
      </c>
      <c r="K866" s="16">
        <v>1098618547</v>
      </c>
      <c r="L866" s="96" t="s">
        <v>6827</v>
      </c>
      <c r="M866" s="16"/>
      <c r="N866" s="22">
        <v>45534</v>
      </c>
      <c r="O866" s="115">
        <v>45534</v>
      </c>
      <c r="P866" s="22">
        <v>47360</v>
      </c>
      <c r="Q866" s="23">
        <f t="shared" si="346"/>
        <v>1826</v>
      </c>
      <c r="R866" s="17" t="s">
        <v>2934</v>
      </c>
      <c r="S866" s="16" t="s">
        <v>1424</v>
      </c>
      <c r="T866" s="16" t="s">
        <v>1424</v>
      </c>
      <c r="U866" s="67" t="s">
        <v>1424</v>
      </c>
      <c r="V866" s="16" t="s">
        <v>1424</v>
      </c>
      <c r="W866" s="224">
        <v>0</v>
      </c>
      <c r="X866" s="24"/>
      <c r="Y866" s="24" t="s">
        <v>2935</v>
      </c>
      <c r="Z866" s="24"/>
      <c r="AA866" s="17" t="s">
        <v>406</v>
      </c>
      <c r="AB866" s="23" t="str">
        <f>IFERROR(VLOOKUP(AA866,Listas!$A$1:$C$14,2,FALSE),"")</f>
        <v>EDUARDO ELÍAS BARCHA BOLÍVAR</v>
      </c>
      <c r="AC866" s="23">
        <f>IFERROR(VLOOKUP(AA866,Listas!$A$1:$C$14,3,FALSE),"")</f>
        <v>72133921</v>
      </c>
      <c r="AD866" s="17" t="s">
        <v>1533</v>
      </c>
      <c r="AE866" s="17" t="s">
        <v>1534</v>
      </c>
      <c r="AF866" s="23" t="str">
        <f>IFERROR(VLOOKUP(AE866,Listas!$AD$1:$AF$65,2,FALSE),"")</f>
        <v>ESTEBAN GUERRERO ALVAREZ</v>
      </c>
      <c r="AG866" s="23">
        <f>IFERROR(VLOOKUP(AE866,Listas!$AD$1:$AF$65,3,FALSE),"")</f>
        <v>1032460552</v>
      </c>
      <c r="AH866" s="17" t="s">
        <v>2936</v>
      </c>
      <c r="AI866" s="65"/>
      <c r="AJ866" s="25" t="s">
        <v>1435</v>
      </c>
      <c r="AK866" s="26" t="s">
        <v>2071</v>
      </c>
      <c r="AL866" s="26" t="s">
        <v>2071</v>
      </c>
      <c r="AM866" s="90" t="s">
        <v>1435</v>
      </c>
      <c r="AN866" s="105"/>
      <c r="AO866" s="91" t="str">
        <f t="shared" ca="1" si="360"/>
        <v xml:space="preserve"> </v>
      </c>
      <c r="AP866" s="26" t="s">
        <v>2937</v>
      </c>
      <c r="AQ866" s="26" t="s">
        <v>4526</v>
      </c>
      <c r="AR866" s="89"/>
      <c r="AS866" s="27"/>
      <c r="AT866" s="16"/>
      <c r="AU866" s="27"/>
      <c r="AV866" s="86"/>
      <c r="AW866" s="27"/>
      <c r="AX866" s="27"/>
      <c r="AY866" s="27"/>
      <c r="AZ866" s="27"/>
      <c r="BA866" s="27"/>
      <c r="BB866" s="27"/>
      <c r="BC866" s="97"/>
      <c r="BD866" s="27"/>
      <c r="BE866" s="16"/>
      <c r="BF866" s="28">
        <f t="shared" si="350"/>
        <v>0</v>
      </c>
      <c r="BG866" s="29"/>
      <c r="BH866" s="27"/>
      <c r="BI866" s="30">
        <f t="shared" si="351"/>
        <v>1826</v>
      </c>
      <c r="BJ866" s="31">
        <f t="shared" si="352"/>
        <v>47360</v>
      </c>
      <c r="BK866" s="27"/>
      <c r="BL866" s="16"/>
      <c r="BM866" s="27"/>
      <c r="BN866" s="16"/>
      <c r="BO866" s="27"/>
      <c r="BP866" s="16"/>
      <c r="BQ866" s="27"/>
      <c r="BR866" s="24"/>
      <c r="BS866" s="24"/>
      <c r="BT866" s="32"/>
      <c r="BU866" s="27"/>
      <c r="BV866" s="24"/>
      <c r="BW866" s="24"/>
      <c r="BX866" s="16"/>
      <c r="BY866" s="27"/>
      <c r="BZ866" s="24"/>
      <c r="CA866" s="24"/>
      <c r="CB866" s="16"/>
      <c r="CC866" s="49">
        <f t="shared" si="353"/>
        <v>0</v>
      </c>
      <c r="CD866" s="24"/>
      <c r="CE866" s="49" t="str">
        <f>IFERROR(IF(Y866=0,(W866+CC866)-CD866,IF(Y866&gt;0,(Y866+CC866)-CD866)),"")</f>
        <v/>
      </c>
      <c r="CF866" s="50">
        <v>281922892</v>
      </c>
      <c r="CG866" s="49" t="str">
        <f t="shared" ca="1" si="343"/>
        <v/>
      </c>
      <c r="CH866" s="33">
        <f t="shared" ca="1" si="357"/>
        <v>0.22777777777777777</v>
      </c>
      <c r="CI866" s="33">
        <f t="shared" ca="1" si="358"/>
        <v>0.22777777777777777</v>
      </c>
      <c r="CJ866" s="36" t="str">
        <f t="shared" ca="1" si="347"/>
        <v/>
      </c>
      <c r="CK866" s="34" t="str">
        <f t="shared" si="348"/>
        <v/>
      </c>
      <c r="CL866" s="21"/>
      <c r="CM866" s="35" t="str">
        <f t="shared" ca="1" si="354"/>
        <v>VIGENTE</v>
      </c>
      <c r="CN866" s="82"/>
      <c r="CO866" s="145"/>
      <c r="CP866" s="83" t="s">
        <v>1424</v>
      </c>
      <c r="CQ866" s="83"/>
      <c r="CR866" s="83"/>
    </row>
    <row r="867" spans="1:96" ht="24.75" customHeight="1">
      <c r="A867" s="48" t="s">
        <v>6828</v>
      </c>
      <c r="B867" s="77" t="s">
        <v>6829</v>
      </c>
      <c r="C867" s="17" t="s">
        <v>104</v>
      </c>
      <c r="D867" s="18" t="s">
        <v>6830</v>
      </c>
      <c r="E867" s="17" t="s">
        <v>106</v>
      </c>
      <c r="F867" s="17" t="s">
        <v>107</v>
      </c>
      <c r="G867" s="17" t="s">
        <v>108</v>
      </c>
      <c r="H867" s="78">
        <v>1047966507</v>
      </c>
      <c r="I867" s="74" t="s">
        <v>6831</v>
      </c>
      <c r="J867" s="16"/>
      <c r="K867" s="16"/>
      <c r="L867" s="96" t="s">
        <v>6832</v>
      </c>
      <c r="M867" s="16" t="s">
        <v>111</v>
      </c>
      <c r="N867" s="22">
        <v>45541</v>
      </c>
      <c r="O867" s="22">
        <v>45545</v>
      </c>
      <c r="P867" s="22">
        <v>45657</v>
      </c>
      <c r="Q867" s="23">
        <f t="shared" ref="Q867:Q898" si="362">P867-O867</f>
        <v>112</v>
      </c>
      <c r="R867" s="17" t="s">
        <v>242</v>
      </c>
      <c r="S867" s="16" t="s">
        <v>6833</v>
      </c>
      <c r="T867" s="16" t="s">
        <v>2801</v>
      </c>
      <c r="U867" s="67">
        <v>121000000</v>
      </c>
      <c r="V867" s="16" t="s">
        <v>2802</v>
      </c>
      <c r="W867" s="224">
        <v>49500000</v>
      </c>
      <c r="X867" s="24">
        <v>11000000</v>
      </c>
      <c r="Y867" s="24"/>
      <c r="Z867" s="24"/>
      <c r="AA867" s="17" t="s">
        <v>116</v>
      </c>
      <c r="AB867" s="23" t="str">
        <f>IFERROR(VLOOKUP(AA867,Listas!$A$1:$C$14,2,FALSE),"")</f>
        <v>FREDY CÉSPEDES VILLA</v>
      </c>
      <c r="AC867" s="23">
        <f>IFERROR(VLOOKUP(AA867,Listas!$A$1:$C$14,3,FALSE),"")</f>
        <v>93363483</v>
      </c>
      <c r="AD867" s="17" t="s">
        <v>217</v>
      </c>
      <c r="AE867" s="17" t="s">
        <v>265</v>
      </c>
      <c r="AF867" s="23" t="str">
        <f>IFERROR(VLOOKUP(AE867,Listas!$AD$1:$AF$65,2,FALSE),"")</f>
        <v>EDGAR ANTONIO GÓMEZ ÁLVAREZ</v>
      </c>
      <c r="AG867" s="23">
        <f>IFERROR(VLOOKUP(AE867,Listas!$AD$1:$AF$65,3,FALSE),"")</f>
        <v>2231755</v>
      </c>
      <c r="AH867" s="17" t="s">
        <v>118</v>
      </c>
      <c r="AI867" s="65" t="s">
        <v>6834</v>
      </c>
      <c r="AJ867" s="25" t="s">
        <v>4370</v>
      </c>
      <c r="AK867" s="26" t="s">
        <v>120</v>
      </c>
      <c r="AL867" s="26" t="s">
        <v>120</v>
      </c>
      <c r="AM867" s="90" t="s">
        <v>119</v>
      </c>
      <c r="AN867" s="105">
        <v>32398</v>
      </c>
      <c r="AO867" s="91">
        <f t="shared" ca="1" si="360"/>
        <v>37</v>
      </c>
      <c r="AP867" s="26" t="s">
        <v>121</v>
      </c>
      <c r="AQ867" s="26" t="s">
        <v>1641</v>
      </c>
      <c r="AR867" s="89"/>
      <c r="AS867" s="27"/>
      <c r="AT867" s="16"/>
      <c r="AU867" s="27"/>
      <c r="AV867" s="86"/>
      <c r="AW867" s="27"/>
      <c r="AX867" s="27"/>
      <c r="AY867" s="27"/>
      <c r="AZ867" s="27"/>
      <c r="BA867" s="27"/>
      <c r="BB867" s="27"/>
      <c r="BC867" s="97"/>
      <c r="BD867" s="27"/>
      <c r="BE867" s="16"/>
      <c r="BF867" s="28">
        <f t="shared" si="350"/>
        <v>0</v>
      </c>
      <c r="BG867" s="29"/>
      <c r="BH867" s="27"/>
      <c r="BI867" s="30">
        <f t="shared" si="351"/>
        <v>112</v>
      </c>
      <c r="BJ867" s="31">
        <f t="shared" si="352"/>
        <v>45657</v>
      </c>
      <c r="BK867" s="27"/>
      <c r="BL867" s="16"/>
      <c r="BM867" s="27"/>
      <c r="BN867" s="16"/>
      <c r="BO867" s="27"/>
      <c r="BP867" s="16"/>
      <c r="BQ867" s="27"/>
      <c r="BR867" s="24"/>
      <c r="BS867" s="24"/>
      <c r="BT867" s="32"/>
      <c r="BU867" s="27"/>
      <c r="BV867" s="24"/>
      <c r="BW867" s="24"/>
      <c r="BX867" s="16"/>
      <c r="BY867" s="27"/>
      <c r="BZ867" s="24"/>
      <c r="CA867" s="24"/>
      <c r="CB867" s="16"/>
      <c r="CC867" s="49">
        <f t="shared" si="353"/>
        <v>0</v>
      </c>
      <c r="CD867" s="24"/>
      <c r="CE867" s="49">
        <f t="shared" si="361"/>
        <v>49500000</v>
      </c>
      <c r="CF867" s="50"/>
      <c r="CG867" s="49">
        <f t="shared" ca="1" si="343"/>
        <v>49500000</v>
      </c>
      <c r="CH867" s="33">
        <f t="shared" ca="1" si="357"/>
        <v>1</v>
      </c>
      <c r="CI867" s="33">
        <f t="shared" ca="1" si="358"/>
        <v>1</v>
      </c>
      <c r="CJ867" s="36">
        <f t="shared" ca="1" si="347"/>
        <v>100</v>
      </c>
      <c r="CK867" s="34">
        <f t="shared" si="348"/>
        <v>0</v>
      </c>
      <c r="CL867" s="21"/>
      <c r="CM867" s="35" t="str">
        <f t="shared" ca="1" si="354"/>
        <v>TERMINADO</v>
      </c>
      <c r="CN867" s="82"/>
      <c r="CO867" s="145" t="s">
        <v>6835</v>
      </c>
      <c r="CP867" s="26" t="s">
        <v>142</v>
      </c>
    </row>
    <row r="868" spans="1:96" ht="24.75" customHeight="1">
      <c r="A868" s="48" t="s">
        <v>6836</v>
      </c>
      <c r="B868" s="77" t="s">
        <v>6837</v>
      </c>
      <c r="C868" s="17" t="s">
        <v>104</v>
      </c>
      <c r="D868" s="18" t="s">
        <v>6838</v>
      </c>
      <c r="E868" s="17" t="s">
        <v>106</v>
      </c>
      <c r="F868" s="17" t="s">
        <v>107</v>
      </c>
      <c r="G868" s="17" t="s">
        <v>108</v>
      </c>
      <c r="H868" s="78">
        <v>1032401478</v>
      </c>
      <c r="I868" s="240" t="s">
        <v>6839</v>
      </c>
      <c r="J868" s="16"/>
      <c r="K868" s="16"/>
      <c r="L868" s="96" t="s">
        <v>2243</v>
      </c>
      <c r="M868" s="16" t="s">
        <v>111</v>
      </c>
      <c r="N868" s="22">
        <v>45541</v>
      </c>
      <c r="O868" s="22">
        <v>45541</v>
      </c>
      <c r="P868" s="22">
        <v>45657</v>
      </c>
      <c r="Q868" s="23">
        <f t="shared" si="362"/>
        <v>116</v>
      </c>
      <c r="R868" s="17" t="s">
        <v>242</v>
      </c>
      <c r="S868" s="16" t="s">
        <v>6840</v>
      </c>
      <c r="T868" s="16" t="s">
        <v>1145</v>
      </c>
      <c r="U868" s="67">
        <v>32720000</v>
      </c>
      <c r="V868" s="16" t="s">
        <v>426</v>
      </c>
      <c r="W868" s="224">
        <v>31023167</v>
      </c>
      <c r="X868" s="24">
        <v>8093000</v>
      </c>
      <c r="Y868" s="24"/>
      <c r="Z868" s="24"/>
      <c r="AA868" s="17" t="s">
        <v>116</v>
      </c>
      <c r="AB868" s="23" t="str">
        <f>IFERROR(VLOOKUP(AA868,Listas!$A$1:$C$14,2,FALSE),"")</f>
        <v>FREDY CÉSPEDES VILLA</v>
      </c>
      <c r="AC868" s="23">
        <f>IFERROR(VLOOKUP(AA868,Listas!$A$1:$C$14,3,FALSE),"")</f>
        <v>93363483</v>
      </c>
      <c r="AD868" s="17" t="s">
        <v>427</v>
      </c>
      <c r="AE868" s="17" t="s">
        <v>1802</v>
      </c>
      <c r="AF868" s="23" t="str">
        <f>IFERROR(VLOOKUP(AE868,Listas!$AD$1:$AF$65,2,FALSE),"")</f>
        <v>YULI ANDREA RIVEROS PINEDA</v>
      </c>
      <c r="AG868" s="23">
        <f>IFERROR(VLOOKUP(AE868,Listas!$AD$1:$AF$65,3,FALSE),"")</f>
        <v>53036984</v>
      </c>
      <c r="AH868" s="17" t="s">
        <v>118</v>
      </c>
      <c r="AI868" s="65" t="s">
        <v>6841</v>
      </c>
      <c r="AJ868" s="25" t="s">
        <v>4370</v>
      </c>
      <c r="AK868" s="26" t="s">
        <v>120</v>
      </c>
      <c r="AL868" s="26" t="s">
        <v>120</v>
      </c>
      <c r="AM868" s="90" t="s">
        <v>119</v>
      </c>
      <c r="AN868" s="105"/>
      <c r="AO868" s="91" t="str">
        <f t="shared" ca="1" si="360"/>
        <v xml:space="preserve"> </v>
      </c>
      <c r="AP868" s="26" t="s">
        <v>121</v>
      </c>
      <c r="AQ868" s="26" t="s">
        <v>1272</v>
      </c>
      <c r="AR868" s="89"/>
      <c r="AS868" s="27"/>
      <c r="AT868" s="16"/>
      <c r="AU868" s="27"/>
      <c r="AV868" s="86"/>
      <c r="AW868" s="27"/>
      <c r="AX868" s="27"/>
      <c r="AY868" s="27"/>
      <c r="AZ868" s="27"/>
      <c r="BA868" s="27"/>
      <c r="BB868" s="27"/>
      <c r="BC868" s="97"/>
      <c r="BD868" s="27"/>
      <c r="BE868" s="16"/>
      <c r="BF868" s="28">
        <f t="shared" si="350"/>
        <v>0</v>
      </c>
      <c r="BG868" s="29"/>
      <c r="BH868" s="27"/>
      <c r="BI868" s="30">
        <f t="shared" si="351"/>
        <v>116</v>
      </c>
      <c r="BJ868" s="31">
        <f t="shared" si="352"/>
        <v>45657</v>
      </c>
      <c r="BK868" s="27"/>
      <c r="BL868" s="16"/>
      <c r="BM868" s="27"/>
      <c r="BN868" s="16"/>
      <c r="BO868" s="27"/>
      <c r="BP868" s="16"/>
      <c r="BQ868" s="27"/>
      <c r="BR868" s="24"/>
      <c r="BS868" s="24"/>
      <c r="BT868" s="32"/>
      <c r="BU868" s="27"/>
      <c r="BV868" s="24"/>
      <c r="BW868" s="24"/>
      <c r="BX868" s="16"/>
      <c r="BY868" s="27"/>
      <c r="BZ868" s="24"/>
      <c r="CA868" s="24"/>
      <c r="CB868" s="16"/>
      <c r="CC868" s="49">
        <f t="shared" si="353"/>
        <v>0</v>
      </c>
      <c r="CD868" s="24"/>
      <c r="CE868" s="49">
        <f t="shared" si="361"/>
        <v>31023167</v>
      </c>
      <c r="CF868" s="50"/>
      <c r="CG868" s="49">
        <f t="shared" ca="1" si="343"/>
        <v>31023167</v>
      </c>
      <c r="CH868" s="33">
        <f t="shared" ca="1" si="357"/>
        <v>1</v>
      </c>
      <c r="CI868" s="33">
        <f t="shared" ca="1" si="358"/>
        <v>1</v>
      </c>
      <c r="CJ868" s="36">
        <f t="shared" ca="1" si="347"/>
        <v>100</v>
      </c>
      <c r="CK868" s="34">
        <f t="shared" si="348"/>
        <v>0</v>
      </c>
      <c r="CL868" s="21"/>
      <c r="CM868" s="35" t="str">
        <f t="shared" ca="1" si="354"/>
        <v>TERMINADO</v>
      </c>
      <c r="CN868" s="82"/>
      <c r="CP868" s="26" t="s">
        <v>123</v>
      </c>
    </row>
    <row r="869" spans="1:96" s="85" customFormat="1" ht="24.75" customHeight="1">
      <c r="A869" s="48" t="s">
        <v>1424</v>
      </c>
      <c r="B869" s="77" t="s">
        <v>6842</v>
      </c>
      <c r="C869" s="17" t="s">
        <v>2927</v>
      </c>
      <c r="D869" s="18" t="s">
        <v>6843</v>
      </c>
      <c r="E869" s="17" t="s">
        <v>4162</v>
      </c>
      <c r="F869" s="17" t="s">
        <v>1426</v>
      </c>
      <c r="G869" s="17" t="s">
        <v>1427</v>
      </c>
      <c r="H869" s="78" t="s">
        <v>4628</v>
      </c>
      <c r="I869" s="74" t="s">
        <v>4629</v>
      </c>
      <c r="J869" s="16" t="s">
        <v>4630</v>
      </c>
      <c r="K869" s="16">
        <v>79802614</v>
      </c>
      <c r="L869" s="96" t="s">
        <v>6844</v>
      </c>
      <c r="M869" s="16"/>
      <c r="N869" s="22">
        <v>45540</v>
      </c>
      <c r="O869" s="115">
        <v>45545</v>
      </c>
      <c r="P869" s="22">
        <v>46366</v>
      </c>
      <c r="Q869" s="23">
        <f t="shared" si="362"/>
        <v>821</v>
      </c>
      <c r="R869" s="17" t="s">
        <v>2934</v>
      </c>
      <c r="S869" s="16" t="s">
        <v>1424</v>
      </c>
      <c r="T869" s="16" t="s">
        <v>1424</v>
      </c>
      <c r="U869" s="24">
        <v>0</v>
      </c>
      <c r="V869" s="16" t="s">
        <v>1424</v>
      </c>
      <c r="W869" s="227">
        <v>0</v>
      </c>
      <c r="X869" s="24"/>
      <c r="Y869" s="24">
        <v>8072014548</v>
      </c>
      <c r="Z869" s="24" t="s">
        <v>6845</v>
      </c>
      <c r="AA869" s="17" t="s">
        <v>427</v>
      </c>
      <c r="AB869" s="23" t="str">
        <f>IFERROR(VLOOKUP(AA869,Listas!$A$1:$C$14,2,FALSE),"")</f>
        <v>DINORAH PATRICIA ABADIA MURILLO</v>
      </c>
      <c r="AC869" s="23">
        <f>IFERROR(VLOOKUP(AA869,Listas!$A$1:$C$14,3,FALSE),"")</f>
        <v>52220857</v>
      </c>
      <c r="AD869" s="17" t="s">
        <v>427</v>
      </c>
      <c r="AE869" s="17" t="s">
        <v>428</v>
      </c>
      <c r="AF869" s="23" t="str">
        <f>IFERROR(VLOOKUP(AE869,Listas!$AD$1:$AF$65,2,FALSE),"")</f>
        <v>DINORAH PATRICIA ABADIA MURILLO</v>
      </c>
      <c r="AG869" s="23">
        <f>IFERROR(VLOOKUP(AE869,Listas!$AD$1:$AF$65,3,FALSE),"")</f>
        <v>52220857</v>
      </c>
      <c r="AH869" s="17" t="s">
        <v>2936</v>
      </c>
      <c r="AI869" s="65"/>
      <c r="AJ869" s="25" t="s">
        <v>1435</v>
      </c>
      <c r="AK869" s="26" t="s">
        <v>2071</v>
      </c>
      <c r="AL869" s="26" t="s">
        <v>2071</v>
      </c>
      <c r="AM869" s="90" t="s">
        <v>1435</v>
      </c>
      <c r="AN869" s="105"/>
      <c r="AO869" s="91" t="str">
        <f t="shared" ref="AO869" ca="1" si="363">IF(YEAR(TODAY())-YEAR(AN869)&gt;100," ",YEAR(TODAY())-YEAR(AN869))</f>
        <v xml:space="preserve"> </v>
      </c>
      <c r="AP869" s="26" t="s">
        <v>2937</v>
      </c>
      <c r="AQ869" s="26" t="s">
        <v>3437</v>
      </c>
      <c r="AR869" s="89"/>
      <c r="AS869" s="27"/>
      <c r="AT869" s="16"/>
      <c r="AU869" s="27"/>
      <c r="AV869" s="86"/>
      <c r="AW869" s="27"/>
      <c r="AX869" s="27"/>
      <c r="AY869" s="27"/>
      <c r="AZ869" s="27"/>
      <c r="BA869" s="27"/>
      <c r="BB869" s="27"/>
      <c r="BC869" s="97"/>
      <c r="BD869" s="27"/>
      <c r="BE869" s="16"/>
      <c r="BF869" s="28">
        <f t="shared" si="350"/>
        <v>0</v>
      </c>
      <c r="BG869" s="29"/>
      <c r="BH869" s="27"/>
      <c r="BI869" s="30">
        <f t="shared" si="351"/>
        <v>821</v>
      </c>
      <c r="BJ869" s="31">
        <f t="shared" si="352"/>
        <v>46366</v>
      </c>
      <c r="BK869" s="27"/>
      <c r="BL869" s="16"/>
      <c r="BM869" s="27"/>
      <c r="BN869" s="16"/>
      <c r="BO869" s="27"/>
      <c r="BP869" s="16"/>
      <c r="BQ869" s="27"/>
      <c r="BR869" s="24"/>
      <c r="BS869" s="24"/>
      <c r="BT869" s="32"/>
      <c r="BU869" s="27"/>
      <c r="BV869" s="24"/>
      <c r="BW869" s="24"/>
      <c r="BX869" s="16"/>
      <c r="BY869" s="27"/>
      <c r="BZ869" s="24"/>
      <c r="CA869" s="24"/>
      <c r="CB869" s="16"/>
      <c r="CC869" s="49">
        <f t="shared" si="353"/>
        <v>0</v>
      </c>
      <c r="CD869" s="24"/>
      <c r="CE869" s="49">
        <f t="shared" si="361"/>
        <v>8072014548</v>
      </c>
      <c r="CF869" s="50">
        <v>0</v>
      </c>
      <c r="CG869" s="49">
        <f t="shared" ca="1" si="343"/>
        <v>4031091308.989038</v>
      </c>
      <c r="CH869" s="33">
        <f t="shared" ca="1" si="357"/>
        <v>0.49382716049382713</v>
      </c>
      <c r="CI869" s="33">
        <f t="shared" ca="1" si="358"/>
        <v>0.49382716049382713</v>
      </c>
      <c r="CJ869" s="36">
        <f t="shared" ca="1" si="347"/>
        <v>49.939098660170529</v>
      </c>
      <c r="CK869" s="34">
        <f t="shared" si="348"/>
        <v>0</v>
      </c>
      <c r="CL869" s="21"/>
      <c r="CM869" s="35" t="str">
        <f t="shared" ca="1" si="354"/>
        <v>VIGENTE</v>
      </c>
      <c r="CN869" s="82"/>
      <c r="CO869" s="145"/>
      <c r="CP869" s="26"/>
      <c r="CQ869" s="83"/>
      <c r="CR869" s="83"/>
    </row>
    <row r="870" spans="1:96" s="85" customFormat="1" ht="24.75" customHeight="1">
      <c r="A870" s="48" t="s">
        <v>4632</v>
      </c>
      <c r="B870" s="77" t="s">
        <v>6846</v>
      </c>
      <c r="C870" s="17" t="s">
        <v>104</v>
      </c>
      <c r="D870" s="18" t="s">
        <v>6847</v>
      </c>
      <c r="E870" s="17" t="s">
        <v>106</v>
      </c>
      <c r="F870" s="17" t="s">
        <v>107</v>
      </c>
      <c r="G870" s="17" t="s">
        <v>108</v>
      </c>
      <c r="H870" s="78">
        <v>80076184</v>
      </c>
      <c r="I870" s="74" t="s">
        <v>6848</v>
      </c>
      <c r="J870" s="16"/>
      <c r="K870" s="16"/>
      <c r="L870" s="96" t="s">
        <v>6849</v>
      </c>
      <c r="M870" s="16" t="s">
        <v>111</v>
      </c>
      <c r="N870" s="22">
        <v>45541</v>
      </c>
      <c r="O870" s="22">
        <v>45544</v>
      </c>
      <c r="P870" s="22">
        <v>45657</v>
      </c>
      <c r="Q870" s="23">
        <f t="shared" si="362"/>
        <v>113</v>
      </c>
      <c r="R870" s="17" t="s">
        <v>112</v>
      </c>
      <c r="S870" s="16" t="s">
        <v>6850</v>
      </c>
      <c r="T870" s="16" t="s">
        <v>6748</v>
      </c>
      <c r="U870" s="67">
        <v>47691435</v>
      </c>
      <c r="V870" s="16" t="s">
        <v>1318</v>
      </c>
      <c r="W870" s="224">
        <v>38153148</v>
      </c>
      <c r="X870" s="24">
        <v>9538287</v>
      </c>
      <c r="Y870" s="24"/>
      <c r="Z870" s="24"/>
      <c r="AA870" s="17" t="s">
        <v>116</v>
      </c>
      <c r="AB870" s="23" t="str">
        <f>IFERROR(VLOOKUP(AA870,Listas!$A$1:$C$14,2,FALSE),"")</f>
        <v>FREDY CÉSPEDES VILLA</v>
      </c>
      <c r="AC870" s="23">
        <f>IFERROR(VLOOKUP(AA870,Listas!$A$1:$C$14,3,FALSE),"")</f>
        <v>93363483</v>
      </c>
      <c r="AD870" s="17" t="s">
        <v>116</v>
      </c>
      <c r="AE870" s="17" t="s">
        <v>659</v>
      </c>
      <c r="AF870" s="23" t="str">
        <f>IFERROR(VLOOKUP(AE870,Listas!$AD$1:$AF$65,2,FALSE),"")</f>
        <v>TATIANA FORERO TORRES</v>
      </c>
      <c r="AG870" s="23">
        <f>IFERROR(VLOOKUP(AE870,Listas!$AD$1:$AF$65,3,FALSE),"")</f>
        <v>1072446921</v>
      </c>
      <c r="AH870" s="17" t="s">
        <v>118</v>
      </c>
      <c r="AI870" s="65" t="s">
        <v>6851</v>
      </c>
      <c r="AJ870" s="25" t="s">
        <v>4370</v>
      </c>
      <c r="AK870" s="26" t="s">
        <v>120</v>
      </c>
      <c r="AL870" s="26" t="s">
        <v>120</v>
      </c>
      <c r="AM870" s="90" t="s">
        <v>119</v>
      </c>
      <c r="AN870" s="105">
        <v>31371</v>
      </c>
      <c r="AO870" s="91">
        <f t="shared" ref="AO870:AO901" ca="1" si="364">IF(YEAR(TODAY())-YEAR(AN870)&gt;100," ",YEAR(TODAY())-YEAR(AN870))</f>
        <v>40</v>
      </c>
      <c r="AP870" s="26" t="s">
        <v>121</v>
      </c>
      <c r="AQ870" s="26" t="s">
        <v>285</v>
      </c>
      <c r="AR870" s="89"/>
      <c r="AS870" s="27"/>
      <c r="AT870" s="16"/>
      <c r="AU870" s="27"/>
      <c r="AV870" s="86"/>
      <c r="AW870" s="27"/>
      <c r="AX870" s="27"/>
      <c r="AY870" s="27"/>
      <c r="AZ870" s="27"/>
      <c r="BA870" s="27"/>
      <c r="BB870" s="27"/>
      <c r="BC870" s="97"/>
      <c r="BD870" s="27"/>
      <c r="BE870" s="16"/>
      <c r="BF870" s="28">
        <f t="shared" si="350"/>
        <v>0</v>
      </c>
      <c r="BG870" s="29"/>
      <c r="BH870" s="27"/>
      <c r="BI870" s="30">
        <f t="shared" si="351"/>
        <v>113</v>
      </c>
      <c r="BJ870" s="31">
        <f t="shared" si="352"/>
        <v>45657</v>
      </c>
      <c r="BK870" s="27"/>
      <c r="BL870" s="16"/>
      <c r="BM870" s="27"/>
      <c r="BN870" s="16"/>
      <c r="BO870" s="27"/>
      <c r="BP870" s="16"/>
      <c r="BQ870" s="27"/>
      <c r="BR870" s="24"/>
      <c r="BS870" s="24"/>
      <c r="BT870" s="32"/>
      <c r="BU870" s="27"/>
      <c r="BV870" s="24"/>
      <c r="BW870" s="24"/>
      <c r="BX870" s="16"/>
      <c r="BY870" s="27"/>
      <c r="BZ870" s="24"/>
      <c r="CA870" s="24"/>
      <c r="CB870" s="16"/>
      <c r="CC870" s="49">
        <f t="shared" si="353"/>
        <v>0</v>
      </c>
      <c r="CD870" s="24"/>
      <c r="CE870" s="49">
        <f t="shared" si="361"/>
        <v>38153148</v>
      </c>
      <c r="CF870" s="50"/>
      <c r="CG870" s="49">
        <f t="shared" ca="1" si="343"/>
        <v>38153148</v>
      </c>
      <c r="CH870" s="33">
        <f t="shared" ca="1" si="357"/>
        <v>1</v>
      </c>
      <c r="CI870" s="33">
        <f t="shared" ca="1" si="358"/>
        <v>1</v>
      </c>
      <c r="CJ870" s="36">
        <f t="shared" ca="1" si="347"/>
        <v>100</v>
      </c>
      <c r="CK870" s="34">
        <f t="shared" si="348"/>
        <v>0</v>
      </c>
      <c r="CL870" s="21"/>
      <c r="CM870" s="35" t="str">
        <f t="shared" ca="1" si="354"/>
        <v>TERMINADO</v>
      </c>
      <c r="CN870" s="82"/>
      <c r="CO870" s="145" t="s">
        <v>6852</v>
      </c>
      <c r="CP870" s="26" t="s">
        <v>142</v>
      </c>
      <c r="CQ870" s="83"/>
      <c r="CR870" s="83"/>
    </row>
    <row r="871" spans="1:96" ht="24.75" customHeight="1">
      <c r="A871" s="48" t="s">
        <v>6853</v>
      </c>
      <c r="B871" s="77" t="s">
        <v>6854</v>
      </c>
      <c r="C871" s="17" t="s">
        <v>104</v>
      </c>
      <c r="D871" s="18" t="s">
        <v>6855</v>
      </c>
      <c r="E871" s="17" t="s">
        <v>106</v>
      </c>
      <c r="F871" s="17" t="s">
        <v>107</v>
      </c>
      <c r="G871" s="17" t="s">
        <v>108</v>
      </c>
      <c r="H871" s="78">
        <v>22523276</v>
      </c>
      <c r="I871" s="74" t="s">
        <v>6856</v>
      </c>
      <c r="J871" s="16"/>
      <c r="K871" s="16"/>
      <c r="L871" s="20" t="s">
        <v>1866</v>
      </c>
      <c r="M871" s="16" t="s">
        <v>111</v>
      </c>
      <c r="N871" s="22">
        <v>45541</v>
      </c>
      <c r="O871" s="22">
        <v>45545</v>
      </c>
      <c r="P871" s="22">
        <v>45657</v>
      </c>
      <c r="Q871" s="23">
        <f t="shared" si="362"/>
        <v>112</v>
      </c>
      <c r="R871" s="17" t="s">
        <v>242</v>
      </c>
      <c r="S871" s="16" t="s">
        <v>6857</v>
      </c>
      <c r="T871" s="16" t="s">
        <v>1145</v>
      </c>
      <c r="U871" s="67">
        <v>24526000</v>
      </c>
      <c r="V871" s="16" t="s">
        <v>426</v>
      </c>
      <c r="W871" s="67">
        <v>24526000</v>
      </c>
      <c r="X871" s="24">
        <v>6131500</v>
      </c>
      <c r="Y871" s="24"/>
      <c r="Z871" s="24"/>
      <c r="AA871" s="17" t="s">
        <v>116</v>
      </c>
      <c r="AB871" s="23" t="str">
        <f>IFERROR(VLOOKUP(AA871,Listas!$A$1:$C$14,2,FALSE),"")</f>
        <v>FREDY CÉSPEDES VILLA</v>
      </c>
      <c r="AC871" s="23">
        <f>IFERROR(VLOOKUP(AA871,Listas!$A$1:$C$14,3,FALSE),"")</f>
        <v>93363483</v>
      </c>
      <c r="AD871" s="17" t="s">
        <v>427</v>
      </c>
      <c r="AE871" s="17" t="s">
        <v>2198</v>
      </c>
      <c r="AF871" s="23" t="str">
        <f>IFERROR(VLOOKUP(AE871,Listas!$AD$1:$AF$65,2,FALSE),"")</f>
        <v>ELIANA ROCÍO OCHOA BLANCO</v>
      </c>
      <c r="AG871" s="23">
        <f>IFERROR(VLOOKUP(AE871,Listas!$AD$1:$AF$65,3,FALSE),"")</f>
        <v>1018418424</v>
      </c>
      <c r="AH871" s="17" t="s">
        <v>118</v>
      </c>
      <c r="AI871" s="65" t="s">
        <v>6858</v>
      </c>
      <c r="AJ871" s="25" t="s">
        <v>4370</v>
      </c>
      <c r="AK871" s="26" t="s">
        <v>120</v>
      </c>
      <c r="AL871" s="26" t="s">
        <v>120</v>
      </c>
      <c r="AM871" s="90" t="s">
        <v>119</v>
      </c>
      <c r="AN871" s="105">
        <v>29375</v>
      </c>
      <c r="AO871" s="91">
        <f t="shared" ca="1" si="364"/>
        <v>45</v>
      </c>
      <c r="AP871" s="26" t="s">
        <v>121</v>
      </c>
      <c r="AQ871" s="26" t="s">
        <v>1272</v>
      </c>
      <c r="AR871" s="89">
        <v>45597</v>
      </c>
      <c r="AS871" s="27" t="s">
        <v>6859</v>
      </c>
      <c r="AT871" s="16">
        <v>53016538</v>
      </c>
      <c r="AU871" s="20" t="s">
        <v>1866</v>
      </c>
      <c r="AV871" s="86">
        <v>12671767</v>
      </c>
      <c r="AW871" s="27"/>
      <c r="AX871" s="27"/>
      <c r="AY871" s="27"/>
      <c r="AZ871" s="27"/>
      <c r="BA871" s="27"/>
      <c r="BB871" s="27"/>
      <c r="BC871" s="97"/>
      <c r="BD871" s="27"/>
      <c r="BE871" s="16"/>
      <c r="BF871" s="28">
        <f t="shared" si="350"/>
        <v>0</v>
      </c>
      <c r="BG871" s="29"/>
      <c r="BH871" s="27"/>
      <c r="BI871" s="30">
        <f t="shared" si="351"/>
        <v>112</v>
      </c>
      <c r="BJ871" s="31">
        <f t="shared" si="352"/>
        <v>45657</v>
      </c>
      <c r="BK871" s="27"/>
      <c r="BL871" s="16"/>
      <c r="BM871" s="27"/>
      <c r="BN871" s="16"/>
      <c r="BO871" s="27"/>
      <c r="BP871" s="16"/>
      <c r="BQ871" s="27"/>
      <c r="BR871" s="24"/>
      <c r="BS871" s="24"/>
      <c r="BT871" s="32"/>
      <c r="BU871" s="27"/>
      <c r="BV871" s="24"/>
      <c r="BW871" s="24"/>
      <c r="BX871" s="16"/>
      <c r="BY871" s="27"/>
      <c r="BZ871" s="24"/>
      <c r="CA871" s="24"/>
      <c r="CB871" s="16"/>
      <c r="CC871" s="49">
        <f t="shared" si="353"/>
        <v>0</v>
      </c>
      <c r="CD871" s="24"/>
      <c r="CE871" s="49">
        <f t="shared" si="361"/>
        <v>24526000</v>
      </c>
      <c r="CF871" s="50"/>
      <c r="CG871" s="49">
        <f t="shared" ca="1" si="343"/>
        <v>24526000</v>
      </c>
      <c r="CH871" s="33">
        <f t="shared" ca="1" si="357"/>
        <v>1</v>
      </c>
      <c r="CI871" s="33">
        <f t="shared" ca="1" si="358"/>
        <v>1</v>
      </c>
      <c r="CJ871" s="36">
        <f t="shared" ca="1" si="347"/>
        <v>100</v>
      </c>
      <c r="CK871" s="34">
        <f t="shared" si="348"/>
        <v>0</v>
      </c>
      <c r="CL871" s="21"/>
      <c r="CM871" s="35" t="str">
        <f t="shared" ca="1" si="354"/>
        <v>TERMINADO</v>
      </c>
      <c r="CN871" s="82"/>
      <c r="CP871" s="26" t="s">
        <v>123</v>
      </c>
    </row>
    <row r="872" spans="1:96" ht="24.75" customHeight="1">
      <c r="A872" s="48" t="s">
        <v>6860</v>
      </c>
      <c r="B872" s="77" t="s">
        <v>6861</v>
      </c>
      <c r="C872" s="17" t="s">
        <v>104</v>
      </c>
      <c r="D872" s="18" t="s">
        <v>6862</v>
      </c>
      <c r="E872" s="17" t="s">
        <v>106</v>
      </c>
      <c r="F872" s="17" t="s">
        <v>107</v>
      </c>
      <c r="G872" s="17" t="s">
        <v>108</v>
      </c>
      <c r="H872" s="78">
        <v>53120689</v>
      </c>
      <c r="I872" s="74" t="s">
        <v>6863</v>
      </c>
      <c r="J872" s="16"/>
      <c r="K872" s="16"/>
      <c r="L872" s="96" t="s">
        <v>6864</v>
      </c>
      <c r="M872" s="16" t="s">
        <v>111</v>
      </c>
      <c r="N872" s="22">
        <v>45541</v>
      </c>
      <c r="O872" s="22">
        <v>45546</v>
      </c>
      <c r="P872" s="22">
        <v>45657</v>
      </c>
      <c r="Q872" s="23">
        <f t="shared" si="362"/>
        <v>111</v>
      </c>
      <c r="R872" s="17" t="s">
        <v>242</v>
      </c>
      <c r="S872" s="16" t="s">
        <v>6865</v>
      </c>
      <c r="T872" s="16" t="s">
        <v>1460</v>
      </c>
      <c r="U872" s="67">
        <v>56111417</v>
      </c>
      <c r="V872" s="16" t="s">
        <v>606</v>
      </c>
      <c r="W872" s="67">
        <v>32372000</v>
      </c>
      <c r="X872" s="24">
        <v>8093000</v>
      </c>
      <c r="Y872" s="24"/>
      <c r="Z872" s="24"/>
      <c r="AA872" s="17" t="s">
        <v>116</v>
      </c>
      <c r="AB872" s="23" t="str">
        <f>IFERROR(VLOOKUP(AA872,Listas!$A$1:$C$14,2,FALSE),"")</f>
        <v>FREDY CÉSPEDES VILLA</v>
      </c>
      <c r="AC872" s="23">
        <f>IFERROR(VLOOKUP(AA872,Listas!$A$1:$C$14,3,FALSE),"")</f>
        <v>93363483</v>
      </c>
      <c r="AD872" s="17" t="s">
        <v>607</v>
      </c>
      <c r="AE872" s="17" t="s">
        <v>608</v>
      </c>
      <c r="AF872" s="23" t="str">
        <f>IFERROR(VLOOKUP(AE872,Listas!$AD$1:$AF$65,2,FALSE),"")</f>
        <v>WILLIAM BARRETO MENDEZ</v>
      </c>
      <c r="AG872" s="23">
        <f>IFERROR(VLOOKUP(AE872,Listas!$AD$1:$AF$65,3,FALSE),"")</f>
        <v>79321982</v>
      </c>
      <c r="AH872" s="17" t="s">
        <v>118</v>
      </c>
      <c r="AI872" s="65" t="s">
        <v>6866</v>
      </c>
      <c r="AJ872" s="25" t="s">
        <v>4370</v>
      </c>
      <c r="AK872" s="26" t="s">
        <v>120</v>
      </c>
      <c r="AL872" s="26" t="s">
        <v>120</v>
      </c>
      <c r="AM872" s="90" t="s">
        <v>119</v>
      </c>
      <c r="AN872" s="105">
        <v>30852</v>
      </c>
      <c r="AO872" s="91">
        <f t="shared" ca="1" si="364"/>
        <v>41</v>
      </c>
      <c r="AP872" s="26" t="s">
        <v>121</v>
      </c>
      <c r="AQ872" s="26" t="s">
        <v>285</v>
      </c>
      <c r="AR872" s="89"/>
      <c r="AS872" s="27"/>
      <c r="AT872" s="16"/>
      <c r="AU872" s="27"/>
      <c r="AV872" s="86"/>
      <c r="AW872" s="27"/>
      <c r="AX872" s="27"/>
      <c r="AY872" s="27"/>
      <c r="AZ872" s="27"/>
      <c r="BA872" s="27"/>
      <c r="BB872" s="27"/>
      <c r="BC872" s="97"/>
      <c r="BD872" s="27"/>
      <c r="BE872" s="16"/>
      <c r="BF872" s="28">
        <f t="shared" si="350"/>
        <v>0</v>
      </c>
      <c r="BG872" s="29"/>
      <c r="BH872" s="27"/>
      <c r="BI872" s="30">
        <f t="shared" si="351"/>
        <v>111</v>
      </c>
      <c r="BJ872" s="31">
        <f t="shared" si="352"/>
        <v>45657</v>
      </c>
      <c r="BK872" s="27"/>
      <c r="BL872" s="16"/>
      <c r="BM872" s="27"/>
      <c r="BN872" s="16"/>
      <c r="BO872" s="27"/>
      <c r="BP872" s="16"/>
      <c r="BQ872" s="27"/>
      <c r="BR872" s="24"/>
      <c r="BS872" s="24"/>
      <c r="BT872" s="32"/>
      <c r="BU872" s="27"/>
      <c r="BV872" s="24"/>
      <c r="BW872" s="24"/>
      <c r="BX872" s="16"/>
      <c r="BY872" s="27"/>
      <c r="BZ872" s="24"/>
      <c r="CA872" s="24"/>
      <c r="CB872" s="16"/>
      <c r="CC872" s="49">
        <f t="shared" si="353"/>
        <v>0</v>
      </c>
      <c r="CD872" s="24"/>
      <c r="CE872" s="49">
        <f t="shared" si="361"/>
        <v>32372000</v>
      </c>
      <c r="CF872" s="50"/>
      <c r="CG872" s="49">
        <f t="shared" ca="1" si="343"/>
        <v>32372000</v>
      </c>
      <c r="CH872" s="33">
        <f t="shared" ca="1" si="357"/>
        <v>1</v>
      </c>
      <c r="CI872" s="33">
        <f t="shared" ca="1" si="358"/>
        <v>1</v>
      </c>
      <c r="CJ872" s="36">
        <f t="shared" ca="1" si="347"/>
        <v>100</v>
      </c>
      <c r="CK872" s="34">
        <f t="shared" si="348"/>
        <v>0</v>
      </c>
      <c r="CL872" s="21"/>
      <c r="CM872" s="35" t="str">
        <f t="shared" ca="1" si="354"/>
        <v>TERMINADO</v>
      </c>
      <c r="CN872" s="82"/>
      <c r="CO872" s="145" t="s">
        <v>6867</v>
      </c>
      <c r="CP872" s="26" t="s">
        <v>123</v>
      </c>
    </row>
    <row r="873" spans="1:96" ht="24.75" customHeight="1">
      <c r="A873" s="48" t="s">
        <v>6868</v>
      </c>
      <c r="B873" s="77" t="s">
        <v>6869</v>
      </c>
      <c r="C873" s="17" t="s">
        <v>104</v>
      </c>
      <c r="D873" s="18" t="s">
        <v>6870</v>
      </c>
      <c r="E873" s="17" t="s">
        <v>106</v>
      </c>
      <c r="F873" s="17" t="s">
        <v>107</v>
      </c>
      <c r="G873" s="17" t="s">
        <v>108</v>
      </c>
      <c r="H873" s="78">
        <v>52765483</v>
      </c>
      <c r="I873" s="74" t="s">
        <v>6871</v>
      </c>
      <c r="J873" s="16"/>
      <c r="K873" s="16"/>
      <c r="L873" s="96" t="s">
        <v>6872</v>
      </c>
      <c r="M873" s="16" t="s">
        <v>111</v>
      </c>
      <c r="N873" s="22">
        <v>45541</v>
      </c>
      <c r="O873" s="22">
        <v>45545</v>
      </c>
      <c r="P873" s="22">
        <v>45657</v>
      </c>
      <c r="Q873" s="23">
        <f t="shared" si="362"/>
        <v>112</v>
      </c>
      <c r="R873" s="17" t="s">
        <v>242</v>
      </c>
      <c r="S873" s="110" t="s">
        <v>6873</v>
      </c>
      <c r="T873" s="16" t="s">
        <v>1145</v>
      </c>
      <c r="U873" s="67">
        <v>28400000</v>
      </c>
      <c r="V873" s="16" t="s">
        <v>426</v>
      </c>
      <c r="W873" s="67">
        <v>28400000</v>
      </c>
      <c r="X873" s="24">
        <v>6131500</v>
      </c>
      <c r="Y873" s="24"/>
      <c r="Z873" s="24"/>
      <c r="AA873" s="17" t="s">
        <v>116</v>
      </c>
      <c r="AB873" s="23" t="str">
        <f>IFERROR(VLOOKUP(AA873,Listas!$A$1:$C$14,2,FALSE),"")</f>
        <v>FREDY CÉSPEDES VILLA</v>
      </c>
      <c r="AC873" s="23">
        <f>IFERROR(VLOOKUP(AA873,Listas!$A$1:$C$14,3,FALSE),"")</f>
        <v>93363483</v>
      </c>
      <c r="AD873" s="17" t="s">
        <v>427</v>
      </c>
      <c r="AE873" s="17" t="s">
        <v>428</v>
      </c>
      <c r="AF873" s="23" t="str">
        <f>IFERROR(VLOOKUP(AE873,Listas!$AD$1:$AF$65,2,FALSE),"")</f>
        <v>DINORAH PATRICIA ABADIA MURILLO</v>
      </c>
      <c r="AG873" s="23">
        <f>IFERROR(VLOOKUP(AE873,Listas!$AD$1:$AF$65,3,FALSE),"")</f>
        <v>52220857</v>
      </c>
      <c r="AH873" s="17" t="s">
        <v>118</v>
      </c>
      <c r="AI873" s="65" t="s">
        <v>2819</v>
      </c>
      <c r="AJ873" s="25" t="s">
        <v>4370</v>
      </c>
      <c r="AK873" s="26" t="s">
        <v>120</v>
      </c>
      <c r="AL873" s="26" t="s">
        <v>120</v>
      </c>
      <c r="AM873" s="90" t="s">
        <v>119</v>
      </c>
      <c r="AN873" s="105">
        <v>29132</v>
      </c>
      <c r="AO873" s="91">
        <f t="shared" ca="1" si="364"/>
        <v>46</v>
      </c>
      <c r="AP873" s="26" t="s">
        <v>121</v>
      </c>
      <c r="AQ873" s="26" t="s">
        <v>515</v>
      </c>
      <c r="AR873" s="89"/>
      <c r="AS873" s="27"/>
      <c r="AT873" s="16"/>
      <c r="AU873" s="27"/>
      <c r="AV873" s="86"/>
      <c r="AW873" s="27"/>
      <c r="AX873" s="27"/>
      <c r="AY873" s="27"/>
      <c r="AZ873" s="27"/>
      <c r="BA873" s="27"/>
      <c r="BB873" s="27"/>
      <c r="BC873" s="97"/>
      <c r="BD873" s="27"/>
      <c r="BE873" s="16"/>
      <c r="BF873" s="28">
        <f t="shared" si="350"/>
        <v>0</v>
      </c>
      <c r="BG873" s="29"/>
      <c r="BH873" s="27"/>
      <c r="BI873" s="30">
        <f t="shared" si="351"/>
        <v>112</v>
      </c>
      <c r="BJ873" s="31">
        <f t="shared" si="352"/>
        <v>45657</v>
      </c>
      <c r="BK873" s="27"/>
      <c r="BL873" s="16"/>
      <c r="BM873" s="27"/>
      <c r="BN873" s="16"/>
      <c r="BO873" s="27"/>
      <c r="BP873" s="16"/>
      <c r="BQ873" s="27"/>
      <c r="BR873" s="24"/>
      <c r="BS873" s="24"/>
      <c r="BT873" s="32"/>
      <c r="BU873" s="27"/>
      <c r="BV873" s="24"/>
      <c r="BW873" s="24"/>
      <c r="BX873" s="16"/>
      <c r="BY873" s="27"/>
      <c r="BZ873" s="24"/>
      <c r="CA873" s="24"/>
      <c r="CB873" s="16"/>
      <c r="CC873" s="49">
        <f t="shared" si="353"/>
        <v>0</v>
      </c>
      <c r="CD873" s="24"/>
      <c r="CE873" s="49">
        <f t="shared" si="361"/>
        <v>28400000</v>
      </c>
      <c r="CF873" s="50"/>
      <c r="CG873" s="49">
        <f t="shared" ca="1" si="343"/>
        <v>28400000</v>
      </c>
      <c r="CH873" s="33">
        <f t="shared" ca="1" si="357"/>
        <v>1</v>
      </c>
      <c r="CI873" s="33">
        <f t="shared" ca="1" si="358"/>
        <v>1</v>
      </c>
      <c r="CJ873" s="36">
        <f t="shared" ca="1" si="347"/>
        <v>100</v>
      </c>
      <c r="CK873" s="34">
        <f t="shared" si="348"/>
        <v>0</v>
      </c>
      <c r="CL873" s="21"/>
      <c r="CM873" s="35" t="str">
        <f t="shared" ca="1" si="354"/>
        <v>TERMINADO</v>
      </c>
      <c r="CN873" s="82"/>
      <c r="CP873" s="26" t="s">
        <v>123</v>
      </c>
    </row>
    <row r="874" spans="1:96" ht="24.75" customHeight="1">
      <c r="A874" s="48" t="s">
        <v>6874</v>
      </c>
      <c r="B874" s="77" t="s">
        <v>6875</v>
      </c>
      <c r="C874" s="17" t="s">
        <v>104</v>
      </c>
      <c r="D874" s="18" t="s">
        <v>6876</v>
      </c>
      <c r="E874" s="17" t="s">
        <v>106</v>
      </c>
      <c r="F874" s="17" t="s">
        <v>107</v>
      </c>
      <c r="G874" s="17" t="s">
        <v>108</v>
      </c>
      <c r="H874" s="78">
        <v>79523107</v>
      </c>
      <c r="I874" s="74" t="s">
        <v>6877</v>
      </c>
      <c r="J874" s="16"/>
      <c r="K874" s="16"/>
      <c r="L874" s="96" t="s">
        <v>6878</v>
      </c>
      <c r="M874" s="16" t="s">
        <v>111</v>
      </c>
      <c r="N874" s="22">
        <v>45541</v>
      </c>
      <c r="O874" s="22">
        <v>45547</v>
      </c>
      <c r="P874" s="22">
        <v>45656</v>
      </c>
      <c r="Q874" s="23">
        <f t="shared" si="362"/>
        <v>109</v>
      </c>
      <c r="R874" s="17" t="s">
        <v>242</v>
      </c>
      <c r="S874" s="16" t="s">
        <v>6879</v>
      </c>
      <c r="T874" s="16" t="s">
        <v>343</v>
      </c>
      <c r="U874" s="67">
        <v>23054000</v>
      </c>
      <c r="V874" s="16" t="s">
        <v>6209</v>
      </c>
      <c r="W874" s="67">
        <v>23054000</v>
      </c>
      <c r="X874" s="24">
        <v>5763500</v>
      </c>
      <c r="Y874" s="24"/>
      <c r="Z874" s="24"/>
      <c r="AA874" s="17" t="s">
        <v>116</v>
      </c>
      <c r="AB874" s="23" t="str">
        <f>IFERROR(VLOOKUP(AA874,Listas!$A$1:$C$14,2,FALSE),"")</f>
        <v>FREDY CÉSPEDES VILLA</v>
      </c>
      <c r="AC874" s="23">
        <f>IFERROR(VLOOKUP(AA874,Listas!$A$1:$C$14,3,FALSE),"")</f>
        <v>93363483</v>
      </c>
      <c r="AD874" s="17" t="s">
        <v>345</v>
      </c>
      <c r="AE874" s="17" t="s">
        <v>921</v>
      </c>
      <c r="AF874" s="23" t="str">
        <f>IFERROR(VLOOKUP(AE874,Listas!$AD$1:$AF$65,2,FALSE),"")</f>
        <v>LUZ MARINA CARREÑO</v>
      </c>
      <c r="AG874" s="23">
        <f>IFERROR(VLOOKUP(AE874,Listas!$AD$1:$AF$65,3,FALSE),"")</f>
        <v>63392036</v>
      </c>
      <c r="AH874" s="17" t="s">
        <v>118</v>
      </c>
      <c r="AI874" s="65" t="s">
        <v>6880</v>
      </c>
      <c r="AJ874" s="25" t="s">
        <v>4370</v>
      </c>
      <c r="AK874" s="26" t="s">
        <v>120</v>
      </c>
      <c r="AL874" s="26" t="s">
        <v>120</v>
      </c>
      <c r="AM874" s="90" t="s">
        <v>119</v>
      </c>
      <c r="AN874" s="105">
        <v>25926</v>
      </c>
      <c r="AO874" s="91">
        <f t="shared" ca="1" si="364"/>
        <v>55</v>
      </c>
      <c r="AP874" s="26" t="s">
        <v>121</v>
      </c>
      <c r="AQ874" s="26" t="s">
        <v>285</v>
      </c>
      <c r="AR874" s="89"/>
      <c r="AS874" s="27"/>
      <c r="AT874" s="16"/>
      <c r="AU874" s="27"/>
      <c r="AV874" s="86"/>
      <c r="AW874" s="27"/>
      <c r="AX874" s="27"/>
      <c r="AY874" s="27"/>
      <c r="AZ874" s="27"/>
      <c r="BA874" s="27"/>
      <c r="BB874" s="27"/>
      <c r="BC874" s="97"/>
      <c r="BD874" s="27"/>
      <c r="BE874" s="16"/>
      <c r="BF874" s="28">
        <f t="shared" si="350"/>
        <v>0</v>
      </c>
      <c r="BG874" s="29"/>
      <c r="BH874" s="27"/>
      <c r="BI874" s="30">
        <f t="shared" si="351"/>
        <v>109</v>
      </c>
      <c r="BJ874" s="31">
        <f t="shared" si="352"/>
        <v>45656</v>
      </c>
      <c r="BK874" s="27"/>
      <c r="BL874" s="16"/>
      <c r="BM874" s="27"/>
      <c r="BN874" s="16"/>
      <c r="BO874" s="27"/>
      <c r="BP874" s="16"/>
      <c r="BQ874" s="27"/>
      <c r="BR874" s="24"/>
      <c r="BS874" s="24"/>
      <c r="BT874" s="32"/>
      <c r="BU874" s="27"/>
      <c r="BV874" s="24"/>
      <c r="BW874" s="24"/>
      <c r="BX874" s="16"/>
      <c r="BY874" s="27"/>
      <c r="BZ874" s="24"/>
      <c r="CA874" s="24"/>
      <c r="CB874" s="16"/>
      <c r="CC874" s="49">
        <f t="shared" si="353"/>
        <v>0</v>
      </c>
      <c r="CD874" s="24"/>
      <c r="CE874" s="49">
        <f t="shared" si="361"/>
        <v>23054000</v>
      </c>
      <c r="CF874" s="50"/>
      <c r="CG874" s="49">
        <f t="shared" ca="1" si="343"/>
        <v>23054000</v>
      </c>
      <c r="CH874" s="33">
        <f t="shared" ca="1" si="357"/>
        <v>1</v>
      </c>
      <c r="CI874" s="33">
        <f t="shared" ca="1" si="358"/>
        <v>1</v>
      </c>
      <c r="CJ874" s="36">
        <f t="shared" ca="1" si="347"/>
        <v>100</v>
      </c>
      <c r="CK874" s="34">
        <f t="shared" si="348"/>
        <v>0</v>
      </c>
      <c r="CL874" s="21"/>
      <c r="CM874" s="35" t="str">
        <f t="shared" ca="1" si="354"/>
        <v>TERMINADO</v>
      </c>
      <c r="CN874" s="82"/>
      <c r="CO874" s="149" t="s">
        <v>6881</v>
      </c>
      <c r="CP874" s="26" t="s">
        <v>142</v>
      </c>
    </row>
    <row r="875" spans="1:96" ht="24.75" customHeight="1">
      <c r="A875" s="48" t="s">
        <v>6882</v>
      </c>
      <c r="B875" s="77" t="s">
        <v>6883</v>
      </c>
      <c r="C875" s="17" t="s">
        <v>104</v>
      </c>
      <c r="D875" s="18" t="s">
        <v>6884</v>
      </c>
      <c r="E875" s="17" t="s">
        <v>106</v>
      </c>
      <c r="F875" s="17" t="s">
        <v>107</v>
      </c>
      <c r="G875" s="17" t="s">
        <v>108</v>
      </c>
      <c r="H875" s="78">
        <v>12645895</v>
      </c>
      <c r="I875" s="74" t="s">
        <v>6885</v>
      </c>
      <c r="J875" s="16"/>
      <c r="K875" s="16"/>
      <c r="L875" s="96" t="s">
        <v>6886</v>
      </c>
      <c r="M875" s="16" t="s">
        <v>111</v>
      </c>
      <c r="N875" s="22">
        <v>45541</v>
      </c>
      <c r="O875" s="22">
        <v>45547</v>
      </c>
      <c r="P875" s="22">
        <v>45656</v>
      </c>
      <c r="Q875" s="23">
        <f t="shared" si="362"/>
        <v>109</v>
      </c>
      <c r="R875" s="17" t="s">
        <v>112</v>
      </c>
      <c r="S875" s="16" t="s">
        <v>6887</v>
      </c>
      <c r="T875" s="16" t="s">
        <v>6888</v>
      </c>
      <c r="U875" s="67">
        <v>28448000</v>
      </c>
      <c r="V875" s="16" t="s">
        <v>6889</v>
      </c>
      <c r="W875" s="67">
        <v>28448000</v>
      </c>
      <c r="X875" s="24">
        <v>7112000</v>
      </c>
      <c r="Y875" s="24"/>
      <c r="Z875" s="24"/>
      <c r="AA875" s="17" t="s">
        <v>116</v>
      </c>
      <c r="AB875" s="23" t="str">
        <f>IFERROR(VLOOKUP(AA875,Listas!$A$1:$C$14,2,FALSE),"")</f>
        <v>FREDY CÉSPEDES VILLA</v>
      </c>
      <c r="AC875" s="23">
        <f>IFERROR(VLOOKUP(AA875,Listas!$A$1:$C$14,3,FALSE),"")</f>
        <v>93363483</v>
      </c>
      <c r="AD875" s="17" t="s">
        <v>345</v>
      </c>
      <c r="AE875" s="17" t="s">
        <v>921</v>
      </c>
      <c r="AF875" s="23" t="str">
        <f>IFERROR(VLOOKUP(AE875,Listas!$AD$1:$AF$65,2,FALSE),"")</f>
        <v>LUZ MARINA CARREÑO</v>
      </c>
      <c r="AG875" s="23">
        <f>IFERROR(VLOOKUP(AE875,Listas!$AD$1:$AF$65,3,FALSE),"")</f>
        <v>63392036</v>
      </c>
      <c r="AH875" s="17" t="s">
        <v>118</v>
      </c>
      <c r="AI875" s="65" t="s">
        <v>6890</v>
      </c>
      <c r="AJ875" s="25" t="s">
        <v>4370</v>
      </c>
      <c r="AK875" s="26" t="s">
        <v>120</v>
      </c>
      <c r="AL875" s="26" t="s">
        <v>120</v>
      </c>
      <c r="AM875" s="90" t="s">
        <v>119</v>
      </c>
      <c r="AN875" s="105">
        <v>29334</v>
      </c>
      <c r="AO875" s="91">
        <f t="shared" ca="1" si="364"/>
        <v>45</v>
      </c>
      <c r="AP875" s="26" t="s">
        <v>121</v>
      </c>
      <c r="AQ875" s="26" t="s">
        <v>1641</v>
      </c>
      <c r="AR875" s="89"/>
      <c r="AS875" s="27"/>
      <c r="AT875" s="16"/>
      <c r="AU875" s="27"/>
      <c r="AV875" s="86"/>
      <c r="AW875" s="27"/>
      <c r="AX875" s="27"/>
      <c r="AY875" s="27"/>
      <c r="AZ875" s="27"/>
      <c r="BA875" s="27"/>
      <c r="BB875" s="27"/>
      <c r="BC875" s="97"/>
      <c r="BD875" s="27"/>
      <c r="BE875" s="16"/>
      <c r="BF875" s="28">
        <f t="shared" si="350"/>
        <v>0</v>
      </c>
      <c r="BG875" s="29"/>
      <c r="BH875" s="27"/>
      <c r="BI875" s="30">
        <f t="shared" si="351"/>
        <v>109</v>
      </c>
      <c r="BJ875" s="31">
        <f t="shared" si="352"/>
        <v>45656</v>
      </c>
      <c r="BK875" s="27"/>
      <c r="BL875" s="16"/>
      <c r="BM875" s="27"/>
      <c r="BN875" s="16"/>
      <c r="BO875" s="27"/>
      <c r="BP875" s="16"/>
      <c r="BQ875" s="27"/>
      <c r="BR875" s="24"/>
      <c r="BS875" s="24"/>
      <c r="BT875" s="32"/>
      <c r="BU875" s="27"/>
      <c r="BV875" s="24"/>
      <c r="BW875" s="24"/>
      <c r="BX875" s="16"/>
      <c r="BY875" s="27"/>
      <c r="BZ875" s="24"/>
      <c r="CA875" s="24"/>
      <c r="CB875" s="16"/>
      <c r="CC875" s="49">
        <f t="shared" si="353"/>
        <v>0</v>
      </c>
      <c r="CD875" s="24"/>
      <c r="CE875" s="49">
        <f t="shared" si="361"/>
        <v>28448000</v>
      </c>
      <c r="CF875" s="50"/>
      <c r="CG875" s="49">
        <f t="shared" ca="1" si="343"/>
        <v>28448000</v>
      </c>
      <c r="CH875" s="33">
        <f t="shared" ca="1" si="357"/>
        <v>1</v>
      </c>
      <c r="CI875" s="33">
        <f t="shared" ca="1" si="358"/>
        <v>1</v>
      </c>
      <c r="CJ875" s="36">
        <f t="shared" ca="1" si="347"/>
        <v>100</v>
      </c>
      <c r="CK875" s="34">
        <f t="shared" si="348"/>
        <v>0</v>
      </c>
      <c r="CL875" s="21"/>
      <c r="CM875" s="35" t="str">
        <f t="shared" ref="CM875:CM906" ca="1" si="365">IF(CL875&gt;1/1/6,"LIQUIDADO",IF(BJ875=$BE$20003,"",IF(BJ875&gt;=TODAY(),"VIGENTE",IF(BJ875&lt;TODAY(),"TERMINADO",))))</f>
        <v>TERMINADO</v>
      </c>
      <c r="CN875" s="82"/>
      <c r="CO875" s="149" t="s">
        <v>6891</v>
      </c>
      <c r="CP875" s="26" t="s">
        <v>142</v>
      </c>
    </row>
    <row r="876" spans="1:96" ht="24.75" customHeight="1">
      <c r="A876" s="48" t="s">
        <v>6892</v>
      </c>
      <c r="B876" s="77" t="s">
        <v>6893</v>
      </c>
      <c r="C876" s="17" t="s">
        <v>104</v>
      </c>
      <c r="D876" s="18" t="s">
        <v>6894</v>
      </c>
      <c r="E876" s="17" t="s">
        <v>106</v>
      </c>
      <c r="F876" s="17" t="s">
        <v>107</v>
      </c>
      <c r="G876" s="17" t="s">
        <v>108</v>
      </c>
      <c r="H876" s="78">
        <v>1032388582</v>
      </c>
      <c r="I876" s="107" t="s">
        <v>6895</v>
      </c>
      <c r="J876" s="16"/>
      <c r="K876" s="16"/>
      <c r="L876" s="96" t="s">
        <v>2172</v>
      </c>
      <c r="M876" s="16" t="s">
        <v>111</v>
      </c>
      <c r="N876" s="22">
        <v>45541</v>
      </c>
      <c r="O876" s="22">
        <v>45546</v>
      </c>
      <c r="P876" s="22">
        <v>45657</v>
      </c>
      <c r="Q876" s="23">
        <f t="shared" si="362"/>
        <v>111</v>
      </c>
      <c r="R876" s="17" t="s">
        <v>242</v>
      </c>
      <c r="S876" s="16" t="s">
        <v>6896</v>
      </c>
      <c r="T876" s="16" t="s">
        <v>6897</v>
      </c>
      <c r="U876" s="67">
        <v>20230040</v>
      </c>
      <c r="V876" s="16" t="s">
        <v>4264</v>
      </c>
      <c r="W876" s="67">
        <v>20230040</v>
      </c>
      <c r="X876" s="24">
        <v>4046700</v>
      </c>
      <c r="Y876" s="24"/>
      <c r="Z876" s="24"/>
      <c r="AA876" s="17" t="s">
        <v>116</v>
      </c>
      <c r="AB876" s="23" t="str">
        <f>IFERROR(VLOOKUP(AA876,Listas!$A$1:$C$14,2,FALSE),"")</f>
        <v>FREDY CÉSPEDES VILLA</v>
      </c>
      <c r="AC876" s="23">
        <f>IFERROR(VLOOKUP(AA876,Listas!$A$1:$C$14,3,FALSE),"")</f>
        <v>93363483</v>
      </c>
      <c r="AD876" s="17" t="s">
        <v>116</v>
      </c>
      <c r="AE876" s="17" t="s">
        <v>940</v>
      </c>
      <c r="AF876" s="23" t="str">
        <f>IFERROR(VLOOKUP(AE876,Listas!$AD$1:$AF$65,2,FALSE),"")</f>
        <v>GERARDO ALONSO RODRÍGUEZ PINEDA</v>
      </c>
      <c r="AG876" s="23">
        <f>IFERROR(VLOOKUP(AE876,Listas!$AD$1:$AF$65,3,FALSE),"")</f>
        <v>79466595</v>
      </c>
      <c r="AH876" s="17" t="s">
        <v>118</v>
      </c>
      <c r="AI876" s="65" t="s">
        <v>6898</v>
      </c>
      <c r="AJ876" s="25" t="s">
        <v>4370</v>
      </c>
      <c r="AK876" s="26" t="s">
        <v>120</v>
      </c>
      <c r="AL876" s="26" t="s">
        <v>120</v>
      </c>
      <c r="AM876" s="90" t="s">
        <v>119</v>
      </c>
      <c r="AN876" s="105">
        <v>31896</v>
      </c>
      <c r="AO876" s="91">
        <f t="shared" ca="1" si="364"/>
        <v>38</v>
      </c>
      <c r="AP876" s="26" t="s">
        <v>121</v>
      </c>
      <c r="AQ876" s="26" t="s">
        <v>285</v>
      </c>
      <c r="AR876" s="89"/>
      <c r="AS876" s="27"/>
      <c r="AT876" s="16"/>
      <c r="AU876" s="27"/>
      <c r="AV876" s="86"/>
      <c r="AW876" s="27"/>
      <c r="AX876" s="27"/>
      <c r="AY876" s="27"/>
      <c r="AZ876" s="27"/>
      <c r="BA876" s="27"/>
      <c r="BB876" s="27"/>
      <c r="BC876" s="97"/>
      <c r="BD876" s="27"/>
      <c r="BE876" s="16"/>
      <c r="BF876" s="28">
        <f t="shared" si="350"/>
        <v>0</v>
      </c>
      <c r="BG876" s="29"/>
      <c r="BH876" s="27"/>
      <c r="BI876" s="30">
        <f t="shared" si="351"/>
        <v>111</v>
      </c>
      <c r="BJ876" s="31">
        <f t="shared" si="352"/>
        <v>45657</v>
      </c>
      <c r="BK876" s="27"/>
      <c r="BL876" s="16"/>
      <c r="BM876" s="27"/>
      <c r="BN876" s="16"/>
      <c r="BO876" s="27"/>
      <c r="BP876" s="16"/>
      <c r="BQ876" s="27"/>
      <c r="BR876" s="24"/>
      <c r="BS876" s="24"/>
      <c r="BT876" s="32"/>
      <c r="BU876" s="27"/>
      <c r="BV876" s="24"/>
      <c r="BW876" s="24"/>
      <c r="BX876" s="16"/>
      <c r="BY876" s="27"/>
      <c r="BZ876" s="24"/>
      <c r="CA876" s="24"/>
      <c r="CB876" s="16"/>
      <c r="CC876" s="49">
        <f t="shared" si="353"/>
        <v>0</v>
      </c>
      <c r="CD876" s="24"/>
      <c r="CE876" s="49">
        <f t="shared" si="361"/>
        <v>20230040</v>
      </c>
      <c r="CF876" s="50"/>
      <c r="CG876" s="49">
        <f t="shared" ref="CG876:CG940" ca="1" si="366">IFERROR(IF(((CE876/BI876)*(TODAY()-N876))&gt;CE876,CE876,((CE876/BI876)*(TODAY()-N876))),"")</f>
        <v>20230040</v>
      </c>
      <c r="CH876" s="33">
        <f t="shared" ca="1" si="357"/>
        <v>1</v>
      </c>
      <c r="CI876" s="33">
        <f t="shared" ca="1" si="358"/>
        <v>1</v>
      </c>
      <c r="CJ876" s="36">
        <f t="shared" ca="1" si="347"/>
        <v>100</v>
      </c>
      <c r="CK876" s="34">
        <f t="shared" si="348"/>
        <v>0</v>
      </c>
      <c r="CL876" s="21"/>
      <c r="CM876" s="35" t="str">
        <f t="shared" ca="1" si="365"/>
        <v>TERMINADO</v>
      </c>
      <c r="CN876" s="82"/>
      <c r="CP876" s="26" t="s">
        <v>142</v>
      </c>
    </row>
    <row r="877" spans="1:96" ht="24.75" customHeight="1">
      <c r="A877" s="48" t="s">
        <v>6899</v>
      </c>
      <c r="B877" s="77" t="s">
        <v>6900</v>
      </c>
      <c r="C877" s="17" t="s">
        <v>104</v>
      </c>
      <c r="D877" s="18" t="s">
        <v>6901</v>
      </c>
      <c r="E877" s="17" t="s">
        <v>106</v>
      </c>
      <c r="F877" s="17" t="s">
        <v>1426</v>
      </c>
      <c r="G877" s="17" t="s">
        <v>1427</v>
      </c>
      <c r="H877" s="78" t="s">
        <v>6902</v>
      </c>
      <c r="I877" s="107" t="s">
        <v>6903</v>
      </c>
      <c r="J877" s="16"/>
      <c r="K877" s="16"/>
      <c r="L877" s="20" t="s">
        <v>6904</v>
      </c>
      <c r="M877" s="16" t="s">
        <v>111</v>
      </c>
      <c r="N877" s="22">
        <v>45541</v>
      </c>
      <c r="O877" s="22">
        <v>45544</v>
      </c>
      <c r="P877" s="22">
        <v>45657</v>
      </c>
      <c r="Q877" s="23">
        <f t="shared" si="362"/>
        <v>113</v>
      </c>
      <c r="R877" s="17" t="s">
        <v>242</v>
      </c>
      <c r="S877" s="16" t="s">
        <v>6905</v>
      </c>
      <c r="T877" s="16" t="s">
        <v>6906</v>
      </c>
      <c r="U877" s="67">
        <v>30940000</v>
      </c>
      <c r="V877" s="16" t="s">
        <v>3947</v>
      </c>
      <c r="W877" s="67">
        <v>30940000</v>
      </c>
      <c r="X877" s="24">
        <v>7735000</v>
      </c>
      <c r="Y877" s="24"/>
      <c r="Z877" s="24"/>
      <c r="AA877" s="17" t="s">
        <v>116</v>
      </c>
      <c r="AB877" s="23" t="str">
        <f>IFERROR(VLOOKUP(AA877,Listas!$A$1:$C$14,2,FALSE),"")</f>
        <v>FREDY CÉSPEDES VILLA</v>
      </c>
      <c r="AC877" s="23">
        <f>IFERROR(VLOOKUP(AA877,Listas!$A$1:$C$14,3,FALSE),"")</f>
        <v>93363483</v>
      </c>
      <c r="AD877" s="17" t="s">
        <v>116</v>
      </c>
      <c r="AE877" s="17" t="s">
        <v>2309</v>
      </c>
      <c r="AF877" s="23" t="str">
        <f>IFERROR(VLOOKUP(AE877,Listas!$AD$1:$AF$65,2,FALSE),"")</f>
        <v>YURY NAYIBE LADINO</v>
      </c>
      <c r="AG877" s="23">
        <f>IFERROR(VLOOKUP(AE877,Listas!$AD$1:$AF$65,3,FALSE),"")</f>
        <v>1013587191</v>
      </c>
      <c r="AH877" s="17" t="s">
        <v>118</v>
      </c>
      <c r="AI877" s="65" t="s">
        <v>6907</v>
      </c>
      <c r="AJ877" s="25" t="s">
        <v>1435</v>
      </c>
      <c r="AK877" s="26" t="s">
        <v>2071</v>
      </c>
      <c r="AL877" s="26" t="s">
        <v>2071</v>
      </c>
      <c r="AM877" s="90" t="s">
        <v>1435</v>
      </c>
      <c r="AN877" s="105"/>
      <c r="AO877" s="91" t="str">
        <f t="shared" ca="1" si="364"/>
        <v xml:space="preserve"> </v>
      </c>
      <c r="AP877" s="26" t="s">
        <v>121</v>
      </c>
      <c r="AQ877" s="26" t="s">
        <v>285</v>
      </c>
      <c r="AR877" s="89"/>
      <c r="AS877" s="27"/>
      <c r="AT877" s="16"/>
      <c r="AU877" s="27"/>
      <c r="AV877" s="86"/>
      <c r="AW877" s="27"/>
      <c r="AX877" s="27"/>
      <c r="AY877" s="27"/>
      <c r="AZ877" s="27"/>
      <c r="BA877" s="27"/>
      <c r="BB877" s="27"/>
      <c r="BC877" s="97"/>
      <c r="BD877" s="27"/>
      <c r="BE877" s="16"/>
      <c r="BF877" s="28">
        <f t="shared" si="350"/>
        <v>0</v>
      </c>
      <c r="BG877" s="29"/>
      <c r="BH877" s="27"/>
      <c r="BI877" s="30">
        <f t="shared" si="351"/>
        <v>113</v>
      </c>
      <c r="BJ877" s="31">
        <f t="shared" si="352"/>
        <v>45657</v>
      </c>
      <c r="BK877" s="27"/>
      <c r="BL877" s="16"/>
      <c r="BM877" s="27"/>
      <c r="BN877" s="16"/>
      <c r="BO877" s="27"/>
      <c r="BP877" s="16"/>
      <c r="BQ877" s="27"/>
      <c r="BR877" s="24"/>
      <c r="BS877" s="24"/>
      <c r="BT877" s="32"/>
      <c r="BU877" s="27"/>
      <c r="BV877" s="24"/>
      <c r="BW877" s="24"/>
      <c r="BX877" s="16"/>
      <c r="BY877" s="27"/>
      <c r="BZ877" s="24"/>
      <c r="CA877" s="24"/>
      <c r="CB877" s="16"/>
      <c r="CC877" s="49">
        <f t="shared" si="353"/>
        <v>0</v>
      </c>
      <c r="CD877" s="24"/>
      <c r="CE877" s="49">
        <f t="shared" si="361"/>
        <v>30940000</v>
      </c>
      <c r="CF877" s="50"/>
      <c r="CG877" s="49">
        <f t="shared" ca="1" si="366"/>
        <v>30940000</v>
      </c>
      <c r="CH877" s="33">
        <f t="shared" ca="1" si="357"/>
        <v>1</v>
      </c>
      <c r="CI877" s="33">
        <f t="shared" ca="1" si="358"/>
        <v>1</v>
      </c>
      <c r="CJ877" s="36">
        <f t="shared" ca="1" si="347"/>
        <v>100</v>
      </c>
      <c r="CK877" s="34">
        <f t="shared" si="348"/>
        <v>0</v>
      </c>
      <c r="CL877" s="21"/>
      <c r="CM877" s="35" t="str">
        <f t="shared" ca="1" si="365"/>
        <v>TERMINADO</v>
      </c>
      <c r="CN877" s="82"/>
      <c r="CO877" s="145" t="s">
        <v>6908</v>
      </c>
      <c r="CP877" s="26"/>
    </row>
    <row r="878" spans="1:96" s="85" customFormat="1" ht="24.75" customHeight="1">
      <c r="A878" s="48" t="s">
        <v>6909</v>
      </c>
      <c r="B878" s="77" t="s">
        <v>6910</v>
      </c>
      <c r="C878" s="17" t="s">
        <v>104</v>
      </c>
      <c r="D878" s="18" t="s">
        <v>6911</v>
      </c>
      <c r="E878" s="17" t="s">
        <v>106</v>
      </c>
      <c r="F878" s="17" t="s">
        <v>107</v>
      </c>
      <c r="G878" s="17" t="s">
        <v>108</v>
      </c>
      <c r="H878" s="78">
        <v>1018414039</v>
      </c>
      <c r="I878" s="74" t="s">
        <v>2323</v>
      </c>
      <c r="J878" s="16"/>
      <c r="K878" s="16"/>
      <c r="L878" s="96" t="s">
        <v>6912</v>
      </c>
      <c r="M878" s="16" t="s">
        <v>111</v>
      </c>
      <c r="N878" s="22">
        <v>45541</v>
      </c>
      <c r="O878" s="22">
        <v>45541</v>
      </c>
      <c r="P878" s="22">
        <v>45657</v>
      </c>
      <c r="Q878" s="23">
        <f t="shared" si="362"/>
        <v>116</v>
      </c>
      <c r="R878" s="17" t="s">
        <v>242</v>
      </c>
      <c r="S878" s="16" t="s">
        <v>6913</v>
      </c>
      <c r="T878" s="16" t="s">
        <v>1145</v>
      </c>
      <c r="U878" s="67">
        <v>32372000</v>
      </c>
      <c r="V878" s="16" t="s">
        <v>426</v>
      </c>
      <c r="W878" s="67">
        <v>32372000</v>
      </c>
      <c r="X878" s="24">
        <v>8093000</v>
      </c>
      <c r="Y878" s="24"/>
      <c r="Z878" s="24"/>
      <c r="AA878" s="17" t="s">
        <v>116</v>
      </c>
      <c r="AB878" s="23" t="str">
        <f>IFERROR(VLOOKUP(AA878,Listas!$A$1:$C$14,2,FALSE),"")</f>
        <v>FREDY CÉSPEDES VILLA</v>
      </c>
      <c r="AC878" s="23">
        <f>IFERROR(VLOOKUP(AA878,Listas!$A$1:$C$14,3,FALSE),"")</f>
        <v>93363483</v>
      </c>
      <c r="AD878" s="17" t="s">
        <v>427</v>
      </c>
      <c r="AE878" s="17" t="s">
        <v>2561</v>
      </c>
      <c r="AF878" s="23" t="str">
        <f>IFERROR(VLOOKUP(AE878,Listas!$AD$1:$AF$65,2,FALSE),"")</f>
        <v>MARÍA TERESA COMBARIZA MARTÍN</v>
      </c>
      <c r="AG878" s="23">
        <f>IFERROR(VLOOKUP(AE878,Listas!$AD$1:$AF$65,3,FALSE),"")</f>
        <v>51803256</v>
      </c>
      <c r="AH878" s="17" t="s">
        <v>118</v>
      </c>
      <c r="AI878" s="65" t="s">
        <v>6914</v>
      </c>
      <c r="AJ878" s="25" t="s">
        <v>4370</v>
      </c>
      <c r="AK878" s="26" t="s">
        <v>120</v>
      </c>
      <c r="AL878" s="26" t="s">
        <v>120</v>
      </c>
      <c r="AM878" s="90" t="s">
        <v>119</v>
      </c>
      <c r="AN878" s="105">
        <v>32039</v>
      </c>
      <c r="AO878" s="91">
        <f t="shared" ca="1" si="364"/>
        <v>38</v>
      </c>
      <c r="AP878" s="26" t="s">
        <v>121</v>
      </c>
      <c r="AQ878" s="26" t="s">
        <v>1272</v>
      </c>
      <c r="AR878" s="89"/>
      <c r="AS878" s="27"/>
      <c r="AT878" s="16"/>
      <c r="AU878" s="27"/>
      <c r="AV878" s="86"/>
      <c r="AW878" s="27"/>
      <c r="AX878" s="27"/>
      <c r="AY878" s="27"/>
      <c r="AZ878" s="27"/>
      <c r="BA878" s="27"/>
      <c r="BB878" s="27"/>
      <c r="BC878" s="97"/>
      <c r="BD878" s="27"/>
      <c r="BE878" s="16"/>
      <c r="BF878" s="28">
        <f t="shared" si="350"/>
        <v>0</v>
      </c>
      <c r="BG878" s="29"/>
      <c r="BH878" s="27"/>
      <c r="BI878" s="30">
        <f t="shared" si="351"/>
        <v>116</v>
      </c>
      <c r="BJ878" s="31">
        <f t="shared" si="352"/>
        <v>45657</v>
      </c>
      <c r="BK878" s="27"/>
      <c r="BL878" s="16"/>
      <c r="BM878" s="27"/>
      <c r="BN878" s="16"/>
      <c r="BO878" s="27"/>
      <c r="BP878" s="16"/>
      <c r="BQ878" s="27"/>
      <c r="BR878" s="24"/>
      <c r="BS878" s="24"/>
      <c r="BT878" s="32"/>
      <c r="BU878" s="27"/>
      <c r="BV878" s="24"/>
      <c r="BW878" s="24"/>
      <c r="BX878" s="16"/>
      <c r="BY878" s="27"/>
      <c r="BZ878" s="24"/>
      <c r="CA878" s="24"/>
      <c r="CB878" s="16"/>
      <c r="CC878" s="49">
        <f t="shared" si="353"/>
        <v>0</v>
      </c>
      <c r="CD878" s="24"/>
      <c r="CE878" s="49">
        <f t="shared" si="361"/>
        <v>32372000</v>
      </c>
      <c r="CF878" s="50"/>
      <c r="CG878" s="49">
        <f t="shared" ca="1" si="366"/>
        <v>32372000</v>
      </c>
      <c r="CH878" s="33">
        <f t="shared" ca="1" si="357"/>
        <v>1</v>
      </c>
      <c r="CI878" s="33">
        <f t="shared" ca="1" si="358"/>
        <v>1</v>
      </c>
      <c r="CJ878" s="36">
        <f t="shared" ca="1" si="347"/>
        <v>100</v>
      </c>
      <c r="CK878" s="34">
        <f t="shared" si="348"/>
        <v>0</v>
      </c>
      <c r="CL878" s="21"/>
      <c r="CM878" s="35" t="str">
        <f t="shared" ca="1" si="365"/>
        <v>TERMINADO</v>
      </c>
      <c r="CN878" s="82"/>
      <c r="CO878" s="145" t="s">
        <v>6915</v>
      </c>
      <c r="CP878" s="26" t="s">
        <v>123</v>
      </c>
      <c r="CQ878" s="83"/>
      <c r="CR878" s="83"/>
    </row>
    <row r="879" spans="1:96" ht="24.75" customHeight="1">
      <c r="A879" s="48" t="s">
        <v>6916</v>
      </c>
      <c r="B879" s="77" t="s">
        <v>6917</v>
      </c>
      <c r="C879" s="17" t="s">
        <v>104</v>
      </c>
      <c r="D879" s="18" t="s">
        <v>6918</v>
      </c>
      <c r="E879" s="17" t="s">
        <v>106</v>
      </c>
      <c r="F879" s="17" t="s">
        <v>107</v>
      </c>
      <c r="G879" s="17" t="s">
        <v>108</v>
      </c>
      <c r="H879" s="78">
        <v>1032501807</v>
      </c>
      <c r="I879" s="74" t="s">
        <v>6919</v>
      </c>
      <c r="J879" s="16"/>
      <c r="K879" s="16"/>
      <c r="L879" s="96" t="s">
        <v>1866</v>
      </c>
      <c r="M879" s="16" t="s">
        <v>111</v>
      </c>
      <c r="N879" s="22">
        <v>45544</v>
      </c>
      <c r="O879" s="22">
        <v>45547</v>
      </c>
      <c r="P879" s="22">
        <v>45657</v>
      </c>
      <c r="Q879" s="23">
        <f t="shared" si="362"/>
        <v>110</v>
      </c>
      <c r="R879" s="17" t="s">
        <v>242</v>
      </c>
      <c r="S879" s="16" t="s">
        <v>6920</v>
      </c>
      <c r="T879" s="16" t="s">
        <v>1145</v>
      </c>
      <c r="U879" s="67">
        <v>24526000</v>
      </c>
      <c r="V879" s="16" t="s">
        <v>426</v>
      </c>
      <c r="W879" s="67">
        <v>24526000</v>
      </c>
      <c r="X879" s="24">
        <v>6131500</v>
      </c>
      <c r="Y879" s="24"/>
      <c r="Z879" s="24"/>
      <c r="AA879" s="17" t="s">
        <v>116</v>
      </c>
      <c r="AB879" s="23" t="str">
        <f>IFERROR(VLOOKUP(AA879,Listas!$A$1:$C$14,2,FALSE),"")</f>
        <v>FREDY CÉSPEDES VILLA</v>
      </c>
      <c r="AC879" s="23">
        <f>IFERROR(VLOOKUP(AA879,Listas!$A$1:$C$14,3,FALSE),"")</f>
        <v>93363483</v>
      </c>
      <c r="AD879" s="17" t="s">
        <v>427</v>
      </c>
      <c r="AE879" s="17" t="s">
        <v>2198</v>
      </c>
      <c r="AF879" s="23" t="str">
        <f>IFERROR(VLOOKUP(AE879,Listas!$AD$1:$AF$65,2,FALSE),"")</f>
        <v>ELIANA ROCÍO OCHOA BLANCO</v>
      </c>
      <c r="AG879" s="23">
        <f>IFERROR(VLOOKUP(AE879,Listas!$AD$1:$AF$65,3,FALSE),"")</f>
        <v>1018418424</v>
      </c>
      <c r="AH879" s="17" t="s">
        <v>118</v>
      </c>
      <c r="AI879" s="65" t="s">
        <v>2819</v>
      </c>
      <c r="AJ879" s="25" t="s">
        <v>4370</v>
      </c>
      <c r="AK879" s="26" t="s">
        <v>120</v>
      </c>
      <c r="AL879" s="26" t="s">
        <v>120</v>
      </c>
      <c r="AM879" s="90" t="s">
        <v>119</v>
      </c>
      <c r="AN879" s="105"/>
      <c r="AO879" s="91" t="str">
        <f t="shared" ca="1" si="364"/>
        <v xml:space="preserve"> </v>
      </c>
      <c r="AP879" s="26" t="s">
        <v>121</v>
      </c>
      <c r="AQ879" s="26" t="s">
        <v>515</v>
      </c>
      <c r="AR879" s="89"/>
      <c r="AS879" s="27"/>
      <c r="AT879" s="16"/>
      <c r="AU879" s="27"/>
      <c r="AV879" s="86"/>
      <c r="AW879" s="27"/>
      <c r="AX879" s="27"/>
      <c r="AY879" s="27"/>
      <c r="AZ879" s="27"/>
      <c r="BA879" s="27"/>
      <c r="BB879" s="27"/>
      <c r="BC879" s="97"/>
      <c r="BD879" s="27"/>
      <c r="BE879" s="16"/>
      <c r="BF879" s="28">
        <f t="shared" si="350"/>
        <v>0</v>
      </c>
      <c r="BG879" s="29"/>
      <c r="BH879" s="27"/>
      <c r="BI879" s="30">
        <f t="shared" si="351"/>
        <v>110</v>
      </c>
      <c r="BJ879" s="31">
        <f t="shared" si="352"/>
        <v>45657</v>
      </c>
      <c r="BK879" s="27"/>
      <c r="BL879" s="16"/>
      <c r="BM879" s="27"/>
      <c r="BN879" s="16"/>
      <c r="BO879" s="27"/>
      <c r="BP879" s="16"/>
      <c r="BQ879" s="27"/>
      <c r="BR879" s="24"/>
      <c r="BS879" s="24"/>
      <c r="BT879" s="32"/>
      <c r="BU879" s="27"/>
      <c r="BV879" s="24"/>
      <c r="BW879" s="24"/>
      <c r="BX879" s="16"/>
      <c r="BY879" s="27"/>
      <c r="BZ879" s="24"/>
      <c r="CA879" s="24"/>
      <c r="CB879" s="16"/>
      <c r="CC879" s="49">
        <f t="shared" si="353"/>
        <v>0</v>
      </c>
      <c r="CD879" s="24"/>
      <c r="CE879" s="49">
        <f t="shared" si="361"/>
        <v>24526000</v>
      </c>
      <c r="CF879" s="50"/>
      <c r="CG879" s="49">
        <f t="shared" ca="1" si="366"/>
        <v>24526000</v>
      </c>
      <c r="CH879" s="33">
        <f t="shared" ca="1" si="357"/>
        <v>1</v>
      </c>
      <c r="CI879" s="33">
        <f t="shared" ca="1" si="358"/>
        <v>1</v>
      </c>
      <c r="CJ879" s="36">
        <f t="shared" ca="1" si="347"/>
        <v>100</v>
      </c>
      <c r="CK879" s="34">
        <f t="shared" si="348"/>
        <v>0</v>
      </c>
      <c r="CL879" s="21"/>
      <c r="CM879" s="35" t="str">
        <f t="shared" ca="1" si="365"/>
        <v>TERMINADO</v>
      </c>
      <c r="CN879" s="82"/>
      <c r="CP879" s="26" t="s">
        <v>142</v>
      </c>
    </row>
    <row r="880" spans="1:96" ht="24.75" customHeight="1">
      <c r="A880" s="48" t="s">
        <v>6921</v>
      </c>
      <c r="B880" s="77" t="s">
        <v>6922</v>
      </c>
      <c r="C880" s="17" t="s">
        <v>104</v>
      </c>
      <c r="D880" s="18" t="s">
        <v>6923</v>
      </c>
      <c r="E880" s="17" t="s">
        <v>106</v>
      </c>
      <c r="F880" s="17" t="s">
        <v>107</v>
      </c>
      <c r="G880" s="17" t="s">
        <v>108</v>
      </c>
      <c r="H880" s="78">
        <v>40443175</v>
      </c>
      <c r="I880" s="240" t="s">
        <v>6924</v>
      </c>
      <c r="J880" s="16"/>
      <c r="K880" s="16"/>
      <c r="L880" s="96" t="s">
        <v>6925</v>
      </c>
      <c r="M880" s="16" t="s">
        <v>111</v>
      </c>
      <c r="N880" s="22">
        <v>45544</v>
      </c>
      <c r="O880" s="22">
        <v>45547</v>
      </c>
      <c r="P880" s="22">
        <v>45657</v>
      </c>
      <c r="Q880" s="23">
        <f t="shared" si="362"/>
        <v>110</v>
      </c>
      <c r="R880" s="17" t="s">
        <v>112</v>
      </c>
      <c r="S880" s="16" t="s">
        <v>6926</v>
      </c>
      <c r="T880" s="16" t="s">
        <v>6888</v>
      </c>
      <c r="U880" s="67">
        <v>28448000</v>
      </c>
      <c r="V880" s="16" t="s">
        <v>6889</v>
      </c>
      <c r="W880" s="67">
        <v>28448000</v>
      </c>
      <c r="X880" s="24">
        <v>7112000</v>
      </c>
      <c r="Y880" s="24"/>
      <c r="Z880" s="24"/>
      <c r="AA880" s="17" t="s">
        <v>116</v>
      </c>
      <c r="AB880" s="23" t="str">
        <f>IFERROR(VLOOKUP(AA880,Listas!$A$1:$C$14,2,FALSE),"")</f>
        <v>FREDY CÉSPEDES VILLA</v>
      </c>
      <c r="AC880" s="23">
        <f>IFERROR(VLOOKUP(AA880,Listas!$A$1:$C$14,3,FALSE),"")</f>
        <v>93363483</v>
      </c>
      <c r="AD880" s="17" t="s">
        <v>345</v>
      </c>
      <c r="AE880" s="17" t="s">
        <v>921</v>
      </c>
      <c r="AF880" s="23" t="str">
        <f>IFERROR(VLOOKUP(AE880,Listas!$AD$1:$AF$65,2,FALSE),"")</f>
        <v>LUZ MARINA CARREÑO</v>
      </c>
      <c r="AG880" s="23">
        <f>IFERROR(VLOOKUP(AE880,Listas!$AD$1:$AF$65,3,FALSE),"")</f>
        <v>63392036</v>
      </c>
      <c r="AH880" s="17" t="s">
        <v>118</v>
      </c>
      <c r="AI880" s="65" t="s">
        <v>6927</v>
      </c>
      <c r="AJ880" s="25" t="s">
        <v>4370</v>
      </c>
      <c r="AK880" s="26" t="s">
        <v>120</v>
      </c>
      <c r="AL880" s="26" t="s">
        <v>120</v>
      </c>
      <c r="AM880" s="90" t="s">
        <v>119</v>
      </c>
      <c r="AN880" s="105">
        <v>28367</v>
      </c>
      <c r="AO880" s="91">
        <f t="shared" ca="1" si="364"/>
        <v>48</v>
      </c>
      <c r="AP880" s="26" t="s">
        <v>121</v>
      </c>
      <c r="AQ880" s="26" t="s">
        <v>285</v>
      </c>
      <c r="AR880" s="89"/>
      <c r="AS880" s="27"/>
      <c r="AT880" s="16"/>
      <c r="AU880" s="27"/>
      <c r="AV880" s="86"/>
      <c r="AW880" s="27"/>
      <c r="AX880" s="27"/>
      <c r="AY880" s="27"/>
      <c r="AZ880" s="27"/>
      <c r="BA880" s="27"/>
      <c r="BB880" s="27"/>
      <c r="BC880" s="97"/>
      <c r="BD880" s="27"/>
      <c r="BE880" s="16"/>
      <c r="BF880" s="28">
        <f t="shared" si="350"/>
        <v>0</v>
      </c>
      <c r="BG880" s="29"/>
      <c r="BH880" s="27"/>
      <c r="BI880" s="30">
        <f t="shared" si="351"/>
        <v>110</v>
      </c>
      <c r="BJ880" s="31">
        <f t="shared" si="352"/>
        <v>45657</v>
      </c>
      <c r="BK880" s="27"/>
      <c r="BL880" s="16"/>
      <c r="BM880" s="27"/>
      <c r="BN880" s="16"/>
      <c r="BO880" s="27"/>
      <c r="BP880" s="16"/>
      <c r="BQ880" s="27"/>
      <c r="BR880" s="24"/>
      <c r="BS880" s="24"/>
      <c r="BT880" s="32"/>
      <c r="BU880" s="27"/>
      <c r="BV880" s="24"/>
      <c r="BW880" s="24"/>
      <c r="BX880" s="16"/>
      <c r="BY880" s="27"/>
      <c r="BZ880" s="24"/>
      <c r="CA880" s="24"/>
      <c r="CB880" s="16"/>
      <c r="CC880" s="49">
        <f t="shared" si="353"/>
        <v>0</v>
      </c>
      <c r="CD880" s="24"/>
      <c r="CE880" s="49">
        <f t="shared" si="361"/>
        <v>28448000</v>
      </c>
      <c r="CF880" s="50"/>
      <c r="CG880" s="49">
        <f t="shared" ca="1" si="366"/>
        <v>28448000</v>
      </c>
      <c r="CH880" s="33">
        <f t="shared" ca="1" si="357"/>
        <v>1</v>
      </c>
      <c r="CI880" s="33">
        <f t="shared" ca="1" si="358"/>
        <v>1</v>
      </c>
      <c r="CJ880" s="36">
        <f t="shared" ca="1" si="347"/>
        <v>100</v>
      </c>
      <c r="CK880" s="34">
        <f t="shared" si="348"/>
        <v>0</v>
      </c>
      <c r="CL880" s="21"/>
      <c r="CM880" s="35" t="str">
        <f t="shared" ca="1" si="365"/>
        <v>TERMINADO</v>
      </c>
      <c r="CN880" s="82"/>
      <c r="CO880" s="149" t="s">
        <v>6928</v>
      </c>
      <c r="CP880" s="26" t="s">
        <v>123</v>
      </c>
    </row>
    <row r="881" spans="1:97" s="85" customFormat="1" ht="24.75" customHeight="1">
      <c r="A881" s="48">
        <v>4185</v>
      </c>
      <c r="B881" s="77" t="s">
        <v>6929</v>
      </c>
      <c r="C881" s="17" t="s">
        <v>104</v>
      </c>
      <c r="D881" s="18" t="s">
        <v>6930</v>
      </c>
      <c r="E881" s="17" t="s">
        <v>106</v>
      </c>
      <c r="F881" s="17" t="s">
        <v>107</v>
      </c>
      <c r="G881" s="17" t="s">
        <v>108</v>
      </c>
      <c r="H881" s="78">
        <v>80075095</v>
      </c>
      <c r="I881" s="74" t="s">
        <v>6931</v>
      </c>
      <c r="J881" s="16"/>
      <c r="K881" s="16"/>
      <c r="L881" s="96" t="s">
        <v>6932</v>
      </c>
      <c r="M881" s="16" t="s">
        <v>111</v>
      </c>
      <c r="N881" s="22">
        <v>45545</v>
      </c>
      <c r="O881" s="22">
        <v>45552</v>
      </c>
      <c r="P881" s="22">
        <v>45657</v>
      </c>
      <c r="Q881" s="23">
        <f t="shared" si="362"/>
        <v>105</v>
      </c>
      <c r="R881" s="17" t="s">
        <v>242</v>
      </c>
      <c r="S881" s="16" t="s">
        <v>6933</v>
      </c>
      <c r="T881" s="16" t="s">
        <v>1345</v>
      </c>
      <c r="U881" s="67">
        <v>21132133</v>
      </c>
      <c r="V881" s="16" t="s">
        <v>6934</v>
      </c>
      <c r="W881" s="67">
        <v>21132133</v>
      </c>
      <c r="X881" s="24">
        <v>5763500</v>
      </c>
      <c r="Y881" s="24"/>
      <c r="Z881" s="24"/>
      <c r="AA881" s="17" t="s">
        <v>116</v>
      </c>
      <c r="AB881" s="23" t="str">
        <f>IFERROR(VLOOKUP(AA881,Listas!$A$1:$C$14,2,FALSE),"")</f>
        <v>FREDY CÉSPEDES VILLA</v>
      </c>
      <c r="AC881" s="23">
        <f>IFERROR(VLOOKUP(AA881,Listas!$A$1:$C$14,3,FALSE),"")</f>
        <v>93363483</v>
      </c>
      <c r="AD881" s="17" t="s">
        <v>345</v>
      </c>
      <c r="AE881" s="17" t="s">
        <v>921</v>
      </c>
      <c r="AF881" s="23" t="str">
        <f>IFERROR(VLOOKUP(AE881,Listas!$AD$1:$AF$65,2,FALSE),"")</f>
        <v>LUZ MARINA CARREÑO</v>
      </c>
      <c r="AG881" s="23">
        <f>IFERROR(VLOOKUP(AE881,Listas!$AD$1:$AF$65,3,FALSE),"")</f>
        <v>63392036</v>
      </c>
      <c r="AH881" s="17" t="s">
        <v>118</v>
      </c>
      <c r="AI881" s="65" t="s">
        <v>6935</v>
      </c>
      <c r="AJ881" s="25" t="s">
        <v>4370</v>
      </c>
      <c r="AK881" s="26" t="s">
        <v>120</v>
      </c>
      <c r="AL881" s="26" t="s">
        <v>120</v>
      </c>
      <c r="AM881" s="90" t="s">
        <v>119</v>
      </c>
      <c r="AN881" s="105">
        <v>31229</v>
      </c>
      <c r="AO881" s="91">
        <f t="shared" ca="1" si="364"/>
        <v>40</v>
      </c>
      <c r="AP881" s="26" t="s">
        <v>121</v>
      </c>
      <c r="AQ881" s="26" t="s">
        <v>486</v>
      </c>
      <c r="AR881" s="89"/>
      <c r="AS881" s="27"/>
      <c r="AT881" s="16"/>
      <c r="AU881" s="27"/>
      <c r="AV881" s="86"/>
      <c r="AW881" s="27"/>
      <c r="AX881" s="27"/>
      <c r="AY881" s="27"/>
      <c r="AZ881" s="27"/>
      <c r="BA881" s="27"/>
      <c r="BB881" s="27"/>
      <c r="BC881" s="97"/>
      <c r="BD881" s="27"/>
      <c r="BE881" s="16"/>
      <c r="BF881" s="28">
        <f t="shared" si="350"/>
        <v>0</v>
      </c>
      <c r="BG881" s="29"/>
      <c r="BH881" s="27"/>
      <c r="BI881" s="30">
        <f t="shared" si="351"/>
        <v>105</v>
      </c>
      <c r="BJ881" s="31">
        <f t="shared" si="352"/>
        <v>45657</v>
      </c>
      <c r="BK881" s="27"/>
      <c r="BL881" s="16"/>
      <c r="BM881" s="27"/>
      <c r="BN881" s="16"/>
      <c r="BO881" s="27"/>
      <c r="BP881" s="16"/>
      <c r="BQ881" s="27"/>
      <c r="BR881" s="24"/>
      <c r="BS881" s="24"/>
      <c r="BT881" s="32"/>
      <c r="BU881" s="27"/>
      <c r="BV881" s="24"/>
      <c r="BW881" s="24"/>
      <c r="BX881" s="16"/>
      <c r="BY881" s="27"/>
      <c r="BZ881" s="24"/>
      <c r="CA881" s="24"/>
      <c r="CB881" s="16"/>
      <c r="CC881" s="49">
        <f t="shared" si="353"/>
        <v>0</v>
      </c>
      <c r="CD881" s="24"/>
      <c r="CE881" s="49">
        <f t="shared" si="361"/>
        <v>21132133</v>
      </c>
      <c r="CF881" s="50"/>
      <c r="CG881" s="49">
        <f t="shared" ca="1" si="366"/>
        <v>21132133</v>
      </c>
      <c r="CH881" s="33">
        <f t="shared" ca="1" si="357"/>
        <v>1</v>
      </c>
      <c r="CI881" s="33">
        <f t="shared" ca="1" si="358"/>
        <v>1</v>
      </c>
      <c r="CJ881" s="36">
        <f t="shared" ca="1" si="347"/>
        <v>100</v>
      </c>
      <c r="CK881" s="34">
        <f t="shared" si="348"/>
        <v>0</v>
      </c>
      <c r="CL881" s="21"/>
      <c r="CM881" s="35" t="str">
        <f t="shared" ca="1" si="365"/>
        <v>TERMINADO</v>
      </c>
      <c r="CN881" s="82"/>
      <c r="CO881" s="149"/>
      <c r="CP881" s="26" t="s">
        <v>142</v>
      </c>
      <c r="CQ881" s="83"/>
      <c r="CR881" s="83"/>
      <c r="CS881" s="151"/>
    </row>
    <row r="882" spans="1:97" s="85" customFormat="1" ht="24.75" customHeight="1">
      <c r="A882" s="48"/>
      <c r="B882" s="77" t="s">
        <v>6936</v>
      </c>
      <c r="C882" s="17" t="s">
        <v>104</v>
      </c>
      <c r="D882" s="18" t="s">
        <v>6937</v>
      </c>
      <c r="E882" s="17" t="s">
        <v>106</v>
      </c>
      <c r="F882" s="17" t="s">
        <v>107</v>
      </c>
      <c r="G882" s="17" t="s">
        <v>108</v>
      </c>
      <c r="H882" s="78" t="s">
        <v>6938</v>
      </c>
      <c r="I882" s="74" t="s">
        <v>6939</v>
      </c>
      <c r="J882" s="16"/>
      <c r="K882" s="16">
        <v>19322393</v>
      </c>
      <c r="L882" s="96" t="s">
        <v>6940</v>
      </c>
      <c r="M882" s="16" t="s">
        <v>111</v>
      </c>
      <c r="N882" s="22">
        <v>45545</v>
      </c>
      <c r="O882" s="22">
        <v>45546</v>
      </c>
      <c r="P882" s="22">
        <v>45656</v>
      </c>
      <c r="Q882" s="23">
        <f t="shared" si="362"/>
        <v>110</v>
      </c>
      <c r="R882" s="17" t="s">
        <v>242</v>
      </c>
      <c r="S882" s="16" t="s">
        <v>6941</v>
      </c>
      <c r="T882" s="16" t="s">
        <v>6942</v>
      </c>
      <c r="U882" s="67">
        <v>37648833</v>
      </c>
      <c r="V882" s="16" t="s">
        <v>6943</v>
      </c>
      <c r="W882" s="67">
        <v>9251900</v>
      </c>
      <c r="X882" s="24">
        <v>9251900</v>
      </c>
      <c r="Y882" s="24"/>
      <c r="Z882" s="24"/>
      <c r="AA882" s="17" t="s">
        <v>116</v>
      </c>
      <c r="AB882" s="23" t="str">
        <f>IFERROR(VLOOKUP(AA882,Listas!$A$1:$C$14,2,FALSE),"")</f>
        <v>FREDY CÉSPEDES VILLA</v>
      </c>
      <c r="AC882" s="23">
        <f>IFERROR(VLOOKUP(AA882,Listas!$A$1:$C$14,3,FALSE),"")</f>
        <v>93363483</v>
      </c>
      <c r="AD882" s="17" t="s">
        <v>116</v>
      </c>
      <c r="AE882" s="17" t="s">
        <v>659</v>
      </c>
      <c r="AF882" s="23" t="str">
        <f>IFERROR(VLOOKUP(AE882,Listas!$AD$1:$AF$65,2,FALSE),"")</f>
        <v>TATIANA FORERO TORRES</v>
      </c>
      <c r="AG882" s="23">
        <f>IFERROR(VLOOKUP(AE882,Listas!$AD$1:$AF$65,3,FALSE),"")</f>
        <v>1072446921</v>
      </c>
      <c r="AH882" s="17" t="s">
        <v>5821</v>
      </c>
      <c r="AI882" s="65"/>
      <c r="AJ882" s="25" t="s">
        <v>1435</v>
      </c>
      <c r="AK882" s="26" t="s">
        <v>2071</v>
      </c>
      <c r="AL882" s="26" t="s">
        <v>2071</v>
      </c>
      <c r="AM882" s="90" t="s">
        <v>1435</v>
      </c>
      <c r="AN882" s="105"/>
      <c r="AO882" s="91" t="str">
        <f t="shared" ca="1" si="364"/>
        <v xml:space="preserve"> </v>
      </c>
      <c r="AP882" s="26" t="s">
        <v>121</v>
      </c>
      <c r="AQ882" s="26" t="s">
        <v>409</v>
      </c>
      <c r="AR882" s="89"/>
      <c r="AS882" s="27"/>
      <c r="AT882" s="16"/>
      <c r="AU882" s="27"/>
      <c r="AV882" s="86"/>
      <c r="AW882" s="27"/>
      <c r="AX882" s="27"/>
      <c r="AY882" s="27"/>
      <c r="AZ882" s="27"/>
      <c r="BA882" s="27"/>
      <c r="BB882" s="27"/>
      <c r="BC882" s="97"/>
      <c r="BD882" s="27"/>
      <c r="BE882" s="16"/>
      <c r="BF882" s="28">
        <f t="shared" si="350"/>
        <v>0</v>
      </c>
      <c r="BG882" s="29"/>
      <c r="BH882" s="27"/>
      <c r="BI882" s="30">
        <f t="shared" si="351"/>
        <v>110</v>
      </c>
      <c r="BJ882" s="31">
        <f t="shared" si="352"/>
        <v>45656</v>
      </c>
      <c r="BK882" s="27"/>
      <c r="BL882" s="16"/>
      <c r="BM882" s="27"/>
      <c r="BN882" s="16"/>
      <c r="BO882" s="27"/>
      <c r="BP882" s="16"/>
      <c r="BQ882" s="27"/>
      <c r="BR882" s="24"/>
      <c r="BS882" s="24"/>
      <c r="BT882" s="32"/>
      <c r="BU882" s="27"/>
      <c r="BV882" s="24"/>
      <c r="BW882" s="24"/>
      <c r="BX882" s="16"/>
      <c r="BY882" s="27"/>
      <c r="BZ882" s="24"/>
      <c r="CA882" s="24"/>
      <c r="CB882" s="16"/>
      <c r="CC882" s="49">
        <f t="shared" si="353"/>
        <v>0</v>
      </c>
      <c r="CD882" s="24"/>
      <c r="CE882" s="49">
        <f t="shared" si="361"/>
        <v>9251900</v>
      </c>
      <c r="CF882" s="50"/>
      <c r="CG882" s="49">
        <f t="shared" ca="1" si="366"/>
        <v>9251900</v>
      </c>
      <c r="CH882" s="33">
        <f t="shared" ca="1" si="357"/>
        <v>1</v>
      </c>
      <c r="CI882" s="33">
        <f t="shared" ca="1" si="358"/>
        <v>1</v>
      </c>
      <c r="CJ882" s="36">
        <f t="shared" ca="1" si="347"/>
        <v>100</v>
      </c>
      <c r="CK882" s="34">
        <f t="shared" si="348"/>
        <v>0</v>
      </c>
      <c r="CL882" s="21"/>
      <c r="CM882" s="35" t="str">
        <f t="shared" ca="1" si="365"/>
        <v>TERMINADO</v>
      </c>
      <c r="CN882" s="82"/>
      <c r="CO882" s="149"/>
      <c r="CP882" s="26"/>
      <c r="CQ882" s="83"/>
      <c r="CR882" s="83"/>
    </row>
    <row r="883" spans="1:97" ht="24.75" customHeight="1">
      <c r="A883" s="48" t="s">
        <v>6944</v>
      </c>
      <c r="B883" s="77" t="s">
        <v>6945</v>
      </c>
      <c r="C883" s="17" t="s">
        <v>104</v>
      </c>
      <c r="D883" s="18" t="s">
        <v>6946</v>
      </c>
      <c r="E883" s="17" t="s">
        <v>106</v>
      </c>
      <c r="F883" s="17" t="s">
        <v>107</v>
      </c>
      <c r="G883" s="17" t="s">
        <v>108</v>
      </c>
      <c r="H883" s="78">
        <v>25682674</v>
      </c>
      <c r="I883" s="74" t="s">
        <v>6947</v>
      </c>
      <c r="J883" s="16"/>
      <c r="K883" s="16"/>
      <c r="L883" s="96" t="s">
        <v>6948</v>
      </c>
      <c r="M883" s="16" t="s">
        <v>111</v>
      </c>
      <c r="N883" s="22">
        <v>45545</v>
      </c>
      <c r="O883" s="22">
        <v>45554</v>
      </c>
      <c r="P883" s="22">
        <v>45656</v>
      </c>
      <c r="Q883" s="23">
        <f t="shared" si="362"/>
        <v>102</v>
      </c>
      <c r="R883" s="17" t="s">
        <v>112</v>
      </c>
      <c r="S883" s="16" t="s">
        <v>6949</v>
      </c>
      <c r="T883" s="16" t="s">
        <v>343</v>
      </c>
      <c r="U883" s="67">
        <v>24524000</v>
      </c>
      <c r="V883" s="16" t="s">
        <v>6889</v>
      </c>
      <c r="W883" s="67">
        <v>24524000</v>
      </c>
      <c r="X883" s="24"/>
      <c r="Y883" s="24"/>
      <c r="Z883" s="24"/>
      <c r="AA883" s="17" t="s">
        <v>116</v>
      </c>
      <c r="AB883" s="23" t="str">
        <f>IFERROR(VLOOKUP(AA883,Listas!$A$1:$C$14,2,FALSE),"")</f>
        <v>FREDY CÉSPEDES VILLA</v>
      </c>
      <c r="AC883" s="23">
        <f>IFERROR(VLOOKUP(AA883,Listas!$A$1:$C$14,3,FALSE),"")</f>
        <v>93363483</v>
      </c>
      <c r="AD883" s="17" t="s">
        <v>345</v>
      </c>
      <c r="AE883" s="17" t="s">
        <v>921</v>
      </c>
      <c r="AF883" s="23" t="str">
        <f>IFERROR(VLOOKUP(AE883,Listas!$AD$1:$AF$65,2,FALSE),"")</f>
        <v>LUZ MARINA CARREÑO</v>
      </c>
      <c r="AG883" s="23">
        <f>IFERROR(VLOOKUP(AE883,Listas!$AD$1:$AF$65,3,FALSE),"")</f>
        <v>63392036</v>
      </c>
      <c r="AH883" s="17" t="s">
        <v>118</v>
      </c>
      <c r="AI883" s="65" t="s">
        <v>6950</v>
      </c>
      <c r="AJ883" s="25" t="s">
        <v>4370</v>
      </c>
      <c r="AK883" s="26" t="s">
        <v>120</v>
      </c>
      <c r="AL883" s="26" t="s">
        <v>120</v>
      </c>
      <c r="AM883" s="90" t="s">
        <v>119</v>
      </c>
      <c r="AN883" s="105">
        <v>24572</v>
      </c>
      <c r="AO883" s="91">
        <f t="shared" ca="1" si="364"/>
        <v>58</v>
      </c>
      <c r="AP883" s="26" t="s">
        <v>121</v>
      </c>
      <c r="AQ883" s="26" t="s">
        <v>486</v>
      </c>
      <c r="AR883" s="89"/>
      <c r="AS883" s="27"/>
      <c r="AT883" s="16"/>
      <c r="AU883" s="27"/>
      <c r="AV883" s="86"/>
      <c r="AW883" s="27"/>
      <c r="AX883" s="27"/>
      <c r="AY883" s="27"/>
      <c r="AZ883" s="27"/>
      <c r="BA883" s="27"/>
      <c r="BB883" s="27"/>
      <c r="BC883" s="97"/>
      <c r="BD883" s="27"/>
      <c r="BE883" s="16"/>
      <c r="BF883" s="28">
        <f t="shared" si="350"/>
        <v>0</v>
      </c>
      <c r="BG883" s="29"/>
      <c r="BH883" s="27"/>
      <c r="BI883" s="30">
        <f t="shared" si="351"/>
        <v>102</v>
      </c>
      <c r="BJ883" s="31">
        <f t="shared" si="352"/>
        <v>45656</v>
      </c>
      <c r="BK883" s="27"/>
      <c r="BL883" s="16"/>
      <c r="BM883" s="27"/>
      <c r="BN883" s="16"/>
      <c r="BO883" s="27"/>
      <c r="BP883" s="16"/>
      <c r="BQ883" s="27"/>
      <c r="BR883" s="24"/>
      <c r="BS883" s="24"/>
      <c r="BT883" s="32"/>
      <c r="BU883" s="27"/>
      <c r="BV883" s="24"/>
      <c r="BW883" s="24"/>
      <c r="BX883" s="16"/>
      <c r="BY883" s="27"/>
      <c r="BZ883" s="24"/>
      <c r="CA883" s="24"/>
      <c r="CB883" s="16"/>
      <c r="CC883" s="49">
        <f t="shared" si="353"/>
        <v>0</v>
      </c>
      <c r="CD883" s="24"/>
      <c r="CE883" s="49">
        <f t="shared" si="361"/>
        <v>24524000</v>
      </c>
      <c r="CF883" s="50"/>
      <c r="CG883" s="49">
        <f t="shared" ca="1" si="366"/>
        <v>24524000</v>
      </c>
      <c r="CH883" s="33">
        <f t="shared" ca="1" si="357"/>
        <v>1</v>
      </c>
      <c r="CI883" s="33">
        <f t="shared" ca="1" si="358"/>
        <v>1</v>
      </c>
      <c r="CJ883" s="36">
        <f t="shared" ca="1" si="347"/>
        <v>100</v>
      </c>
      <c r="CK883" s="34">
        <f t="shared" si="348"/>
        <v>0</v>
      </c>
      <c r="CL883" s="21"/>
      <c r="CM883" s="35" t="str">
        <f t="shared" ca="1" si="365"/>
        <v>TERMINADO</v>
      </c>
      <c r="CN883" s="82"/>
      <c r="CO883" s="149"/>
      <c r="CP883" s="26"/>
      <c r="CS883" s="48"/>
    </row>
    <row r="884" spans="1:97" s="85" customFormat="1" ht="24.75" customHeight="1">
      <c r="A884" s="48" t="s">
        <v>6951</v>
      </c>
      <c r="B884" s="77" t="s">
        <v>6952</v>
      </c>
      <c r="C884" s="17" t="s">
        <v>104</v>
      </c>
      <c r="D884" s="18" t="s">
        <v>6953</v>
      </c>
      <c r="E884" s="17" t="s">
        <v>106</v>
      </c>
      <c r="F884" s="17" t="s">
        <v>107</v>
      </c>
      <c r="G884" s="17" t="s">
        <v>108</v>
      </c>
      <c r="H884" s="78">
        <v>1098729794</v>
      </c>
      <c r="I884" s="74" t="s">
        <v>6954</v>
      </c>
      <c r="J884" s="16"/>
      <c r="K884" s="16"/>
      <c r="L884" s="96" t="s">
        <v>6955</v>
      </c>
      <c r="M884" s="16" t="s">
        <v>111</v>
      </c>
      <c r="N884" s="22">
        <v>45545</v>
      </c>
      <c r="O884" s="115">
        <v>45553</v>
      </c>
      <c r="P884" s="22">
        <v>45656</v>
      </c>
      <c r="Q884" s="23">
        <f t="shared" si="362"/>
        <v>103</v>
      </c>
      <c r="R884" s="17" t="s">
        <v>242</v>
      </c>
      <c r="S884" s="16" t="s">
        <v>6926</v>
      </c>
      <c r="T884" s="16" t="s">
        <v>343</v>
      </c>
      <c r="U884" s="67">
        <v>17656000</v>
      </c>
      <c r="V884" s="16" t="s">
        <v>6889</v>
      </c>
      <c r="W884" s="67">
        <v>17656000</v>
      </c>
      <c r="X884" s="24">
        <v>4414000</v>
      </c>
      <c r="Y884" s="24"/>
      <c r="Z884" s="24"/>
      <c r="AA884" s="17" t="s">
        <v>116</v>
      </c>
      <c r="AB884" s="23" t="str">
        <f>IFERROR(VLOOKUP(AA884,Listas!$A$1:$C$14,2,FALSE),"")</f>
        <v>FREDY CÉSPEDES VILLA</v>
      </c>
      <c r="AC884" s="23">
        <f>IFERROR(VLOOKUP(AA884,Listas!$A$1:$C$14,3,FALSE),"")</f>
        <v>93363483</v>
      </c>
      <c r="AD884" s="17" t="s">
        <v>345</v>
      </c>
      <c r="AE884" s="17" t="s">
        <v>921</v>
      </c>
      <c r="AF884" s="23" t="str">
        <f>IFERROR(VLOOKUP(AE884,Listas!$AD$1:$AF$65,2,FALSE),"")</f>
        <v>LUZ MARINA CARREÑO</v>
      </c>
      <c r="AG884" s="23">
        <f>IFERROR(VLOOKUP(AE884,Listas!$AD$1:$AF$65,3,FALSE),"")</f>
        <v>63392036</v>
      </c>
      <c r="AH884" s="17" t="s">
        <v>118</v>
      </c>
      <c r="AI884" s="65" t="s">
        <v>6956</v>
      </c>
      <c r="AJ884" s="25" t="s">
        <v>4370</v>
      </c>
      <c r="AK884" s="26" t="s">
        <v>120</v>
      </c>
      <c r="AL884" s="26" t="s">
        <v>120</v>
      </c>
      <c r="AM884" s="90" t="s">
        <v>119</v>
      </c>
      <c r="AN884" s="105">
        <v>33867</v>
      </c>
      <c r="AO884" s="91">
        <f t="shared" ca="1" si="364"/>
        <v>33</v>
      </c>
      <c r="AP884" s="26" t="s">
        <v>121</v>
      </c>
      <c r="AQ884" s="26" t="s">
        <v>220</v>
      </c>
      <c r="AR884" s="89"/>
      <c r="AS884" s="27"/>
      <c r="AT884" s="16"/>
      <c r="AU884" s="27"/>
      <c r="AV884" s="86"/>
      <c r="AW884" s="27"/>
      <c r="AX884" s="27"/>
      <c r="AY884" s="27"/>
      <c r="AZ884" s="27"/>
      <c r="BA884" s="27"/>
      <c r="BB884" s="27"/>
      <c r="BC884" s="97"/>
      <c r="BD884" s="27"/>
      <c r="BE884" s="16"/>
      <c r="BF884" s="28">
        <f t="shared" si="350"/>
        <v>0</v>
      </c>
      <c r="BG884" s="29"/>
      <c r="BH884" s="27"/>
      <c r="BI884" s="30">
        <f t="shared" si="351"/>
        <v>103</v>
      </c>
      <c r="BJ884" s="31">
        <f t="shared" si="352"/>
        <v>45656</v>
      </c>
      <c r="BK884" s="27"/>
      <c r="BL884" s="16"/>
      <c r="BM884" s="27"/>
      <c r="BN884" s="16"/>
      <c r="BO884" s="27"/>
      <c r="BP884" s="16"/>
      <c r="BQ884" s="27"/>
      <c r="BR884" s="24"/>
      <c r="BS884" s="24"/>
      <c r="BT884" s="32"/>
      <c r="BU884" s="27"/>
      <c r="BV884" s="24"/>
      <c r="BW884" s="24"/>
      <c r="BX884" s="16"/>
      <c r="BY884" s="27"/>
      <c r="BZ884" s="24"/>
      <c r="CA884" s="24"/>
      <c r="CB884" s="16"/>
      <c r="CC884" s="49">
        <f t="shared" si="353"/>
        <v>0</v>
      </c>
      <c r="CD884" s="24"/>
      <c r="CE884" s="49">
        <f t="shared" si="361"/>
        <v>17656000</v>
      </c>
      <c r="CF884" s="50"/>
      <c r="CG884" s="49">
        <f t="shared" ca="1" si="366"/>
        <v>17656000</v>
      </c>
      <c r="CH884" s="33">
        <f t="shared" ca="1" si="357"/>
        <v>1</v>
      </c>
      <c r="CI884" s="33">
        <f t="shared" ca="1" si="358"/>
        <v>1</v>
      </c>
      <c r="CJ884" s="36">
        <f t="shared" ca="1" si="347"/>
        <v>100</v>
      </c>
      <c r="CK884" s="34">
        <f t="shared" si="348"/>
        <v>0</v>
      </c>
      <c r="CL884" s="21"/>
      <c r="CM884" s="35" t="str">
        <f t="shared" ca="1" si="365"/>
        <v>TERMINADO</v>
      </c>
      <c r="CN884" s="82"/>
      <c r="CO884" s="149"/>
      <c r="CP884" s="26"/>
      <c r="CQ884" s="83"/>
      <c r="CR884" s="83"/>
      <c r="CS884" s="48"/>
    </row>
    <row r="885" spans="1:97" ht="24.75" customHeight="1">
      <c r="A885" s="48" t="s">
        <v>6957</v>
      </c>
      <c r="B885" s="77" t="s">
        <v>6958</v>
      </c>
      <c r="C885" s="17" t="s">
        <v>1423</v>
      </c>
      <c r="D885" s="18"/>
      <c r="E885" s="17" t="s">
        <v>6959</v>
      </c>
      <c r="F885" s="17" t="s">
        <v>1426</v>
      </c>
      <c r="G885" s="17" t="s">
        <v>6960</v>
      </c>
      <c r="H885" s="78">
        <v>900365660</v>
      </c>
      <c r="I885" s="74" t="s">
        <v>6961</v>
      </c>
      <c r="J885" s="16" t="s">
        <v>6962</v>
      </c>
      <c r="K885" s="16">
        <v>10003534</v>
      </c>
      <c r="L885" s="20" t="s">
        <v>6963</v>
      </c>
      <c r="M885" s="16" t="s">
        <v>111</v>
      </c>
      <c r="N885" s="22">
        <v>45547</v>
      </c>
      <c r="O885" s="22">
        <v>45564</v>
      </c>
      <c r="P885" s="22">
        <v>45581</v>
      </c>
      <c r="Q885" s="23">
        <f t="shared" si="362"/>
        <v>17</v>
      </c>
      <c r="R885" s="17" t="s">
        <v>242</v>
      </c>
      <c r="S885" s="16" t="s">
        <v>6964</v>
      </c>
      <c r="T885" s="16" t="s">
        <v>6965</v>
      </c>
      <c r="U885" s="67">
        <v>30000000</v>
      </c>
      <c r="V885" s="16" t="s">
        <v>6966</v>
      </c>
      <c r="W885" s="67">
        <v>9171771</v>
      </c>
      <c r="X885" s="24"/>
      <c r="Y885" s="24"/>
      <c r="Z885" s="24"/>
      <c r="AA885" s="17" t="s">
        <v>116</v>
      </c>
      <c r="AB885" s="23" t="str">
        <f>IFERROR(VLOOKUP(AA885,Listas!$A$1:$C$14,2,FALSE),"")</f>
        <v>FREDY CÉSPEDES VILLA</v>
      </c>
      <c r="AC885" s="23">
        <f>IFERROR(VLOOKUP(AA885,Listas!$A$1:$C$14,3,FALSE),"")</f>
        <v>93363483</v>
      </c>
      <c r="AD885" s="17" t="s">
        <v>116</v>
      </c>
      <c r="AE885" s="17" t="s">
        <v>659</v>
      </c>
      <c r="AF885" s="23" t="str">
        <f>IFERROR(VLOOKUP(AE885,Listas!$AD$1:$AF$65,2,FALSE),"")</f>
        <v>TATIANA FORERO TORRES</v>
      </c>
      <c r="AG885" s="23">
        <f>IFERROR(VLOOKUP(AE885,Listas!$AD$1:$AF$65,3,FALSE),"")</f>
        <v>1072446921</v>
      </c>
      <c r="AH885" s="17" t="s">
        <v>1434</v>
      </c>
      <c r="AI885" s="65"/>
      <c r="AJ885" s="25" t="s">
        <v>1435</v>
      </c>
      <c r="AK885" s="26" t="s">
        <v>2071</v>
      </c>
      <c r="AL885" s="26" t="s">
        <v>2071</v>
      </c>
      <c r="AM885" s="90" t="s">
        <v>1435</v>
      </c>
      <c r="AN885" s="105"/>
      <c r="AO885" s="91" t="str">
        <f t="shared" ca="1" si="364"/>
        <v xml:space="preserve"> </v>
      </c>
      <c r="AP885" s="26" t="s">
        <v>121</v>
      </c>
      <c r="AQ885" s="26" t="s">
        <v>486</v>
      </c>
      <c r="AR885" s="89"/>
      <c r="AS885" s="27"/>
      <c r="AT885" s="16"/>
      <c r="AU885" s="27"/>
      <c r="AV885" s="86"/>
      <c r="AW885" s="27"/>
      <c r="AX885" s="27"/>
      <c r="AY885" s="27"/>
      <c r="AZ885" s="27"/>
      <c r="BA885" s="27"/>
      <c r="BB885" s="27"/>
      <c r="BC885" s="97"/>
      <c r="BD885" s="27"/>
      <c r="BE885" s="16"/>
      <c r="BF885" s="28">
        <f t="shared" si="350"/>
        <v>0</v>
      </c>
      <c r="BG885" s="29"/>
      <c r="BH885" s="27"/>
      <c r="BI885" s="30">
        <f t="shared" si="351"/>
        <v>17</v>
      </c>
      <c r="BJ885" s="31">
        <f t="shared" si="352"/>
        <v>45581</v>
      </c>
      <c r="BK885" s="27"/>
      <c r="BL885" s="16"/>
      <c r="BM885" s="27"/>
      <c r="BN885" s="16"/>
      <c r="BO885" s="27"/>
      <c r="BP885" s="16"/>
      <c r="BQ885" s="27"/>
      <c r="BR885" s="24"/>
      <c r="BS885" s="24"/>
      <c r="BT885" s="32"/>
      <c r="BU885" s="27"/>
      <c r="BV885" s="24"/>
      <c r="BW885" s="24"/>
      <c r="BX885" s="16"/>
      <c r="BY885" s="27"/>
      <c r="BZ885" s="24"/>
      <c r="CA885" s="24"/>
      <c r="CB885" s="16"/>
      <c r="CC885" s="49">
        <f t="shared" si="353"/>
        <v>0</v>
      </c>
      <c r="CD885" s="24"/>
      <c r="CE885" s="49">
        <f t="shared" si="361"/>
        <v>9171771</v>
      </c>
      <c r="CF885" s="50"/>
      <c r="CG885" s="49">
        <f t="shared" ca="1" si="366"/>
        <v>9171771</v>
      </c>
      <c r="CH885" s="33">
        <f t="shared" ca="1" si="357"/>
        <v>1</v>
      </c>
      <c r="CI885" s="33">
        <f t="shared" ca="1" si="358"/>
        <v>1</v>
      </c>
      <c r="CJ885" s="36">
        <f t="shared" ca="1" si="347"/>
        <v>100</v>
      </c>
      <c r="CK885" s="34">
        <f t="shared" si="348"/>
        <v>0</v>
      </c>
      <c r="CL885" s="21"/>
      <c r="CM885" s="35" t="str">
        <f t="shared" ca="1" si="365"/>
        <v>TERMINADO</v>
      </c>
      <c r="CN885" s="82"/>
      <c r="CP885" s="26"/>
    </row>
    <row r="886" spans="1:97" s="85" customFormat="1" ht="24.75" customHeight="1">
      <c r="A886" s="48" t="s">
        <v>6967</v>
      </c>
      <c r="B886" s="77" t="s">
        <v>6968</v>
      </c>
      <c r="C886" s="17" t="s">
        <v>104</v>
      </c>
      <c r="D886" s="18" t="s">
        <v>6969</v>
      </c>
      <c r="E886" s="17" t="s">
        <v>106</v>
      </c>
      <c r="F886" s="17" t="s">
        <v>1426</v>
      </c>
      <c r="G886" s="17" t="s">
        <v>1427</v>
      </c>
      <c r="H886" s="78">
        <v>800046226</v>
      </c>
      <c r="I886" s="74" t="s">
        <v>6970</v>
      </c>
      <c r="J886" s="16"/>
      <c r="K886" s="16"/>
      <c r="L886" s="20" t="s">
        <v>6971</v>
      </c>
      <c r="M886" s="16" t="s">
        <v>111</v>
      </c>
      <c r="N886" s="22">
        <v>45548</v>
      </c>
      <c r="O886" s="22">
        <v>45559</v>
      </c>
      <c r="P886" s="22">
        <v>45930</v>
      </c>
      <c r="Q886" s="23">
        <f t="shared" si="362"/>
        <v>371</v>
      </c>
      <c r="R886" s="17" t="s">
        <v>242</v>
      </c>
      <c r="S886" s="16" t="s">
        <v>6972</v>
      </c>
      <c r="T886" s="16" t="s">
        <v>2811</v>
      </c>
      <c r="U886" s="67">
        <v>761327419</v>
      </c>
      <c r="V886" s="16" t="s">
        <v>2812</v>
      </c>
      <c r="W886" s="67">
        <v>761327419</v>
      </c>
      <c r="X886" s="24">
        <v>47437879</v>
      </c>
      <c r="Y886" s="24"/>
      <c r="Z886" s="24"/>
      <c r="AA886" s="17" t="s">
        <v>116</v>
      </c>
      <c r="AB886" s="23" t="str">
        <f>IFERROR(VLOOKUP(AA886,Listas!$A$1:$C$14,2,FALSE),"")</f>
        <v>FREDY CÉSPEDES VILLA</v>
      </c>
      <c r="AC886" s="23">
        <f>IFERROR(VLOOKUP(AA886,Listas!$A$1:$C$14,3,FALSE),"")</f>
        <v>93363483</v>
      </c>
      <c r="AD886" s="17" t="s">
        <v>816</v>
      </c>
      <c r="AE886" s="17" t="s">
        <v>2835</v>
      </c>
      <c r="AF886" s="23" t="str">
        <f>IFERROR(VLOOKUP(AE886,Listas!$AD$1:$AF$65,2,FALSE),"")</f>
        <v>GUILLERMO ANDRES CARDONA HERRERA</v>
      </c>
      <c r="AG886" s="23">
        <f>IFERROR(VLOOKUP(AE886,Listas!$AD$1:$AF$65,3,FALSE),"")</f>
        <v>80018909</v>
      </c>
      <c r="AH886" s="17"/>
      <c r="AI886" s="65"/>
      <c r="AJ886" s="25" t="s">
        <v>1435</v>
      </c>
      <c r="AK886" s="26" t="s">
        <v>2071</v>
      </c>
      <c r="AL886" s="26" t="s">
        <v>2071</v>
      </c>
      <c r="AM886" s="90" t="s">
        <v>1435</v>
      </c>
      <c r="AN886" s="105"/>
      <c r="AO886" s="91" t="str">
        <f t="shared" ca="1" si="364"/>
        <v xml:space="preserve"> </v>
      </c>
      <c r="AP886" s="26" t="s">
        <v>121</v>
      </c>
      <c r="AQ886" s="26" t="s">
        <v>819</v>
      </c>
      <c r="AR886" s="89"/>
      <c r="AS886" s="27"/>
      <c r="AT886" s="16"/>
      <c r="AU886" s="27"/>
      <c r="AV886" s="86"/>
      <c r="AW886" s="27"/>
      <c r="AX886" s="27"/>
      <c r="AY886" s="27"/>
      <c r="AZ886" s="27"/>
      <c r="BA886" s="27"/>
      <c r="BB886" s="27"/>
      <c r="BC886" s="97"/>
      <c r="BD886" s="27"/>
      <c r="BE886" s="16"/>
      <c r="BF886" s="28">
        <f t="shared" si="350"/>
        <v>0</v>
      </c>
      <c r="BG886" s="29"/>
      <c r="BH886" s="27"/>
      <c r="BI886" s="30">
        <f t="shared" si="351"/>
        <v>371</v>
      </c>
      <c r="BJ886" s="31">
        <f t="shared" si="352"/>
        <v>45930</v>
      </c>
      <c r="BK886" s="27"/>
      <c r="BL886" s="16"/>
      <c r="BM886" s="27"/>
      <c r="BN886" s="16"/>
      <c r="BO886" s="27"/>
      <c r="BP886" s="16"/>
      <c r="BQ886" s="27"/>
      <c r="BR886" s="24"/>
      <c r="BS886" s="24"/>
      <c r="BT886" s="32"/>
      <c r="BU886" s="27"/>
      <c r="BV886" s="24"/>
      <c r="BW886" s="24"/>
      <c r="BX886" s="16"/>
      <c r="BY886" s="27"/>
      <c r="BZ886" s="24"/>
      <c r="CA886" s="24"/>
      <c r="CB886" s="16"/>
      <c r="CC886" s="49">
        <f t="shared" si="353"/>
        <v>0</v>
      </c>
      <c r="CD886" s="24"/>
      <c r="CE886" s="49">
        <f t="shared" si="361"/>
        <v>761327419</v>
      </c>
      <c r="CF886" s="50"/>
      <c r="CG886" s="49">
        <f t="shared" ca="1" si="366"/>
        <v>761327419</v>
      </c>
      <c r="CH886" s="33">
        <f t="shared" ca="1" si="357"/>
        <v>1</v>
      </c>
      <c r="CI886" s="33">
        <f t="shared" ca="1" si="358"/>
        <v>1</v>
      </c>
      <c r="CJ886" s="36">
        <f t="shared" ca="1" si="347"/>
        <v>100</v>
      </c>
      <c r="CK886" s="34">
        <f t="shared" si="348"/>
        <v>0</v>
      </c>
      <c r="CL886" s="21"/>
      <c r="CM886" s="35" t="str">
        <f t="shared" ca="1" si="365"/>
        <v>TERMINADO</v>
      </c>
      <c r="CN886" s="82"/>
      <c r="CO886" s="145" t="s">
        <v>6973</v>
      </c>
      <c r="CP886" s="26"/>
      <c r="CQ886" s="83"/>
      <c r="CR886" s="83"/>
      <c r="CS886" s="151"/>
    </row>
    <row r="887" spans="1:97" s="85" customFormat="1" ht="24.75" customHeight="1">
      <c r="A887" s="48" t="s">
        <v>1424</v>
      </c>
      <c r="B887" s="77" t="s">
        <v>6974</v>
      </c>
      <c r="C887" s="17" t="s">
        <v>2927</v>
      </c>
      <c r="D887" s="18" t="s">
        <v>6975</v>
      </c>
      <c r="E887" s="17" t="s">
        <v>5866</v>
      </c>
      <c r="F887" s="17" t="s">
        <v>1426</v>
      </c>
      <c r="G887" s="17" t="s">
        <v>1427</v>
      </c>
      <c r="H887" s="78" t="s">
        <v>6976</v>
      </c>
      <c r="I887" s="74" t="s">
        <v>6977</v>
      </c>
      <c r="J887" s="16" t="s">
        <v>6978</v>
      </c>
      <c r="K887" s="16">
        <v>52885528</v>
      </c>
      <c r="L887" s="20" t="s">
        <v>6979</v>
      </c>
      <c r="M887" s="16"/>
      <c r="N887" s="22">
        <v>45548</v>
      </c>
      <c r="O887" s="22">
        <v>45548</v>
      </c>
      <c r="P887" s="22">
        <v>45657</v>
      </c>
      <c r="Q887" s="23">
        <f t="shared" si="362"/>
        <v>109</v>
      </c>
      <c r="R887" s="17" t="s">
        <v>242</v>
      </c>
      <c r="S887" s="16" t="s">
        <v>6980</v>
      </c>
      <c r="T887" s="16" t="s">
        <v>6981</v>
      </c>
      <c r="U887" s="67">
        <v>3011307200</v>
      </c>
      <c r="V887" s="16" t="s">
        <v>6131</v>
      </c>
      <c r="W887" s="67">
        <v>495000000</v>
      </c>
      <c r="X887" s="24"/>
      <c r="Y887" s="24">
        <f>967500000</f>
        <v>967500000</v>
      </c>
      <c r="Z887" s="24"/>
      <c r="AA887" s="17" t="s">
        <v>607</v>
      </c>
      <c r="AB887" s="23" t="str">
        <f>IFERROR(VLOOKUP(AA887,Listas!$A$1:$C$14,2,FALSE),"")</f>
        <v>MARÍA FRANCISCA CEPEDA QUINTERO</v>
      </c>
      <c r="AC887" s="23">
        <f>IFERROR(VLOOKUP(AA887,Listas!$A$1:$C$14,3,FALSE),"")</f>
        <v>53062608</v>
      </c>
      <c r="AD887" s="17" t="s">
        <v>607</v>
      </c>
      <c r="AE887" s="17" t="s">
        <v>1155</v>
      </c>
      <c r="AF887" s="23" t="str">
        <f>IFERROR(VLOOKUP(AE887,Listas!$AD$1:$AF$65,2,FALSE),"")</f>
        <v>MARÍA FRANCISCA CEPEDA QUINTERO</v>
      </c>
      <c r="AG887" s="23">
        <f>IFERROR(VLOOKUP(AE887,Listas!$AD$1:$AF$65,3,FALSE),"")</f>
        <v>53062608</v>
      </c>
      <c r="AH887" s="17" t="s">
        <v>2936</v>
      </c>
      <c r="AI887" s="65"/>
      <c r="AJ887" s="25" t="s">
        <v>1435</v>
      </c>
      <c r="AK887" s="26" t="s">
        <v>2071</v>
      </c>
      <c r="AL887" s="26" t="s">
        <v>2071</v>
      </c>
      <c r="AM887" s="90" t="s">
        <v>1435</v>
      </c>
      <c r="AN887" s="105"/>
      <c r="AO887" s="91" t="str">
        <f t="shared" ca="1" si="364"/>
        <v xml:space="preserve"> </v>
      </c>
      <c r="AP887" s="26" t="s">
        <v>2937</v>
      </c>
      <c r="AQ887" s="26" t="s">
        <v>3501</v>
      </c>
      <c r="AR887" s="89"/>
      <c r="AS887" s="27"/>
      <c r="AT887" s="16"/>
      <c r="AU887" s="27"/>
      <c r="AV887" s="86"/>
      <c r="AW887" s="27"/>
      <c r="AX887" s="27"/>
      <c r="AY887" s="27"/>
      <c r="AZ887" s="27"/>
      <c r="BA887" s="27"/>
      <c r="BB887" s="27"/>
      <c r="BC887" s="97"/>
      <c r="BD887" s="27"/>
      <c r="BE887" s="16"/>
      <c r="BF887" s="28">
        <f t="shared" si="350"/>
        <v>0</v>
      </c>
      <c r="BG887" s="29"/>
      <c r="BH887" s="27"/>
      <c r="BI887" s="30">
        <f t="shared" si="351"/>
        <v>109</v>
      </c>
      <c r="BJ887" s="31">
        <f t="shared" si="352"/>
        <v>45657</v>
      </c>
      <c r="BK887" s="27"/>
      <c r="BL887" s="16"/>
      <c r="BM887" s="27"/>
      <c r="BN887" s="16"/>
      <c r="BO887" s="27"/>
      <c r="BP887" s="16"/>
      <c r="BQ887" s="27"/>
      <c r="BR887" s="24"/>
      <c r="BS887" s="24"/>
      <c r="BT887" s="32"/>
      <c r="BU887" s="27"/>
      <c r="BV887" s="24"/>
      <c r="BW887" s="24"/>
      <c r="BX887" s="16"/>
      <c r="BY887" s="27"/>
      <c r="BZ887" s="24"/>
      <c r="CA887" s="24"/>
      <c r="CB887" s="16"/>
      <c r="CC887" s="49">
        <f t="shared" si="353"/>
        <v>0</v>
      </c>
      <c r="CD887" s="24"/>
      <c r="CE887" s="49">
        <f t="shared" si="361"/>
        <v>967500000</v>
      </c>
      <c r="CF887" s="50">
        <v>495000000</v>
      </c>
      <c r="CG887" s="49">
        <f t="shared" ca="1" si="366"/>
        <v>967500000</v>
      </c>
      <c r="CH887" s="33">
        <f t="shared" ca="1" si="357"/>
        <v>1</v>
      </c>
      <c r="CI887" s="33">
        <f t="shared" ca="1" si="358"/>
        <v>1</v>
      </c>
      <c r="CJ887" s="36">
        <f t="shared" ca="1" si="347"/>
        <v>100</v>
      </c>
      <c r="CK887" s="34">
        <f t="shared" si="348"/>
        <v>51.162790697674424</v>
      </c>
      <c r="CL887" s="21"/>
      <c r="CM887" s="35" t="str">
        <f t="shared" ca="1" si="365"/>
        <v>TERMINADO</v>
      </c>
      <c r="CN887" s="82"/>
      <c r="CO887" s="145"/>
      <c r="CP887" s="26"/>
      <c r="CQ887" s="83"/>
      <c r="CR887" s="83"/>
      <c r="CS887" s="151"/>
    </row>
    <row r="888" spans="1:97" ht="24.75" customHeight="1">
      <c r="A888" s="48" t="s">
        <v>6982</v>
      </c>
      <c r="B888" s="77" t="s">
        <v>6983</v>
      </c>
      <c r="C888" s="17" t="s">
        <v>104</v>
      </c>
      <c r="D888" s="18" t="s">
        <v>6984</v>
      </c>
      <c r="E888" s="17" t="s">
        <v>106</v>
      </c>
      <c r="F888" s="17" t="s">
        <v>107</v>
      </c>
      <c r="G888" s="17" t="s">
        <v>108</v>
      </c>
      <c r="H888" s="78">
        <v>1075277108</v>
      </c>
      <c r="I888" s="74" t="s">
        <v>1181</v>
      </c>
      <c r="J888" s="16"/>
      <c r="K888" s="16"/>
      <c r="L888" s="20" t="s">
        <v>6985</v>
      </c>
      <c r="M888" s="16" t="s">
        <v>111</v>
      </c>
      <c r="N888" s="22">
        <v>45548</v>
      </c>
      <c r="O888" s="22">
        <v>45553</v>
      </c>
      <c r="P888" s="22">
        <v>45656</v>
      </c>
      <c r="Q888" s="23">
        <f t="shared" si="362"/>
        <v>103</v>
      </c>
      <c r="R888" s="17" t="s">
        <v>242</v>
      </c>
      <c r="S888" s="16" t="s">
        <v>6986</v>
      </c>
      <c r="T888" s="16" t="s">
        <v>343</v>
      </c>
      <c r="U888" s="67">
        <v>23054000</v>
      </c>
      <c r="V888" s="16" t="s">
        <v>6209</v>
      </c>
      <c r="W888" s="67">
        <v>23054000</v>
      </c>
      <c r="X888" s="24">
        <v>5763500</v>
      </c>
      <c r="Y888" s="24"/>
      <c r="Z888" s="24"/>
      <c r="AA888" s="17" t="s">
        <v>116</v>
      </c>
      <c r="AB888" s="23" t="str">
        <f>IFERROR(VLOOKUP(AA888,Listas!$A$1:$C$14,2,FALSE),"")</f>
        <v>FREDY CÉSPEDES VILLA</v>
      </c>
      <c r="AC888" s="23">
        <f>IFERROR(VLOOKUP(AA888,Listas!$A$1:$C$14,3,FALSE),"")</f>
        <v>93363483</v>
      </c>
      <c r="AD888" s="17" t="s">
        <v>345</v>
      </c>
      <c r="AE888" s="17" t="s">
        <v>921</v>
      </c>
      <c r="AF888" s="23" t="str">
        <f>IFERROR(VLOOKUP(AE888,Listas!$AD$1:$AF$65,2,FALSE),"")</f>
        <v>LUZ MARINA CARREÑO</v>
      </c>
      <c r="AG888" s="23">
        <f>IFERROR(VLOOKUP(AE888,Listas!$AD$1:$AF$65,3,FALSE),"")</f>
        <v>63392036</v>
      </c>
      <c r="AH888" s="17" t="s">
        <v>118</v>
      </c>
      <c r="AI888" s="65" t="s">
        <v>6987</v>
      </c>
      <c r="AJ888" s="25" t="s">
        <v>4370</v>
      </c>
      <c r="AK888" s="26" t="s">
        <v>120</v>
      </c>
      <c r="AL888" s="26" t="s">
        <v>120</v>
      </c>
      <c r="AM888" s="90" t="s">
        <v>119</v>
      </c>
      <c r="AN888" s="105">
        <v>34365</v>
      </c>
      <c r="AO888" s="91">
        <f t="shared" ca="1" si="364"/>
        <v>31</v>
      </c>
      <c r="AP888" s="26" t="s">
        <v>121</v>
      </c>
      <c r="AQ888" s="26" t="s">
        <v>486</v>
      </c>
      <c r="AR888" s="89"/>
      <c r="AS888" s="27"/>
      <c r="AT888" s="16"/>
      <c r="AU888" s="27"/>
      <c r="AV888" s="86"/>
      <c r="AW888" s="27"/>
      <c r="AX888" s="27"/>
      <c r="AY888" s="27"/>
      <c r="AZ888" s="27"/>
      <c r="BA888" s="27"/>
      <c r="BB888" s="27"/>
      <c r="BC888" s="97"/>
      <c r="BD888" s="27"/>
      <c r="BE888" s="16"/>
      <c r="BF888" s="28">
        <f t="shared" si="350"/>
        <v>0</v>
      </c>
      <c r="BG888" s="29"/>
      <c r="BH888" s="27"/>
      <c r="BI888" s="30">
        <f t="shared" si="351"/>
        <v>103</v>
      </c>
      <c r="BJ888" s="31">
        <f t="shared" si="352"/>
        <v>45656</v>
      </c>
      <c r="BK888" s="27"/>
      <c r="BL888" s="16"/>
      <c r="BM888" s="27"/>
      <c r="BN888" s="16"/>
      <c r="BO888" s="27"/>
      <c r="BP888" s="16"/>
      <c r="BQ888" s="27"/>
      <c r="BR888" s="24"/>
      <c r="BS888" s="24"/>
      <c r="BT888" s="32"/>
      <c r="BU888" s="27"/>
      <c r="BV888" s="24"/>
      <c r="BW888" s="24"/>
      <c r="BX888" s="16"/>
      <c r="BY888" s="27"/>
      <c r="BZ888" s="24"/>
      <c r="CA888" s="24"/>
      <c r="CB888" s="16"/>
      <c r="CC888" s="49">
        <f t="shared" si="353"/>
        <v>0</v>
      </c>
      <c r="CD888" s="24"/>
      <c r="CE888" s="49">
        <f t="shared" si="361"/>
        <v>23054000</v>
      </c>
      <c r="CF888" s="50"/>
      <c r="CG888" s="49">
        <f t="shared" ca="1" si="366"/>
        <v>23054000</v>
      </c>
      <c r="CH888" s="33">
        <f t="shared" ca="1" si="357"/>
        <v>1</v>
      </c>
      <c r="CI888" s="33">
        <f t="shared" ca="1" si="358"/>
        <v>1</v>
      </c>
      <c r="CJ888" s="36">
        <f t="shared" ca="1" si="347"/>
        <v>100</v>
      </c>
      <c r="CK888" s="34">
        <f t="shared" si="348"/>
        <v>0</v>
      </c>
      <c r="CL888" s="21"/>
      <c r="CM888" s="35" t="str">
        <f t="shared" ca="1" si="365"/>
        <v>TERMINADO</v>
      </c>
      <c r="CN888" s="82"/>
      <c r="CO888" s="145" t="s">
        <v>6988</v>
      </c>
      <c r="CP888" s="26" t="s">
        <v>123</v>
      </c>
    </row>
    <row r="889" spans="1:97" customFormat="1" ht="24.75" customHeight="1">
      <c r="A889" s="48" t="s">
        <v>6989</v>
      </c>
      <c r="B889" s="150" t="s">
        <v>6990</v>
      </c>
      <c r="C889" s="17" t="s">
        <v>104</v>
      </c>
      <c r="D889" s="18" t="s">
        <v>6991</v>
      </c>
      <c r="E889" s="17" t="s">
        <v>106</v>
      </c>
      <c r="F889" s="17" t="s">
        <v>107</v>
      </c>
      <c r="G889" s="17" t="s">
        <v>108</v>
      </c>
      <c r="H889" s="78">
        <v>80065834</v>
      </c>
      <c r="I889" s="74" t="s">
        <v>6992</v>
      </c>
      <c r="J889" s="16"/>
      <c r="K889" s="16"/>
      <c r="L889" s="20" t="s">
        <v>6993</v>
      </c>
      <c r="M889" s="16" t="s">
        <v>6261</v>
      </c>
      <c r="N889" s="22">
        <v>45551</v>
      </c>
      <c r="O889" s="22">
        <v>45554</v>
      </c>
      <c r="P889" s="22">
        <v>45656</v>
      </c>
      <c r="Q889" s="23">
        <f t="shared" si="362"/>
        <v>102</v>
      </c>
      <c r="R889" s="17" t="s">
        <v>242</v>
      </c>
      <c r="S889" s="16" t="s">
        <v>6994</v>
      </c>
      <c r="T889" s="16" t="s">
        <v>1128</v>
      </c>
      <c r="U889" s="67">
        <v>35000000</v>
      </c>
      <c r="V889" s="16" t="s">
        <v>815</v>
      </c>
      <c r="W889" s="67">
        <v>35000000</v>
      </c>
      <c r="X889" s="24">
        <v>10000000</v>
      </c>
      <c r="Y889" s="24"/>
      <c r="Z889" s="24"/>
      <c r="AA889" s="17" t="s">
        <v>816</v>
      </c>
      <c r="AB889" s="23" t="str">
        <f>IFERROR(VLOOKUP(AA889,Listas!$A$1:$C$14,2,FALSE),"")</f>
        <v>LINA MARIA CRUZ SILVA</v>
      </c>
      <c r="AC889" s="23">
        <f>IFERROR(VLOOKUP(AA889,Listas!$A$1:$C$14,3,FALSE),"")</f>
        <v>52423537</v>
      </c>
      <c r="AD889" s="17" t="s">
        <v>816</v>
      </c>
      <c r="AE889" s="17" t="s">
        <v>1450</v>
      </c>
      <c r="AF889" s="23" t="str">
        <f>IFERROR(VLOOKUP(AE889,Listas!$AD$1:$AF$65,2,FALSE),"")</f>
        <v>LINA MARIA CRUZ SILVA</v>
      </c>
      <c r="AG889" s="23">
        <f>IFERROR(VLOOKUP(AE889,Listas!$AD$1:$AF$65,3,FALSE),"")</f>
        <v>52423537</v>
      </c>
      <c r="AH889" s="17" t="s">
        <v>118</v>
      </c>
      <c r="AI889" s="65" t="s">
        <v>6995</v>
      </c>
      <c r="AJ889" s="25" t="s">
        <v>4370</v>
      </c>
      <c r="AK889" s="26" t="s">
        <v>120</v>
      </c>
      <c r="AL889" s="26" t="s">
        <v>120</v>
      </c>
      <c r="AM889" s="90" t="s">
        <v>119</v>
      </c>
      <c r="AN889" s="105">
        <v>28833</v>
      </c>
      <c r="AO889" s="91">
        <f t="shared" ca="1" si="364"/>
        <v>47</v>
      </c>
      <c r="AP889" s="26" t="s">
        <v>121</v>
      </c>
      <c r="AQ889" s="26" t="s">
        <v>285</v>
      </c>
      <c r="AR889" s="89"/>
      <c r="AS889" s="27"/>
      <c r="AT889" s="16"/>
      <c r="AU889" s="27"/>
      <c r="AV889" s="86"/>
      <c r="AW889" s="27"/>
      <c r="AX889" s="27"/>
      <c r="AY889" s="27"/>
      <c r="AZ889" s="27"/>
      <c r="BA889" s="27"/>
      <c r="BB889" s="27"/>
      <c r="BC889" s="97"/>
      <c r="BD889" s="27"/>
      <c r="BE889" s="16"/>
      <c r="BF889" s="28">
        <f t="shared" si="350"/>
        <v>0</v>
      </c>
      <c r="BG889" s="29"/>
      <c r="BH889" s="27"/>
      <c r="BI889" s="30">
        <f t="shared" si="351"/>
        <v>102</v>
      </c>
      <c r="BJ889" s="31">
        <f t="shared" si="352"/>
        <v>45656</v>
      </c>
      <c r="BK889" s="27"/>
      <c r="BL889" s="16"/>
      <c r="BM889" s="27"/>
      <c r="BN889" s="16"/>
      <c r="BO889" s="27"/>
      <c r="BP889" s="16"/>
      <c r="BQ889" s="27"/>
      <c r="BR889" s="24"/>
      <c r="BS889" s="24"/>
      <c r="BT889" s="32"/>
      <c r="BU889" s="27"/>
      <c r="BV889" s="24"/>
      <c r="BW889" s="24"/>
      <c r="BX889" s="16"/>
      <c r="BY889" s="27"/>
      <c r="BZ889" s="24"/>
      <c r="CA889" s="24"/>
      <c r="CB889" s="16"/>
      <c r="CC889" s="49">
        <f t="shared" si="353"/>
        <v>0</v>
      </c>
      <c r="CD889" s="24"/>
      <c r="CE889" s="49">
        <f t="shared" si="361"/>
        <v>35000000</v>
      </c>
      <c r="CF889" s="50"/>
      <c r="CG889" s="49">
        <f t="shared" ca="1" si="366"/>
        <v>35000000</v>
      </c>
      <c r="CH889" s="33">
        <f t="shared" ca="1" si="357"/>
        <v>1</v>
      </c>
      <c r="CI889" s="33">
        <f t="shared" ca="1" si="358"/>
        <v>1</v>
      </c>
      <c r="CJ889" s="36">
        <f t="shared" ca="1" si="347"/>
        <v>100</v>
      </c>
      <c r="CK889" s="34">
        <f t="shared" si="348"/>
        <v>0</v>
      </c>
      <c r="CL889" s="21"/>
      <c r="CM889" s="35" t="str">
        <f t="shared" ca="1" si="365"/>
        <v>TERMINADO</v>
      </c>
      <c r="CN889" s="82"/>
      <c r="CO889" s="145"/>
      <c r="CP889" s="26"/>
      <c r="CQ889" s="83"/>
      <c r="CR889" s="83"/>
      <c r="CS889" s="151"/>
    </row>
    <row r="890" spans="1:97" ht="24.75" customHeight="1">
      <c r="A890" s="48" t="s">
        <v>6996</v>
      </c>
      <c r="B890" s="77" t="s">
        <v>6997</v>
      </c>
      <c r="C890" s="17" t="s">
        <v>104</v>
      </c>
      <c r="D890" s="18" t="s">
        <v>6998</v>
      </c>
      <c r="E890" s="17" t="s">
        <v>106</v>
      </c>
      <c r="F890" s="17" t="s">
        <v>107</v>
      </c>
      <c r="G890" s="17" t="s">
        <v>108</v>
      </c>
      <c r="H890" s="78">
        <v>1013623801</v>
      </c>
      <c r="I890" s="74" t="s">
        <v>6999</v>
      </c>
      <c r="J890" s="16"/>
      <c r="K890" s="16"/>
      <c r="L890" s="20" t="s">
        <v>7000</v>
      </c>
      <c r="M890" s="16" t="s">
        <v>6261</v>
      </c>
      <c r="N890" s="22">
        <v>45552</v>
      </c>
      <c r="O890" s="22">
        <v>45555</v>
      </c>
      <c r="P890" s="22">
        <v>45656</v>
      </c>
      <c r="Q890" s="23">
        <f t="shared" si="362"/>
        <v>101</v>
      </c>
      <c r="R890" s="17" t="s">
        <v>112</v>
      </c>
      <c r="S890" s="16" t="s">
        <v>7001</v>
      </c>
      <c r="T890" s="16" t="s">
        <v>6888</v>
      </c>
      <c r="U890" s="67">
        <v>28448000</v>
      </c>
      <c r="V890" s="16" t="s">
        <v>6889</v>
      </c>
      <c r="W890" s="67">
        <v>20172250</v>
      </c>
      <c r="X890" s="24">
        <v>5763500</v>
      </c>
      <c r="Y890" s="24"/>
      <c r="Z890" s="24"/>
      <c r="AA890" s="17" t="s">
        <v>116</v>
      </c>
      <c r="AB890" s="23" t="str">
        <f>IFERROR(VLOOKUP(AA890,Listas!$A$1:$C$14,2,FALSE),"")</f>
        <v>FREDY CÉSPEDES VILLA</v>
      </c>
      <c r="AC890" s="23">
        <f>IFERROR(VLOOKUP(AA890,Listas!$A$1:$C$14,3,FALSE),"")</f>
        <v>93363483</v>
      </c>
      <c r="AD890" s="17" t="s">
        <v>345</v>
      </c>
      <c r="AE890" s="17" t="s">
        <v>921</v>
      </c>
      <c r="AF890" s="23" t="str">
        <f>IFERROR(VLOOKUP(AE890,Listas!$AD$1:$AF$65,2,FALSE),"")</f>
        <v>LUZ MARINA CARREÑO</v>
      </c>
      <c r="AG890" s="23">
        <f>IFERROR(VLOOKUP(AE890,Listas!$AD$1:$AF$65,3,FALSE),"")</f>
        <v>63392036</v>
      </c>
      <c r="AH890" s="17" t="s">
        <v>118</v>
      </c>
      <c r="AI890" s="65" t="s">
        <v>7002</v>
      </c>
      <c r="AJ890" s="25" t="s">
        <v>4370</v>
      </c>
      <c r="AK890" s="26" t="s">
        <v>120</v>
      </c>
      <c r="AL890" s="26" t="s">
        <v>120</v>
      </c>
      <c r="AM890" s="90" t="s">
        <v>119</v>
      </c>
      <c r="AN890" s="105"/>
      <c r="AO890" s="91" t="str">
        <f t="shared" ca="1" si="364"/>
        <v xml:space="preserve"> </v>
      </c>
      <c r="AP890" s="26" t="s">
        <v>121</v>
      </c>
      <c r="AQ890" s="26"/>
      <c r="AR890" s="89"/>
      <c r="AS890" s="27"/>
      <c r="AT890" s="16"/>
      <c r="AU890" s="27"/>
      <c r="AV890" s="86"/>
      <c r="AW890" s="27"/>
      <c r="AX890" s="27"/>
      <c r="AY890" s="27"/>
      <c r="AZ890" s="27"/>
      <c r="BA890" s="27"/>
      <c r="BB890" s="27"/>
      <c r="BC890" s="97"/>
      <c r="BD890" s="27"/>
      <c r="BE890" s="16"/>
      <c r="BF890" s="28">
        <f t="shared" si="350"/>
        <v>0</v>
      </c>
      <c r="BG890" s="29"/>
      <c r="BH890" s="27"/>
      <c r="BI890" s="30">
        <f t="shared" si="351"/>
        <v>101</v>
      </c>
      <c r="BJ890" s="31">
        <f t="shared" si="352"/>
        <v>45656</v>
      </c>
      <c r="BK890" s="27"/>
      <c r="BL890" s="16"/>
      <c r="BM890" s="27"/>
      <c r="BN890" s="16"/>
      <c r="BO890" s="27"/>
      <c r="BP890" s="16"/>
      <c r="BQ890" s="27"/>
      <c r="BR890" s="24"/>
      <c r="BS890" s="24"/>
      <c r="BT890" s="32"/>
      <c r="BU890" s="27"/>
      <c r="BV890" s="24"/>
      <c r="BW890" s="24"/>
      <c r="BX890" s="16"/>
      <c r="BY890" s="27"/>
      <c r="BZ890" s="24"/>
      <c r="CA890" s="24"/>
      <c r="CB890" s="16"/>
      <c r="CC890" s="49">
        <f t="shared" si="353"/>
        <v>0</v>
      </c>
      <c r="CD890" s="24"/>
      <c r="CE890" s="49">
        <f>IF(Y890=0,(W890+CC890)-CD890,IF(Y890&gt;0,(Y890+CC890)-CD890))</f>
        <v>20172250</v>
      </c>
      <c r="CF890" s="50"/>
      <c r="CG890" s="49">
        <f ca="1">IFERROR(IF(((CE890/BI890)*(TODAY()-N890))&gt;CE890,CE890,((CE890/BI890)*(TODAY()-N890))),"")</f>
        <v>20172250</v>
      </c>
      <c r="CH890" s="33">
        <f t="shared" ca="1" si="357"/>
        <v>1</v>
      </c>
      <c r="CI890" s="33">
        <f t="shared" ca="1" si="358"/>
        <v>1</v>
      </c>
      <c r="CJ890" s="36">
        <f t="shared" ca="1" si="347"/>
        <v>100</v>
      </c>
      <c r="CK890" s="34">
        <f t="shared" si="348"/>
        <v>0</v>
      </c>
      <c r="CL890" s="21"/>
      <c r="CM890" s="35" t="str">
        <f t="shared" ca="1" si="365"/>
        <v>TERMINADO</v>
      </c>
      <c r="CN890" s="82"/>
      <c r="CO890" s="145" t="s">
        <v>7003</v>
      </c>
      <c r="CP890" s="26" t="s">
        <v>142</v>
      </c>
    </row>
    <row r="891" spans="1:97" s="85" customFormat="1" ht="24.75" customHeight="1">
      <c r="A891" s="48" t="s">
        <v>1424</v>
      </c>
      <c r="B891" s="77" t="s">
        <v>7004</v>
      </c>
      <c r="C891" s="17" t="s">
        <v>2927</v>
      </c>
      <c r="D891" s="18" t="s">
        <v>7005</v>
      </c>
      <c r="E891" s="17" t="s">
        <v>5866</v>
      </c>
      <c r="F891" s="17" t="s">
        <v>1426</v>
      </c>
      <c r="G891" s="17" t="s">
        <v>1427</v>
      </c>
      <c r="H891" s="78" t="s">
        <v>7006</v>
      </c>
      <c r="I891" s="74" t="s">
        <v>7007</v>
      </c>
      <c r="J891" s="16" t="s">
        <v>7008</v>
      </c>
      <c r="K891" s="16">
        <v>79985199</v>
      </c>
      <c r="L891" s="20" t="s">
        <v>7009</v>
      </c>
      <c r="M891" s="16"/>
      <c r="N891" s="22">
        <v>45555</v>
      </c>
      <c r="O891" s="22">
        <v>45555</v>
      </c>
      <c r="P891" s="22">
        <v>45838</v>
      </c>
      <c r="Q891" s="23">
        <f t="shared" si="362"/>
        <v>283</v>
      </c>
      <c r="R891" s="17" t="s">
        <v>242</v>
      </c>
      <c r="S891" s="16" t="s">
        <v>6980</v>
      </c>
      <c r="T891" s="16" t="s">
        <v>6981</v>
      </c>
      <c r="U891" s="24">
        <v>3011307200</v>
      </c>
      <c r="V891" s="16" t="s">
        <v>6131</v>
      </c>
      <c r="W891" s="24">
        <v>1503171709</v>
      </c>
      <c r="X891" s="24"/>
      <c r="Y891" s="24">
        <v>5955310209</v>
      </c>
      <c r="Z891" s="24"/>
      <c r="AA891" s="17" t="s">
        <v>607</v>
      </c>
      <c r="AB891" s="23" t="str">
        <f>IFERROR(VLOOKUP(AA891,Listas!$A$1:$C$14,2,FALSE),"")</f>
        <v>MARÍA FRANCISCA CEPEDA QUINTERO</v>
      </c>
      <c r="AC891" s="23">
        <f>IFERROR(VLOOKUP(AA891,Listas!$A$1:$C$14,3,FALSE),"")</f>
        <v>53062608</v>
      </c>
      <c r="AD891" s="17" t="s">
        <v>607</v>
      </c>
      <c r="AE891" s="17" t="s">
        <v>1155</v>
      </c>
      <c r="AF891" s="23" t="str">
        <f>IFERROR(VLOOKUP(AE891,Listas!$AD$1:$AF$65,2,FALSE),"")</f>
        <v>MARÍA FRANCISCA CEPEDA QUINTERO</v>
      </c>
      <c r="AG891" s="23">
        <f>IFERROR(VLOOKUP(AE891,Listas!$AD$1:$AF$65,3,FALSE),"")</f>
        <v>53062608</v>
      </c>
      <c r="AH891" s="17" t="s">
        <v>2936</v>
      </c>
      <c r="AI891" s="65"/>
      <c r="AJ891" s="25" t="s">
        <v>1435</v>
      </c>
      <c r="AK891" s="26" t="s">
        <v>2071</v>
      </c>
      <c r="AL891" s="26" t="s">
        <v>2071</v>
      </c>
      <c r="AM891" s="90" t="s">
        <v>1435</v>
      </c>
      <c r="AN891" s="105"/>
      <c r="AO891" s="91" t="str">
        <f t="shared" ca="1" si="364"/>
        <v xml:space="preserve"> </v>
      </c>
      <c r="AP891" s="26" t="s">
        <v>2937</v>
      </c>
      <c r="AQ891" s="26" t="s">
        <v>3437</v>
      </c>
      <c r="AR891" s="89"/>
      <c r="AS891" s="27"/>
      <c r="AT891" s="16"/>
      <c r="AU891" s="27"/>
      <c r="AV891" s="86"/>
      <c r="AW891" s="27"/>
      <c r="AX891" s="27"/>
      <c r="AY891" s="27"/>
      <c r="AZ891" s="27"/>
      <c r="BA891" s="27"/>
      <c r="BB891" s="27"/>
      <c r="BC891" s="97"/>
      <c r="BD891" s="27"/>
      <c r="BE891" s="16"/>
      <c r="BF891" s="28">
        <f t="shared" si="350"/>
        <v>0</v>
      </c>
      <c r="BG891" s="29"/>
      <c r="BH891" s="27"/>
      <c r="BI891" s="30">
        <f t="shared" si="351"/>
        <v>283</v>
      </c>
      <c r="BJ891" s="31">
        <f t="shared" si="352"/>
        <v>45838</v>
      </c>
      <c r="BK891" s="27"/>
      <c r="BL891" s="16"/>
      <c r="BM891" s="27"/>
      <c r="BN891" s="16"/>
      <c r="BO891" s="27"/>
      <c r="BP891" s="16"/>
      <c r="BQ891" s="27"/>
      <c r="BR891" s="24"/>
      <c r="BS891" s="24"/>
      <c r="BT891" s="32"/>
      <c r="BU891" s="27"/>
      <c r="BV891" s="24"/>
      <c r="BW891" s="24"/>
      <c r="BX891" s="16"/>
      <c r="BY891" s="27"/>
      <c r="BZ891" s="24"/>
      <c r="CA891" s="24"/>
      <c r="CB891" s="16"/>
      <c r="CC891" s="49">
        <f t="shared" si="353"/>
        <v>0</v>
      </c>
      <c r="CD891" s="24"/>
      <c r="CE891" s="49">
        <f t="shared" si="361"/>
        <v>5955310209</v>
      </c>
      <c r="CF891" s="50">
        <v>1332833000</v>
      </c>
      <c r="CG891" s="49">
        <f t="shared" ca="1" si="366"/>
        <v>5955310209</v>
      </c>
      <c r="CH891" s="33">
        <f t="shared" ca="1" si="357"/>
        <v>1</v>
      </c>
      <c r="CI891" s="33">
        <f t="shared" ca="1" si="358"/>
        <v>1</v>
      </c>
      <c r="CJ891" s="36">
        <f t="shared" ca="1" si="347"/>
        <v>100</v>
      </c>
      <c r="CK891" s="34">
        <f t="shared" si="348"/>
        <v>22.380580578082192</v>
      </c>
      <c r="CL891" s="21"/>
      <c r="CM891" s="35" t="str">
        <f t="shared" ca="1" si="365"/>
        <v>TERMINADO</v>
      </c>
      <c r="CN891" s="82"/>
      <c r="CO891" s="145"/>
      <c r="CP891" s="26"/>
      <c r="CQ891" s="83"/>
      <c r="CR891" s="83"/>
      <c r="CS891" s="151"/>
    </row>
    <row r="892" spans="1:97" s="85" customFormat="1" ht="24.75" customHeight="1">
      <c r="A892" s="48"/>
      <c r="B892" s="77" t="s">
        <v>7010</v>
      </c>
      <c r="C892" s="17" t="s">
        <v>104</v>
      </c>
      <c r="D892" s="18" t="s">
        <v>7011</v>
      </c>
      <c r="E892" s="17" t="s">
        <v>106</v>
      </c>
      <c r="F892" s="17" t="s">
        <v>1426</v>
      </c>
      <c r="G892" s="17" t="s">
        <v>1427</v>
      </c>
      <c r="H892" s="78" t="s">
        <v>7012</v>
      </c>
      <c r="I892" s="74" t="s">
        <v>7013</v>
      </c>
      <c r="J892" s="16"/>
      <c r="K892" s="16"/>
      <c r="L892" s="96" t="s">
        <v>7014</v>
      </c>
      <c r="M892" s="16"/>
      <c r="N892" s="22">
        <v>45560</v>
      </c>
      <c r="O892" s="22">
        <v>45565</v>
      </c>
      <c r="P892" s="22">
        <v>46022</v>
      </c>
      <c r="Q892" s="23">
        <f t="shared" si="362"/>
        <v>457</v>
      </c>
      <c r="R892" s="17" t="s">
        <v>242</v>
      </c>
      <c r="S892" s="16" t="s">
        <v>7015</v>
      </c>
      <c r="T892" s="16" t="s">
        <v>6578</v>
      </c>
      <c r="U892" s="24">
        <v>123420000</v>
      </c>
      <c r="V892" s="16" t="s">
        <v>6806</v>
      </c>
      <c r="W892" s="24">
        <v>351331884</v>
      </c>
      <c r="X892" s="24"/>
      <c r="Y892" s="24"/>
      <c r="Z892" s="24"/>
      <c r="AA892" s="17" t="s">
        <v>116</v>
      </c>
      <c r="AB892" s="23" t="str">
        <f>IFERROR(VLOOKUP(AA892,Listas!$A$1:$C$14,2,FALSE),"")</f>
        <v>FREDY CÉSPEDES VILLA</v>
      </c>
      <c r="AC892" s="23">
        <f>IFERROR(VLOOKUP(AA892,Listas!$A$1:$C$14,3,FALSE),"")</f>
        <v>93363483</v>
      </c>
      <c r="AD892" s="17" t="s">
        <v>816</v>
      </c>
      <c r="AE892" s="17" t="s">
        <v>2577</v>
      </c>
      <c r="AF892" s="23" t="str">
        <f>IFERROR(VLOOKUP(AE892,Listas!$AD$1:$AF$65,2,FALSE),"")</f>
        <v>VICTOR RAUL BAUTISTA GALINDO</v>
      </c>
      <c r="AG892" s="23">
        <f>IFERROR(VLOOKUP(AE892,Listas!$AD$1:$AF$65,3,FALSE),"")</f>
        <v>79352968</v>
      </c>
      <c r="AH892" s="17" t="s">
        <v>118</v>
      </c>
      <c r="AI892" s="65"/>
      <c r="AJ892" s="25" t="s">
        <v>1435</v>
      </c>
      <c r="AK892" s="26" t="s">
        <v>2071</v>
      </c>
      <c r="AL892" s="26" t="s">
        <v>2071</v>
      </c>
      <c r="AM892" s="90" t="s">
        <v>1435</v>
      </c>
      <c r="AN892" s="105"/>
      <c r="AO892" s="91" t="str">
        <f t="shared" ca="1" si="364"/>
        <v xml:space="preserve"> </v>
      </c>
      <c r="AP892" s="26" t="s">
        <v>121</v>
      </c>
      <c r="AQ892" s="26" t="s">
        <v>122</v>
      </c>
      <c r="AR892" s="89"/>
      <c r="AS892" s="27"/>
      <c r="AT892" s="16"/>
      <c r="AU892" s="27"/>
      <c r="AV892" s="86"/>
      <c r="AW892" s="27"/>
      <c r="AX892" s="27"/>
      <c r="AY892" s="27"/>
      <c r="AZ892" s="27"/>
      <c r="BA892" s="27"/>
      <c r="BB892" s="27"/>
      <c r="BC892" s="97"/>
      <c r="BD892" s="27"/>
      <c r="BE892" s="16"/>
      <c r="BF892" s="28">
        <f t="shared" si="350"/>
        <v>0</v>
      </c>
      <c r="BG892" s="29"/>
      <c r="BH892" s="27"/>
      <c r="BI892" s="30">
        <f t="shared" si="351"/>
        <v>457</v>
      </c>
      <c r="BJ892" s="31">
        <f t="shared" si="352"/>
        <v>46022</v>
      </c>
      <c r="BK892" s="27"/>
      <c r="BL892" s="16"/>
      <c r="BM892" s="27"/>
      <c r="BN892" s="16"/>
      <c r="BO892" s="27"/>
      <c r="BP892" s="16"/>
      <c r="BQ892" s="27"/>
      <c r="BR892" s="24"/>
      <c r="BS892" s="24"/>
      <c r="BT892" s="32"/>
      <c r="BU892" s="27"/>
      <c r="BV892" s="24"/>
      <c r="BW892" s="24"/>
      <c r="BX892" s="16"/>
      <c r="BY892" s="27"/>
      <c r="BZ892" s="24"/>
      <c r="CA892" s="24"/>
      <c r="CB892" s="16"/>
      <c r="CC892" s="49">
        <f t="shared" si="353"/>
        <v>0</v>
      </c>
      <c r="CD892" s="24"/>
      <c r="CE892" s="49">
        <f t="shared" si="361"/>
        <v>351331884</v>
      </c>
      <c r="CF892" s="50"/>
      <c r="CG892" s="49">
        <f t="shared" ca="1" si="366"/>
        <v>299823708.4463895</v>
      </c>
      <c r="CH892" s="33">
        <f t="shared" ca="1" si="357"/>
        <v>0.84444444444444444</v>
      </c>
      <c r="CI892" s="33">
        <f t="shared" ca="1" si="358"/>
        <v>0.84444444444444444</v>
      </c>
      <c r="CJ892" s="36">
        <f t="shared" ca="1" si="347"/>
        <v>85.33916849015317</v>
      </c>
      <c r="CK892" s="34">
        <f t="shared" si="348"/>
        <v>0</v>
      </c>
      <c r="CL892" s="21"/>
      <c r="CM892" s="35" t="str">
        <f t="shared" ca="1" si="365"/>
        <v>VIGENTE</v>
      </c>
      <c r="CN892" s="82"/>
      <c r="CO892" s="145"/>
      <c r="CP892" s="26"/>
      <c r="CQ892" s="83"/>
      <c r="CR892" s="83"/>
      <c r="CS892" s="151"/>
    </row>
    <row r="893" spans="1:97" s="85" customFormat="1" ht="24.75" customHeight="1">
      <c r="A893" s="48" t="s">
        <v>6456</v>
      </c>
      <c r="B893" s="77" t="s">
        <v>7016</v>
      </c>
      <c r="C893" s="17" t="s">
        <v>5814</v>
      </c>
      <c r="D893" s="18" t="s">
        <v>7017</v>
      </c>
      <c r="E893" s="17" t="s">
        <v>106</v>
      </c>
      <c r="F893" s="17" t="s">
        <v>1426</v>
      </c>
      <c r="G893" s="17" t="s">
        <v>1427</v>
      </c>
      <c r="H893" s="78" t="s">
        <v>7018</v>
      </c>
      <c r="I893" s="74" t="s">
        <v>7019</v>
      </c>
      <c r="J893" s="16" t="s">
        <v>7020</v>
      </c>
      <c r="K893" s="16">
        <v>1012318172</v>
      </c>
      <c r="L893" s="96" t="s">
        <v>7021</v>
      </c>
      <c r="M893" s="16"/>
      <c r="N893" s="22">
        <v>45560</v>
      </c>
      <c r="O893" s="22">
        <v>45567</v>
      </c>
      <c r="P893" s="22">
        <v>45656</v>
      </c>
      <c r="Q893" s="23">
        <f t="shared" si="362"/>
        <v>89</v>
      </c>
      <c r="R893" s="17" t="s">
        <v>242</v>
      </c>
      <c r="S893" s="16" t="s">
        <v>7022</v>
      </c>
      <c r="T893" s="16" t="s">
        <v>7023</v>
      </c>
      <c r="U893" s="24">
        <v>254145094</v>
      </c>
      <c r="V893" s="16" t="s">
        <v>7024</v>
      </c>
      <c r="W893" s="24">
        <v>51757083</v>
      </c>
      <c r="X893" s="24"/>
      <c r="Y893" s="24"/>
      <c r="Z893" s="24"/>
      <c r="AA893" s="17" t="s">
        <v>116</v>
      </c>
      <c r="AB893" s="23" t="str">
        <f>IFERROR(VLOOKUP(AA893,Listas!$A$1:$C$14,2,FALSE),"")</f>
        <v>FREDY CÉSPEDES VILLA</v>
      </c>
      <c r="AC893" s="23">
        <f>IFERROR(VLOOKUP(AA893,Listas!$A$1:$C$14,3,FALSE),"")</f>
        <v>93363483</v>
      </c>
      <c r="AD893" s="17" t="s">
        <v>116</v>
      </c>
      <c r="AE893" s="17" t="s">
        <v>659</v>
      </c>
      <c r="AF893" s="23" t="str">
        <f>IFERROR(VLOOKUP(AE893,Listas!$AD$1:$AF$65,2,FALSE),"")</f>
        <v>TATIANA FORERO TORRES</v>
      </c>
      <c r="AG893" s="23">
        <f>IFERROR(VLOOKUP(AE893,Listas!$AD$1:$AF$65,3,FALSE),"")</f>
        <v>1072446921</v>
      </c>
      <c r="AH893" s="17" t="s">
        <v>5821</v>
      </c>
      <c r="AI893" s="65"/>
      <c r="AJ893" s="25" t="s">
        <v>1435</v>
      </c>
      <c r="AK893" s="26" t="s">
        <v>2071</v>
      </c>
      <c r="AL893" s="26" t="s">
        <v>2071</v>
      </c>
      <c r="AM893" s="90" t="s">
        <v>1435</v>
      </c>
      <c r="AN893" s="105"/>
      <c r="AO893" s="91" t="str">
        <f t="shared" ca="1" si="364"/>
        <v xml:space="preserve"> </v>
      </c>
      <c r="AP893" s="26" t="s">
        <v>121</v>
      </c>
      <c r="AQ893" s="26" t="s">
        <v>1641</v>
      </c>
      <c r="AR893" s="89"/>
      <c r="AS893" s="27"/>
      <c r="AT893" s="16"/>
      <c r="AU893" s="27"/>
      <c r="AV893" s="86"/>
      <c r="AW893" s="27"/>
      <c r="AX893" s="27"/>
      <c r="AY893" s="27"/>
      <c r="AZ893" s="27"/>
      <c r="BA893" s="27"/>
      <c r="BB893" s="27"/>
      <c r="BC893" s="97"/>
      <c r="BD893" s="27"/>
      <c r="BE893" s="16"/>
      <c r="BF893" s="28">
        <f t="shared" si="350"/>
        <v>0</v>
      </c>
      <c r="BG893" s="29"/>
      <c r="BH893" s="27"/>
      <c r="BI893" s="30">
        <f t="shared" si="351"/>
        <v>89</v>
      </c>
      <c r="BJ893" s="31">
        <f t="shared" si="352"/>
        <v>45656</v>
      </c>
      <c r="BK893" s="27"/>
      <c r="BL893" s="16"/>
      <c r="BM893" s="27"/>
      <c r="BN893" s="16"/>
      <c r="BO893" s="27"/>
      <c r="BP893" s="16"/>
      <c r="BQ893" s="27"/>
      <c r="BR893" s="24"/>
      <c r="BS893" s="24"/>
      <c r="BT893" s="32"/>
      <c r="BU893" s="27"/>
      <c r="BV893" s="24"/>
      <c r="BW893" s="24"/>
      <c r="BX893" s="16"/>
      <c r="BY893" s="27"/>
      <c r="BZ893" s="24"/>
      <c r="CA893" s="24"/>
      <c r="CB893" s="16"/>
      <c r="CC893" s="49">
        <f t="shared" si="353"/>
        <v>0</v>
      </c>
      <c r="CD893" s="24"/>
      <c r="CE893" s="49">
        <f t="shared" si="361"/>
        <v>51757083</v>
      </c>
      <c r="CF893" s="50"/>
      <c r="CG893" s="49">
        <f t="shared" ca="1" si="366"/>
        <v>51757083</v>
      </c>
      <c r="CH893" s="33">
        <f t="shared" ca="1" si="357"/>
        <v>1</v>
      </c>
      <c r="CI893" s="33">
        <f t="shared" ca="1" si="358"/>
        <v>1</v>
      </c>
      <c r="CJ893" s="36">
        <f t="shared" ca="1" si="347"/>
        <v>100</v>
      </c>
      <c r="CK893" s="34">
        <f t="shared" si="348"/>
        <v>0</v>
      </c>
      <c r="CL893" s="21"/>
      <c r="CM893" s="35" t="str">
        <f t="shared" ca="1" si="365"/>
        <v>TERMINADO</v>
      </c>
      <c r="CN893" s="82"/>
      <c r="CO893" s="145"/>
      <c r="CP893" s="26"/>
      <c r="CQ893" s="83"/>
      <c r="CR893" s="83"/>
      <c r="CS893" s="151"/>
    </row>
    <row r="894" spans="1:97" s="85" customFormat="1" ht="24.75" customHeight="1">
      <c r="A894" s="48" t="s">
        <v>7025</v>
      </c>
      <c r="B894" s="77" t="s">
        <v>7026</v>
      </c>
      <c r="C894" s="17" t="s">
        <v>104</v>
      </c>
      <c r="D894" s="18" t="s">
        <v>7027</v>
      </c>
      <c r="E894" s="17" t="s">
        <v>106</v>
      </c>
      <c r="F894" s="17" t="s">
        <v>1426</v>
      </c>
      <c r="G894" s="17" t="s">
        <v>1427</v>
      </c>
      <c r="H894" s="78" t="s">
        <v>7028</v>
      </c>
      <c r="I894" s="74" t="s">
        <v>7029</v>
      </c>
      <c r="J894" s="16"/>
      <c r="K894" s="16"/>
      <c r="L894" s="96" t="s">
        <v>7030</v>
      </c>
      <c r="M894" s="16"/>
      <c r="N894" s="22">
        <v>45562</v>
      </c>
      <c r="O894" s="22">
        <v>45567</v>
      </c>
      <c r="P894" s="22">
        <v>45931</v>
      </c>
      <c r="Q894" s="23">
        <f t="shared" si="362"/>
        <v>364</v>
      </c>
      <c r="R894" s="17" t="s">
        <v>242</v>
      </c>
      <c r="S894" s="16" t="s">
        <v>1070</v>
      </c>
      <c r="T894" s="16" t="s">
        <v>2811</v>
      </c>
      <c r="U894" s="24">
        <v>252044750</v>
      </c>
      <c r="V894" s="16" t="s">
        <v>3076</v>
      </c>
      <c r="W894" s="24">
        <v>190000000</v>
      </c>
      <c r="X894" s="24"/>
      <c r="Y894" s="24"/>
      <c r="Z894" s="24"/>
      <c r="AA894" s="17" t="s">
        <v>116</v>
      </c>
      <c r="AB894" s="23" t="str">
        <f>IFERROR(VLOOKUP(AA894,Listas!$A$1:$C$14,2,FALSE),"")</f>
        <v>FREDY CÉSPEDES VILLA</v>
      </c>
      <c r="AC894" s="23">
        <f>IFERROR(VLOOKUP(AA894,Listas!$A$1:$C$14,3,FALSE),"")</f>
        <v>93363483</v>
      </c>
      <c r="AD894" s="17" t="s">
        <v>816</v>
      </c>
      <c r="AE894" s="17" t="s">
        <v>6614</v>
      </c>
      <c r="AF894" s="23" t="str">
        <f>IFERROR(VLOOKUP(AE894,Listas!$AD$1:$AF$65,2,FALSE),"")</f>
        <v>VICTOR RAUL BAUTISTA GALINDO</v>
      </c>
      <c r="AG894" s="23">
        <f>IFERROR(VLOOKUP(AE894,Listas!$AD$1:$AF$65,3,FALSE),"")</f>
        <v>79352968</v>
      </c>
      <c r="AH894" s="17" t="s">
        <v>3186</v>
      </c>
      <c r="AI894" s="65"/>
      <c r="AJ894" s="25" t="s">
        <v>1435</v>
      </c>
      <c r="AK894" s="26" t="s">
        <v>2071</v>
      </c>
      <c r="AL894" s="26" t="s">
        <v>2071</v>
      </c>
      <c r="AM894" s="90" t="s">
        <v>1435</v>
      </c>
      <c r="AN894" s="105"/>
      <c r="AO894" s="91" t="str">
        <f t="shared" ca="1" si="364"/>
        <v xml:space="preserve"> </v>
      </c>
      <c r="AP894" s="26" t="s">
        <v>121</v>
      </c>
      <c r="AQ894" s="26" t="s">
        <v>819</v>
      </c>
      <c r="AR894" s="89"/>
      <c r="AS894" s="27"/>
      <c r="AT894" s="16"/>
      <c r="AU894" s="27"/>
      <c r="AV894" s="86"/>
      <c r="AW894" s="27"/>
      <c r="AX894" s="27"/>
      <c r="AY894" s="27"/>
      <c r="AZ894" s="27"/>
      <c r="BA894" s="27"/>
      <c r="BB894" s="27"/>
      <c r="BC894" s="97"/>
      <c r="BD894" s="27"/>
      <c r="BE894" s="16"/>
      <c r="BF894" s="28">
        <f t="shared" si="350"/>
        <v>0</v>
      </c>
      <c r="BG894" s="29"/>
      <c r="BH894" s="27"/>
      <c r="BI894" s="30">
        <f t="shared" si="351"/>
        <v>364</v>
      </c>
      <c r="BJ894" s="31">
        <f t="shared" si="352"/>
        <v>45931</v>
      </c>
      <c r="BK894" s="27"/>
      <c r="BL894" s="16"/>
      <c r="BM894" s="27"/>
      <c r="BN894" s="16"/>
      <c r="BO894" s="27"/>
      <c r="BP894" s="16"/>
      <c r="BQ894" s="27"/>
      <c r="BR894" s="24"/>
      <c r="BS894" s="24"/>
      <c r="BT894" s="32"/>
      <c r="BU894" s="27"/>
      <c r="BV894" s="24"/>
      <c r="BW894" s="24"/>
      <c r="BX894" s="16"/>
      <c r="BY894" s="27"/>
      <c r="BZ894" s="24"/>
      <c r="CA894" s="24"/>
      <c r="CB894" s="16"/>
      <c r="CC894" s="49">
        <f t="shared" si="353"/>
        <v>0</v>
      </c>
      <c r="CD894" s="24"/>
      <c r="CE894" s="49">
        <f>IF(Y894=0,(U894+CC894)-CD894,IF(Y894&gt;0,(Y894+CC894)-CD894))</f>
        <v>252044750</v>
      </c>
      <c r="CF894" s="50"/>
      <c r="CG894" s="49">
        <f t="shared" ca="1" si="366"/>
        <v>252044750</v>
      </c>
      <c r="CH894" s="33">
        <f t="shared" ca="1" si="357"/>
        <v>1</v>
      </c>
      <c r="CI894" s="33">
        <f t="shared" ca="1" si="358"/>
        <v>1</v>
      </c>
      <c r="CJ894" s="36">
        <f t="shared" ca="1" si="347"/>
        <v>100</v>
      </c>
      <c r="CK894" s="34">
        <f t="shared" si="348"/>
        <v>0</v>
      </c>
      <c r="CL894" s="21"/>
      <c r="CM894" s="35" t="str">
        <f t="shared" ca="1" si="365"/>
        <v>TERMINADO</v>
      </c>
      <c r="CN894" s="82"/>
      <c r="CO894" s="145"/>
      <c r="CP894" s="26"/>
      <c r="CQ894" s="83"/>
      <c r="CR894" s="83"/>
      <c r="CS894" s="151"/>
    </row>
    <row r="895" spans="1:97" s="85" customFormat="1" ht="64.5" customHeight="1">
      <c r="A895" s="48" t="s">
        <v>1424</v>
      </c>
      <c r="B895" s="77" t="s">
        <v>7031</v>
      </c>
      <c r="C895" s="17" t="s">
        <v>2927</v>
      </c>
      <c r="D895" s="18" t="s">
        <v>7032</v>
      </c>
      <c r="E895" s="17" t="s">
        <v>5866</v>
      </c>
      <c r="F895" s="17" t="s">
        <v>1426</v>
      </c>
      <c r="G895" s="17" t="s">
        <v>1427</v>
      </c>
      <c r="H895" s="78" t="s">
        <v>7033</v>
      </c>
      <c r="I895" s="74" t="s">
        <v>7034</v>
      </c>
      <c r="J895" s="16" t="s">
        <v>7035</v>
      </c>
      <c r="K895" s="16" t="s">
        <v>7036</v>
      </c>
      <c r="L895" s="96" t="s">
        <v>7037</v>
      </c>
      <c r="M895" s="16"/>
      <c r="N895" s="22">
        <v>45562</v>
      </c>
      <c r="O895" s="22">
        <v>45562</v>
      </c>
      <c r="P895" s="22">
        <v>47388</v>
      </c>
      <c r="Q895" s="23">
        <f t="shared" si="362"/>
        <v>1826</v>
      </c>
      <c r="R895" s="17" t="s">
        <v>242</v>
      </c>
      <c r="S895" s="16" t="s">
        <v>7038</v>
      </c>
      <c r="T895" s="16" t="s">
        <v>7039</v>
      </c>
      <c r="U895" s="24"/>
      <c r="V895" s="16" t="s">
        <v>7040</v>
      </c>
      <c r="W895" s="24">
        <v>0</v>
      </c>
      <c r="X895" s="24"/>
      <c r="Y895" s="24" t="s">
        <v>7041</v>
      </c>
      <c r="Z895" s="24"/>
      <c r="AA895" s="17" t="s">
        <v>406</v>
      </c>
      <c r="AB895" s="23" t="str">
        <f>IFERROR(VLOOKUP(AA895,Listas!$A$1:$C$14,2,FALSE),"")</f>
        <v>EDUARDO ELÍAS BARCHA BOLÍVAR</v>
      </c>
      <c r="AC895" s="23">
        <f>IFERROR(VLOOKUP(AA895,Listas!$A$1:$C$14,3,FALSE),"")</f>
        <v>72133921</v>
      </c>
      <c r="AD895" s="17" t="s">
        <v>1533</v>
      </c>
      <c r="AE895" s="17" t="s">
        <v>1534</v>
      </c>
      <c r="AF895" s="23" t="str">
        <f>IFERROR(VLOOKUP(AE895,Listas!$AD$1:$AF$65,2,FALSE),"")</f>
        <v>ESTEBAN GUERRERO ALVAREZ</v>
      </c>
      <c r="AG895" s="23">
        <f>IFERROR(VLOOKUP(AE895,Listas!$AD$1:$AF$65,3,FALSE),"")</f>
        <v>1032460552</v>
      </c>
      <c r="AH895" s="17" t="s">
        <v>2936</v>
      </c>
      <c r="AI895" s="65"/>
      <c r="AJ895" s="25" t="s">
        <v>1435</v>
      </c>
      <c r="AK895" s="26" t="s">
        <v>2071</v>
      </c>
      <c r="AL895" s="26" t="s">
        <v>2071</v>
      </c>
      <c r="AM895" s="90" t="s">
        <v>1435</v>
      </c>
      <c r="AN895" s="105"/>
      <c r="AO895" s="91" t="str">
        <f t="shared" ca="1" si="364"/>
        <v xml:space="preserve"> </v>
      </c>
      <c r="AP895" s="26" t="s">
        <v>2937</v>
      </c>
      <c r="AQ895" s="26" t="s">
        <v>2938</v>
      </c>
      <c r="AR895" s="89"/>
      <c r="AS895" s="27"/>
      <c r="AT895" s="16"/>
      <c r="AU895" s="27"/>
      <c r="AV895" s="86"/>
      <c r="AW895" s="27"/>
      <c r="AX895" s="27"/>
      <c r="AY895" s="27"/>
      <c r="AZ895" s="27"/>
      <c r="BA895" s="27"/>
      <c r="BB895" s="27"/>
      <c r="BC895" s="97"/>
      <c r="BD895" s="27"/>
      <c r="BE895" s="16"/>
      <c r="BF895" s="28">
        <f t="shared" si="350"/>
        <v>0</v>
      </c>
      <c r="BG895" s="29"/>
      <c r="BH895" s="27"/>
      <c r="BI895" s="30">
        <f t="shared" si="351"/>
        <v>1826</v>
      </c>
      <c r="BJ895" s="31">
        <f t="shared" si="352"/>
        <v>47388</v>
      </c>
      <c r="BK895" s="27"/>
      <c r="BL895" s="16"/>
      <c r="BM895" s="27"/>
      <c r="BN895" s="16"/>
      <c r="BO895" s="27"/>
      <c r="BP895" s="16"/>
      <c r="BQ895" s="27"/>
      <c r="BR895" s="24"/>
      <c r="BS895" s="24"/>
      <c r="BT895" s="32"/>
      <c r="BU895" s="27"/>
      <c r="BV895" s="24"/>
      <c r="BW895" s="24"/>
      <c r="BX895" s="16"/>
      <c r="BY895" s="27"/>
      <c r="BZ895" s="24"/>
      <c r="CA895" s="24"/>
      <c r="CB895" s="16"/>
      <c r="CC895" s="49">
        <f t="shared" si="353"/>
        <v>0</v>
      </c>
      <c r="CD895" s="24"/>
      <c r="CE895" s="49" t="str">
        <f>IFERROR(IF(Y895=0,(W895+CC895)-CD895,IF(Y895&gt;0,(Y895+CC895)-CD895)),"")</f>
        <v/>
      </c>
      <c r="CF895" s="50">
        <v>0</v>
      </c>
      <c r="CG895" s="49" t="str">
        <f t="shared" ca="1" si="366"/>
        <v/>
      </c>
      <c r="CH895" s="33">
        <f t="shared" ca="1" si="357"/>
        <v>0.21277777777777779</v>
      </c>
      <c r="CI895" s="33">
        <f t="shared" ca="1" si="358"/>
        <v>0.21277777777777779</v>
      </c>
      <c r="CJ895" s="36" t="str">
        <f t="shared" ca="1" si="347"/>
        <v/>
      </c>
      <c r="CK895" s="34" t="str">
        <f t="shared" si="348"/>
        <v/>
      </c>
      <c r="CL895" s="21"/>
      <c r="CM895" s="35" t="str">
        <f t="shared" ca="1" si="365"/>
        <v>VIGENTE</v>
      </c>
      <c r="CN895" s="82"/>
      <c r="CO895" s="145"/>
      <c r="CP895" s="26"/>
      <c r="CQ895" s="83"/>
      <c r="CR895" s="83"/>
      <c r="CS895" s="151"/>
    </row>
    <row r="896" spans="1:97" ht="24.75" customHeight="1">
      <c r="A896" s="48" t="s">
        <v>7042</v>
      </c>
      <c r="B896" s="77" t="s">
        <v>7043</v>
      </c>
      <c r="C896" s="17" t="s">
        <v>104</v>
      </c>
      <c r="D896" s="18" t="s">
        <v>7044</v>
      </c>
      <c r="E896" s="17" t="s">
        <v>4162</v>
      </c>
      <c r="F896" s="17" t="s">
        <v>1426</v>
      </c>
      <c r="G896" s="17" t="s">
        <v>1427</v>
      </c>
      <c r="H896" s="78" t="s">
        <v>7045</v>
      </c>
      <c r="I896" s="74" t="s">
        <v>5710</v>
      </c>
      <c r="J896" s="16" t="s">
        <v>5711</v>
      </c>
      <c r="K896" s="16">
        <v>79782221</v>
      </c>
      <c r="L896" s="20" t="s">
        <v>7046</v>
      </c>
      <c r="M896" s="16"/>
      <c r="N896" s="22">
        <v>45565</v>
      </c>
      <c r="O896" s="22">
        <v>45566</v>
      </c>
      <c r="P896" s="22">
        <v>45930</v>
      </c>
      <c r="Q896" s="23">
        <f t="shared" si="362"/>
        <v>364</v>
      </c>
      <c r="R896" s="17" t="s">
        <v>112</v>
      </c>
      <c r="S896" s="16" t="s">
        <v>7047</v>
      </c>
      <c r="T896" s="16" t="s">
        <v>5714</v>
      </c>
      <c r="U896" s="67">
        <v>23720838</v>
      </c>
      <c r="V896" s="16" t="s">
        <v>5715</v>
      </c>
      <c r="W896" s="224">
        <v>23720838</v>
      </c>
      <c r="X896" s="24"/>
      <c r="Y896" s="24"/>
      <c r="Z896" s="24"/>
      <c r="AA896" s="17" t="s">
        <v>116</v>
      </c>
      <c r="AB896" s="23" t="str">
        <f>IFERROR(VLOOKUP(AA896,Listas!$A$1:$C$14,2,FALSE),"")</f>
        <v>FREDY CÉSPEDES VILLA</v>
      </c>
      <c r="AC896" s="23">
        <f>IFERROR(VLOOKUP(AA896,Listas!$A$1:$C$14,3,FALSE),"")</f>
        <v>93363483</v>
      </c>
      <c r="AD896" s="17" t="s">
        <v>217</v>
      </c>
      <c r="AE896" s="17" t="s">
        <v>539</v>
      </c>
      <c r="AF896" s="23" t="str">
        <f>IFERROR(VLOOKUP(AE896,Listas!$AD$1:$AF$65,2,FALSE),"")</f>
        <v>DORIS POVEDA BELTRÁN</v>
      </c>
      <c r="AG896" s="23">
        <f>IFERROR(VLOOKUP(AE896,Listas!$AD$1:$AF$65,3,FALSE),"")</f>
        <v>52049845</v>
      </c>
      <c r="AH896" s="17" t="s">
        <v>118</v>
      </c>
      <c r="AI896" s="65"/>
      <c r="AJ896" s="25" t="s">
        <v>1435</v>
      </c>
      <c r="AK896" s="26" t="s">
        <v>2071</v>
      </c>
      <c r="AL896" s="26" t="s">
        <v>2071</v>
      </c>
      <c r="AM896" s="90" t="s">
        <v>1435</v>
      </c>
      <c r="AN896" s="105"/>
      <c r="AO896" s="91" t="str">
        <f t="shared" ca="1" si="364"/>
        <v xml:space="preserve"> </v>
      </c>
      <c r="AP896" s="26" t="s">
        <v>121</v>
      </c>
      <c r="AQ896" s="26" t="s">
        <v>1272</v>
      </c>
      <c r="AR896" s="89"/>
      <c r="AS896" s="27"/>
      <c r="AT896" s="16"/>
      <c r="AU896" s="27"/>
      <c r="AV896" s="86"/>
      <c r="AW896" s="27"/>
      <c r="AX896" s="27"/>
      <c r="AY896" s="27"/>
      <c r="AZ896" s="27"/>
      <c r="BA896" s="27"/>
      <c r="BB896" s="27"/>
      <c r="BC896" s="97"/>
      <c r="BD896" s="27"/>
      <c r="BE896" s="16"/>
      <c r="BF896" s="28">
        <f t="shared" si="350"/>
        <v>0</v>
      </c>
      <c r="BG896" s="29"/>
      <c r="BH896" s="27"/>
      <c r="BI896" s="30">
        <f t="shared" si="351"/>
        <v>364</v>
      </c>
      <c r="BJ896" s="31">
        <f t="shared" si="352"/>
        <v>45930</v>
      </c>
      <c r="BK896" s="27"/>
      <c r="BL896" s="16"/>
      <c r="BM896" s="27"/>
      <c r="BN896" s="16"/>
      <c r="BO896" s="27"/>
      <c r="BP896" s="16"/>
      <c r="BQ896" s="27"/>
      <c r="BR896" s="24"/>
      <c r="BS896" s="24"/>
      <c r="BT896" s="32"/>
      <c r="BU896" s="27"/>
      <c r="BV896" s="24"/>
      <c r="BW896" s="24"/>
      <c r="BX896" s="16"/>
      <c r="BY896" s="27"/>
      <c r="BZ896" s="24"/>
      <c r="CA896" s="24"/>
      <c r="CB896" s="16"/>
      <c r="CC896" s="49">
        <f t="shared" si="353"/>
        <v>0</v>
      </c>
      <c r="CD896" s="24"/>
      <c r="CE896" s="49">
        <f t="shared" ref="CE896:CE927" si="367">IF(Y896=0,(W896+CC896)-CD896,IF(Y896&gt;0,(Y896+CC896)-CD896))</f>
        <v>23720838</v>
      </c>
      <c r="CF896" s="50"/>
      <c r="CG896" s="49">
        <f t="shared" ca="1" si="366"/>
        <v>23720838</v>
      </c>
      <c r="CH896" s="33">
        <f t="shared" ca="1" si="357"/>
        <v>1</v>
      </c>
      <c r="CI896" s="33">
        <f t="shared" ca="1" si="358"/>
        <v>1</v>
      </c>
      <c r="CJ896" s="36">
        <f t="shared" ca="1" si="347"/>
        <v>100</v>
      </c>
      <c r="CK896" s="34">
        <f t="shared" si="348"/>
        <v>0</v>
      </c>
      <c r="CL896" s="21"/>
      <c r="CM896" s="35" t="str">
        <f t="shared" ca="1" si="365"/>
        <v>TERMINADO</v>
      </c>
      <c r="CN896" s="82"/>
      <c r="CP896" s="26"/>
    </row>
    <row r="897" spans="1:97" ht="24.75" customHeight="1">
      <c r="A897" s="48" t="s">
        <v>7048</v>
      </c>
      <c r="B897" s="77" t="s">
        <v>7049</v>
      </c>
      <c r="C897" s="17" t="s">
        <v>104</v>
      </c>
      <c r="D897" s="18" t="s">
        <v>7050</v>
      </c>
      <c r="E897" s="17" t="s">
        <v>4162</v>
      </c>
      <c r="F897" s="17" t="s">
        <v>1426</v>
      </c>
      <c r="G897" s="17" t="s">
        <v>1427</v>
      </c>
      <c r="H897" s="78" t="s">
        <v>7045</v>
      </c>
      <c r="I897" s="74" t="s">
        <v>5710</v>
      </c>
      <c r="J897" s="16" t="s">
        <v>5711</v>
      </c>
      <c r="K897" s="16">
        <v>79782221</v>
      </c>
      <c r="L897" s="20" t="s">
        <v>7051</v>
      </c>
      <c r="M897" s="16"/>
      <c r="N897" s="22">
        <v>45565</v>
      </c>
      <c r="O897" s="22">
        <v>45566</v>
      </c>
      <c r="P897" s="22">
        <v>45930</v>
      </c>
      <c r="Q897" s="23">
        <f t="shared" si="362"/>
        <v>364</v>
      </c>
      <c r="R897" s="17" t="s">
        <v>112</v>
      </c>
      <c r="S897" s="16" t="s">
        <v>7052</v>
      </c>
      <c r="T897" s="16" t="s">
        <v>5714</v>
      </c>
      <c r="U897" s="67">
        <v>103147740</v>
      </c>
      <c r="V897" s="16" t="s">
        <v>5715</v>
      </c>
      <c r="W897" s="67">
        <v>103147740</v>
      </c>
      <c r="X897" s="24"/>
      <c r="Y897" s="24"/>
      <c r="Z897" s="24"/>
      <c r="AA897" s="17" t="s">
        <v>116</v>
      </c>
      <c r="AB897" s="23" t="str">
        <f>IFERROR(VLOOKUP(AA897,Listas!$A$1:$C$14,2,FALSE),"")</f>
        <v>FREDY CÉSPEDES VILLA</v>
      </c>
      <c r="AC897" s="23">
        <f>IFERROR(VLOOKUP(AA897,Listas!$A$1:$C$14,3,FALSE),"")</f>
        <v>93363483</v>
      </c>
      <c r="AD897" s="17" t="s">
        <v>217</v>
      </c>
      <c r="AE897" s="17" t="s">
        <v>539</v>
      </c>
      <c r="AF897" s="23" t="str">
        <f>IFERROR(VLOOKUP(AE897,Listas!$AD$1:$AF$65,2,FALSE),"")</f>
        <v>DORIS POVEDA BELTRÁN</v>
      </c>
      <c r="AG897" s="23">
        <f>IFERROR(VLOOKUP(AE897,Listas!$AD$1:$AF$65,3,FALSE),"")</f>
        <v>52049845</v>
      </c>
      <c r="AH897" s="17" t="s">
        <v>118</v>
      </c>
      <c r="AI897" s="65"/>
      <c r="AJ897" s="25" t="s">
        <v>1435</v>
      </c>
      <c r="AK897" s="26" t="s">
        <v>2071</v>
      </c>
      <c r="AL897" s="26" t="s">
        <v>2071</v>
      </c>
      <c r="AM897" s="90" t="s">
        <v>1435</v>
      </c>
      <c r="AN897" s="105"/>
      <c r="AO897" s="91" t="str">
        <f t="shared" ca="1" si="364"/>
        <v xml:space="preserve"> </v>
      </c>
      <c r="AP897" s="26" t="s">
        <v>121</v>
      </c>
      <c r="AQ897" s="26" t="s">
        <v>1272</v>
      </c>
      <c r="AR897" s="89"/>
      <c r="AS897" s="27"/>
      <c r="AT897" s="16"/>
      <c r="AU897" s="27"/>
      <c r="AV897" s="86"/>
      <c r="AW897" s="27"/>
      <c r="AX897" s="27"/>
      <c r="AY897" s="27"/>
      <c r="AZ897" s="27"/>
      <c r="BA897" s="27"/>
      <c r="BB897" s="27"/>
      <c r="BC897" s="97"/>
      <c r="BD897" s="27"/>
      <c r="BE897" s="16"/>
      <c r="BF897" s="28">
        <f t="shared" si="350"/>
        <v>0</v>
      </c>
      <c r="BG897" s="29"/>
      <c r="BH897" s="27"/>
      <c r="BI897" s="30">
        <f t="shared" si="351"/>
        <v>364</v>
      </c>
      <c r="BJ897" s="31">
        <f t="shared" si="352"/>
        <v>45930</v>
      </c>
      <c r="BK897" s="27"/>
      <c r="BL897" s="16"/>
      <c r="BM897" s="27"/>
      <c r="BN897" s="16"/>
      <c r="BO897" s="27"/>
      <c r="BP897" s="16"/>
      <c r="BQ897" s="27"/>
      <c r="BR897" s="24"/>
      <c r="BS897" s="24"/>
      <c r="BT897" s="32"/>
      <c r="BU897" s="27"/>
      <c r="BV897" s="24"/>
      <c r="BW897" s="24"/>
      <c r="BX897" s="16"/>
      <c r="BY897" s="27"/>
      <c r="BZ897" s="24"/>
      <c r="CA897" s="24"/>
      <c r="CB897" s="16"/>
      <c r="CC897" s="49">
        <f t="shared" si="353"/>
        <v>0</v>
      </c>
      <c r="CD897" s="24"/>
      <c r="CE897" s="49">
        <f t="shared" si="367"/>
        <v>103147740</v>
      </c>
      <c r="CF897" s="50"/>
      <c r="CG897" s="49">
        <f t="shared" ca="1" si="366"/>
        <v>103147740</v>
      </c>
      <c r="CH897" s="33">
        <f t="shared" ca="1" si="357"/>
        <v>1</v>
      </c>
      <c r="CI897" s="33">
        <f t="shared" ca="1" si="358"/>
        <v>1</v>
      </c>
      <c r="CJ897" s="36">
        <f t="shared" ca="1" si="347"/>
        <v>100</v>
      </c>
      <c r="CK897" s="34">
        <f t="shared" si="348"/>
        <v>0</v>
      </c>
      <c r="CL897" s="21"/>
      <c r="CM897" s="35" t="str">
        <f t="shared" ca="1" si="365"/>
        <v>TERMINADO</v>
      </c>
      <c r="CN897" s="82"/>
      <c r="CP897" s="26"/>
    </row>
    <row r="898" spans="1:97" ht="24.75" customHeight="1">
      <c r="A898" s="48" t="s">
        <v>7053</v>
      </c>
      <c r="B898" s="77" t="s">
        <v>7054</v>
      </c>
      <c r="C898" s="17" t="s">
        <v>104</v>
      </c>
      <c r="D898" s="18" t="s">
        <v>7055</v>
      </c>
      <c r="E898" s="17" t="s">
        <v>4162</v>
      </c>
      <c r="F898" s="17" t="s">
        <v>1426</v>
      </c>
      <c r="G898" s="17" t="s">
        <v>1427</v>
      </c>
      <c r="H898" s="78" t="s">
        <v>7045</v>
      </c>
      <c r="I898" s="74" t="s">
        <v>5710</v>
      </c>
      <c r="J898" s="16" t="s">
        <v>5711</v>
      </c>
      <c r="K898" s="16">
        <v>79782221</v>
      </c>
      <c r="L898" s="20" t="s">
        <v>7051</v>
      </c>
      <c r="M898" s="16"/>
      <c r="N898" s="22">
        <v>45565</v>
      </c>
      <c r="O898" s="22">
        <v>45566</v>
      </c>
      <c r="P898" s="22">
        <v>45930</v>
      </c>
      <c r="Q898" s="23">
        <f t="shared" si="362"/>
        <v>364</v>
      </c>
      <c r="R898" s="17" t="s">
        <v>112</v>
      </c>
      <c r="S898" s="16" t="s">
        <v>7056</v>
      </c>
      <c r="T898" s="16" t="s">
        <v>5714</v>
      </c>
      <c r="U898" s="67">
        <v>107656725</v>
      </c>
      <c r="V898" s="16" t="s">
        <v>5715</v>
      </c>
      <c r="W898" s="67">
        <v>107656725</v>
      </c>
      <c r="X898" s="24"/>
      <c r="Y898" s="24"/>
      <c r="Z898" s="24"/>
      <c r="AA898" s="17" t="s">
        <v>116</v>
      </c>
      <c r="AB898" s="23" t="str">
        <f>IFERROR(VLOOKUP(AA898,Listas!$A$1:$C$14,2,FALSE),"")</f>
        <v>FREDY CÉSPEDES VILLA</v>
      </c>
      <c r="AC898" s="23">
        <f>IFERROR(VLOOKUP(AA898,Listas!$A$1:$C$14,3,FALSE),"")</f>
        <v>93363483</v>
      </c>
      <c r="AD898" s="17" t="s">
        <v>217</v>
      </c>
      <c r="AE898" s="17" t="s">
        <v>539</v>
      </c>
      <c r="AF898" s="23" t="str">
        <f>IFERROR(VLOOKUP(AE898,Listas!$AD$1:$AF$65,2,FALSE),"")</f>
        <v>DORIS POVEDA BELTRÁN</v>
      </c>
      <c r="AG898" s="23">
        <f>IFERROR(VLOOKUP(AE898,Listas!$AD$1:$AF$65,3,FALSE),"")</f>
        <v>52049845</v>
      </c>
      <c r="AH898" s="17" t="s">
        <v>118</v>
      </c>
      <c r="AI898" s="65"/>
      <c r="AJ898" s="25" t="s">
        <v>1435</v>
      </c>
      <c r="AK898" s="26" t="s">
        <v>2071</v>
      </c>
      <c r="AL898" s="26" t="s">
        <v>2071</v>
      </c>
      <c r="AM898" s="90" t="s">
        <v>1435</v>
      </c>
      <c r="AN898" s="105"/>
      <c r="AO898" s="91" t="str">
        <f t="shared" ca="1" si="364"/>
        <v xml:space="preserve"> </v>
      </c>
      <c r="AP898" s="26" t="s">
        <v>121</v>
      </c>
      <c r="AQ898" s="26" t="s">
        <v>1272</v>
      </c>
      <c r="AR898" s="89"/>
      <c r="AS898" s="27"/>
      <c r="AT898" s="16"/>
      <c r="AU898" s="27"/>
      <c r="AV898" s="86"/>
      <c r="AW898" s="27"/>
      <c r="AX898" s="27"/>
      <c r="AY898" s="27"/>
      <c r="AZ898" s="27"/>
      <c r="BA898" s="27"/>
      <c r="BB898" s="27"/>
      <c r="BC898" s="97"/>
      <c r="BD898" s="27"/>
      <c r="BE898" s="16"/>
      <c r="BF898" s="28">
        <f t="shared" si="350"/>
        <v>0</v>
      </c>
      <c r="BG898" s="29"/>
      <c r="BH898" s="27"/>
      <c r="BI898" s="30">
        <f t="shared" si="351"/>
        <v>364</v>
      </c>
      <c r="BJ898" s="31">
        <f t="shared" si="352"/>
        <v>45930</v>
      </c>
      <c r="BK898" s="27"/>
      <c r="BL898" s="16"/>
      <c r="BM898" s="27"/>
      <c r="BN898" s="16"/>
      <c r="BO898" s="27"/>
      <c r="BP898" s="16"/>
      <c r="BQ898" s="27"/>
      <c r="BR898" s="24"/>
      <c r="BS898" s="24"/>
      <c r="BT898" s="32"/>
      <c r="BU898" s="27"/>
      <c r="BV898" s="24"/>
      <c r="BW898" s="24"/>
      <c r="BX898" s="16"/>
      <c r="BY898" s="27"/>
      <c r="BZ898" s="24"/>
      <c r="CA898" s="24"/>
      <c r="CB898" s="16"/>
      <c r="CC898" s="49">
        <f t="shared" si="353"/>
        <v>0</v>
      </c>
      <c r="CD898" s="24"/>
      <c r="CE898" s="49">
        <f t="shared" si="367"/>
        <v>107656725</v>
      </c>
      <c r="CF898" s="50"/>
      <c r="CG898" s="49">
        <f t="shared" ca="1" si="366"/>
        <v>107656725</v>
      </c>
      <c r="CH898" s="33">
        <f t="shared" ca="1" si="357"/>
        <v>1</v>
      </c>
      <c r="CI898" s="33">
        <f t="shared" ca="1" si="358"/>
        <v>1</v>
      </c>
      <c r="CJ898" s="36">
        <f t="shared" ca="1" si="347"/>
        <v>100</v>
      </c>
      <c r="CK898" s="34">
        <f t="shared" si="348"/>
        <v>0</v>
      </c>
      <c r="CL898" s="21"/>
      <c r="CM898" s="35" t="str">
        <f t="shared" ca="1" si="365"/>
        <v>TERMINADO</v>
      </c>
      <c r="CN898" s="82"/>
      <c r="CP898" s="26"/>
    </row>
    <row r="899" spans="1:97" s="85" customFormat="1" ht="24.75" customHeight="1">
      <c r="A899" s="48"/>
      <c r="B899" s="77" t="s">
        <v>7057</v>
      </c>
      <c r="C899" s="17" t="s">
        <v>104</v>
      </c>
      <c r="D899" s="18" t="s">
        <v>7058</v>
      </c>
      <c r="E899" s="17" t="s">
        <v>106</v>
      </c>
      <c r="F899" s="17" t="s">
        <v>1426</v>
      </c>
      <c r="G899" s="17" t="s">
        <v>1427</v>
      </c>
      <c r="H899" s="78" t="s">
        <v>7059</v>
      </c>
      <c r="I899" s="74" t="s">
        <v>7060</v>
      </c>
      <c r="J899" s="16" t="s">
        <v>7061</v>
      </c>
      <c r="K899" s="104">
        <v>79782221</v>
      </c>
      <c r="L899" s="20" t="s">
        <v>7062</v>
      </c>
      <c r="M899" s="16"/>
      <c r="N899" s="22">
        <v>45565</v>
      </c>
      <c r="O899" s="22">
        <v>45576</v>
      </c>
      <c r="P899" s="22">
        <v>46326</v>
      </c>
      <c r="Q899" s="23">
        <f t="shared" ref="Q899:Q930" si="368">P899-O899</f>
        <v>750</v>
      </c>
      <c r="R899" s="17" t="s">
        <v>242</v>
      </c>
      <c r="S899" s="16" t="s">
        <v>7063</v>
      </c>
      <c r="T899" s="16" t="s">
        <v>7064</v>
      </c>
      <c r="U899" s="24">
        <v>14343517423</v>
      </c>
      <c r="V899" s="16" t="s">
        <v>7065</v>
      </c>
      <c r="W899" s="24">
        <v>14343517423</v>
      </c>
      <c r="X899" s="24"/>
      <c r="Y899" s="24"/>
      <c r="Z899" s="24"/>
      <c r="AA899" s="17" t="s">
        <v>116</v>
      </c>
      <c r="AB899" s="23" t="str">
        <f>IFERROR(VLOOKUP(AA899,Listas!$A$1:$C$14,2,FALSE),"")</f>
        <v>FREDY CÉSPEDES VILLA</v>
      </c>
      <c r="AC899" s="23">
        <f>IFERROR(VLOOKUP(AA899,Listas!$A$1:$C$14,3,FALSE),"")</f>
        <v>93363483</v>
      </c>
      <c r="AD899" s="17" t="s">
        <v>406</v>
      </c>
      <c r="AE899" s="17" t="s">
        <v>504</v>
      </c>
      <c r="AF899" s="23" t="str">
        <f>IFERROR(VLOOKUP(AE899,Listas!$AD$1:$AF$65,2,FALSE),"")</f>
        <v>EDUARDO ELÍAS BARCHA BOLÍVAR</v>
      </c>
      <c r="AG899" s="23">
        <f>IFERROR(VLOOKUP(AE899,Listas!$AD$1:$AF$65,3,FALSE),"")</f>
        <v>72133921</v>
      </c>
      <c r="AH899" s="17" t="s">
        <v>6266</v>
      </c>
      <c r="AI899" s="65"/>
      <c r="AJ899" s="25" t="s">
        <v>1435</v>
      </c>
      <c r="AK899" s="26" t="s">
        <v>2071</v>
      </c>
      <c r="AL899" s="26" t="s">
        <v>2071</v>
      </c>
      <c r="AM899" s="90" t="s">
        <v>1435</v>
      </c>
      <c r="AN899" s="105"/>
      <c r="AO899" s="91" t="str">
        <f t="shared" ca="1" si="364"/>
        <v xml:space="preserve"> </v>
      </c>
      <c r="AP899" s="26" t="s">
        <v>121</v>
      </c>
      <c r="AQ899" s="26" t="s">
        <v>886</v>
      </c>
      <c r="AR899" s="89"/>
      <c r="AS899" s="27"/>
      <c r="AT899" s="16"/>
      <c r="AU899" s="27"/>
      <c r="AV899" s="86"/>
      <c r="AW899" s="27"/>
      <c r="AX899" s="27"/>
      <c r="AY899" s="27"/>
      <c r="AZ899" s="27"/>
      <c r="BA899" s="27"/>
      <c r="BB899" s="27"/>
      <c r="BC899" s="97"/>
      <c r="BD899" s="27"/>
      <c r="BE899" s="16"/>
      <c r="BF899" s="28">
        <f t="shared" si="350"/>
        <v>0</v>
      </c>
      <c r="BG899" s="29"/>
      <c r="BH899" s="27"/>
      <c r="BI899" s="30">
        <f t="shared" si="351"/>
        <v>750</v>
      </c>
      <c r="BJ899" s="31">
        <f t="shared" si="352"/>
        <v>46326</v>
      </c>
      <c r="BK899" s="27"/>
      <c r="BL899" s="16"/>
      <c r="BM899" s="27"/>
      <c r="BN899" s="16"/>
      <c r="BO899" s="27"/>
      <c r="BP899" s="16"/>
      <c r="BQ899" s="27"/>
      <c r="BR899" s="24"/>
      <c r="BS899" s="24"/>
      <c r="BT899" s="32"/>
      <c r="BU899" s="27"/>
      <c r="BV899" s="24"/>
      <c r="BW899" s="24"/>
      <c r="BX899" s="16"/>
      <c r="BY899" s="27"/>
      <c r="BZ899" s="24"/>
      <c r="CA899" s="24"/>
      <c r="CB899" s="16"/>
      <c r="CC899" s="49">
        <f t="shared" si="353"/>
        <v>0</v>
      </c>
      <c r="CD899" s="24"/>
      <c r="CE899" s="49">
        <f t="shared" si="367"/>
        <v>14343517423</v>
      </c>
      <c r="CF899" s="50"/>
      <c r="CG899" s="49">
        <f t="shared" ca="1" si="366"/>
        <v>7363005610.4733343</v>
      </c>
      <c r="CH899" s="33">
        <f t="shared" ca="1" si="357"/>
        <v>0.49864864864864866</v>
      </c>
      <c r="CI899" s="33">
        <f t="shared" ca="1" si="358"/>
        <v>0.49864864864864866</v>
      </c>
      <c r="CJ899" s="36">
        <f t="shared" ca="1" si="347"/>
        <v>51.333333333333343</v>
      </c>
      <c r="CK899" s="34">
        <f t="shared" si="348"/>
        <v>0</v>
      </c>
      <c r="CL899" s="21"/>
      <c r="CM899" s="35" t="str">
        <f t="shared" ca="1" si="365"/>
        <v>VIGENTE</v>
      </c>
      <c r="CN899" s="82"/>
      <c r="CO899" s="145"/>
      <c r="CP899" s="26"/>
      <c r="CQ899" s="83"/>
      <c r="CR899" s="83"/>
    </row>
    <row r="900" spans="1:97" s="85" customFormat="1" ht="24.75" customHeight="1">
      <c r="A900" s="48" t="s">
        <v>1424</v>
      </c>
      <c r="B900" s="77" t="s">
        <v>7066</v>
      </c>
      <c r="C900" s="17" t="s">
        <v>2927</v>
      </c>
      <c r="D900" s="18" t="s">
        <v>7067</v>
      </c>
      <c r="E900" s="17" t="s">
        <v>2929</v>
      </c>
      <c r="F900" s="17" t="s">
        <v>1426</v>
      </c>
      <c r="G900" s="17" t="s">
        <v>1427</v>
      </c>
      <c r="H900" s="78" t="s">
        <v>7068</v>
      </c>
      <c r="I900" s="74" t="s">
        <v>7069</v>
      </c>
      <c r="J900" s="16" t="s">
        <v>7070</v>
      </c>
      <c r="K900" s="16">
        <v>76311561</v>
      </c>
      <c r="L900" s="96" t="s">
        <v>7071</v>
      </c>
      <c r="M900" s="16"/>
      <c r="N900" s="22">
        <v>45565</v>
      </c>
      <c r="O900" s="22">
        <v>45565</v>
      </c>
      <c r="P900" s="22">
        <v>45930</v>
      </c>
      <c r="Q900" s="23">
        <f t="shared" si="368"/>
        <v>365</v>
      </c>
      <c r="R900" s="17" t="s">
        <v>2934</v>
      </c>
      <c r="S900" s="16" t="s">
        <v>1424</v>
      </c>
      <c r="T900" s="16" t="s">
        <v>1424</v>
      </c>
      <c r="U900" s="24" t="s">
        <v>1424</v>
      </c>
      <c r="V900" s="16" t="s">
        <v>1424</v>
      </c>
      <c r="W900" s="24">
        <v>0</v>
      </c>
      <c r="X900" s="24"/>
      <c r="Y900" s="24" t="s">
        <v>2935</v>
      </c>
      <c r="Z900" s="24"/>
      <c r="AA900" s="17" t="s">
        <v>406</v>
      </c>
      <c r="AB900" s="23" t="str">
        <f>IFERROR(VLOOKUP(AA900,Listas!$A$1:$C$14,2,FALSE),"")</f>
        <v>EDUARDO ELÍAS BARCHA BOLÍVAR</v>
      </c>
      <c r="AC900" s="23">
        <f>IFERROR(VLOOKUP(AA900,Listas!$A$1:$C$14,3,FALSE),"")</f>
        <v>72133921</v>
      </c>
      <c r="AD900" s="17" t="s">
        <v>559</v>
      </c>
      <c r="AE900" s="17" t="s">
        <v>560</v>
      </c>
      <c r="AF900" s="23" t="str">
        <f>IFERROR(VLOOKUP(AE900,Listas!$AD$1:$AF$65,2,FALSE),"")</f>
        <v>CESAR AUGUSTO LÓPEZ LÓPEZ</v>
      </c>
      <c r="AG900" s="23">
        <f>IFERROR(VLOOKUP(AE900,Listas!$AD$1:$AF$65,3,FALSE),"")</f>
        <v>6103856</v>
      </c>
      <c r="AH900" s="17" t="s">
        <v>2936</v>
      </c>
      <c r="AI900" s="65"/>
      <c r="AJ900" s="25" t="s">
        <v>1435</v>
      </c>
      <c r="AK900" s="26" t="s">
        <v>2071</v>
      </c>
      <c r="AL900" s="26" t="s">
        <v>2071</v>
      </c>
      <c r="AM900" s="90" t="s">
        <v>1435</v>
      </c>
      <c r="AN900" s="105"/>
      <c r="AO900" s="91" t="str">
        <f t="shared" ca="1" si="364"/>
        <v xml:space="preserve"> </v>
      </c>
      <c r="AP900" s="26" t="s">
        <v>2937</v>
      </c>
      <c r="AQ900" s="26" t="s">
        <v>3453</v>
      </c>
      <c r="AR900" s="89"/>
      <c r="AS900" s="27"/>
      <c r="AT900" s="16"/>
      <c r="AU900" s="27"/>
      <c r="AV900" s="86"/>
      <c r="AW900" s="27"/>
      <c r="AX900" s="27"/>
      <c r="AY900" s="27"/>
      <c r="AZ900" s="27"/>
      <c r="BA900" s="27"/>
      <c r="BB900" s="27">
        <v>45681</v>
      </c>
      <c r="BC900" s="97">
        <v>92</v>
      </c>
      <c r="BD900" s="27"/>
      <c r="BE900" s="16"/>
      <c r="BF900" s="28">
        <f t="shared" si="350"/>
        <v>92</v>
      </c>
      <c r="BG900" s="29"/>
      <c r="BH900" s="27"/>
      <c r="BI900" s="30">
        <f t="shared" si="351"/>
        <v>457</v>
      </c>
      <c r="BJ900" s="31">
        <f t="shared" si="352"/>
        <v>46022</v>
      </c>
      <c r="BK900" s="27">
        <v>45681</v>
      </c>
      <c r="BL900" s="16" t="s">
        <v>7072</v>
      </c>
      <c r="BM900" s="27"/>
      <c r="BN900" s="16"/>
      <c r="BO900" s="27"/>
      <c r="BP900" s="16"/>
      <c r="BQ900" s="27"/>
      <c r="BR900" s="24"/>
      <c r="BS900" s="24"/>
      <c r="BT900" s="32"/>
      <c r="BU900" s="27"/>
      <c r="BV900" s="24"/>
      <c r="BW900" s="24"/>
      <c r="BX900" s="16"/>
      <c r="BY900" s="27"/>
      <c r="BZ900" s="24"/>
      <c r="CA900" s="24"/>
      <c r="CB900" s="16"/>
      <c r="CC900" s="49">
        <f t="shared" si="353"/>
        <v>0</v>
      </c>
      <c r="CD900" s="24"/>
      <c r="CE900" s="49" t="str">
        <f>IFERROR(IF(Y900=0,(W900+CC900)-CD900,IF(Y900&gt;0,(Y900+CC900)-CD900)),"")</f>
        <v/>
      </c>
      <c r="CF900" s="50">
        <v>3595979.94</v>
      </c>
      <c r="CG900" s="49" t="str">
        <f t="shared" ca="1" si="366"/>
        <v/>
      </c>
      <c r="CH900" s="33">
        <f t="shared" ca="1" si="357"/>
        <v>0.84444444444444444</v>
      </c>
      <c r="CI900" s="33">
        <f t="shared" ca="1" si="358"/>
        <v>0.84444444444444444</v>
      </c>
      <c r="CJ900" s="36" t="str">
        <f t="shared" ca="1" si="347"/>
        <v/>
      </c>
      <c r="CK900" s="34" t="str">
        <f t="shared" si="348"/>
        <v/>
      </c>
      <c r="CL900" s="21"/>
      <c r="CM900" s="35" t="str">
        <f t="shared" ca="1" si="365"/>
        <v>VIGENTE</v>
      </c>
      <c r="CN900" s="82"/>
      <c r="CO900" s="145"/>
      <c r="CP900" s="83" t="s">
        <v>1424</v>
      </c>
      <c r="CQ900" s="83"/>
      <c r="CR900" s="83"/>
      <c r="CS900" s="151"/>
    </row>
    <row r="901" spans="1:97" ht="24.75" customHeight="1">
      <c r="A901" s="48" t="s">
        <v>7073</v>
      </c>
      <c r="B901" s="77" t="s">
        <v>7074</v>
      </c>
      <c r="C901" s="17" t="s">
        <v>104</v>
      </c>
      <c r="D901" s="18" t="s">
        <v>7075</v>
      </c>
      <c r="E901" s="17" t="s">
        <v>106</v>
      </c>
      <c r="F901" s="17" t="s">
        <v>1426</v>
      </c>
      <c r="G901" s="17" t="s">
        <v>1427</v>
      </c>
      <c r="H901" s="78" t="s">
        <v>7076</v>
      </c>
      <c r="I901" s="74" t="s">
        <v>7077</v>
      </c>
      <c r="J901" s="16" t="s">
        <v>7078</v>
      </c>
      <c r="K901" s="104">
        <v>53911630</v>
      </c>
      <c r="L901" s="20" t="s">
        <v>7079</v>
      </c>
      <c r="M901" s="16"/>
      <c r="N901" s="22">
        <v>45565</v>
      </c>
      <c r="O901" s="22">
        <v>45565</v>
      </c>
      <c r="P901" s="22">
        <v>46326</v>
      </c>
      <c r="Q901" s="23">
        <f t="shared" si="368"/>
        <v>761</v>
      </c>
      <c r="R901" s="17" t="s">
        <v>112</v>
      </c>
      <c r="S901" s="16" t="s">
        <v>7080</v>
      </c>
      <c r="T901" s="16" t="s">
        <v>7081</v>
      </c>
      <c r="U901" s="24">
        <v>458898510</v>
      </c>
      <c r="V901" s="16" t="s">
        <v>5715</v>
      </c>
      <c r="W901" s="24">
        <v>458898510</v>
      </c>
      <c r="X901" s="24"/>
      <c r="Y901" s="24"/>
      <c r="Z901" s="24"/>
      <c r="AA901" s="17" t="s">
        <v>116</v>
      </c>
      <c r="AB901" s="23" t="str">
        <f>IFERROR(VLOOKUP(AA901,Listas!$A$1:$C$14,2,FALSE),"")</f>
        <v>FREDY CÉSPEDES VILLA</v>
      </c>
      <c r="AC901" s="23">
        <f>IFERROR(VLOOKUP(AA901,Listas!$A$1:$C$14,3,FALSE),"")</f>
        <v>93363483</v>
      </c>
      <c r="AD901" s="17" t="s">
        <v>217</v>
      </c>
      <c r="AE901" s="17" t="s">
        <v>265</v>
      </c>
      <c r="AF901" s="23" t="str">
        <f>IFERROR(VLOOKUP(AE901,Listas!$AD$1:$AF$65,2,FALSE),"")</f>
        <v>EDGAR ANTONIO GÓMEZ ÁLVAREZ</v>
      </c>
      <c r="AG901" s="23">
        <f>IFERROR(VLOOKUP(AE901,Listas!$AD$1:$AF$65,3,FALSE),"")</f>
        <v>2231755</v>
      </c>
      <c r="AH901" s="17" t="s">
        <v>118</v>
      </c>
      <c r="AI901" s="65"/>
      <c r="AJ901" s="25" t="s">
        <v>1435</v>
      </c>
      <c r="AK901" s="26" t="s">
        <v>2071</v>
      </c>
      <c r="AL901" s="26" t="s">
        <v>2071</v>
      </c>
      <c r="AM901" s="90" t="s">
        <v>1435</v>
      </c>
      <c r="AN901" s="105"/>
      <c r="AO901" s="91" t="str">
        <f t="shared" ca="1" si="364"/>
        <v xml:space="preserve"> </v>
      </c>
      <c r="AP901" s="26" t="s">
        <v>121</v>
      </c>
      <c r="AQ901" s="26" t="s">
        <v>327</v>
      </c>
      <c r="AR901" s="89"/>
      <c r="AS901" s="27"/>
      <c r="AT901" s="16"/>
      <c r="AU901" s="27"/>
      <c r="AV901" s="86"/>
      <c r="AW901" s="27"/>
      <c r="AX901" s="27"/>
      <c r="AY901" s="27"/>
      <c r="AZ901" s="27"/>
      <c r="BA901" s="27"/>
      <c r="BB901" s="27"/>
      <c r="BC901" s="97"/>
      <c r="BD901" s="27"/>
      <c r="BE901" s="16"/>
      <c r="BF901" s="28">
        <f t="shared" si="350"/>
        <v>0</v>
      </c>
      <c r="BG901" s="29"/>
      <c r="BH901" s="27"/>
      <c r="BI901" s="30">
        <f t="shared" si="351"/>
        <v>761</v>
      </c>
      <c r="BJ901" s="31">
        <f t="shared" si="352"/>
        <v>46326</v>
      </c>
      <c r="BK901" s="27"/>
      <c r="BL901" s="16"/>
      <c r="BM901" s="27"/>
      <c r="BN901" s="16"/>
      <c r="BO901" s="27"/>
      <c r="BP901" s="16"/>
      <c r="BQ901" s="27"/>
      <c r="BR901" s="24"/>
      <c r="BS901" s="24"/>
      <c r="BT901" s="32"/>
      <c r="BU901" s="27"/>
      <c r="BV901" s="24"/>
      <c r="BW901" s="24"/>
      <c r="BX901" s="16"/>
      <c r="BY901" s="27"/>
      <c r="BZ901" s="24"/>
      <c r="CA901" s="24"/>
      <c r="CB901" s="16"/>
      <c r="CC901" s="49">
        <f t="shared" si="353"/>
        <v>0</v>
      </c>
      <c r="CD901" s="24"/>
      <c r="CE901" s="49">
        <f t="shared" si="367"/>
        <v>458898510</v>
      </c>
      <c r="CF901" s="50"/>
      <c r="CG901" s="49">
        <f t="shared" ca="1" si="366"/>
        <v>232162846.71484888</v>
      </c>
      <c r="CH901" s="33">
        <f t="shared" ca="1" si="357"/>
        <v>0.50666666666666671</v>
      </c>
      <c r="CI901" s="33">
        <f t="shared" ca="1" si="358"/>
        <v>0.50666666666666671</v>
      </c>
      <c r="CJ901" s="36">
        <f t="shared" ca="1" si="347"/>
        <v>50.59132720105125</v>
      </c>
      <c r="CK901" s="34">
        <f t="shared" si="348"/>
        <v>0</v>
      </c>
      <c r="CL901" s="21"/>
      <c r="CM901" s="35" t="str">
        <f t="shared" ca="1" si="365"/>
        <v>VIGENTE</v>
      </c>
      <c r="CN901" s="82"/>
      <c r="CO901" s="145" t="s">
        <v>7082</v>
      </c>
      <c r="CP901" s="26"/>
    </row>
    <row r="902" spans="1:97" ht="24.75" customHeight="1">
      <c r="A902" s="48" t="s">
        <v>1424</v>
      </c>
      <c r="B902" s="77" t="s">
        <v>7083</v>
      </c>
      <c r="C902" s="17" t="s">
        <v>2927</v>
      </c>
      <c r="D902" s="18" t="s">
        <v>7084</v>
      </c>
      <c r="E902" s="17" t="s">
        <v>2929</v>
      </c>
      <c r="F902" s="17" t="s">
        <v>1426</v>
      </c>
      <c r="G902" s="17" t="s">
        <v>1427</v>
      </c>
      <c r="H902" s="78" t="s">
        <v>7085</v>
      </c>
      <c r="I902" s="74" t="s">
        <v>7086</v>
      </c>
      <c r="J902" s="16" t="s">
        <v>7087</v>
      </c>
      <c r="K902" s="104">
        <v>84037944</v>
      </c>
      <c r="L902" s="20" t="s">
        <v>6827</v>
      </c>
      <c r="M902" s="16"/>
      <c r="N902" s="22">
        <v>45569</v>
      </c>
      <c r="O902" s="22">
        <v>45569</v>
      </c>
      <c r="P902" s="22">
        <v>47395</v>
      </c>
      <c r="Q902" s="23">
        <f t="shared" si="368"/>
        <v>1826</v>
      </c>
      <c r="R902" s="17" t="s">
        <v>2934</v>
      </c>
      <c r="S902" s="16" t="s">
        <v>1424</v>
      </c>
      <c r="T902" s="16" t="s">
        <v>1424</v>
      </c>
      <c r="U902" s="67" t="s">
        <v>1424</v>
      </c>
      <c r="V902" s="16" t="s">
        <v>1424</v>
      </c>
      <c r="W902" s="24">
        <v>0</v>
      </c>
      <c r="X902" s="24"/>
      <c r="Y902" s="24" t="s">
        <v>2935</v>
      </c>
      <c r="Z902" s="24"/>
      <c r="AA902" s="17" t="s">
        <v>406</v>
      </c>
      <c r="AB902" s="23" t="str">
        <f>IFERROR(VLOOKUP(AA902,Listas!$A$1:$C$14,2,FALSE),"")</f>
        <v>EDUARDO ELÍAS BARCHA BOLÍVAR</v>
      </c>
      <c r="AC902" s="23">
        <f>IFERROR(VLOOKUP(AA902,Listas!$A$1:$C$14,3,FALSE),"")</f>
        <v>72133921</v>
      </c>
      <c r="AD902" s="17" t="s">
        <v>903</v>
      </c>
      <c r="AE902" s="17" t="s">
        <v>904</v>
      </c>
      <c r="AF902" s="23" t="str">
        <f>IFERROR(VLOOKUP(AE902,Listas!$AD$1:$AF$65,2,FALSE),"")</f>
        <v>VIVIANA MARGARITA ROMERO</v>
      </c>
      <c r="AG902" s="23">
        <f>IFERROR(VLOOKUP(AE902,Listas!$AD$1:$AF$65,3,FALSE),"")</f>
        <v>32794946</v>
      </c>
      <c r="AH902" s="17" t="s">
        <v>2936</v>
      </c>
      <c r="AI902" s="65"/>
      <c r="AJ902" s="25" t="s">
        <v>1435</v>
      </c>
      <c r="AK902" s="26" t="s">
        <v>2071</v>
      </c>
      <c r="AL902" s="26" t="s">
        <v>2071</v>
      </c>
      <c r="AM902" s="90" t="s">
        <v>1435</v>
      </c>
      <c r="AN902" s="105"/>
      <c r="AO902" s="91" t="str">
        <f t="shared" ref="AO902:AO934" ca="1" si="369">IF(YEAR(TODAY())-YEAR(AN902)&gt;100," ",YEAR(TODAY())-YEAR(AN902))</f>
        <v xml:space="preserve"> </v>
      </c>
      <c r="AP902" s="26" t="s">
        <v>2937</v>
      </c>
      <c r="AQ902" s="26" t="s">
        <v>4526</v>
      </c>
      <c r="AR902" s="89"/>
      <c r="AS902" s="27"/>
      <c r="AT902" s="16"/>
      <c r="AU902" s="27"/>
      <c r="AV902" s="86"/>
      <c r="AW902" s="27"/>
      <c r="AX902" s="27"/>
      <c r="AY902" s="27"/>
      <c r="AZ902" s="27"/>
      <c r="BA902" s="27"/>
      <c r="BB902" s="27"/>
      <c r="BC902" s="97"/>
      <c r="BD902" s="27"/>
      <c r="BE902" s="16"/>
      <c r="BF902" s="28">
        <f t="shared" si="350"/>
        <v>0</v>
      </c>
      <c r="BG902" s="29"/>
      <c r="BH902" s="27"/>
      <c r="BI902" s="30">
        <f t="shared" si="351"/>
        <v>1826</v>
      </c>
      <c r="BJ902" s="31">
        <f t="shared" si="352"/>
        <v>47395</v>
      </c>
      <c r="BK902" s="27"/>
      <c r="BL902" s="16"/>
      <c r="BM902" s="27"/>
      <c r="BN902" s="16"/>
      <c r="BO902" s="27"/>
      <c r="BP902" s="16"/>
      <c r="BQ902" s="27"/>
      <c r="BR902" s="24"/>
      <c r="BS902" s="24"/>
      <c r="BT902" s="32"/>
      <c r="BU902" s="27"/>
      <c r="BV902" s="24"/>
      <c r="BW902" s="24"/>
      <c r="BX902" s="16"/>
      <c r="BY902" s="27"/>
      <c r="BZ902" s="24"/>
      <c r="CA902" s="24"/>
      <c r="CB902" s="16"/>
      <c r="CC902" s="49">
        <f t="shared" si="353"/>
        <v>0</v>
      </c>
      <c r="CD902" s="24"/>
      <c r="CE902" s="49" t="str">
        <f>IFERROR(IF(Y902=0,(W902+CC902)-CD902,IF(Y902&gt;0,(Y902+CC902)-CD902)),"")</f>
        <v/>
      </c>
      <c r="CF902" s="50">
        <v>0</v>
      </c>
      <c r="CG902" s="49" t="str">
        <f t="shared" ca="1" si="366"/>
        <v/>
      </c>
      <c r="CH902" s="33">
        <f t="shared" ca="1" si="357"/>
        <v>0.2088888888888889</v>
      </c>
      <c r="CI902" s="33">
        <f t="shared" ca="1" si="358"/>
        <v>0.2088888888888889</v>
      </c>
      <c r="CJ902" s="36" t="str">
        <f t="shared" ca="1" si="347"/>
        <v/>
      </c>
      <c r="CK902" s="34" t="str">
        <f>IFERROR((CF902/CE902)*100,"")</f>
        <v/>
      </c>
      <c r="CL902" s="21"/>
      <c r="CM902" s="35" t="str">
        <f t="shared" ca="1" si="365"/>
        <v>VIGENTE</v>
      </c>
      <c r="CN902" s="82"/>
      <c r="CP902" s="83" t="s">
        <v>1424</v>
      </c>
    </row>
    <row r="903" spans="1:97" ht="24.75" customHeight="1">
      <c r="A903" s="48" t="s">
        <v>1424</v>
      </c>
      <c r="B903" s="77" t="s">
        <v>7088</v>
      </c>
      <c r="C903" s="17" t="s">
        <v>2927</v>
      </c>
      <c r="D903" s="18" t="s">
        <v>7089</v>
      </c>
      <c r="E903" s="17" t="s">
        <v>5866</v>
      </c>
      <c r="F903" s="17" t="s">
        <v>1426</v>
      </c>
      <c r="G903" s="17" t="s">
        <v>1427</v>
      </c>
      <c r="H903" s="78" t="s">
        <v>7090</v>
      </c>
      <c r="I903" s="74" t="s">
        <v>7091</v>
      </c>
      <c r="J903" s="16" t="s">
        <v>7092</v>
      </c>
      <c r="K903" s="16">
        <v>18505623</v>
      </c>
      <c r="L903" s="20" t="s">
        <v>7093</v>
      </c>
      <c r="M903" s="16"/>
      <c r="N903" s="22">
        <v>45569</v>
      </c>
      <c r="O903" s="22">
        <v>45589</v>
      </c>
      <c r="P903" s="22">
        <v>45626</v>
      </c>
      <c r="Q903" s="23">
        <f t="shared" si="368"/>
        <v>37</v>
      </c>
      <c r="R903" s="17" t="s">
        <v>242</v>
      </c>
      <c r="S903" s="16" t="s">
        <v>7094</v>
      </c>
      <c r="T903" s="16" t="s">
        <v>364</v>
      </c>
      <c r="U903" s="67">
        <v>131184369</v>
      </c>
      <c r="V903" s="16" t="s">
        <v>365</v>
      </c>
      <c r="W903" s="24">
        <v>131184369</v>
      </c>
      <c r="X903" s="24"/>
      <c r="Y903" s="24">
        <v>179287097</v>
      </c>
      <c r="Z903" s="24" t="s">
        <v>7095</v>
      </c>
      <c r="AA903" s="17" t="s">
        <v>345</v>
      </c>
      <c r="AB903" s="23" t="str">
        <f>IFERROR(VLOOKUP(AA903,Listas!$A$1:$C$14,2,FALSE),"")</f>
        <v>RODOLFO GIOVANNI CANCHILA SUÁREZ</v>
      </c>
      <c r="AC903" s="23">
        <f>IFERROR(VLOOKUP(AA903,Listas!$A$1:$C$14,3,FALSE),"")</f>
        <v>79672493</v>
      </c>
      <c r="AD903" s="17" t="s">
        <v>559</v>
      </c>
      <c r="AE903" s="17" t="s">
        <v>560</v>
      </c>
      <c r="AF903" s="23" t="str">
        <f>IFERROR(VLOOKUP(AE903,Listas!$AD$1:$AF$65,2,FALSE),"")</f>
        <v>CESAR AUGUSTO LÓPEZ LÓPEZ</v>
      </c>
      <c r="AG903" s="23">
        <f>IFERROR(VLOOKUP(AE903,Listas!$AD$1:$AF$65,3,FALSE),"")</f>
        <v>6103856</v>
      </c>
      <c r="AH903" s="17" t="s">
        <v>2936</v>
      </c>
      <c r="AI903" s="65"/>
      <c r="AJ903" s="25" t="s">
        <v>1435</v>
      </c>
      <c r="AK903" s="26" t="s">
        <v>2071</v>
      </c>
      <c r="AL903" s="26" t="s">
        <v>2071</v>
      </c>
      <c r="AM903" s="90" t="s">
        <v>1435</v>
      </c>
      <c r="AN903" s="105"/>
      <c r="AO903" s="91" t="str">
        <f t="shared" ca="1" si="369"/>
        <v xml:space="preserve"> </v>
      </c>
      <c r="AP903" s="26" t="s">
        <v>2937</v>
      </c>
      <c r="AQ903" s="26" t="s">
        <v>3453</v>
      </c>
      <c r="AR903" s="89"/>
      <c r="AS903" s="27"/>
      <c r="AT903" s="16"/>
      <c r="AU903" s="27"/>
      <c r="AV903" s="86"/>
      <c r="AW903" s="27"/>
      <c r="AX903" s="27"/>
      <c r="AY903" s="27"/>
      <c r="AZ903" s="27"/>
      <c r="BA903" s="27"/>
      <c r="BB903" s="27"/>
      <c r="BC903" s="97"/>
      <c r="BD903" s="27"/>
      <c r="BE903" s="16"/>
      <c r="BF903" s="28">
        <f t="shared" si="350"/>
        <v>0</v>
      </c>
      <c r="BG903" s="29"/>
      <c r="BH903" s="27"/>
      <c r="BI903" s="30">
        <f t="shared" si="351"/>
        <v>37</v>
      </c>
      <c r="BJ903" s="31">
        <f t="shared" si="352"/>
        <v>45626</v>
      </c>
      <c r="BK903" s="27"/>
      <c r="BL903" s="16"/>
      <c r="BM903" s="27"/>
      <c r="BN903" s="16"/>
      <c r="BO903" s="27"/>
      <c r="BP903" s="16"/>
      <c r="BQ903" s="27"/>
      <c r="BR903" s="24"/>
      <c r="BS903" s="24"/>
      <c r="BT903" s="32"/>
      <c r="BU903" s="27"/>
      <c r="BV903" s="24"/>
      <c r="BW903" s="24"/>
      <c r="BX903" s="16"/>
      <c r="BY903" s="27"/>
      <c r="BZ903" s="24"/>
      <c r="CA903" s="24"/>
      <c r="CB903" s="16"/>
      <c r="CC903" s="49">
        <f t="shared" si="353"/>
        <v>0</v>
      </c>
      <c r="CD903" s="24"/>
      <c r="CE903" s="49">
        <f t="shared" si="367"/>
        <v>179287097</v>
      </c>
      <c r="CF903" s="50">
        <v>0</v>
      </c>
      <c r="CG903" s="49">
        <f t="shared" ca="1" si="366"/>
        <v>179287097</v>
      </c>
      <c r="CH903" s="33">
        <f t="shared" ca="1" si="357"/>
        <v>1</v>
      </c>
      <c r="CI903" s="33">
        <f t="shared" ca="1" si="358"/>
        <v>1</v>
      </c>
      <c r="CJ903" s="36">
        <f t="shared" ca="1" si="347"/>
        <v>100</v>
      </c>
      <c r="CK903" s="34">
        <f t="shared" si="348"/>
        <v>0</v>
      </c>
      <c r="CL903" s="21"/>
      <c r="CM903" s="35" t="str">
        <f t="shared" ca="1" si="365"/>
        <v>TERMINADO</v>
      </c>
      <c r="CN903" s="82"/>
      <c r="CP903" s="83" t="s">
        <v>1424</v>
      </c>
    </row>
    <row r="904" spans="1:97" ht="24.75" customHeight="1">
      <c r="A904" s="48" t="s">
        <v>7096</v>
      </c>
      <c r="B904" s="77" t="s">
        <v>7097</v>
      </c>
      <c r="C904" s="17" t="s">
        <v>5814</v>
      </c>
      <c r="D904" s="18" t="s">
        <v>7098</v>
      </c>
      <c r="E904" s="17" t="s">
        <v>1425</v>
      </c>
      <c r="F904" s="17" t="s">
        <v>1426</v>
      </c>
      <c r="G904" s="17" t="s">
        <v>1427</v>
      </c>
      <c r="H904" s="78" t="s">
        <v>7099</v>
      </c>
      <c r="I904" s="74" t="s">
        <v>7100</v>
      </c>
      <c r="J904" s="16" t="s">
        <v>7101</v>
      </c>
      <c r="K904" s="104">
        <v>80048830</v>
      </c>
      <c r="L904" s="96" t="s">
        <v>7102</v>
      </c>
      <c r="M904" s="16" t="s">
        <v>6261</v>
      </c>
      <c r="N904" s="22">
        <v>45572</v>
      </c>
      <c r="O904" s="22">
        <v>45572</v>
      </c>
      <c r="P904" s="22">
        <v>45656</v>
      </c>
      <c r="Q904" s="23">
        <f t="shared" si="368"/>
        <v>84</v>
      </c>
      <c r="R904" s="17" t="s">
        <v>242</v>
      </c>
      <c r="S904" s="16" t="s">
        <v>7103</v>
      </c>
      <c r="T904" s="16" t="s">
        <v>6504</v>
      </c>
      <c r="U904" s="67">
        <v>40000000</v>
      </c>
      <c r="V904" s="16" t="s">
        <v>7104</v>
      </c>
      <c r="W904" s="24">
        <v>40000000</v>
      </c>
      <c r="X904" s="24"/>
      <c r="Y904" s="24"/>
      <c r="Z904" s="24"/>
      <c r="AA904" s="17" t="s">
        <v>116</v>
      </c>
      <c r="AB904" s="23" t="str">
        <f>IFERROR(VLOOKUP(AA904,Listas!$A$1:$C$14,2,FALSE),"")</f>
        <v>FREDY CÉSPEDES VILLA</v>
      </c>
      <c r="AC904" s="23">
        <f>IFERROR(VLOOKUP(AA904,Listas!$A$1:$C$14,3,FALSE),"")</f>
        <v>93363483</v>
      </c>
      <c r="AD904" s="17" t="s">
        <v>116</v>
      </c>
      <c r="AE904" s="17" t="s">
        <v>2309</v>
      </c>
      <c r="AF904" s="23" t="str">
        <f>IFERROR(VLOOKUP(AE904,Listas!$AD$1:$AF$65,2,FALSE),"")</f>
        <v>YURY NAYIBE LADINO</v>
      </c>
      <c r="AG904" s="23">
        <f>IFERROR(VLOOKUP(AE904,Listas!$AD$1:$AF$65,3,FALSE),"")</f>
        <v>1013587191</v>
      </c>
      <c r="AH904" s="17" t="s">
        <v>5821</v>
      </c>
      <c r="AI904" s="65"/>
      <c r="AJ904" s="25" t="s">
        <v>1435</v>
      </c>
      <c r="AK904" s="26" t="s">
        <v>2071</v>
      </c>
      <c r="AL904" s="26" t="s">
        <v>2071</v>
      </c>
      <c r="AM904" s="90" t="s">
        <v>1435</v>
      </c>
      <c r="AN904" s="105"/>
      <c r="AO904" s="91" t="str">
        <f t="shared" ca="1" si="369"/>
        <v xml:space="preserve"> </v>
      </c>
      <c r="AP904" s="26" t="s">
        <v>121</v>
      </c>
      <c r="AQ904" s="26" t="s">
        <v>367</v>
      </c>
      <c r="AR904" s="89"/>
      <c r="AS904" s="27"/>
      <c r="AT904" s="16"/>
      <c r="AU904" s="27"/>
      <c r="AV904" s="86"/>
      <c r="AW904" s="27"/>
      <c r="AX904" s="27"/>
      <c r="AY904" s="27"/>
      <c r="AZ904" s="27"/>
      <c r="BA904" s="27"/>
      <c r="BB904" s="27"/>
      <c r="BC904" s="97"/>
      <c r="BD904" s="27"/>
      <c r="BE904" s="16"/>
      <c r="BF904" s="28">
        <f t="shared" si="350"/>
        <v>0</v>
      </c>
      <c r="BG904" s="29"/>
      <c r="BH904" s="27"/>
      <c r="BI904" s="30">
        <f t="shared" si="351"/>
        <v>84</v>
      </c>
      <c r="BJ904" s="31">
        <f t="shared" si="352"/>
        <v>45656</v>
      </c>
      <c r="BK904" s="27"/>
      <c r="BL904" s="16"/>
      <c r="BM904" s="27"/>
      <c r="BN904" s="16"/>
      <c r="BO904" s="27"/>
      <c r="BP904" s="16"/>
      <c r="BQ904" s="27"/>
      <c r="BR904" s="24"/>
      <c r="BS904" s="24"/>
      <c r="BT904" s="32"/>
      <c r="BU904" s="27"/>
      <c r="BV904" s="24"/>
      <c r="BW904" s="24"/>
      <c r="BX904" s="16"/>
      <c r="BY904" s="27"/>
      <c r="BZ904" s="24"/>
      <c r="CA904" s="24"/>
      <c r="CB904" s="16"/>
      <c r="CC904" s="49">
        <f t="shared" si="353"/>
        <v>0</v>
      </c>
      <c r="CD904" s="24"/>
      <c r="CE904" s="49">
        <f t="shared" si="367"/>
        <v>40000000</v>
      </c>
      <c r="CF904" s="50">
        <v>0</v>
      </c>
      <c r="CG904" s="49">
        <f t="shared" ca="1" si="366"/>
        <v>40000000</v>
      </c>
      <c r="CH904" s="33">
        <f t="shared" ca="1" si="357"/>
        <v>1</v>
      </c>
      <c r="CI904" s="33">
        <f t="shared" ca="1" si="358"/>
        <v>1</v>
      </c>
      <c r="CJ904" s="36">
        <f t="shared" ref="CJ904:CJ968" ca="1" si="370">IFERROR(IF(((CG904/CE904)*100)&gt;100,100,((CG904/CE904)*100)),"")</f>
        <v>100</v>
      </c>
      <c r="CK904" s="34">
        <f t="shared" ref="CK904:CK968" si="371">IFERROR((CF904/CE904)*100,"")</f>
        <v>0</v>
      </c>
      <c r="CL904" s="21"/>
      <c r="CM904" s="35" t="str">
        <f t="shared" ca="1" si="365"/>
        <v>TERMINADO</v>
      </c>
      <c r="CN904" s="82"/>
      <c r="CP904" s="26"/>
    </row>
    <row r="905" spans="1:97" s="85" customFormat="1" ht="24.75" customHeight="1">
      <c r="A905" s="48" t="s">
        <v>7105</v>
      </c>
      <c r="B905" s="77" t="s">
        <v>7106</v>
      </c>
      <c r="C905" s="17" t="s">
        <v>104</v>
      </c>
      <c r="D905" s="18" t="s">
        <v>7107</v>
      </c>
      <c r="E905" s="17" t="s">
        <v>106</v>
      </c>
      <c r="F905" s="17" t="s">
        <v>1426</v>
      </c>
      <c r="G905" s="17" t="s">
        <v>1427</v>
      </c>
      <c r="H905" s="78" t="s">
        <v>7108</v>
      </c>
      <c r="I905" s="74" t="s">
        <v>7109</v>
      </c>
      <c r="J905" s="16" t="s">
        <v>7110</v>
      </c>
      <c r="K905" s="104">
        <v>93400429</v>
      </c>
      <c r="L905" s="96" t="s">
        <v>7111</v>
      </c>
      <c r="M905" s="16" t="s">
        <v>111</v>
      </c>
      <c r="N905" s="22">
        <v>45574</v>
      </c>
      <c r="O905" s="22">
        <v>45588</v>
      </c>
      <c r="P905" s="22">
        <v>45657</v>
      </c>
      <c r="Q905" s="23">
        <f t="shared" si="368"/>
        <v>69</v>
      </c>
      <c r="R905" s="17" t="s">
        <v>242</v>
      </c>
      <c r="S905" s="16" t="s">
        <v>7112</v>
      </c>
      <c r="T905" s="16" t="s">
        <v>7113</v>
      </c>
      <c r="U905" s="67">
        <v>43316000</v>
      </c>
      <c r="V905" s="16" t="s">
        <v>7114</v>
      </c>
      <c r="W905" s="24">
        <v>43316000</v>
      </c>
      <c r="X905" s="24"/>
      <c r="Y905" s="24"/>
      <c r="Z905" s="24"/>
      <c r="AA905" s="17" t="s">
        <v>116</v>
      </c>
      <c r="AB905" s="23" t="str">
        <f>IFERROR(VLOOKUP(AA905,Listas!$A$1:$C$14,2,FALSE),"")</f>
        <v>FREDY CÉSPEDES VILLA</v>
      </c>
      <c r="AC905" s="23">
        <f>IFERROR(VLOOKUP(AA905,Listas!$A$1:$C$14,3,FALSE),"")</f>
        <v>93363483</v>
      </c>
      <c r="AD905" s="17" t="s">
        <v>577</v>
      </c>
      <c r="AE905" s="17" t="s">
        <v>578</v>
      </c>
      <c r="AF905" s="23" t="str">
        <f>IFERROR(VLOOKUP(AE905,Listas!$AD$1:$AF$65,2,FALSE),"")</f>
        <v>EDGAR FABIO DÍAZ RAMIREZ</v>
      </c>
      <c r="AG905" s="23">
        <f>IFERROR(VLOOKUP(AE905,Listas!$AD$1:$AF$65,3,FALSE),"")</f>
        <v>79537198</v>
      </c>
      <c r="AH905" s="17" t="s">
        <v>118</v>
      </c>
      <c r="AI905" s="65"/>
      <c r="AJ905" s="25" t="s">
        <v>1435</v>
      </c>
      <c r="AK905" s="26" t="s">
        <v>2071</v>
      </c>
      <c r="AL905" s="26" t="s">
        <v>2071</v>
      </c>
      <c r="AM905" s="90" t="s">
        <v>1435</v>
      </c>
      <c r="AN905" s="105"/>
      <c r="AO905" s="91" t="str">
        <f t="shared" ca="1" si="369"/>
        <v xml:space="preserve"> </v>
      </c>
      <c r="AP905" s="26" t="s">
        <v>121</v>
      </c>
      <c r="AQ905" s="26" t="s">
        <v>486</v>
      </c>
      <c r="AR905" s="89"/>
      <c r="AS905" s="27"/>
      <c r="AT905" s="16"/>
      <c r="AU905" s="27"/>
      <c r="AV905" s="86"/>
      <c r="AW905" s="27"/>
      <c r="AX905" s="27"/>
      <c r="AY905" s="27"/>
      <c r="AZ905" s="27"/>
      <c r="BA905" s="27"/>
      <c r="BB905" s="27"/>
      <c r="BC905" s="97"/>
      <c r="BD905" s="27"/>
      <c r="BE905" s="16"/>
      <c r="BF905" s="28">
        <f t="shared" si="350"/>
        <v>0</v>
      </c>
      <c r="BG905" s="29"/>
      <c r="BH905" s="27"/>
      <c r="BI905" s="30">
        <f t="shared" si="351"/>
        <v>69</v>
      </c>
      <c r="BJ905" s="31">
        <f t="shared" si="352"/>
        <v>45657</v>
      </c>
      <c r="BK905" s="27"/>
      <c r="BL905" s="16"/>
      <c r="BM905" s="27"/>
      <c r="BN905" s="16"/>
      <c r="BO905" s="27"/>
      <c r="BP905" s="16"/>
      <c r="BQ905" s="27"/>
      <c r="BR905" s="24"/>
      <c r="BS905" s="24"/>
      <c r="BT905" s="32"/>
      <c r="BU905" s="27"/>
      <c r="BV905" s="24"/>
      <c r="BW905" s="24"/>
      <c r="BX905" s="16"/>
      <c r="BY905" s="27"/>
      <c r="BZ905" s="24"/>
      <c r="CA905" s="24"/>
      <c r="CB905" s="16"/>
      <c r="CC905" s="49">
        <f t="shared" si="353"/>
        <v>0</v>
      </c>
      <c r="CD905" s="24"/>
      <c r="CE905" s="49">
        <f t="shared" si="367"/>
        <v>43316000</v>
      </c>
      <c r="CF905" s="50">
        <v>0</v>
      </c>
      <c r="CG905" s="49">
        <f t="shared" ca="1" si="366"/>
        <v>43316000</v>
      </c>
      <c r="CH905" s="33">
        <f t="shared" ca="1" si="357"/>
        <v>1</v>
      </c>
      <c r="CI905" s="33">
        <f t="shared" ca="1" si="358"/>
        <v>1</v>
      </c>
      <c r="CJ905" s="36">
        <f t="shared" ca="1" si="370"/>
        <v>100</v>
      </c>
      <c r="CK905" s="34">
        <f t="shared" si="371"/>
        <v>0</v>
      </c>
      <c r="CL905" s="21"/>
      <c r="CM905" s="35" t="str">
        <f t="shared" ca="1" si="365"/>
        <v>TERMINADO</v>
      </c>
      <c r="CN905" s="82"/>
      <c r="CO905" s="145"/>
      <c r="CP905" s="26"/>
      <c r="CQ905" s="83"/>
      <c r="CR905" s="83"/>
      <c r="CS905" s="151"/>
    </row>
    <row r="906" spans="1:97" ht="24.75" customHeight="1">
      <c r="A906" s="48" t="s">
        <v>1424</v>
      </c>
      <c r="B906" s="77" t="s">
        <v>7115</v>
      </c>
      <c r="C906" s="17" t="s">
        <v>2927</v>
      </c>
      <c r="D906" s="18" t="s">
        <v>7116</v>
      </c>
      <c r="E906" s="17" t="s">
        <v>5866</v>
      </c>
      <c r="F906" s="17" t="s">
        <v>1426</v>
      </c>
      <c r="G906" s="17" t="s">
        <v>1427</v>
      </c>
      <c r="H906" s="78"/>
      <c r="I906" s="74" t="s">
        <v>7117</v>
      </c>
      <c r="J906" s="16" t="s">
        <v>7118</v>
      </c>
      <c r="K906" s="241">
        <v>41146484</v>
      </c>
      <c r="L906" s="20" t="s">
        <v>7119</v>
      </c>
      <c r="M906" s="16"/>
      <c r="N906" s="22">
        <v>45575</v>
      </c>
      <c r="O906" s="22">
        <v>45575</v>
      </c>
      <c r="P906" s="22">
        <v>46752</v>
      </c>
      <c r="Q906" s="23">
        <f t="shared" si="368"/>
        <v>1177</v>
      </c>
      <c r="R906" s="17" t="s">
        <v>2934</v>
      </c>
      <c r="S906" s="16" t="s">
        <v>1424</v>
      </c>
      <c r="T906" s="16" t="s">
        <v>1424</v>
      </c>
      <c r="U906" s="67" t="s">
        <v>1424</v>
      </c>
      <c r="V906" s="16" t="s">
        <v>1424</v>
      </c>
      <c r="W906" s="24">
        <v>0</v>
      </c>
      <c r="X906" s="24"/>
      <c r="Y906" s="24">
        <v>1682983680</v>
      </c>
      <c r="Z906" s="24"/>
      <c r="AA906" s="17" t="s">
        <v>607</v>
      </c>
      <c r="AB906" s="23" t="str">
        <f>IFERROR(VLOOKUP(AA906,Listas!$A$1:$C$14,2,FALSE),"")</f>
        <v>MARÍA FRANCISCA CEPEDA QUINTERO</v>
      </c>
      <c r="AC906" s="23">
        <f>IFERROR(VLOOKUP(AA906,Listas!$A$1:$C$14,3,FALSE),"")</f>
        <v>53062608</v>
      </c>
      <c r="AD906" s="17" t="s">
        <v>607</v>
      </c>
      <c r="AE906" s="17" t="s">
        <v>1155</v>
      </c>
      <c r="AF906" s="23" t="str">
        <f>IFERROR(VLOOKUP(AE906,Listas!$AD$1:$AF$65,2,FALSE),"")</f>
        <v>MARÍA FRANCISCA CEPEDA QUINTERO</v>
      </c>
      <c r="AG906" s="23">
        <f>IFERROR(VLOOKUP(AE906,Listas!$AD$1:$AF$65,3,FALSE),"")</f>
        <v>53062608</v>
      </c>
      <c r="AH906" s="17" t="s">
        <v>2936</v>
      </c>
      <c r="AI906" s="65"/>
      <c r="AJ906" s="25" t="s">
        <v>1435</v>
      </c>
      <c r="AK906" s="26" t="s">
        <v>2071</v>
      </c>
      <c r="AL906" s="26" t="s">
        <v>2071</v>
      </c>
      <c r="AM906" s="90" t="s">
        <v>1435</v>
      </c>
      <c r="AN906" s="105"/>
      <c r="AO906" s="91" t="str">
        <f t="shared" ca="1" si="369"/>
        <v xml:space="preserve"> </v>
      </c>
      <c r="AP906" s="26" t="s">
        <v>2937</v>
      </c>
      <c r="AQ906" s="26" t="s">
        <v>3501</v>
      </c>
      <c r="AR906" s="89"/>
      <c r="AS906" s="27"/>
      <c r="AT906" s="16"/>
      <c r="AU906" s="27"/>
      <c r="AV906" s="86"/>
      <c r="AW906" s="27"/>
      <c r="AX906" s="27"/>
      <c r="AY906" s="27"/>
      <c r="AZ906" s="27"/>
      <c r="BA906" s="27"/>
      <c r="BB906" s="27"/>
      <c r="BC906" s="97"/>
      <c r="BD906" s="27"/>
      <c r="BE906" s="16"/>
      <c r="BF906" s="28">
        <f t="shared" si="350"/>
        <v>0</v>
      </c>
      <c r="BG906" s="29"/>
      <c r="BH906" s="27"/>
      <c r="BI906" s="30">
        <f t="shared" si="351"/>
        <v>1177</v>
      </c>
      <c r="BJ906" s="31">
        <f t="shared" si="352"/>
        <v>46752</v>
      </c>
      <c r="BK906" s="27"/>
      <c r="BL906" s="16"/>
      <c r="BM906" s="27"/>
      <c r="BN906" s="16"/>
      <c r="BO906" s="27"/>
      <c r="BP906" s="16"/>
      <c r="BQ906" s="27"/>
      <c r="BR906" s="24"/>
      <c r="BS906" s="24"/>
      <c r="BT906" s="32"/>
      <c r="BU906" s="27"/>
      <c r="BV906" s="24"/>
      <c r="BW906" s="24"/>
      <c r="BX906" s="16"/>
      <c r="BY906" s="27"/>
      <c r="BZ906" s="24"/>
      <c r="CA906" s="24"/>
      <c r="CB906" s="16"/>
      <c r="CC906" s="49">
        <f t="shared" si="353"/>
        <v>0</v>
      </c>
      <c r="CD906" s="24"/>
      <c r="CE906" s="49">
        <f t="shared" si="367"/>
        <v>1682983680</v>
      </c>
      <c r="CF906" s="50">
        <v>0</v>
      </c>
      <c r="CG906" s="49">
        <f t="shared" ca="1" si="366"/>
        <v>536209753.61087513</v>
      </c>
      <c r="CH906" s="33">
        <f t="shared" ca="1" si="357"/>
        <v>0.31869078380706289</v>
      </c>
      <c r="CI906" s="33">
        <f t="shared" ca="1" si="358"/>
        <v>0.31869078380706289</v>
      </c>
      <c r="CJ906" s="36">
        <f t="shared" ca="1" si="370"/>
        <v>31.860662701784197</v>
      </c>
      <c r="CK906" s="34">
        <f t="shared" si="371"/>
        <v>0</v>
      </c>
      <c r="CL906" s="21"/>
      <c r="CM906" s="35" t="str">
        <f t="shared" ca="1" si="365"/>
        <v>VIGENTE</v>
      </c>
      <c r="CN906" s="82"/>
      <c r="CP906" s="26"/>
    </row>
    <row r="907" spans="1:97" s="85" customFormat="1" ht="24.75" customHeight="1">
      <c r="A907" s="48" t="s">
        <v>1424</v>
      </c>
      <c r="B907" s="77" t="s">
        <v>7120</v>
      </c>
      <c r="C907" s="17" t="s">
        <v>2927</v>
      </c>
      <c r="D907" s="18" t="s">
        <v>7121</v>
      </c>
      <c r="E907" s="17" t="s">
        <v>5866</v>
      </c>
      <c r="F907" s="17" t="s">
        <v>1426</v>
      </c>
      <c r="G907" s="17" t="s">
        <v>1427</v>
      </c>
      <c r="H907" s="78"/>
      <c r="I907" s="74" t="s">
        <v>7122</v>
      </c>
      <c r="J907" s="16" t="s">
        <v>7123</v>
      </c>
      <c r="K907" s="241" t="s">
        <v>7124</v>
      </c>
      <c r="L907" s="20" t="s">
        <v>7125</v>
      </c>
      <c r="M907" s="16"/>
      <c r="N907" s="22">
        <v>45576</v>
      </c>
      <c r="O907" s="22">
        <v>45576</v>
      </c>
      <c r="P907" s="22">
        <v>46752</v>
      </c>
      <c r="Q907" s="23">
        <f t="shared" si="368"/>
        <v>1176</v>
      </c>
      <c r="R907" s="17" t="s">
        <v>2934</v>
      </c>
      <c r="S907" s="16" t="s">
        <v>1424</v>
      </c>
      <c r="T907" s="16" t="s">
        <v>1424</v>
      </c>
      <c r="U907" s="67" t="s">
        <v>1424</v>
      </c>
      <c r="V907" s="16" t="s">
        <v>1424</v>
      </c>
      <c r="W907" s="24">
        <v>0</v>
      </c>
      <c r="X907" s="24"/>
      <c r="Y907" s="24">
        <v>135442260</v>
      </c>
      <c r="Z907" s="24"/>
      <c r="AA907" s="17" t="s">
        <v>607</v>
      </c>
      <c r="AB907" s="23" t="str">
        <f>IFERROR(VLOOKUP(AA907,Listas!$A$1:$C$14,2,FALSE),"")</f>
        <v>MARÍA FRANCISCA CEPEDA QUINTERO</v>
      </c>
      <c r="AC907" s="23">
        <f>IFERROR(VLOOKUP(AA907,Listas!$A$1:$C$14,3,FALSE),"")</f>
        <v>53062608</v>
      </c>
      <c r="AD907" s="17" t="s">
        <v>607</v>
      </c>
      <c r="AE907" s="17" t="s">
        <v>1155</v>
      </c>
      <c r="AF907" s="23" t="str">
        <f>IFERROR(VLOOKUP(AE907,Listas!$AD$1:$AF$65,2,FALSE),"")</f>
        <v>MARÍA FRANCISCA CEPEDA QUINTERO</v>
      </c>
      <c r="AG907" s="23">
        <f>IFERROR(VLOOKUP(AE907,Listas!$AD$1:$AF$65,3,FALSE),"")</f>
        <v>53062608</v>
      </c>
      <c r="AH907" s="17" t="s">
        <v>2936</v>
      </c>
      <c r="AI907" s="65"/>
      <c r="AJ907" s="25" t="s">
        <v>1435</v>
      </c>
      <c r="AK907" s="26" t="s">
        <v>2071</v>
      </c>
      <c r="AL907" s="26" t="s">
        <v>2071</v>
      </c>
      <c r="AM907" s="90" t="s">
        <v>1435</v>
      </c>
      <c r="AN907" s="105"/>
      <c r="AO907" s="91" t="str">
        <f t="shared" ref="AO907" ca="1" si="372">IF(YEAR(TODAY())-YEAR(AN907)&gt;100," ",YEAR(TODAY())-YEAR(AN907))</f>
        <v xml:space="preserve"> </v>
      </c>
      <c r="AP907" s="26" t="s">
        <v>2937</v>
      </c>
      <c r="AQ907" s="26" t="s">
        <v>3501</v>
      </c>
      <c r="AR907" s="89"/>
      <c r="AS907" s="27"/>
      <c r="AT907" s="16"/>
      <c r="AU907" s="27"/>
      <c r="AV907" s="86"/>
      <c r="AW907" s="27"/>
      <c r="AX907" s="27"/>
      <c r="AY907" s="27"/>
      <c r="AZ907" s="27"/>
      <c r="BA907" s="27"/>
      <c r="BB907" s="27"/>
      <c r="BC907" s="97"/>
      <c r="BD907" s="27"/>
      <c r="BE907" s="16"/>
      <c r="BF907" s="28">
        <f t="shared" ref="BF907:BF971" si="373">BC907+BE907</f>
        <v>0</v>
      </c>
      <c r="BG907" s="29"/>
      <c r="BH907" s="27"/>
      <c r="BI907" s="30">
        <f t="shared" ref="BI907:BI971" si="374">BF907+Q907</f>
        <v>1176</v>
      </c>
      <c r="BJ907" s="31">
        <f t="shared" ref="BJ907:BJ971" si="375">IF(BH907="",P907+BF907,BH907)</f>
        <v>46752</v>
      </c>
      <c r="BK907" s="27"/>
      <c r="BL907" s="16"/>
      <c r="BM907" s="27"/>
      <c r="BN907" s="16"/>
      <c r="BO907" s="27"/>
      <c r="BP907" s="16"/>
      <c r="BQ907" s="27"/>
      <c r="BR907" s="24"/>
      <c r="BS907" s="24"/>
      <c r="BT907" s="32"/>
      <c r="BU907" s="27"/>
      <c r="BV907" s="24"/>
      <c r="BW907" s="24"/>
      <c r="BX907" s="16"/>
      <c r="BY907" s="27"/>
      <c r="BZ907" s="24"/>
      <c r="CA907" s="24"/>
      <c r="CB907" s="16"/>
      <c r="CC907" s="49">
        <f t="shared" ref="CC907:CC971" si="376">BR907+BV907+BZ907</f>
        <v>0</v>
      </c>
      <c r="CD907" s="24"/>
      <c r="CE907" s="49">
        <f t="shared" si="367"/>
        <v>135442260</v>
      </c>
      <c r="CF907" s="50">
        <v>0</v>
      </c>
      <c r="CG907" s="49">
        <f t="shared" ca="1" si="366"/>
        <v>43074324.183673471</v>
      </c>
      <c r="CH907" s="33">
        <f t="shared" ca="1" si="357"/>
        <v>0.31810344827586207</v>
      </c>
      <c r="CI907" s="33">
        <f t="shared" ca="1" si="358"/>
        <v>0.31810344827586207</v>
      </c>
      <c r="CJ907" s="36">
        <f t="shared" ca="1" si="370"/>
        <v>31.802721088435376</v>
      </c>
      <c r="CK907" s="34">
        <f t="shared" si="371"/>
        <v>0</v>
      </c>
      <c r="CL907" s="21"/>
      <c r="CM907" s="35" t="str">
        <f t="shared" ref="CM907:CM938" ca="1" si="377">IF(CL907&gt;1/1/6,"LIQUIDADO",IF(BJ907=$BE$20003,"",IF(BJ907&gt;=TODAY(),"VIGENTE",IF(BJ907&lt;TODAY(),"TERMINADO",))))</f>
        <v>VIGENTE</v>
      </c>
      <c r="CN907" s="82"/>
      <c r="CO907" s="145"/>
      <c r="CP907" s="26"/>
      <c r="CQ907" s="83"/>
      <c r="CR907" s="83"/>
    </row>
    <row r="908" spans="1:97" ht="24.75" customHeight="1">
      <c r="A908" s="48" t="s">
        <v>7126</v>
      </c>
      <c r="B908" s="77" t="s">
        <v>7127</v>
      </c>
      <c r="C908" s="17" t="s">
        <v>104</v>
      </c>
      <c r="D908" s="18" t="s">
        <v>7128</v>
      </c>
      <c r="E908" s="17" t="s">
        <v>106</v>
      </c>
      <c r="F908" s="17" t="s">
        <v>1426</v>
      </c>
      <c r="G908" s="17" t="s">
        <v>1427</v>
      </c>
      <c r="H908" s="78" t="s">
        <v>7129</v>
      </c>
      <c r="I908" s="74" t="s">
        <v>7130</v>
      </c>
      <c r="J908" s="16" t="s">
        <v>7131</v>
      </c>
      <c r="K908" s="16">
        <v>52084543</v>
      </c>
      <c r="L908" s="111" t="s">
        <v>7132</v>
      </c>
      <c r="M908" s="16"/>
      <c r="N908" s="22">
        <v>45580</v>
      </c>
      <c r="O908" s="22">
        <v>45586</v>
      </c>
      <c r="P908" s="115">
        <v>45656</v>
      </c>
      <c r="Q908" s="23">
        <f t="shared" si="368"/>
        <v>70</v>
      </c>
      <c r="R908" s="17" t="s">
        <v>242</v>
      </c>
      <c r="S908" t="s">
        <v>7133</v>
      </c>
      <c r="T908" s="16" t="s">
        <v>7134</v>
      </c>
      <c r="U908" s="67">
        <v>15179640</v>
      </c>
      <c r="V908" s="16" t="s">
        <v>7114</v>
      </c>
      <c r="W908" s="24">
        <v>15179640</v>
      </c>
      <c r="X908" s="24"/>
      <c r="Y908" s="24"/>
      <c r="Z908" s="24"/>
      <c r="AA908" s="17" t="s">
        <v>577</v>
      </c>
      <c r="AB908" s="23" t="str">
        <f>IFERROR(VLOOKUP(AA908,Listas!$A$1:$C$14,2,FALSE),"")</f>
        <v>EDGAR FABIO DÍAZ RAMIREZ</v>
      </c>
      <c r="AC908" s="23">
        <f>IFERROR(VLOOKUP(AA908,Listas!$A$1:$C$14,3,FALSE),"")</f>
        <v>79537198</v>
      </c>
      <c r="AD908" s="17" t="s">
        <v>577</v>
      </c>
      <c r="AE908" s="17" t="s">
        <v>578</v>
      </c>
      <c r="AF908" s="23" t="str">
        <f>IFERROR(VLOOKUP(AE908,Listas!$AD$1:$AF$65,2,FALSE),"")</f>
        <v>EDGAR FABIO DÍAZ RAMIREZ</v>
      </c>
      <c r="AG908" s="23">
        <f>IFERROR(VLOOKUP(AE908,Listas!$AD$1:$AF$65,3,FALSE),"")</f>
        <v>79537198</v>
      </c>
      <c r="AH908" s="17"/>
      <c r="AI908" s="65"/>
      <c r="AJ908" s="25" t="s">
        <v>1435</v>
      </c>
      <c r="AK908" s="26" t="s">
        <v>2071</v>
      </c>
      <c r="AL908" s="26" t="s">
        <v>2071</v>
      </c>
      <c r="AM908" s="90" t="s">
        <v>1435</v>
      </c>
      <c r="AN908" s="105"/>
      <c r="AO908" s="91" t="str">
        <f t="shared" ca="1" si="369"/>
        <v xml:space="preserve"> </v>
      </c>
      <c r="AP908" s="26" t="s">
        <v>121</v>
      </c>
      <c r="AQ908" s="26" t="s">
        <v>1641</v>
      </c>
      <c r="AR908" s="89"/>
      <c r="AS908" s="27"/>
      <c r="AT908" s="16"/>
      <c r="AU908" s="27"/>
      <c r="AV908" s="86"/>
      <c r="AW908" s="27"/>
      <c r="AX908" s="27"/>
      <c r="AY908" s="27"/>
      <c r="AZ908" s="27"/>
      <c r="BA908" s="27"/>
      <c r="BB908" s="27"/>
      <c r="BC908" s="97"/>
      <c r="BD908" s="27"/>
      <c r="BE908" s="16"/>
      <c r="BF908" s="28">
        <f t="shared" si="373"/>
        <v>0</v>
      </c>
      <c r="BG908" s="29"/>
      <c r="BH908" s="27"/>
      <c r="BI908" s="30">
        <f t="shared" si="374"/>
        <v>70</v>
      </c>
      <c r="BJ908" s="31">
        <f t="shared" si="375"/>
        <v>45656</v>
      </c>
      <c r="BK908" s="27"/>
      <c r="BL908" s="16"/>
      <c r="BM908" s="27"/>
      <c r="BN908" s="16"/>
      <c r="BO908" s="27"/>
      <c r="BP908" s="16"/>
      <c r="BQ908" s="27"/>
      <c r="BR908" s="24"/>
      <c r="BS908" s="24"/>
      <c r="BT908" s="32"/>
      <c r="BU908" s="27"/>
      <c r="BV908" s="24"/>
      <c r="BW908" s="24"/>
      <c r="BX908" s="16"/>
      <c r="BY908" s="27"/>
      <c r="BZ908" s="24"/>
      <c r="CA908" s="24"/>
      <c r="CB908" s="16"/>
      <c r="CC908" s="49">
        <f t="shared" si="376"/>
        <v>0</v>
      </c>
      <c r="CD908" s="24"/>
      <c r="CE908" s="49">
        <f t="shared" si="367"/>
        <v>15179640</v>
      </c>
      <c r="CF908" s="50">
        <v>0</v>
      </c>
      <c r="CG908" s="49">
        <f t="shared" ca="1" si="366"/>
        <v>15179640</v>
      </c>
      <c r="CH908" s="33">
        <f t="shared" ca="1" si="357"/>
        <v>1</v>
      </c>
      <c r="CI908" s="33">
        <f t="shared" ca="1" si="358"/>
        <v>1</v>
      </c>
      <c r="CJ908" s="36">
        <f t="shared" ca="1" si="370"/>
        <v>100</v>
      </c>
      <c r="CK908" s="34">
        <f t="shared" si="371"/>
        <v>0</v>
      </c>
      <c r="CL908" s="21"/>
      <c r="CM908" s="35" t="str">
        <f t="shared" ca="1" si="377"/>
        <v>TERMINADO</v>
      </c>
      <c r="CN908" s="82"/>
      <c r="CP908" s="26"/>
    </row>
    <row r="909" spans="1:97" s="85" customFormat="1" ht="24.75" customHeight="1">
      <c r="A909" s="48" t="s">
        <v>1424</v>
      </c>
      <c r="B909" s="77" t="s">
        <v>7135</v>
      </c>
      <c r="C909" s="17" t="s">
        <v>2927</v>
      </c>
      <c r="D909" s="18" t="s">
        <v>7136</v>
      </c>
      <c r="E909" s="17" t="s">
        <v>2929</v>
      </c>
      <c r="F909" s="17" t="s">
        <v>1426</v>
      </c>
      <c r="G909" s="17" t="s">
        <v>1427</v>
      </c>
      <c r="H909" s="78" t="s">
        <v>7137</v>
      </c>
      <c r="I909" s="74" t="s">
        <v>7138</v>
      </c>
      <c r="J909" s="16" t="s">
        <v>7139</v>
      </c>
      <c r="K909" s="241">
        <v>12624870</v>
      </c>
      <c r="L909" s="20" t="s">
        <v>7140</v>
      </c>
      <c r="M909" s="16"/>
      <c r="N909" s="22">
        <v>45589</v>
      </c>
      <c r="O909" s="22">
        <v>45589</v>
      </c>
      <c r="P909" s="22">
        <v>47415</v>
      </c>
      <c r="Q909" s="23">
        <f t="shared" si="368"/>
        <v>1826</v>
      </c>
      <c r="R909" s="17" t="s">
        <v>2934</v>
      </c>
      <c r="S909" s="16" t="s">
        <v>1424</v>
      </c>
      <c r="T909" s="16" t="s">
        <v>1424</v>
      </c>
      <c r="U909" s="67" t="s">
        <v>1424</v>
      </c>
      <c r="V909" s="16" t="s">
        <v>1424</v>
      </c>
      <c r="W909" s="24">
        <v>0</v>
      </c>
      <c r="X909" s="24"/>
      <c r="Y909" s="24" t="s">
        <v>2935</v>
      </c>
      <c r="Z909" s="24"/>
      <c r="AA909" s="17" t="s">
        <v>406</v>
      </c>
      <c r="AB909" s="23" t="str">
        <f>IFERROR(VLOOKUP(AA909,Listas!$A$1:$C$14,2,FALSE),"")</f>
        <v>EDUARDO ELÍAS BARCHA BOLÍVAR</v>
      </c>
      <c r="AC909" s="23">
        <f>IFERROR(VLOOKUP(AA909,Listas!$A$1:$C$14,3,FALSE),"")</f>
        <v>72133921</v>
      </c>
      <c r="AD909" s="17" t="s">
        <v>903</v>
      </c>
      <c r="AE909" s="17" t="s">
        <v>904</v>
      </c>
      <c r="AF909" s="23" t="str">
        <f>IFERROR(VLOOKUP(AE909,Listas!$AD$1:$AF$65,2,FALSE),"")</f>
        <v>VIVIANA MARGARITA ROMERO</v>
      </c>
      <c r="AG909" s="23">
        <f>IFERROR(VLOOKUP(AE909,Listas!$AD$1:$AF$65,3,FALSE),"")</f>
        <v>32794946</v>
      </c>
      <c r="AH909" s="17" t="s">
        <v>2936</v>
      </c>
      <c r="AI909" s="65"/>
      <c r="AJ909" s="25" t="s">
        <v>1435</v>
      </c>
      <c r="AK909" s="26" t="s">
        <v>2071</v>
      </c>
      <c r="AL909" s="26" t="s">
        <v>2071</v>
      </c>
      <c r="AM909" s="90" t="s">
        <v>1435</v>
      </c>
      <c r="AN909" s="105"/>
      <c r="AO909" s="91" t="str">
        <f t="shared" ca="1" si="369"/>
        <v xml:space="preserve"> </v>
      </c>
      <c r="AP909" s="26" t="s">
        <v>2937</v>
      </c>
      <c r="AQ909" s="26" t="s">
        <v>4526</v>
      </c>
      <c r="AR909" s="89"/>
      <c r="AS909" s="27"/>
      <c r="AT909" s="16"/>
      <c r="AU909" s="27"/>
      <c r="AV909" s="86"/>
      <c r="AW909" s="27"/>
      <c r="AX909" s="27"/>
      <c r="AY909" s="27"/>
      <c r="AZ909" s="27"/>
      <c r="BA909" s="27"/>
      <c r="BB909" s="27"/>
      <c r="BC909" s="97"/>
      <c r="BD909" s="27"/>
      <c r="BE909" s="16"/>
      <c r="BF909" s="28">
        <f t="shared" si="373"/>
        <v>0</v>
      </c>
      <c r="BG909" s="29"/>
      <c r="BH909" s="27"/>
      <c r="BI909" s="30">
        <f t="shared" si="374"/>
        <v>1826</v>
      </c>
      <c r="BJ909" s="31">
        <f t="shared" si="375"/>
        <v>47415</v>
      </c>
      <c r="BK909" s="27"/>
      <c r="BL909" s="16"/>
      <c r="BM909" s="27"/>
      <c r="BN909" s="16"/>
      <c r="BO909" s="27"/>
      <c r="BP909" s="16"/>
      <c r="BQ909" s="27"/>
      <c r="BR909" s="24"/>
      <c r="BS909" s="24"/>
      <c r="BT909" s="32"/>
      <c r="BU909" s="27"/>
      <c r="BV909" s="24"/>
      <c r="BW909" s="24"/>
      <c r="BX909" s="16"/>
      <c r="BY909" s="27"/>
      <c r="BZ909" s="24"/>
      <c r="CA909" s="24"/>
      <c r="CB909" s="16"/>
      <c r="CC909" s="49">
        <f t="shared" si="376"/>
        <v>0</v>
      </c>
      <c r="CD909" s="24"/>
      <c r="CE909" s="49" t="str">
        <f>IFERROR(IF(Y909=0,(W909+CC909)-CD909,IF(Y909&gt;0,(Y909+CC909)-CD909)),"")</f>
        <v/>
      </c>
      <c r="CF909" s="50">
        <v>0</v>
      </c>
      <c r="CG909" s="49" t="str">
        <f t="shared" ca="1" si="366"/>
        <v/>
      </c>
      <c r="CH909" s="33">
        <f t="shared" ca="1" si="357"/>
        <v>0.19777777777777777</v>
      </c>
      <c r="CI909" s="33">
        <f t="shared" ca="1" si="358"/>
        <v>0.19777777777777777</v>
      </c>
      <c r="CJ909" s="36" t="str">
        <f t="shared" ca="1" si="370"/>
        <v/>
      </c>
      <c r="CK909" s="34" t="str">
        <f>IFERROR((CF909/CE909)*100,"")</f>
        <v/>
      </c>
      <c r="CL909" s="21"/>
      <c r="CM909" s="35" t="str">
        <f t="shared" ca="1" si="377"/>
        <v>VIGENTE</v>
      </c>
      <c r="CN909" s="82"/>
      <c r="CO909" s="145"/>
      <c r="CP909" s="26"/>
      <c r="CQ909" s="83"/>
      <c r="CR909" s="83"/>
    </row>
    <row r="910" spans="1:97" s="85" customFormat="1" ht="24.75" customHeight="1">
      <c r="A910" s="48" t="s">
        <v>7141</v>
      </c>
      <c r="B910" s="77" t="s">
        <v>7142</v>
      </c>
      <c r="C910" s="17" t="s">
        <v>104</v>
      </c>
      <c r="D910" s="18" t="s">
        <v>7143</v>
      </c>
      <c r="E910" s="17" t="s">
        <v>106</v>
      </c>
      <c r="F910" s="17" t="s">
        <v>1426</v>
      </c>
      <c r="G910" s="17" t="s">
        <v>1427</v>
      </c>
      <c r="H910" s="78">
        <v>800177588</v>
      </c>
      <c r="I910" s="74" t="s">
        <v>7144</v>
      </c>
      <c r="J910" s="16" t="s">
        <v>7145</v>
      </c>
      <c r="K910" s="16"/>
      <c r="L910" s="20" t="s">
        <v>7146</v>
      </c>
      <c r="M910" s="16"/>
      <c r="N910" s="22">
        <v>45589</v>
      </c>
      <c r="O910" s="22">
        <v>45593</v>
      </c>
      <c r="P910" s="22">
        <v>45958</v>
      </c>
      <c r="Q910" s="23">
        <f t="shared" si="368"/>
        <v>365</v>
      </c>
      <c r="R910" s="17" t="s">
        <v>242</v>
      </c>
      <c r="S910" s="16" t="s">
        <v>7147</v>
      </c>
      <c r="T910" s="16" t="s">
        <v>2811</v>
      </c>
      <c r="U910" s="67">
        <v>16517178</v>
      </c>
      <c r="V910" s="16" t="s">
        <v>3076</v>
      </c>
      <c r="W910" s="24">
        <v>99103056</v>
      </c>
      <c r="X910" s="24"/>
      <c r="Y910" s="24"/>
      <c r="Z910" s="24"/>
      <c r="AA910" s="17" t="s">
        <v>116</v>
      </c>
      <c r="AB910" s="23" t="str">
        <f>IFERROR(VLOOKUP(AA910,Listas!$A$1:$C$14,2,FALSE),"")</f>
        <v>FREDY CÉSPEDES VILLA</v>
      </c>
      <c r="AC910" s="23">
        <f>IFERROR(VLOOKUP(AA910,Listas!$A$1:$C$14,3,FALSE),"")</f>
        <v>93363483</v>
      </c>
      <c r="AD910" s="17" t="s">
        <v>282</v>
      </c>
      <c r="AE910" s="17" t="s">
        <v>7148</v>
      </c>
      <c r="AF910" s="23" t="str">
        <f>IFERROR(VLOOKUP(AE910,Listas!$AD$1:$AF$65,2,FALSE),"")</f>
        <v>LICETH PAOLA LIZCANO CASTILLO</v>
      </c>
      <c r="AG910" s="23">
        <f>IFERROR(VLOOKUP(AE910,Listas!$AD$1:$AF$65,3,FALSE),"")</f>
        <v>52832635</v>
      </c>
      <c r="AH910" s="17" t="s">
        <v>118</v>
      </c>
      <c r="AI910" s="65"/>
      <c r="AJ910" s="25" t="s">
        <v>1435</v>
      </c>
      <c r="AK910" s="26" t="s">
        <v>2071</v>
      </c>
      <c r="AL910" s="26" t="s">
        <v>2071</v>
      </c>
      <c r="AM910" s="90" t="s">
        <v>1435</v>
      </c>
      <c r="AN910" s="105"/>
      <c r="AO910" s="91" t="str">
        <f t="shared" ca="1" si="369"/>
        <v xml:space="preserve"> </v>
      </c>
      <c r="AP910" s="26" t="s">
        <v>121</v>
      </c>
      <c r="AQ910" s="26" t="s">
        <v>327</v>
      </c>
      <c r="AR910" s="89"/>
      <c r="AS910" s="27"/>
      <c r="AT910" s="16"/>
      <c r="AU910" s="27"/>
      <c r="AV910" s="86"/>
      <c r="AW910" s="27"/>
      <c r="AX910" s="27"/>
      <c r="AY910" s="27"/>
      <c r="AZ910" s="27"/>
      <c r="BA910" s="27"/>
      <c r="BB910" s="27"/>
      <c r="BC910" s="97"/>
      <c r="BD910" s="27"/>
      <c r="BE910" s="16"/>
      <c r="BF910" s="28">
        <f t="shared" si="373"/>
        <v>0</v>
      </c>
      <c r="BG910" s="29"/>
      <c r="BH910" s="27"/>
      <c r="BI910" s="30">
        <f t="shared" si="374"/>
        <v>365</v>
      </c>
      <c r="BJ910" s="31">
        <f t="shared" si="375"/>
        <v>45958</v>
      </c>
      <c r="BK910" s="27"/>
      <c r="BL910" s="16"/>
      <c r="BM910" s="27"/>
      <c r="BN910" s="16"/>
      <c r="BO910" s="27"/>
      <c r="BP910" s="16"/>
      <c r="BQ910" s="27"/>
      <c r="BR910" s="24"/>
      <c r="BS910" s="24"/>
      <c r="BT910" s="32"/>
      <c r="BU910" s="27"/>
      <c r="BV910" s="24"/>
      <c r="BW910" s="24"/>
      <c r="BX910" s="16"/>
      <c r="BY910" s="27"/>
      <c r="BZ910" s="24"/>
      <c r="CA910" s="24"/>
      <c r="CB910" s="16"/>
      <c r="CC910" s="49">
        <f t="shared" si="376"/>
        <v>0</v>
      </c>
      <c r="CD910" s="24"/>
      <c r="CE910" s="49">
        <f t="shared" si="367"/>
        <v>99103056</v>
      </c>
      <c r="CF910" s="50">
        <v>0</v>
      </c>
      <c r="CG910" s="49">
        <f t="shared" ca="1" si="366"/>
        <v>98016995.112328768</v>
      </c>
      <c r="CH910" s="33">
        <f t="shared" ca="1" si="357"/>
        <v>0.97777777777777775</v>
      </c>
      <c r="CI910" s="33">
        <f t="shared" ca="1" si="358"/>
        <v>0.97777777777777775</v>
      </c>
      <c r="CJ910" s="36">
        <f t="shared" ca="1" si="370"/>
        <v>98.904109589041099</v>
      </c>
      <c r="CK910" s="34">
        <f t="shared" si="371"/>
        <v>0</v>
      </c>
      <c r="CL910" s="21"/>
      <c r="CM910" s="35" t="str">
        <f t="shared" ca="1" si="377"/>
        <v>VIGENTE</v>
      </c>
      <c r="CN910" s="82"/>
      <c r="CO910" s="145"/>
      <c r="CP910" s="26"/>
      <c r="CQ910" s="83"/>
      <c r="CR910" s="83"/>
    </row>
    <row r="911" spans="1:97" s="85" customFormat="1" ht="24.75" customHeight="1">
      <c r="A911" s="48" t="s">
        <v>1424</v>
      </c>
      <c r="B911" s="77" t="s">
        <v>7149</v>
      </c>
      <c r="C911" s="17" t="s">
        <v>2927</v>
      </c>
      <c r="D911" s="18" t="s">
        <v>7150</v>
      </c>
      <c r="E911" s="17" t="s">
        <v>2929</v>
      </c>
      <c r="F911" s="17" t="s">
        <v>1426</v>
      </c>
      <c r="G911" s="17" t="s">
        <v>1427</v>
      </c>
      <c r="H911" s="78" t="s">
        <v>7151</v>
      </c>
      <c r="I911" s="74" t="s">
        <v>7152</v>
      </c>
      <c r="J911" s="16" t="s">
        <v>7153</v>
      </c>
      <c r="K911" s="241">
        <v>11317799</v>
      </c>
      <c r="L911" s="20" t="s">
        <v>6827</v>
      </c>
      <c r="M911" s="16"/>
      <c r="N911" s="22">
        <v>45593</v>
      </c>
      <c r="O911" s="22">
        <v>45593</v>
      </c>
      <c r="P911" s="22">
        <v>47419</v>
      </c>
      <c r="Q911" s="23">
        <f t="shared" si="368"/>
        <v>1826</v>
      </c>
      <c r="R911" s="17" t="s">
        <v>2934</v>
      </c>
      <c r="S911" s="16" t="s">
        <v>1424</v>
      </c>
      <c r="T911" s="16" t="s">
        <v>1424</v>
      </c>
      <c r="U911" s="67" t="s">
        <v>1424</v>
      </c>
      <c r="V911" s="16" t="s">
        <v>1424</v>
      </c>
      <c r="W911" s="24">
        <v>0</v>
      </c>
      <c r="X911" s="24"/>
      <c r="Y911" s="24" t="s">
        <v>2935</v>
      </c>
      <c r="Z911" s="24"/>
      <c r="AA911" s="17" t="s">
        <v>406</v>
      </c>
      <c r="AB911" s="23" t="str">
        <f>IFERROR(VLOOKUP(AA911,Listas!$A$1:$C$14,2,FALSE),"")</f>
        <v>EDUARDO ELÍAS BARCHA BOLÍVAR</v>
      </c>
      <c r="AC911" s="23">
        <f>IFERROR(VLOOKUP(AA911,Listas!$A$1:$C$14,3,FALSE),"")</f>
        <v>72133921</v>
      </c>
      <c r="AD911" s="17" t="s">
        <v>1533</v>
      </c>
      <c r="AE911" s="17" t="s">
        <v>1534</v>
      </c>
      <c r="AF911" s="23" t="str">
        <f>IFERROR(VLOOKUP(AE911,Listas!$AD$1:$AF$65,2,FALSE),"")</f>
        <v>ESTEBAN GUERRERO ALVAREZ</v>
      </c>
      <c r="AG911" s="23">
        <f>IFERROR(VLOOKUP(AE911,Listas!$AD$1:$AF$65,3,FALSE),"")</f>
        <v>1032460552</v>
      </c>
      <c r="AH911" s="17" t="s">
        <v>2936</v>
      </c>
      <c r="AI911" s="65"/>
      <c r="AJ911" s="25" t="s">
        <v>1435</v>
      </c>
      <c r="AK911" s="26" t="s">
        <v>2071</v>
      </c>
      <c r="AL911" s="26" t="s">
        <v>2071</v>
      </c>
      <c r="AM911" s="90" t="s">
        <v>1435</v>
      </c>
      <c r="AN911" s="105"/>
      <c r="AO911" s="91" t="str">
        <f t="shared" ca="1" si="369"/>
        <v xml:space="preserve"> </v>
      </c>
      <c r="AP911" s="26" t="s">
        <v>2937</v>
      </c>
      <c r="AQ911" s="26" t="s">
        <v>3437</v>
      </c>
      <c r="AR911" s="89"/>
      <c r="AS911" s="27"/>
      <c r="AT911" s="16"/>
      <c r="AU911" s="27"/>
      <c r="AV911" s="86"/>
      <c r="AW911" s="27"/>
      <c r="AX911" s="27"/>
      <c r="AY911" s="27"/>
      <c r="AZ911" s="27"/>
      <c r="BA911" s="27"/>
      <c r="BB911" s="27"/>
      <c r="BC911" s="97"/>
      <c r="BD911" s="27"/>
      <c r="BE911" s="16"/>
      <c r="BF911" s="28">
        <f t="shared" si="373"/>
        <v>0</v>
      </c>
      <c r="BG911" s="29"/>
      <c r="BH911" s="27"/>
      <c r="BI911" s="30">
        <f t="shared" si="374"/>
        <v>1826</v>
      </c>
      <c r="BJ911" s="31">
        <f t="shared" si="375"/>
        <v>47419</v>
      </c>
      <c r="BK911" s="27"/>
      <c r="BL911" s="16"/>
      <c r="BM911" s="27"/>
      <c r="BN911" s="16"/>
      <c r="BO911" s="27"/>
      <c r="BP911" s="16"/>
      <c r="BQ911" s="27"/>
      <c r="BR911" s="24"/>
      <c r="BS911" s="24"/>
      <c r="BT911" s="32"/>
      <c r="BU911" s="27"/>
      <c r="BV911" s="24"/>
      <c r="BW911" s="24"/>
      <c r="BX911" s="16"/>
      <c r="BY911" s="27"/>
      <c r="BZ911" s="24"/>
      <c r="CA911" s="24"/>
      <c r="CB911" s="16"/>
      <c r="CC911" s="49">
        <f t="shared" si="376"/>
        <v>0</v>
      </c>
      <c r="CD911" s="24"/>
      <c r="CE911" s="49" t="str">
        <f>IFERROR(IF(Y911=0,(W911+CC911)-CD911,IF(Y911&gt;0,(Y911+CC911)-CD911)),"")</f>
        <v/>
      </c>
      <c r="CF911" s="50">
        <v>0</v>
      </c>
      <c r="CG911" s="49" t="str">
        <f t="shared" ca="1" si="366"/>
        <v/>
      </c>
      <c r="CH911" s="33">
        <f t="shared" ca="1" si="357"/>
        <v>0.19555555555555557</v>
      </c>
      <c r="CI911" s="33">
        <f t="shared" ca="1" si="358"/>
        <v>0.19555555555555557</v>
      </c>
      <c r="CJ911" s="36" t="str">
        <f t="shared" ca="1" si="370"/>
        <v/>
      </c>
      <c r="CK911" s="34" t="str">
        <f t="shared" si="371"/>
        <v/>
      </c>
      <c r="CL911" s="21"/>
      <c r="CM911" s="35" t="str">
        <f t="shared" ca="1" si="377"/>
        <v>VIGENTE</v>
      </c>
      <c r="CN911" s="82"/>
      <c r="CO911" s="145"/>
      <c r="CP911" s="26"/>
      <c r="CQ911" s="83"/>
      <c r="CR911" s="83"/>
    </row>
    <row r="912" spans="1:97" ht="24.75" customHeight="1">
      <c r="A912" s="48" t="s">
        <v>1424</v>
      </c>
      <c r="B912" s="77" t="s">
        <v>7154</v>
      </c>
      <c r="C912" s="17" t="s">
        <v>2927</v>
      </c>
      <c r="D912" s="18" t="s">
        <v>7155</v>
      </c>
      <c r="E912" s="17" t="s">
        <v>5866</v>
      </c>
      <c r="F912" s="17" t="s">
        <v>1426</v>
      </c>
      <c r="G912" s="17" t="s">
        <v>1427</v>
      </c>
      <c r="H912" s="78" t="s">
        <v>7156</v>
      </c>
      <c r="I912" s="74" t="s">
        <v>7157</v>
      </c>
      <c r="J912" s="16" t="s">
        <v>7158</v>
      </c>
      <c r="K912" s="16">
        <v>1088269756</v>
      </c>
      <c r="L912" s="20" t="s">
        <v>7159</v>
      </c>
      <c r="M912" s="16"/>
      <c r="N912" s="22">
        <v>45594</v>
      </c>
      <c r="O912" s="22">
        <v>45597</v>
      </c>
      <c r="P912" s="22">
        <v>45653</v>
      </c>
      <c r="Q912" s="23">
        <f t="shared" si="368"/>
        <v>56</v>
      </c>
      <c r="R912" s="17" t="s">
        <v>112</v>
      </c>
      <c r="S912" s="16" t="s">
        <v>7160</v>
      </c>
      <c r="T912" s="16" t="s">
        <v>364</v>
      </c>
      <c r="U912" s="67">
        <v>536548000</v>
      </c>
      <c r="V912" s="16" t="s">
        <v>365</v>
      </c>
      <c r="W912" s="224">
        <v>536548000</v>
      </c>
      <c r="X912" s="24"/>
      <c r="Y912" s="24">
        <v>765068000</v>
      </c>
      <c r="Z912" s="24" t="s">
        <v>7161</v>
      </c>
      <c r="AA912" s="17" t="s">
        <v>345</v>
      </c>
      <c r="AB912" s="23" t="str">
        <f>IFERROR(VLOOKUP(AA912,Listas!$A$1:$C$14,2,FALSE),"")</f>
        <v>RODOLFO GIOVANNI CANCHILA SUÁREZ</v>
      </c>
      <c r="AC912" s="23">
        <f>IFERROR(VLOOKUP(AA912,Listas!$A$1:$C$14,3,FALSE),"")</f>
        <v>79672493</v>
      </c>
      <c r="AD912" s="17" t="s">
        <v>345</v>
      </c>
      <c r="AE912" s="17" t="s">
        <v>346</v>
      </c>
      <c r="AF912" s="23" t="str">
        <f>IFERROR(VLOOKUP(AE912,Listas!$AD$1:$AF$65,2,FALSE),"")</f>
        <v>RODOLFO GIOVANNI CANCHILA SUÁREZ</v>
      </c>
      <c r="AG912" s="23">
        <f>IFERROR(VLOOKUP(AE912,Listas!$AD$1:$AF$65,3,FALSE),"")</f>
        <v>79672493</v>
      </c>
      <c r="AH912" s="17" t="s">
        <v>2936</v>
      </c>
      <c r="AI912" s="65"/>
      <c r="AJ912" s="25" t="s">
        <v>1435</v>
      </c>
      <c r="AK912" s="26" t="s">
        <v>2071</v>
      </c>
      <c r="AL912" s="26" t="s">
        <v>2071</v>
      </c>
      <c r="AM912" s="90" t="s">
        <v>1435</v>
      </c>
      <c r="AN912" s="105"/>
      <c r="AO912" s="91" t="str">
        <f t="shared" ca="1" si="369"/>
        <v xml:space="preserve"> </v>
      </c>
      <c r="AP912" s="26" t="s">
        <v>2937</v>
      </c>
      <c r="AQ912" s="26" t="s">
        <v>3067</v>
      </c>
      <c r="AR912" s="89"/>
      <c r="AS912" s="27"/>
      <c r="AT912" s="16"/>
      <c r="AU912" s="27"/>
      <c r="AV912" s="86"/>
      <c r="AW912" s="27"/>
      <c r="AX912" s="27"/>
      <c r="AY912" s="27"/>
      <c r="AZ912" s="27"/>
      <c r="BA912" s="27"/>
      <c r="BB912" s="27"/>
      <c r="BC912" s="97"/>
      <c r="BD912" s="27"/>
      <c r="BE912" s="16"/>
      <c r="BF912" s="28">
        <f t="shared" si="373"/>
        <v>0</v>
      </c>
      <c r="BG912" s="29"/>
      <c r="BH912" s="27"/>
      <c r="BI912" s="30">
        <f t="shared" si="374"/>
        <v>56</v>
      </c>
      <c r="BJ912" s="31">
        <f t="shared" si="375"/>
        <v>45653</v>
      </c>
      <c r="BK912" s="27"/>
      <c r="BL912" s="16"/>
      <c r="BM912" s="27"/>
      <c r="BN912" s="16"/>
      <c r="BO912" s="27"/>
      <c r="BP912" s="16"/>
      <c r="BQ912" s="27"/>
      <c r="BR912" s="24"/>
      <c r="BS912" s="24"/>
      <c r="BT912" s="32"/>
      <c r="BU912" s="27"/>
      <c r="BV912" s="24"/>
      <c r="BW912" s="24"/>
      <c r="BX912" s="16"/>
      <c r="BY912" s="27"/>
      <c r="BZ912" s="24"/>
      <c r="CA912" s="24"/>
      <c r="CB912" s="16"/>
      <c r="CC912" s="49">
        <f t="shared" si="376"/>
        <v>0</v>
      </c>
      <c r="CD912" s="24"/>
      <c r="CE912" s="49">
        <f t="shared" si="367"/>
        <v>765068000</v>
      </c>
      <c r="CF912" s="50">
        <v>0</v>
      </c>
      <c r="CG912" s="49">
        <f t="shared" ca="1" si="366"/>
        <v>765068000</v>
      </c>
      <c r="CH912" s="33">
        <f t="shared" ca="1" si="357"/>
        <v>1</v>
      </c>
      <c r="CI912" s="33">
        <f t="shared" ca="1" si="358"/>
        <v>1</v>
      </c>
      <c r="CJ912" s="36">
        <f t="shared" ca="1" si="370"/>
        <v>100</v>
      </c>
      <c r="CK912" s="34">
        <f t="shared" si="371"/>
        <v>0</v>
      </c>
      <c r="CL912" s="21"/>
      <c r="CM912" s="35" t="str">
        <f t="shared" ca="1" si="377"/>
        <v>TERMINADO</v>
      </c>
      <c r="CN912" s="82"/>
      <c r="CP912" s="26"/>
    </row>
    <row r="913" spans="1:96" ht="24.75" customHeight="1">
      <c r="A913" s="48" t="s">
        <v>1424</v>
      </c>
      <c r="B913" s="77" t="s">
        <v>7162</v>
      </c>
      <c r="C913" s="17" t="s">
        <v>2927</v>
      </c>
      <c r="D913" s="18" t="s">
        <v>7163</v>
      </c>
      <c r="E913" s="17" t="s">
        <v>5866</v>
      </c>
      <c r="F913" s="17" t="s">
        <v>1426</v>
      </c>
      <c r="G913" s="17" t="s">
        <v>1427</v>
      </c>
      <c r="H913" s="78" t="s">
        <v>7164</v>
      </c>
      <c r="I913" s="74" t="s">
        <v>7165</v>
      </c>
      <c r="J913" s="16" t="s">
        <v>7166</v>
      </c>
      <c r="K913" s="16">
        <v>1072656428</v>
      </c>
      <c r="L913" s="20" t="s">
        <v>7167</v>
      </c>
      <c r="M913" s="16"/>
      <c r="N913" s="22">
        <v>45594</v>
      </c>
      <c r="O913" s="22">
        <v>45595</v>
      </c>
      <c r="P913" s="22">
        <v>45653</v>
      </c>
      <c r="Q913" s="23">
        <f t="shared" si="368"/>
        <v>58</v>
      </c>
      <c r="R913" s="17" t="s">
        <v>112</v>
      </c>
      <c r="S913" s="16" t="s">
        <v>7168</v>
      </c>
      <c r="T913" s="16" t="s">
        <v>364</v>
      </c>
      <c r="U913" s="67">
        <v>160940000</v>
      </c>
      <c r="V913" s="16" t="s">
        <v>365</v>
      </c>
      <c r="W913" s="67">
        <v>160940000</v>
      </c>
      <c r="X913" s="24"/>
      <c r="Y913" s="24">
        <v>290870000</v>
      </c>
      <c r="Z913" s="24" t="s">
        <v>7169</v>
      </c>
      <c r="AA913" s="17" t="s">
        <v>345</v>
      </c>
      <c r="AB913" s="23" t="str">
        <f>IFERROR(VLOOKUP(AA913,Listas!$A$1:$C$14,2,FALSE),"")</f>
        <v>RODOLFO GIOVANNI CANCHILA SUÁREZ</v>
      </c>
      <c r="AC913" s="23">
        <f>IFERROR(VLOOKUP(AA913,Listas!$A$1:$C$14,3,FALSE),"")</f>
        <v>79672493</v>
      </c>
      <c r="AD913" s="17" t="s">
        <v>345</v>
      </c>
      <c r="AE913" s="17" t="s">
        <v>346</v>
      </c>
      <c r="AF913" s="23" t="str">
        <f>IFERROR(VLOOKUP(AE913,Listas!$AD$1:$AF$65,2,FALSE),"")</f>
        <v>RODOLFO GIOVANNI CANCHILA SUÁREZ</v>
      </c>
      <c r="AG913" s="23">
        <f>IFERROR(VLOOKUP(AE913,Listas!$AD$1:$AF$65,3,FALSE),"")</f>
        <v>79672493</v>
      </c>
      <c r="AH913" s="17" t="s">
        <v>2936</v>
      </c>
      <c r="AI913" s="65"/>
      <c r="AJ913" s="25" t="s">
        <v>1435</v>
      </c>
      <c r="AK913" s="26" t="s">
        <v>2071</v>
      </c>
      <c r="AL913" s="26" t="s">
        <v>2071</v>
      </c>
      <c r="AM913" s="90" t="s">
        <v>1435</v>
      </c>
      <c r="AN913" s="105"/>
      <c r="AO913" s="91" t="str">
        <f t="shared" ca="1" si="369"/>
        <v xml:space="preserve"> </v>
      </c>
      <c r="AP913" s="26" t="s">
        <v>2937</v>
      </c>
      <c r="AQ913" s="26" t="s">
        <v>3067</v>
      </c>
      <c r="AR913" s="89"/>
      <c r="AS913" s="27"/>
      <c r="AT913" s="16"/>
      <c r="AU913" s="27"/>
      <c r="AV913" s="86"/>
      <c r="AW913" s="27"/>
      <c r="AX913" s="27"/>
      <c r="AY913" s="27"/>
      <c r="AZ913" s="27"/>
      <c r="BA913" s="27"/>
      <c r="BB913" s="27"/>
      <c r="BC913" s="97"/>
      <c r="BD913" s="27"/>
      <c r="BE913" s="16"/>
      <c r="BF913" s="28">
        <f t="shared" si="373"/>
        <v>0</v>
      </c>
      <c r="BG913" s="29"/>
      <c r="BH913" s="27"/>
      <c r="BI913" s="30">
        <f t="shared" si="374"/>
        <v>58</v>
      </c>
      <c r="BJ913" s="31">
        <f t="shared" si="375"/>
        <v>45653</v>
      </c>
      <c r="BK913" s="27"/>
      <c r="BL913" s="16"/>
      <c r="BM913" s="27"/>
      <c r="BN913" s="16"/>
      <c r="BO913" s="27"/>
      <c r="BP913" s="16"/>
      <c r="BQ913" s="27"/>
      <c r="BR913" s="24"/>
      <c r="BS913" s="24"/>
      <c r="BT913" s="32"/>
      <c r="BU913" s="27"/>
      <c r="BV913" s="24"/>
      <c r="BW913" s="24"/>
      <c r="BX913" s="16"/>
      <c r="BY913" s="27"/>
      <c r="BZ913" s="24"/>
      <c r="CA913" s="24"/>
      <c r="CB913" s="16"/>
      <c r="CC913" s="49">
        <f t="shared" si="376"/>
        <v>0</v>
      </c>
      <c r="CD913" s="24"/>
      <c r="CE913" s="49">
        <f t="shared" si="367"/>
        <v>290870000</v>
      </c>
      <c r="CF913" s="50">
        <v>0</v>
      </c>
      <c r="CG913" s="49">
        <f t="shared" ca="1" si="366"/>
        <v>290870000</v>
      </c>
      <c r="CH913" s="33">
        <f t="shared" ca="1" si="357"/>
        <v>1</v>
      </c>
      <c r="CI913" s="33">
        <f t="shared" ca="1" si="358"/>
        <v>1</v>
      </c>
      <c r="CJ913" s="36">
        <f t="shared" ca="1" si="370"/>
        <v>100</v>
      </c>
      <c r="CK913" s="34">
        <f t="shared" si="371"/>
        <v>0</v>
      </c>
      <c r="CL913" s="21"/>
      <c r="CM913" s="35" t="str">
        <f t="shared" ca="1" si="377"/>
        <v>TERMINADO</v>
      </c>
      <c r="CN913" s="82"/>
      <c r="CP913" s="26"/>
    </row>
    <row r="914" spans="1:96" s="85" customFormat="1" ht="24.75" customHeight="1">
      <c r="A914" s="48" t="s">
        <v>7170</v>
      </c>
      <c r="B914" s="77" t="s">
        <v>7171</v>
      </c>
      <c r="C914" s="17" t="s">
        <v>104</v>
      </c>
      <c r="D914" s="18" t="s">
        <v>7172</v>
      </c>
      <c r="E914" s="17" t="s">
        <v>4162</v>
      </c>
      <c r="F914" s="17" t="s">
        <v>1426</v>
      </c>
      <c r="G914" s="17" t="s">
        <v>1427</v>
      </c>
      <c r="H914" s="78" t="s">
        <v>7173</v>
      </c>
      <c r="I914" s="74" t="s">
        <v>7174</v>
      </c>
      <c r="J914" s="16" t="s">
        <v>7175</v>
      </c>
      <c r="K914" s="16">
        <v>35461180</v>
      </c>
      <c r="L914" s="20" t="s">
        <v>7176</v>
      </c>
      <c r="M914" s="16" t="s">
        <v>6261</v>
      </c>
      <c r="N914" s="22">
        <v>45594</v>
      </c>
      <c r="O914" s="22">
        <v>45597</v>
      </c>
      <c r="P914" s="22">
        <v>45961</v>
      </c>
      <c r="Q914" s="23">
        <f t="shared" si="368"/>
        <v>364</v>
      </c>
      <c r="R914" s="17" t="s">
        <v>242</v>
      </c>
      <c r="S914" s="16" t="s">
        <v>7177</v>
      </c>
      <c r="T914" s="16" t="s">
        <v>7178</v>
      </c>
      <c r="U914" s="67">
        <v>17084018</v>
      </c>
      <c r="V914" s="16" t="s">
        <v>7179</v>
      </c>
      <c r="W914" s="24">
        <v>17084018</v>
      </c>
      <c r="X914" s="24">
        <v>1343294</v>
      </c>
      <c r="Y914" s="24"/>
      <c r="Z914" s="24"/>
      <c r="AA914" s="17" t="s">
        <v>217</v>
      </c>
      <c r="AB914" s="23" t="str">
        <f>IFERROR(VLOOKUP(AA914,Listas!$A$1:$C$14,2,FALSE),"")</f>
        <v>EDGAR ANTONIO GÓMEZ ÁLVAREZ</v>
      </c>
      <c r="AC914" s="23">
        <f>IFERROR(VLOOKUP(AA914,Listas!$A$1:$C$14,3,FALSE),"")</f>
        <v>2231755</v>
      </c>
      <c r="AD914" s="17" t="s">
        <v>217</v>
      </c>
      <c r="AE914" s="17" t="s">
        <v>539</v>
      </c>
      <c r="AF914" s="23" t="str">
        <f>IFERROR(VLOOKUP(AE914,Listas!$AD$1:$AF$65,2,FALSE),"")</f>
        <v>DORIS POVEDA BELTRÁN</v>
      </c>
      <c r="AG914" s="23">
        <f>IFERROR(VLOOKUP(AE914,Listas!$AD$1:$AF$65,3,FALSE),"")</f>
        <v>52049845</v>
      </c>
      <c r="AH914" s="17" t="s">
        <v>118</v>
      </c>
      <c r="AI914" s="65"/>
      <c r="AJ914" s="25" t="s">
        <v>1435</v>
      </c>
      <c r="AK914" s="26" t="s">
        <v>2071</v>
      </c>
      <c r="AL914" s="26" t="s">
        <v>2071</v>
      </c>
      <c r="AM914" s="90" t="s">
        <v>1435</v>
      </c>
      <c r="AN914" s="105"/>
      <c r="AO914" s="91" t="str">
        <f t="shared" ca="1" si="369"/>
        <v xml:space="preserve"> </v>
      </c>
      <c r="AP914" s="26" t="s">
        <v>121</v>
      </c>
      <c r="AQ914" s="26" t="s">
        <v>1641</v>
      </c>
      <c r="AR914" s="89"/>
      <c r="AS914" s="27"/>
      <c r="AT914" s="16"/>
      <c r="AU914" s="27"/>
      <c r="AV914" s="86"/>
      <c r="AW914" s="27"/>
      <c r="AX914" s="27"/>
      <c r="AY914" s="27"/>
      <c r="AZ914" s="27"/>
      <c r="BA914" s="27"/>
      <c r="BB914" s="27"/>
      <c r="BC914" s="97"/>
      <c r="BD914" s="27"/>
      <c r="BE914" s="16"/>
      <c r="BF914" s="28">
        <f t="shared" si="373"/>
        <v>0</v>
      </c>
      <c r="BG914" s="29"/>
      <c r="BH914" s="27"/>
      <c r="BI914" s="30">
        <f t="shared" si="374"/>
        <v>364</v>
      </c>
      <c r="BJ914" s="31">
        <f t="shared" si="375"/>
        <v>45961</v>
      </c>
      <c r="BK914" s="27"/>
      <c r="BL914" s="16"/>
      <c r="BM914" s="27"/>
      <c r="BN914" s="16"/>
      <c r="BO914" s="27"/>
      <c r="BP914" s="16"/>
      <c r="BQ914" s="27"/>
      <c r="BR914" s="24"/>
      <c r="BS914" s="24"/>
      <c r="BT914" s="32"/>
      <c r="BU914" s="27"/>
      <c r="BV914" s="24"/>
      <c r="BW914" s="24"/>
      <c r="BX914" s="16"/>
      <c r="BY914" s="27"/>
      <c r="BZ914" s="24"/>
      <c r="CA914" s="24"/>
      <c r="CB914" s="16"/>
      <c r="CC914" s="49">
        <f t="shared" si="376"/>
        <v>0</v>
      </c>
      <c r="CD914" s="24"/>
      <c r="CE914" s="49">
        <f t="shared" si="367"/>
        <v>17084018</v>
      </c>
      <c r="CF914" s="50">
        <v>0</v>
      </c>
      <c r="CG914" s="49">
        <f t="shared" ca="1" si="366"/>
        <v>16708545.076923076</v>
      </c>
      <c r="CH914" s="33">
        <f t="shared" ca="1" si="357"/>
        <v>0.96944444444444444</v>
      </c>
      <c r="CI914" s="33">
        <f t="shared" ca="1" si="358"/>
        <v>0.96944444444444444</v>
      </c>
      <c r="CJ914" s="36">
        <f t="shared" ca="1" si="370"/>
        <v>97.802197802197796</v>
      </c>
      <c r="CK914" s="34">
        <f t="shared" si="371"/>
        <v>0</v>
      </c>
      <c r="CL914" s="21"/>
      <c r="CM914" s="35" t="str">
        <f t="shared" ca="1" si="377"/>
        <v>VIGENTE</v>
      </c>
      <c r="CN914" s="82"/>
      <c r="CO914" s="145"/>
      <c r="CP914" s="26"/>
      <c r="CQ914" s="83"/>
      <c r="CR914" s="83"/>
    </row>
    <row r="915" spans="1:96" s="85" customFormat="1" ht="24.75" customHeight="1">
      <c r="A915" s="48" t="s">
        <v>7180</v>
      </c>
      <c r="B915" s="77" t="s">
        <v>7181</v>
      </c>
      <c r="C915" s="17" t="s">
        <v>104</v>
      </c>
      <c r="D915" s="18" t="s">
        <v>7182</v>
      </c>
      <c r="E915" s="17" t="s">
        <v>4162</v>
      </c>
      <c r="F915" s="17" t="s">
        <v>1426</v>
      </c>
      <c r="G915" s="17" t="s">
        <v>1427</v>
      </c>
      <c r="H915" s="78" t="s">
        <v>7173</v>
      </c>
      <c r="I915" s="74" t="s">
        <v>7183</v>
      </c>
      <c r="J915" s="16" t="s">
        <v>7175</v>
      </c>
      <c r="K915" s="241">
        <v>35461180</v>
      </c>
      <c r="L915" s="20" t="s">
        <v>7184</v>
      </c>
      <c r="M915" s="16" t="s">
        <v>6261</v>
      </c>
      <c r="N915" s="22">
        <v>45594</v>
      </c>
      <c r="O915" s="22">
        <v>45597</v>
      </c>
      <c r="P915" s="22">
        <v>45961</v>
      </c>
      <c r="Q915" s="23">
        <f t="shared" si="368"/>
        <v>364</v>
      </c>
      <c r="R915" s="17" t="s">
        <v>242</v>
      </c>
      <c r="S915" s="16" t="s">
        <v>7185</v>
      </c>
      <c r="T915" s="16" t="s">
        <v>7186</v>
      </c>
      <c r="U915" s="67">
        <v>34713020</v>
      </c>
      <c r="V915" s="16" t="s">
        <v>7179</v>
      </c>
      <c r="W915" s="67">
        <v>34713020</v>
      </c>
      <c r="X915" s="24"/>
      <c r="Y915" s="24"/>
      <c r="Z915" s="24"/>
      <c r="AA915" s="17" t="s">
        <v>217</v>
      </c>
      <c r="AB915" s="23" t="str">
        <f>IFERROR(VLOOKUP(AA915,Listas!$A$1:$C$14,2,FALSE),"")</f>
        <v>EDGAR ANTONIO GÓMEZ ÁLVAREZ</v>
      </c>
      <c r="AC915" s="23">
        <f>IFERROR(VLOOKUP(AA915,Listas!$A$1:$C$14,3,FALSE),"")</f>
        <v>2231755</v>
      </c>
      <c r="AD915" s="17" t="s">
        <v>217</v>
      </c>
      <c r="AE915" s="17" t="s">
        <v>539</v>
      </c>
      <c r="AF915" s="23" t="str">
        <f>IFERROR(VLOOKUP(AE915,Listas!$AD$1:$AF$65,2,FALSE),"")</f>
        <v>DORIS POVEDA BELTRÁN</v>
      </c>
      <c r="AG915" s="23">
        <f>IFERROR(VLOOKUP(AE915,Listas!$AD$1:$AF$65,3,FALSE),"")</f>
        <v>52049845</v>
      </c>
      <c r="AH915" s="17"/>
      <c r="AI915" s="65"/>
      <c r="AJ915" s="25" t="s">
        <v>1435</v>
      </c>
      <c r="AK915" s="26" t="s">
        <v>2071</v>
      </c>
      <c r="AL915" s="26" t="s">
        <v>2071</v>
      </c>
      <c r="AM915" s="90" t="s">
        <v>1435</v>
      </c>
      <c r="AN915" s="105"/>
      <c r="AO915" s="91" t="str">
        <f t="shared" ca="1" si="369"/>
        <v xml:space="preserve"> </v>
      </c>
      <c r="AP915" s="26" t="s">
        <v>121</v>
      </c>
      <c r="AQ915" s="26" t="s">
        <v>1272</v>
      </c>
      <c r="AR915" s="89"/>
      <c r="AS915" s="27"/>
      <c r="AT915" s="16"/>
      <c r="AU915" s="27"/>
      <c r="AV915" s="86"/>
      <c r="AW915" s="27"/>
      <c r="AX915" s="27"/>
      <c r="AY915" s="27"/>
      <c r="AZ915" s="27"/>
      <c r="BA915" s="27"/>
      <c r="BB915" s="27"/>
      <c r="BC915" s="97"/>
      <c r="BD915" s="27"/>
      <c r="BE915" s="16"/>
      <c r="BF915" s="28">
        <f t="shared" si="373"/>
        <v>0</v>
      </c>
      <c r="BG915" s="29"/>
      <c r="BH915" s="27"/>
      <c r="BI915" s="30">
        <f t="shared" si="374"/>
        <v>364</v>
      </c>
      <c r="BJ915" s="31">
        <f t="shared" si="375"/>
        <v>45961</v>
      </c>
      <c r="BK915" s="27"/>
      <c r="BL915" s="16"/>
      <c r="BM915" s="27"/>
      <c r="BN915" s="16"/>
      <c r="BO915" s="27"/>
      <c r="BP915" s="16"/>
      <c r="BQ915" s="27"/>
      <c r="BR915" s="24"/>
      <c r="BS915" s="24"/>
      <c r="BT915" s="32"/>
      <c r="BU915" s="27"/>
      <c r="BV915" s="24"/>
      <c r="BW915" s="24"/>
      <c r="BX915" s="16"/>
      <c r="BY915" s="27"/>
      <c r="BZ915" s="24"/>
      <c r="CA915" s="24"/>
      <c r="CB915" s="16"/>
      <c r="CC915" s="49">
        <f t="shared" si="376"/>
        <v>0</v>
      </c>
      <c r="CD915" s="24"/>
      <c r="CE915" s="49">
        <f t="shared" si="367"/>
        <v>34713020</v>
      </c>
      <c r="CF915" s="50">
        <v>0</v>
      </c>
      <c r="CG915" s="49">
        <f t="shared" ca="1" si="366"/>
        <v>33950096.483516484</v>
      </c>
      <c r="CH915" s="33">
        <f t="shared" ca="1" si="357"/>
        <v>0.96944444444444444</v>
      </c>
      <c r="CI915" s="33">
        <f t="shared" ca="1" si="358"/>
        <v>0.96944444444444444</v>
      </c>
      <c r="CJ915" s="36">
        <f t="shared" ca="1" si="370"/>
        <v>97.80219780219781</v>
      </c>
      <c r="CK915" s="34">
        <f t="shared" si="371"/>
        <v>0</v>
      </c>
      <c r="CL915" s="21"/>
      <c r="CM915" s="35" t="str">
        <f t="shared" ca="1" si="377"/>
        <v>VIGENTE</v>
      </c>
      <c r="CN915" s="82"/>
      <c r="CO915" s="145"/>
      <c r="CP915" s="26"/>
      <c r="CQ915" s="83"/>
      <c r="CR915" s="83"/>
    </row>
    <row r="916" spans="1:96" s="85" customFormat="1" ht="24.75" customHeight="1">
      <c r="A916" s="48" t="s">
        <v>1424</v>
      </c>
      <c r="B916" s="77" t="s">
        <v>7187</v>
      </c>
      <c r="C916" s="17" t="s">
        <v>2927</v>
      </c>
      <c r="D916" s="18" t="s">
        <v>1424</v>
      </c>
      <c r="E916" s="17" t="s">
        <v>4162</v>
      </c>
      <c r="F916" s="17" t="s">
        <v>1426</v>
      </c>
      <c r="G916" s="17" t="s">
        <v>1427</v>
      </c>
      <c r="H916" s="78" t="s">
        <v>7188</v>
      </c>
      <c r="I916" s="74" t="s">
        <v>7189</v>
      </c>
      <c r="J916" s="16" t="s">
        <v>7190</v>
      </c>
      <c r="K916" s="241">
        <v>16656408</v>
      </c>
      <c r="L916" s="20" t="s">
        <v>7191</v>
      </c>
      <c r="M916" s="16"/>
      <c r="N916" s="22">
        <v>45595</v>
      </c>
      <c r="O916" s="22">
        <v>45595</v>
      </c>
      <c r="P916" s="22">
        <v>47056</v>
      </c>
      <c r="Q916" s="23">
        <f t="shared" si="368"/>
        <v>1461</v>
      </c>
      <c r="R916" s="17" t="s">
        <v>2934</v>
      </c>
      <c r="S916" s="16" t="s">
        <v>1424</v>
      </c>
      <c r="T916" s="16" t="s">
        <v>1424</v>
      </c>
      <c r="U916" s="67">
        <v>0</v>
      </c>
      <c r="V916" s="16" t="s">
        <v>1424</v>
      </c>
      <c r="W916" s="67">
        <v>0</v>
      </c>
      <c r="X916" s="24"/>
      <c r="Y916" s="24">
        <v>0</v>
      </c>
      <c r="Z916" s="24"/>
      <c r="AA916" s="17" t="s">
        <v>406</v>
      </c>
      <c r="AB916" s="23" t="str">
        <f>IFERROR(VLOOKUP(AA916,Listas!$A$1:$C$14,2,FALSE),"")</f>
        <v>EDUARDO ELÍAS BARCHA BOLÍVAR</v>
      </c>
      <c r="AC916" s="23">
        <f>IFERROR(VLOOKUP(AA916,Listas!$A$1:$C$14,3,FALSE),"")</f>
        <v>72133921</v>
      </c>
      <c r="AD916" s="17" t="s">
        <v>406</v>
      </c>
      <c r="AE916" s="17" t="s">
        <v>407</v>
      </c>
      <c r="AF916" s="23" t="str">
        <f>IFERROR(VLOOKUP(AE916,Listas!$AD$1:$AF$65,2,FALSE),"")</f>
        <v>MARÍA VICTORIA CAMARGO CORTÉS</v>
      </c>
      <c r="AG916" s="23">
        <f>IFERROR(VLOOKUP(AE916,Listas!$AD$1:$AF$65,3,FALSE),"")</f>
        <v>52496497</v>
      </c>
      <c r="AH916" s="17" t="s">
        <v>2936</v>
      </c>
      <c r="AI916" s="65"/>
      <c r="AJ916" s="25" t="s">
        <v>1435</v>
      </c>
      <c r="AK916" s="26" t="s">
        <v>2071</v>
      </c>
      <c r="AL916" s="26" t="s">
        <v>2071</v>
      </c>
      <c r="AM916" s="90" t="s">
        <v>1435</v>
      </c>
      <c r="AN916" s="105"/>
      <c r="AO916" s="91"/>
      <c r="AP916" s="26" t="s">
        <v>2937</v>
      </c>
      <c r="AQ916" s="26" t="s">
        <v>3453</v>
      </c>
      <c r="AR916" s="89"/>
      <c r="AS916" s="27"/>
      <c r="AT916" s="16"/>
      <c r="AU916" s="27"/>
      <c r="AV916" s="86"/>
      <c r="AW916" s="27"/>
      <c r="AX916" s="27"/>
      <c r="AY916" s="27"/>
      <c r="AZ916" s="27"/>
      <c r="BA916" s="27"/>
      <c r="BB916" s="27"/>
      <c r="BC916" s="97"/>
      <c r="BD916" s="27"/>
      <c r="BE916" s="16"/>
      <c r="BF916" s="28">
        <f t="shared" si="373"/>
        <v>0</v>
      </c>
      <c r="BG916" s="29"/>
      <c r="BH916" s="27"/>
      <c r="BI916" s="30">
        <f t="shared" ref="BI916" si="378">BF916+Q916</f>
        <v>1461</v>
      </c>
      <c r="BJ916" s="31">
        <f t="shared" ref="BJ916" si="379">IF(BH916="",P916+BF916,BH916)</f>
        <v>47056</v>
      </c>
      <c r="BK916" s="27"/>
      <c r="BL916" s="16"/>
      <c r="BM916" s="27"/>
      <c r="BN916" s="16"/>
      <c r="BO916" s="27"/>
      <c r="BP916" s="16"/>
      <c r="BQ916" s="27"/>
      <c r="BR916" s="24"/>
      <c r="BS916" s="24"/>
      <c r="BT916" s="32"/>
      <c r="BU916" s="27"/>
      <c r="BV916" s="24"/>
      <c r="BW916" s="24"/>
      <c r="BX916" s="16"/>
      <c r="BY916" s="27"/>
      <c r="BZ916" s="24"/>
      <c r="CA916" s="24"/>
      <c r="CB916" s="16"/>
      <c r="CC916" s="49">
        <f t="shared" si="376"/>
        <v>0</v>
      </c>
      <c r="CD916" s="24"/>
      <c r="CE916" s="49">
        <f t="shared" si="367"/>
        <v>0</v>
      </c>
      <c r="CF916" s="50"/>
      <c r="CG916" s="49">
        <f t="shared" ca="1" si="366"/>
        <v>0</v>
      </c>
      <c r="CH916" s="33">
        <f t="shared" ref="CH916" ca="1" si="380">IF(TODAY()&gt;BJ916,1,+(DAYS360(O916,TODAY())/DAYS360(O916,BJ916)))</f>
        <v>0.24305555555555555</v>
      </c>
      <c r="CI916" s="33">
        <f t="shared" ref="CI916" ca="1" si="381">+IF(CL916&gt;0,DAYS360(O916,CL916)/DAYS360(O916,BJ916),CH916)</f>
        <v>0.24305555555555555</v>
      </c>
      <c r="CJ916" s="36" t="str">
        <f t="shared" ref="CJ916" ca="1" si="382">IFERROR(IF(((CG916/CE916)*100)&gt;100,100,((CG916/CE916)*100)),"")</f>
        <v/>
      </c>
      <c r="CK916" s="34" t="str">
        <f t="shared" ref="CK916" si="383">IFERROR((CF916/CE916)*100,"")</f>
        <v/>
      </c>
      <c r="CL916" s="21"/>
      <c r="CM916" s="35" t="str">
        <f t="shared" ca="1" si="377"/>
        <v>VIGENTE</v>
      </c>
      <c r="CN916" s="82" t="s">
        <v>7192</v>
      </c>
      <c r="CO916" s="145"/>
      <c r="CP916" s="26"/>
      <c r="CQ916" s="83"/>
      <c r="CR916" s="83"/>
    </row>
    <row r="917" spans="1:96" s="85" customFormat="1" ht="24.75" customHeight="1">
      <c r="A917" s="48" t="s">
        <v>7193</v>
      </c>
      <c r="B917" s="77" t="s">
        <v>7194</v>
      </c>
      <c r="C917" s="17" t="s">
        <v>104</v>
      </c>
      <c r="D917" s="18" t="s">
        <v>7195</v>
      </c>
      <c r="E917" s="17" t="s">
        <v>6608</v>
      </c>
      <c r="F917" s="17" t="s">
        <v>1426</v>
      </c>
      <c r="G917" s="17" t="s">
        <v>1427</v>
      </c>
      <c r="H917" s="78" t="s">
        <v>6417</v>
      </c>
      <c r="I917" s="74" t="s">
        <v>7196</v>
      </c>
      <c r="J917" s="16"/>
      <c r="K917" s="16"/>
      <c r="L917" s="20" t="s">
        <v>7197</v>
      </c>
      <c r="M917" s="16" t="s">
        <v>6261</v>
      </c>
      <c r="N917" s="22">
        <v>45595</v>
      </c>
      <c r="O917" s="22">
        <v>45596</v>
      </c>
      <c r="P917" s="22">
        <v>45961</v>
      </c>
      <c r="Q917" s="23">
        <f t="shared" si="368"/>
        <v>365</v>
      </c>
      <c r="R917" s="17" t="s">
        <v>242</v>
      </c>
      <c r="S917" s="16" t="s">
        <v>7198</v>
      </c>
      <c r="T917" s="16" t="s">
        <v>2811</v>
      </c>
      <c r="U917" s="67">
        <v>64453308</v>
      </c>
      <c r="V917" s="16" t="s">
        <v>2812</v>
      </c>
      <c r="W917" s="67">
        <v>64453308</v>
      </c>
      <c r="X917" s="24"/>
      <c r="Y917" s="24"/>
      <c r="Z917" s="24"/>
      <c r="AA917" s="17" t="s">
        <v>116</v>
      </c>
      <c r="AB917" s="23" t="str">
        <f>IFERROR(VLOOKUP(AA917,Listas!$A$1:$C$14,2,FALSE),"")</f>
        <v>FREDY CÉSPEDES VILLA</v>
      </c>
      <c r="AC917" s="23">
        <f>IFERROR(VLOOKUP(AA917,Listas!$A$1:$C$14,3,FALSE),"")</f>
        <v>93363483</v>
      </c>
      <c r="AD917" s="17" t="s">
        <v>816</v>
      </c>
      <c r="AE917" s="17" t="s">
        <v>2835</v>
      </c>
      <c r="AF917" s="23" t="str">
        <f>IFERROR(VLOOKUP(AE917,Listas!$AD$1:$AF$65,2,FALSE),"")</f>
        <v>GUILLERMO ANDRES CARDONA HERRERA</v>
      </c>
      <c r="AG917" s="23">
        <f>IFERROR(VLOOKUP(AE917,Listas!$AD$1:$AF$65,3,FALSE),"")</f>
        <v>80018909</v>
      </c>
      <c r="AH917" s="17" t="s">
        <v>118</v>
      </c>
      <c r="AI917" s="65"/>
      <c r="AJ917" s="25" t="s">
        <v>1435</v>
      </c>
      <c r="AK917" s="26" t="s">
        <v>2071</v>
      </c>
      <c r="AL917" s="26" t="s">
        <v>2071</v>
      </c>
      <c r="AM917" s="90" t="s">
        <v>1435</v>
      </c>
      <c r="AN917" s="105"/>
      <c r="AO917" s="91" t="str">
        <f t="shared" ca="1" si="369"/>
        <v xml:space="preserve"> </v>
      </c>
      <c r="AP917" s="26" t="s">
        <v>121</v>
      </c>
      <c r="AQ917" s="26" t="s">
        <v>327</v>
      </c>
      <c r="AR917" s="89"/>
      <c r="AS917" s="27"/>
      <c r="AT917" s="16"/>
      <c r="AU917" s="27"/>
      <c r="AV917" s="86"/>
      <c r="AW917" s="27"/>
      <c r="AX917" s="27"/>
      <c r="AY917" s="27"/>
      <c r="AZ917" s="27"/>
      <c r="BA917" s="27"/>
      <c r="BB917" s="27"/>
      <c r="BC917" s="97"/>
      <c r="BD917" s="27"/>
      <c r="BE917" s="16"/>
      <c r="BF917" s="28">
        <f t="shared" si="373"/>
        <v>0</v>
      </c>
      <c r="BG917" s="29"/>
      <c r="BH917" s="27"/>
      <c r="BI917" s="30">
        <f t="shared" si="374"/>
        <v>365</v>
      </c>
      <c r="BJ917" s="31">
        <f t="shared" si="375"/>
        <v>45961</v>
      </c>
      <c r="BK917" s="27"/>
      <c r="BL917" s="16"/>
      <c r="BM917" s="27"/>
      <c r="BN917" s="16"/>
      <c r="BO917" s="27"/>
      <c r="BP917" s="16"/>
      <c r="BQ917" s="27"/>
      <c r="BR917" s="24"/>
      <c r="BS917" s="24"/>
      <c r="BT917" s="32"/>
      <c r="BU917" s="27"/>
      <c r="BV917" s="24"/>
      <c r="BW917" s="24"/>
      <c r="BX917" s="16"/>
      <c r="BY917" s="27"/>
      <c r="BZ917" s="24"/>
      <c r="CA917" s="24"/>
      <c r="CB917" s="16"/>
      <c r="CC917" s="49">
        <f t="shared" si="376"/>
        <v>0</v>
      </c>
      <c r="CD917" s="24"/>
      <c r="CE917" s="49">
        <f t="shared" si="367"/>
        <v>64453308</v>
      </c>
      <c r="CF917" s="50">
        <v>0</v>
      </c>
      <c r="CG917" s="49">
        <f t="shared" ca="1" si="366"/>
        <v>62687463.94520548</v>
      </c>
      <c r="CH917" s="33">
        <f t="shared" ca="1" si="357"/>
        <v>0.97222222222222221</v>
      </c>
      <c r="CI917" s="33">
        <f t="shared" ca="1" si="358"/>
        <v>0.97222222222222221</v>
      </c>
      <c r="CJ917" s="36">
        <f t="shared" ca="1" si="370"/>
        <v>97.260273972602747</v>
      </c>
      <c r="CK917" s="34">
        <f t="shared" si="371"/>
        <v>0</v>
      </c>
      <c r="CL917" s="21"/>
      <c r="CM917" s="35" t="str">
        <f t="shared" ca="1" si="377"/>
        <v>VIGENTE</v>
      </c>
      <c r="CN917" s="82"/>
      <c r="CO917" s="145"/>
      <c r="CP917" s="26"/>
      <c r="CQ917" s="83"/>
      <c r="CR917" s="83"/>
    </row>
    <row r="918" spans="1:96" ht="24.75" customHeight="1">
      <c r="A918" s="48" t="s">
        <v>7199</v>
      </c>
      <c r="B918" s="77" t="s">
        <v>7200</v>
      </c>
      <c r="C918" s="17" t="s">
        <v>1423</v>
      </c>
      <c r="D918" s="18" t="s">
        <v>7201</v>
      </c>
      <c r="E918" s="17" t="s">
        <v>1425</v>
      </c>
      <c r="F918" s="17" t="s">
        <v>1426</v>
      </c>
      <c r="G918" s="17" t="s">
        <v>1427</v>
      </c>
      <c r="H918" s="78" t="s">
        <v>7202</v>
      </c>
      <c r="I918" s="74" t="s">
        <v>7203</v>
      </c>
      <c r="J918" s="16" t="s">
        <v>7204</v>
      </c>
      <c r="K918" s="16"/>
      <c r="L918" s="20" t="s">
        <v>7205</v>
      </c>
      <c r="M918" s="16" t="s">
        <v>6261</v>
      </c>
      <c r="N918" s="22">
        <v>45595</v>
      </c>
      <c r="O918" s="22">
        <v>45595</v>
      </c>
      <c r="P918" s="22">
        <v>45656</v>
      </c>
      <c r="Q918" s="23">
        <f t="shared" si="368"/>
        <v>61</v>
      </c>
      <c r="R918" s="17" t="s">
        <v>242</v>
      </c>
      <c r="S918" s="16" t="s">
        <v>7206</v>
      </c>
      <c r="T918" s="16" t="s">
        <v>7207</v>
      </c>
      <c r="U918" s="67">
        <v>36005006</v>
      </c>
      <c r="V918" s="16" t="s">
        <v>7208</v>
      </c>
      <c r="W918" s="67">
        <v>36005006</v>
      </c>
      <c r="X918" s="24"/>
      <c r="Y918" s="24"/>
      <c r="Z918" s="24"/>
      <c r="AA918" s="17" t="s">
        <v>116</v>
      </c>
      <c r="AB918" s="23" t="str">
        <f>IFERROR(VLOOKUP(AA918,Listas!$A$1:$C$14,2,FALSE),"")</f>
        <v>FREDY CÉSPEDES VILLA</v>
      </c>
      <c r="AC918" s="23">
        <f>IFERROR(VLOOKUP(AA918,Listas!$A$1:$C$14,3,FALSE),"")</f>
        <v>93363483</v>
      </c>
      <c r="AD918" s="17" t="s">
        <v>116</v>
      </c>
      <c r="AE918" s="17" t="s">
        <v>2309</v>
      </c>
      <c r="AF918" s="23" t="str">
        <f>IFERROR(VLOOKUP(AE918,Listas!$AD$1:$AF$65,2,FALSE),"")</f>
        <v>YURY NAYIBE LADINO</v>
      </c>
      <c r="AG918" s="23">
        <f>IFERROR(VLOOKUP(AE918,Listas!$AD$1:$AF$65,3,FALSE),"")</f>
        <v>1013587191</v>
      </c>
      <c r="AH918" s="17" t="s">
        <v>118</v>
      </c>
      <c r="AI918" s="65"/>
      <c r="AJ918" s="25" t="s">
        <v>1435</v>
      </c>
      <c r="AK918" s="26" t="s">
        <v>2071</v>
      </c>
      <c r="AL918" s="26" t="s">
        <v>2071</v>
      </c>
      <c r="AM918" s="90" t="s">
        <v>1435</v>
      </c>
      <c r="AN918" s="105"/>
      <c r="AO918" s="91" t="str">
        <f t="shared" ca="1" si="369"/>
        <v xml:space="preserve"> </v>
      </c>
      <c r="AP918" s="26" t="s">
        <v>121</v>
      </c>
      <c r="AQ918" s="26" t="s">
        <v>220</v>
      </c>
      <c r="AR918" s="89"/>
      <c r="AS918" s="27"/>
      <c r="AT918" s="16"/>
      <c r="AU918" s="27"/>
      <c r="AV918" s="86"/>
      <c r="AW918" s="27"/>
      <c r="AX918" s="27"/>
      <c r="AY918" s="27"/>
      <c r="AZ918" s="27"/>
      <c r="BA918" s="27"/>
      <c r="BB918" s="27"/>
      <c r="BC918" s="97"/>
      <c r="BD918" s="27"/>
      <c r="BE918" s="16"/>
      <c r="BF918" s="28">
        <f t="shared" si="373"/>
        <v>0</v>
      </c>
      <c r="BG918" s="29"/>
      <c r="BH918" s="27"/>
      <c r="BI918" s="30">
        <f t="shared" si="374"/>
        <v>61</v>
      </c>
      <c r="BJ918" s="31">
        <f t="shared" si="375"/>
        <v>45656</v>
      </c>
      <c r="BK918" s="27"/>
      <c r="BL918" s="16"/>
      <c r="BM918" s="27"/>
      <c r="BN918" s="16"/>
      <c r="BO918" s="27"/>
      <c r="BP918" s="16"/>
      <c r="BQ918" s="27"/>
      <c r="BR918" s="24"/>
      <c r="BS918" s="24"/>
      <c r="BT918" s="32"/>
      <c r="BU918" s="27"/>
      <c r="BV918" s="24"/>
      <c r="BW918" s="24"/>
      <c r="BX918" s="16"/>
      <c r="BY918" s="27"/>
      <c r="BZ918" s="24"/>
      <c r="CA918" s="24"/>
      <c r="CB918" s="16"/>
      <c r="CC918" s="49">
        <f t="shared" si="376"/>
        <v>0</v>
      </c>
      <c r="CD918" s="24"/>
      <c r="CE918" s="49">
        <f t="shared" si="367"/>
        <v>36005006</v>
      </c>
      <c r="CF918" s="50">
        <v>0</v>
      </c>
      <c r="CG918" s="49">
        <f t="shared" ca="1" si="366"/>
        <v>36005006</v>
      </c>
      <c r="CH918" s="33">
        <f t="shared" ca="1" si="357"/>
        <v>1</v>
      </c>
      <c r="CI918" s="33">
        <f t="shared" ca="1" si="358"/>
        <v>1</v>
      </c>
      <c r="CJ918" s="36">
        <f t="shared" ca="1" si="370"/>
        <v>100</v>
      </c>
      <c r="CK918" s="34">
        <f t="shared" si="371"/>
        <v>0</v>
      </c>
      <c r="CL918" s="21"/>
      <c r="CM918" s="35" t="str">
        <f t="shared" ca="1" si="377"/>
        <v>TERMINADO</v>
      </c>
      <c r="CN918" s="82"/>
      <c r="CP918" s="26"/>
    </row>
    <row r="919" spans="1:96" s="85" customFormat="1" ht="24.75" customHeight="1">
      <c r="A919" s="48" t="s">
        <v>7209</v>
      </c>
      <c r="B919" s="77" t="s">
        <v>7210</v>
      </c>
      <c r="C919" s="17" t="s">
        <v>104</v>
      </c>
      <c r="D919" s="18" t="s">
        <v>7211</v>
      </c>
      <c r="E919" s="17" t="s">
        <v>4162</v>
      </c>
      <c r="F919" s="17" t="s">
        <v>1426</v>
      </c>
      <c r="G919" s="17" t="s">
        <v>1427</v>
      </c>
      <c r="H919" s="78" t="s">
        <v>5709</v>
      </c>
      <c r="I919" s="74" t="s">
        <v>5710</v>
      </c>
      <c r="J919" s="16" t="s">
        <v>5711</v>
      </c>
      <c r="K919" s="16">
        <v>79782221</v>
      </c>
      <c r="L919" s="20" t="s">
        <v>7212</v>
      </c>
      <c r="M919" s="16" t="s">
        <v>6261</v>
      </c>
      <c r="N919" s="22">
        <v>45595</v>
      </c>
      <c r="O919" s="22">
        <v>45597</v>
      </c>
      <c r="P919" s="22">
        <v>45961</v>
      </c>
      <c r="Q919" s="23">
        <f t="shared" si="368"/>
        <v>364</v>
      </c>
      <c r="R919" s="17" t="s">
        <v>112</v>
      </c>
      <c r="S919" s="16" t="s">
        <v>7213</v>
      </c>
      <c r="T919" s="16" t="s">
        <v>5714</v>
      </c>
      <c r="U919" s="67">
        <v>1941653781</v>
      </c>
      <c r="V919" s="16" t="s">
        <v>5715</v>
      </c>
      <c r="W919" s="67">
        <v>1941653781</v>
      </c>
      <c r="X919" s="24"/>
      <c r="Y919" s="24"/>
      <c r="Z919" s="24"/>
      <c r="AA919" s="17" t="s">
        <v>116</v>
      </c>
      <c r="AB919" s="23" t="str">
        <f>IFERROR(VLOOKUP(AA919,Listas!$A$1:$C$14,2,FALSE),"")</f>
        <v>FREDY CÉSPEDES VILLA</v>
      </c>
      <c r="AC919" s="23">
        <f>IFERROR(VLOOKUP(AA919,Listas!$A$1:$C$14,3,FALSE),"")</f>
        <v>93363483</v>
      </c>
      <c r="AD919" s="17" t="s">
        <v>217</v>
      </c>
      <c r="AE919" s="17" t="s">
        <v>539</v>
      </c>
      <c r="AF919" s="23" t="str">
        <f>IFERROR(VLOOKUP(AE919,Listas!$AD$1:$AF$65,2,FALSE),"")</f>
        <v>DORIS POVEDA BELTRÁN</v>
      </c>
      <c r="AG919" s="23">
        <f>IFERROR(VLOOKUP(AE919,Listas!$AD$1:$AF$65,3,FALSE),"")</f>
        <v>52049845</v>
      </c>
      <c r="AH919" s="17" t="s">
        <v>118</v>
      </c>
      <c r="AI919" s="65"/>
      <c r="AJ919" s="25" t="s">
        <v>1435</v>
      </c>
      <c r="AK919" s="26" t="s">
        <v>2071</v>
      </c>
      <c r="AL919" s="26" t="s">
        <v>2071</v>
      </c>
      <c r="AM919" s="90" t="s">
        <v>1435</v>
      </c>
      <c r="AN919" s="105"/>
      <c r="AO919" s="91" t="str">
        <f t="shared" ca="1" si="369"/>
        <v xml:space="preserve"> </v>
      </c>
      <c r="AP919" s="26" t="s">
        <v>121</v>
      </c>
      <c r="AQ919" s="26" t="s">
        <v>1272</v>
      </c>
      <c r="AR919" s="89"/>
      <c r="AS919" s="27"/>
      <c r="AT919" s="16"/>
      <c r="AU919" s="27"/>
      <c r="AV919" s="86"/>
      <c r="AW919" s="27"/>
      <c r="AX919" s="27"/>
      <c r="AY919" s="27"/>
      <c r="AZ919" s="27"/>
      <c r="BA919" s="27"/>
      <c r="BB919" s="27"/>
      <c r="BC919" s="97"/>
      <c r="BD919" s="27"/>
      <c r="BE919" s="16"/>
      <c r="BF919" s="28">
        <f t="shared" si="373"/>
        <v>0</v>
      </c>
      <c r="BG919" s="29"/>
      <c r="BH919" s="27"/>
      <c r="BI919" s="30">
        <f t="shared" si="374"/>
        <v>364</v>
      </c>
      <c r="BJ919" s="31">
        <f t="shared" si="375"/>
        <v>45961</v>
      </c>
      <c r="BK919" s="27"/>
      <c r="BL919" s="16"/>
      <c r="BM919" s="27"/>
      <c r="BN919" s="16"/>
      <c r="BO919" s="27"/>
      <c r="BP919" s="16"/>
      <c r="BQ919" s="27"/>
      <c r="BR919" s="24"/>
      <c r="BS919" s="24"/>
      <c r="BT919" s="32"/>
      <c r="BU919" s="27"/>
      <c r="BV919" s="24"/>
      <c r="BW919" s="24"/>
      <c r="BX919" s="16"/>
      <c r="BY919" s="27"/>
      <c r="BZ919" s="24"/>
      <c r="CA919" s="24"/>
      <c r="CB919" s="16"/>
      <c r="CC919" s="49">
        <f t="shared" si="376"/>
        <v>0</v>
      </c>
      <c r="CD919" s="24"/>
      <c r="CE919" s="49">
        <f t="shared" si="367"/>
        <v>1941653781</v>
      </c>
      <c r="CF919" s="50">
        <v>0</v>
      </c>
      <c r="CG919" s="49">
        <f t="shared" ca="1" si="366"/>
        <v>1893645857.8434067</v>
      </c>
      <c r="CH919" s="33">
        <f t="shared" ca="1" si="357"/>
        <v>0.96944444444444444</v>
      </c>
      <c r="CI919" s="33">
        <f t="shared" ca="1" si="358"/>
        <v>0.96944444444444444</v>
      </c>
      <c r="CJ919" s="36">
        <f t="shared" ca="1" si="370"/>
        <v>97.52747252747254</v>
      </c>
      <c r="CK919" s="34">
        <f t="shared" si="371"/>
        <v>0</v>
      </c>
      <c r="CL919" s="21"/>
      <c r="CM919" s="35" t="str">
        <f t="shared" ca="1" si="377"/>
        <v>VIGENTE</v>
      </c>
      <c r="CN919" s="82"/>
      <c r="CO919" s="145"/>
      <c r="CP919" s="26"/>
      <c r="CQ919" s="83"/>
      <c r="CR919" s="83"/>
    </row>
    <row r="920" spans="1:96" s="85" customFormat="1" ht="24.75" customHeight="1">
      <c r="A920" s="48" t="s">
        <v>7214</v>
      </c>
      <c r="B920" s="77" t="s">
        <v>7215</v>
      </c>
      <c r="C920" s="17" t="s">
        <v>6292</v>
      </c>
      <c r="D920" s="18" t="s">
        <v>7216</v>
      </c>
      <c r="E920" s="17" t="s">
        <v>106</v>
      </c>
      <c r="F920" s="17" t="s">
        <v>1426</v>
      </c>
      <c r="G920" s="17" t="s">
        <v>1427</v>
      </c>
      <c r="H920" s="78" t="s">
        <v>7217</v>
      </c>
      <c r="I920" s="74" t="s">
        <v>7218</v>
      </c>
      <c r="J920" s="16" t="s">
        <v>7219</v>
      </c>
      <c r="K920" s="16" t="s">
        <v>7220</v>
      </c>
      <c r="L920" s="20" t="s">
        <v>7221</v>
      </c>
      <c r="M920" s="16" t="s">
        <v>6261</v>
      </c>
      <c r="N920" s="22">
        <v>45595</v>
      </c>
      <c r="O920" s="22">
        <v>45595</v>
      </c>
      <c r="P920" s="22">
        <v>47055</v>
      </c>
      <c r="Q920" s="23">
        <f t="shared" si="368"/>
        <v>1460</v>
      </c>
      <c r="R920" s="17" t="s">
        <v>2934</v>
      </c>
      <c r="S920" s="16" t="s">
        <v>1424</v>
      </c>
      <c r="T920" s="16" t="s">
        <v>1424</v>
      </c>
      <c r="U920" s="67" t="s">
        <v>1424</v>
      </c>
      <c r="V920" s="16" t="s">
        <v>1424</v>
      </c>
      <c r="W920" s="67"/>
      <c r="X920" s="24"/>
      <c r="Y920" s="24"/>
      <c r="Z920" s="24"/>
      <c r="AA920" s="17" t="s">
        <v>217</v>
      </c>
      <c r="AB920" s="23" t="str">
        <f>IFERROR(VLOOKUP(AA920,Listas!$A$1:$C$14,2,FALSE),"")</f>
        <v>EDGAR ANTONIO GÓMEZ ÁLVAREZ</v>
      </c>
      <c r="AC920" s="23">
        <f>IFERROR(VLOOKUP(AA920,Listas!$A$1:$C$14,3,FALSE),"")</f>
        <v>2231755</v>
      </c>
      <c r="AD920" s="17" t="s">
        <v>217</v>
      </c>
      <c r="AE920" s="17" t="s">
        <v>539</v>
      </c>
      <c r="AF920" s="23" t="str">
        <f>IFERROR(VLOOKUP(AE920,Listas!$AD$1:$AF$65,2,FALSE),"")</f>
        <v>DORIS POVEDA BELTRÁN</v>
      </c>
      <c r="AG920" s="23">
        <f>IFERROR(VLOOKUP(AE920,Listas!$AD$1:$AF$65,3,FALSE),"")</f>
        <v>52049845</v>
      </c>
      <c r="AH920" s="17" t="s">
        <v>118</v>
      </c>
      <c r="AI920" s="65"/>
      <c r="AJ920" s="25" t="s">
        <v>1435</v>
      </c>
      <c r="AK920" s="26" t="s">
        <v>2071</v>
      </c>
      <c r="AL920" s="26" t="s">
        <v>2071</v>
      </c>
      <c r="AM920" s="90" t="s">
        <v>1435</v>
      </c>
      <c r="AN920" s="105"/>
      <c r="AO920" s="91" t="str">
        <f t="shared" ca="1" si="369"/>
        <v xml:space="preserve"> </v>
      </c>
      <c r="AP920" s="26" t="s">
        <v>121</v>
      </c>
      <c r="AQ920" s="26" t="s">
        <v>220</v>
      </c>
      <c r="AR920" s="89"/>
      <c r="AS920" s="27"/>
      <c r="AT920" s="16"/>
      <c r="AU920" s="27"/>
      <c r="AV920" s="86"/>
      <c r="AW920" s="27"/>
      <c r="AX920" s="27"/>
      <c r="AY920" s="27"/>
      <c r="AZ920" s="27"/>
      <c r="BA920" s="27"/>
      <c r="BB920" s="27"/>
      <c r="BC920" s="97"/>
      <c r="BD920" s="27"/>
      <c r="BE920" s="16"/>
      <c r="BF920" s="28">
        <f t="shared" si="373"/>
        <v>0</v>
      </c>
      <c r="BG920" s="29"/>
      <c r="BH920" s="27"/>
      <c r="BI920" s="30">
        <f t="shared" si="374"/>
        <v>1460</v>
      </c>
      <c r="BJ920" s="31">
        <f t="shared" si="375"/>
        <v>47055</v>
      </c>
      <c r="BK920" s="27"/>
      <c r="BL920" s="16"/>
      <c r="BM920" s="27"/>
      <c r="BN920" s="16"/>
      <c r="BO920" s="27"/>
      <c r="BP920" s="16"/>
      <c r="BQ920" s="27"/>
      <c r="BR920" s="24"/>
      <c r="BS920" s="24"/>
      <c r="BT920" s="32"/>
      <c r="BU920" s="27"/>
      <c r="BV920" s="24"/>
      <c r="BW920" s="24"/>
      <c r="BX920" s="16"/>
      <c r="BY920" s="27"/>
      <c r="BZ920" s="24"/>
      <c r="CA920" s="24"/>
      <c r="CB920" s="16"/>
      <c r="CC920" s="49">
        <f t="shared" si="376"/>
        <v>0</v>
      </c>
      <c r="CD920" s="24"/>
      <c r="CE920" s="361">
        <f t="shared" si="367"/>
        <v>0</v>
      </c>
      <c r="CF920" s="50">
        <v>0</v>
      </c>
      <c r="CG920" s="49">
        <f t="shared" ca="1" si="366"/>
        <v>0</v>
      </c>
      <c r="CH920" s="33">
        <f t="shared" ca="1" si="357"/>
        <v>0.24322446143154969</v>
      </c>
      <c r="CI920" s="33">
        <f t="shared" ca="1" si="358"/>
        <v>0.24322446143154969</v>
      </c>
      <c r="CJ920" s="36" t="str">
        <f t="shared" ca="1" si="370"/>
        <v/>
      </c>
      <c r="CK920" s="34" t="str">
        <f t="shared" si="371"/>
        <v/>
      </c>
      <c r="CL920" s="21"/>
      <c r="CM920" s="35" t="str">
        <f t="shared" ca="1" si="377"/>
        <v>VIGENTE</v>
      </c>
      <c r="CN920" s="82"/>
      <c r="CO920" s="145"/>
      <c r="CP920" s="26"/>
      <c r="CQ920" s="83"/>
      <c r="CR920" s="83"/>
    </row>
    <row r="921" spans="1:96" s="85" customFormat="1" ht="24.75" customHeight="1">
      <c r="A921" s="48" t="s">
        <v>7222</v>
      </c>
      <c r="B921" s="77" t="s">
        <v>7223</v>
      </c>
      <c r="C921" s="17" t="s">
        <v>104</v>
      </c>
      <c r="D921" s="18" t="s">
        <v>7224</v>
      </c>
      <c r="E921" s="17" t="s">
        <v>2063</v>
      </c>
      <c r="F921" s="17" t="s">
        <v>1426</v>
      </c>
      <c r="G921" s="17" t="s">
        <v>1427</v>
      </c>
      <c r="H921" s="78" t="s">
        <v>7225</v>
      </c>
      <c r="I921" s="74" t="s">
        <v>7226</v>
      </c>
      <c r="J921" s="16" t="s">
        <v>7227</v>
      </c>
      <c r="K921" s="16">
        <v>38251871</v>
      </c>
      <c r="L921" s="20" t="s">
        <v>7228</v>
      </c>
      <c r="M921" s="16" t="s">
        <v>7229</v>
      </c>
      <c r="N921" s="22">
        <v>45596</v>
      </c>
      <c r="O921" s="22">
        <v>45597</v>
      </c>
      <c r="P921" s="22">
        <v>46326</v>
      </c>
      <c r="Q921" s="23">
        <f t="shared" si="368"/>
        <v>729</v>
      </c>
      <c r="R921" s="17" t="s">
        <v>242</v>
      </c>
      <c r="S921" s="16" t="s">
        <v>7230</v>
      </c>
      <c r="T921" s="16" t="s">
        <v>7231</v>
      </c>
      <c r="U921" s="67"/>
      <c r="V921" s="16" t="s">
        <v>2070</v>
      </c>
      <c r="W921" s="67">
        <v>95675618</v>
      </c>
      <c r="X921" s="24">
        <v>3553778</v>
      </c>
      <c r="Y921" s="24"/>
      <c r="Z921" s="24"/>
      <c r="AA921" s="17" t="s">
        <v>116</v>
      </c>
      <c r="AB921" s="23" t="str">
        <f>IFERROR(VLOOKUP(AA921,Listas!$A$1:$C$14,2,FALSE),"")</f>
        <v>FREDY CÉSPEDES VILLA</v>
      </c>
      <c r="AC921" s="23">
        <f>IFERROR(VLOOKUP(AA921,Listas!$A$1:$C$14,3,FALSE),"")</f>
        <v>93363483</v>
      </c>
      <c r="AD921" s="17" t="s">
        <v>1523</v>
      </c>
      <c r="AE921" s="17" t="s">
        <v>1524</v>
      </c>
      <c r="AF921" s="23" t="str">
        <f>IFERROR(VLOOKUP(AE921,Listas!$AD$1:$AF$65,2,FALSE),"")</f>
        <v>IVETTE FRASSER SÁNCHEZ</v>
      </c>
      <c r="AG921" s="23">
        <f>IFERROR(VLOOKUP(AE921,Listas!$AD$1:$AF$65,3,FALSE),"")</f>
        <v>38285903</v>
      </c>
      <c r="AH921" s="17" t="s">
        <v>118</v>
      </c>
      <c r="AI921" s="65"/>
      <c r="AJ921" s="25" t="s">
        <v>1435</v>
      </c>
      <c r="AK921" s="26" t="s">
        <v>2071</v>
      </c>
      <c r="AL921" s="26" t="s">
        <v>2071</v>
      </c>
      <c r="AM921" s="90" t="s">
        <v>1435</v>
      </c>
      <c r="AN921" s="105"/>
      <c r="AO921" s="91" t="str">
        <f t="shared" ca="1" si="369"/>
        <v xml:space="preserve"> </v>
      </c>
      <c r="AP921" s="26" t="s">
        <v>121</v>
      </c>
      <c r="AQ921" s="26" t="s">
        <v>285</v>
      </c>
      <c r="AR921" s="89"/>
      <c r="AS921" s="27"/>
      <c r="AT921" s="16"/>
      <c r="AU921" s="27"/>
      <c r="AV921" s="86"/>
      <c r="AW921" s="27"/>
      <c r="AX921" s="27"/>
      <c r="AY921" s="27"/>
      <c r="AZ921" s="27"/>
      <c r="BA921" s="27"/>
      <c r="BB921" s="27"/>
      <c r="BC921" s="97"/>
      <c r="BD921" s="27"/>
      <c r="BE921" s="16"/>
      <c r="BF921" s="28">
        <f t="shared" si="373"/>
        <v>0</v>
      </c>
      <c r="BG921" s="29"/>
      <c r="BH921" s="27"/>
      <c r="BI921" s="30">
        <f t="shared" si="374"/>
        <v>729</v>
      </c>
      <c r="BJ921" s="31">
        <f t="shared" si="375"/>
        <v>46326</v>
      </c>
      <c r="BK921" s="27"/>
      <c r="BL921" s="16"/>
      <c r="BM921" s="27"/>
      <c r="BN921" s="16"/>
      <c r="BO921" s="27"/>
      <c r="BP921" s="16"/>
      <c r="BQ921" s="27"/>
      <c r="BR921" s="24"/>
      <c r="BS921" s="24"/>
      <c r="BT921" s="32"/>
      <c r="BU921" s="27"/>
      <c r="BV921" s="24"/>
      <c r="BW921" s="24"/>
      <c r="BX921" s="16"/>
      <c r="BY921" s="27"/>
      <c r="BZ921" s="24"/>
      <c r="CA921" s="24"/>
      <c r="CB921" s="16"/>
      <c r="CC921" s="49">
        <f t="shared" si="376"/>
        <v>0</v>
      </c>
      <c r="CD921" s="24"/>
      <c r="CE921" s="49">
        <f t="shared" si="367"/>
        <v>95675618</v>
      </c>
      <c r="CF921" s="50">
        <v>0</v>
      </c>
      <c r="CG921" s="49">
        <f t="shared" ca="1" si="366"/>
        <v>46459765.119341567</v>
      </c>
      <c r="CH921" s="33">
        <f t="shared" ca="1" si="357"/>
        <v>0.48472222222222222</v>
      </c>
      <c r="CI921" s="33">
        <f t="shared" ca="1" si="358"/>
        <v>0.48472222222222222</v>
      </c>
      <c r="CJ921" s="36">
        <f t="shared" ca="1" si="370"/>
        <v>48.559670781893004</v>
      </c>
      <c r="CK921" s="34">
        <f t="shared" si="371"/>
        <v>0</v>
      </c>
      <c r="CL921" s="21"/>
      <c r="CM921" s="35" t="str">
        <f t="shared" ca="1" si="377"/>
        <v>VIGENTE</v>
      </c>
      <c r="CN921" s="82"/>
      <c r="CO921" s="145"/>
      <c r="CP921" s="26"/>
      <c r="CQ921" s="83"/>
      <c r="CR921" s="83"/>
    </row>
    <row r="922" spans="1:96" s="85" customFormat="1" ht="24.75" customHeight="1">
      <c r="A922" s="48" t="s">
        <v>7232</v>
      </c>
      <c r="B922" s="77" t="s">
        <v>7233</v>
      </c>
      <c r="C922" s="17" t="s">
        <v>104</v>
      </c>
      <c r="D922" s="18" t="s">
        <v>7234</v>
      </c>
      <c r="E922" s="17" t="s">
        <v>106</v>
      </c>
      <c r="F922" s="17" t="s">
        <v>1426</v>
      </c>
      <c r="G922" s="17" t="s">
        <v>1427</v>
      </c>
      <c r="H922" s="78" t="s">
        <v>7173</v>
      </c>
      <c r="I922" s="74" t="s">
        <v>7235</v>
      </c>
      <c r="J922" s="16" t="s">
        <v>7175</v>
      </c>
      <c r="K922" s="16">
        <v>35461180</v>
      </c>
      <c r="L922" s="20" t="s">
        <v>7236</v>
      </c>
      <c r="M922" s="16" t="s">
        <v>6261</v>
      </c>
      <c r="N922" s="22">
        <v>45596</v>
      </c>
      <c r="O922" s="22">
        <v>45597</v>
      </c>
      <c r="P922" s="22">
        <v>45961</v>
      </c>
      <c r="Q922" s="23">
        <f t="shared" si="368"/>
        <v>364</v>
      </c>
      <c r="R922" s="17" t="s">
        <v>242</v>
      </c>
      <c r="S922" s="16" t="s">
        <v>7177</v>
      </c>
      <c r="T922" s="16" t="s">
        <v>7178</v>
      </c>
      <c r="U922" s="67">
        <v>17084018</v>
      </c>
      <c r="V922" s="16" t="s">
        <v>7179</v>
      </c>
      <c r="W922" s="67">
        <v>17084018</v>
      </c>
      <c r="X922" s="24">
        <v>1343294</v>
      </c>
      <c r="Y922" s="24"/>
      <c r="Z922" s="24"/>
      <c r="AA922" s="17" t="s">
        <v>116</v>
      </c>
      <c r="AB922" s="23" t="str">
        <f>IFERROR(VLOOKUP(AA922,Listas!$A$1:$C$14,2,FALSE),"")</f>
        <v>FREDY CÉSPEDES VILLA</v>
      </c>
      <c r="AC922" s="23">
        <f>IFERROR(VLOOKUP(AA922,Listas!$A$1:$C$14,3,FALSE),"")</f>
        <v>93363483</v>
      </c>
      <c r="AD922" s="17" t="s">
        <v>217</v>
      </c>
      <c r="AE922" s="17" t="s">
        <v>539</v>
      </c>
      <c r="AF922" s="23" t="str">
        <f>IFERROR(VLOOKUP(AE922,Listas!$AD$1:$AF$65,2,FALSE),"")</f>
        <v>DORIS POVEDA BELTRÁN</v>
      </c>
      <c r="AG922" s="23">
        <f>IFERROR(VLOOKUP(AE922,Listas!$AD$1:$AF$65,3,FALSE),"")</f>
        <v>52049845</v>
      </c>
      <c r="AH922" s="17" t="s">
        <v>118</v>
      </c>
      <c r="AI922" s="65"/>
      <c r="AJ922" s="25" t="s">
        <v>1435</v>
      </c>
      <c r="AK922" s="26" t="s">
        <v>2071</v>
      </c>
      <c r="AL922" s="26" t="s">
        <v>2071</v>
      </c>
      <c r="AM922" s="90" t="s">
        <v>1435</v>
      </c>
      <c r="AN922" s="105"/>
      <c r="AO922" s="91" t="str">
        <f t="shared" ca="1" si="369"/>
        <v xml:space="preserve"> </v>
      </c>
      <c r="AP922" s="26" t="s">
        <v>121</v>
      </c>
      <c r="AQ922" s="26" t="s">
        <v>1641</v>
      </c>
      <c r="AR922" s="89"/>
      <c r="AS922" s="27"/>
      <c r="AT922" s="16"/>
      <c r="AU922" s="27"/>
      <c r="AV922" s="86"/>
      <c r="AW922" s="27"/>
      <c r="AX922" s="27"/>
      <c r="AY922" s="27"/>
      <c r="AZ922" s="27"/>
      <c r="BA922" s="27"/>
      <c r="BB922" s="27"/>
      <c r="BC922" s="97"/>
      <c r="BD922" s="27"/>
      <c r="BE922" s="16"/>
      <c r="BF922" s="28">
        <f t="shared" si="373"/>
        <v>0</v>
      </c>
      <c r="BG922" s="29"/>
      <c r="BH922" s="27"/>
      <c r="BI922" s="30">
        <f t="shared" si="374"/>
        <v>364</v>
      </c>
      <c r="BJ922" s="31">
        <f t="shared" si="375"/>
        <v>45961</v>
      </c>
      <c r="BK922" s="27"/>
      <c r="BL922" s="16"/>
      <c r="BM922" s="27"/>
      <c r="BN922" s="16"/>
      <c r="BO922" s="27"/>
      <c r="BP922" s="16"/>
      <c r="BQ922" s="27"/>
      <c r="BR922" s="24"/>
      <c r="BS922" s="24"/>
      <c r="BT922" s="32"/>
      <c r="BU922" s="27"/>
      <c r="BV922" s="24"/>
      <c r="BW922" s="24"/>
      <c r="BX922" s="16"/>
      <c r="BY922" s="27"/>
      <c r="BZ922" s="24"/>
      <c r="CA922" s="24"/>
      <c r="CB922" s="16"/>
      <c r="CC922" s="49">
        <f t="shared" si="376"/>
        <v>0</v>
      </c>
      <c r="CD922" s="24"/>
      <c r="CE922" s="49">
        <f t="shared" si="367"/>
        <v>17084018</v>
      </c>
      <c r="CF922" s="50">
        <v>0</v>
      </c>
      <c r="CG922" s="49">
        <f t="shared" ca="1" si="366"/>
        <v>16614676.846153846</v>
      </c>
      <c r="CH922" s="33">
        <f t="shared" ref="CH922:CH985" ca="1" si="384">IF(TODAY()&gt;BJ922,1,+(DAYS360(O922,TODAY())/DAYS360(O922,BJ922)))</f>
        <v>0.96944444444444444</v>
      </c>
      <c r="CI922" s="33">
        <f t="shared" ref="CI922:CI985" ca="1" si="385">+IF(CL922&gt;0,DAYS360(O922,CL922)/DAYS360(O922,BJ922),CH922)</f>
        <v>0.96944444444444444</v>
      </c>
      <c r="CJ922" s="36">
        <f t="shared" ca="1" si="370"/>
        <v>97.252747252747255</v>
      </c>
      <c r="CK922" s="34">
        <f t="shared" si="371"/>
        <v>0</v>
      </c>
      <c r="CL922" s="21"/>
      <c r="CM922" s="35" t="str">
        <f t="shared" ca="1" si="377"/>
        <v>VIGENTE</v>
      </c>
      <c r="CN922" s="82"/>
      <c r="CO922" s="145"/>
      <c r="CP922" s="26"/>
      <c r="CQ922" s="83"/>
      <c r="CR922" s="83"/>
    </row>
    <row r="923" spans="1:96" s="85" customFormat="1" ht="24.75" customHeight="1">
      <c r="A923" s="48" t="s">
        <v>7237</v>
      </c>
      <c r="B923" s="77" t="s">
        <v>7238</v>
      </c>
      <c r="C923" s="17" t="s">
        <v>104</v>
      </c>
      <c r="D923" s="18" t="s">
        <v>7239</v>
      </c>
      <c r="E923" s="17" t="s">
        <v>106</v>
      </c>
      <c r="F923" s="17" t="s">
        <v>1426</v>
      </c>
      <c r="G923" s="17" t="s">
        <v>1427</v>
      </c>
      <c r="H923" s="78" t="s">
        <v>7240</v>
      </c>
      <c r="I923" s="74" t="s">
        <v>7241</v>
      </c>
      <c r="J923" s="16" t="s">
        <v>7242</v>
      </c>
      <c r="K923" s="16">
        <v>80854607</v>
      </c>
      <c r="L923" s="20" t="s">
        <v>7243</v>
      </c>
      <c r="M923" s="16" t="s">
        <v>6261</v>
      </c>
      <c r="N923" s="22">
        <v>45601</v>
      </c>
      <c r="O923" s="22">
        <v>45609</v>
      </c>
      <c r="P923" s="22">
        <v>45807</v>
      </c>
      <c r="Q923" s="23">
        <f t="shared" si="368"/>
        <v>198</v>
      </c>
      <c r="R923" s="17" t="s">
        <v>242</v>
      </c>
      <c r="S923" s="16" t="s">
        <v>7244</v>
      </c>
      <c r="T923" s="16" t="s">
        <v>6748</v>
      </c>
      <c r="U923" s="67">
        <v>378109107</v>
      </c>
      <c r="V923" s="16" t="s">
        <v>1318</v>
      </c>
      <c r="W923" s="67">
        <v>264676375</v>
      </c>
      <c r="X923" s="24"/>
      <c r="Y923" s="24"/>
      <c r="Z923" s="24"/>
      <c r="AA923" s="17" t="s">
        <v>116</v>
      </c>
      <c r="AB923" s="23" t="str">
        <f>IFERROR(VLOOKUP(AA923,Listas!$A$1:$C$14,2,FALSE),"")</f>
        <v>FREDY CÉSPEDES VILLA</v>
      </c>
      <c r="AC923" s="23">
        <f>IFERROR(VLOOKUP(AA923,Listas!$A$1:$C$14,3,FALSE),"")</f>
        <v>93363483</v>
      </c>
      <c r="AD923" s="17" t="s">
        <v>116</v>
      </c>
      <c r="AE923" s="17" t="s">
        <v>659</v>
      </c>
      <c r="AF923" s="23" t="str">
        <f>IFERROR(VLOOKUP(AE923,Listas!$AD$1:$AF$65,2,FALSE),"")</f>
        <v>TATIANA FORERO TORRES</v>
      </c>
      <c r="AG923" s="23">
        <f>IFERROR(VLOOKUP(AE923,Listas!$AD$1:$AF$65,3,FALSE),"")</f>
        <v>1072446921</v>
      </c>
      <c r="AH923" s="17" t="s">
        <v>3186</v>
      </c>
      <c r="AI923" s="65"/>
      <c r="AJ923" s="25" t="s">
        <v>1435</v>
      </c>
      <c r="AK923" s="26" t="s">
        <v>2071</v>
      </c>
      <c r="AL923" s="26" t="s">
        <v>2071</v>
      </c>
      <c r="AM923" s="90" t="s">
        <v>1435</v>
      </c>
      <c r="AN923" s="105"/>
      <c r="AO923" s="91" t="str">
        <f t="shared" ca="1" si="369"/>
        <v xml:space="preserve"> </v>
      </c>
      <c r="AP923" s="26" t="s">
        <v>121</v>
      </c>
      <c r="AQ923" s="26" t="s">
        <v>886</v>
      </c>
      <c r="AR923" s="89"/>
      <c r="AS923" s="27"/>
      <c r="AT923" s="16"/>
      <c r="AU923" s="27"/>
      <c r="AV923" s="86"/>
      <c r="AW923" s="27"/>
      <c r="AX923" s="27"/>
      <c r="AY923" s="27"/>
      <c r="AZ923" s="27"/>
      <c r="BA923" s="27"/>
      <c r="BB923" s="27"/>
      <c r="BC923" s="97"/>
      <c r="BD923" s="27"/>
      <c r="BE923" s="16"/>
      <c r="BF923" s="28">
        <f t="shared" si="373"/>
        <v>0</v>
      </c>
      <c r="BG923" s="29"/>
      <c r="BH923" s="27"/>
      <c r="BI923" s="30">
        <f t="shared" si="374"/>
        <v>198</v>
      </c>
      <c r="BJ923" s="31">
        <f t="shared" si="375"/>
        <v>45807</v>
      </c>
      <c r="BK923" s="27"/>
      <c r="BL923" s="16"/>
      <c r="BM923" s="27"/>
      <c r="BN923" s="16"/>
      <c r="BO923" s="27"/>
      <c r="BP923" s="16"/>
      <c r="BQ923" s="27"/>
      <c r="BR923" s="24"/>
      <c r="BS923" s="24"/>
      <c r="BT923" s="32"/>
      <c r="BU923" s="27"/>
      <c r="BV923" s="24"/>
      <c r="BW923" s="24"/>
      <c r="BX923" s="16"/>
      <c r="BY923" s="27"/>
      <c r="BZ923" s="24"/>
      <c r="CA923" s="24"/>
      <c r="CB923" s="16"/>
      <c r="CC923" s="49">
        <f t="shared" si="376"/>
        <v>0</v>
      </c>
      <c r="CD923" s="24"/>
      <c r="CE923" s="49">
        <f t="shared" si="367"/>
        <v>264676375</v>
      </c>
      <c r="CF923" s="50">
        <v>0</v>
      </c>
      <c r="CG923" s="49">
        <f t="shared" ca="1" si="366"/>
        <v>264676375</v>
      </c>
      <c r="CH923" s="33">
        <f t="shared" ca="1" si="384"/>
        <v>1</v>
      </c>
      <c r="CI923" s="33">
        <f t="shared" ca="1" si="385"/>
        <v>1</v>
      </c>
      <c r="CJ923" s="36">
        <f t="shared" ca="1" si="370"/>
        <v>100</v>
      </c>
      <c r="CK923" s="34">
        <f t="shared" si="371"/>
        <v>0</v>
      </c>
      <c r="CL923" s="21"/>
      <c r="CM923" s="35" t="str">
        <f t="shared" ca="1" si="377"/>
        <v>TERMINADO</v>
      </c>
      <c r="CN923" s="82"/>
      <c r="CO923" s="145"/>
      <c r="CP923" s="26"/>
      <c r="CQ923" s="83"/>
      <c r="CR923" s="83"/>
    </row>
    <row r="924" spans="1:96" ht="24.75" customHeight="1">
      <c r="A924" s="48" t="s">
        <v>7245</v>
      </c>
      <c r="B924" s="77" t="s">
        <v>7246</v>
      </c>
      <c r="C924" s="17" t="s">
        <v>104</v>
      </c>
      <c r="D924" s="18" t="s">
        <v>7247</v>
      </c>
      <c r="E924" s="17" t="s">
        <v>4162</v>
      </c>
      <c r="F924" s="17" t="s">
        <v>1426</v>
      </c>
      <c r="G924" s="17" t="s">
        <v>1427</v>
      </c>
      <c r="H924" s="78" t="s">
        <v>5709</v>
      </c>
      <c r="I924" s="74" t="s">
        <v>5710</v>
      </c>
      <c r="J924" s="16" t="s">
        <v>7248</v>
      </c>
      <c r="K924" s="16">
        <v>79782221</v>
      </c>
      <c r="L924" s="20" t="s">
        <v>7249</v>
      </c>
      <c r="M924" s="16" t="s">
        <v>6261</v>
      </c>
      <c r="N924" s="22">
        <v>45595</v>
      </c>
      <c r="O924" s="22">
        <v>45597</v>
      </c>
      <c r="P924" s="22">
        <v>45962</v>
      </c>
      <c r="Q924" s="23">
        <f t="shared" si="368"/>
        <v>365</v>
      </c>
      <c r="R924" s="17" t="s">
        <v>242</v>
      </c>
      <c r="S924" s="16" t="s">
        <v>7250</v>
      </c>
      <c r="T924" s="16" t="s">
        <v>7251</v>
      </c>
      <c r="U924" s="67">
        <v>202068262</v>
      </c>
      <c r="V924" s="16" t="s">
        <v>7252</v>
      </c>
      <c r="W924" s="67">
        <v>202068262</v>
      </c>
      <c r="X924" s="24"/>
      <c r="Y924" s="24"/>
      <c r="Z924" s="24"/>
      <c r="AA924" s="17" t="s">
        <v>116</v>
      </c>
      <c r="AB924" s="23" t="str">
        <f>IFERROR(VLOOKUP(AA924,Listas!$A$1:$C$14,2,FALSE),"")</f>
        <v>FREDY CÉSPEDES VILLA</v>
      </c>
      <c r="AC924" s="23">
        <f>IFERROR(VLOOKUP(AA924,Listas!$A$1:$C$14,3,FALSE),"")</f>
        <v>93363483</v>
      </c>
      <c r="AD924" s="17" t="s">
        <v>406</v>
      </c>
      <c r="AE924" s="17" t="s">
        <v>504</v>
      </c>
      <c r="AF924" s="23" t="str">
        <f>IFERROR(VLOOKUP(AE924,Listas!$AD$1:$AF$65,2,FALSE),"")</f>
        <v>EDUARDO ELÍAS BARCHA BOLÍVAR</v>
      </c>
      <c r="AG924" s="23">
        <f>IFERROR(VLOOKUP(AE924,Listas!$AD$1:$AF$65,3,FALSE),"")</f>
        <v>72133921</v>
      </c>
      <c r="AH924" s="17" t="s">
        <v>118</v>
      </c>
      <c r="AI924" s="65"/>
      <c r="AJ924" s="25" t="s">
        <v>1435</v>
      </c>
      <c r="AK924" s="26" t="s">
        <v>2071</v>
      </c>
      <c r="AL924" s="26" t="s">
        <v>2071</v>
      </c>
      <c r="AM924" s="90" t="s">
        <v>1435</v>
      </c>
      <c r="AN924" s="105"/>
      <c r="AO924" s="91" t="str">
        <f t="shared" ca="1" si="369"/>
        <v xml:space="preserve"> </v>
      </c>
      <c r="AP924" s="26" t="s">
        <v>121</v>
      </c>
      <c r="AQ924" s="26" t="s">
        <v>1272</v>
      </c>
      <c r="AR924" s="89"/>
      <c r="AS924" s="27"/>
      <c r="AT924" s="16"/>
      <c r="AU924" s="27"/>
      <c r="AV924" s="86"/>
      <c r="AW924" s="27"/>
      <c r="AX924" s="27"/>
      <c r="AY924" s="27"/>
      <c r="AZ924" s="27"/>
      <c r="BA924" s="27"/>
      <c r="BB924" s="27"/>
      <c r="BC924" s="97"/>
      <c r="BD924" s="27"/>
      <c r="BE924" s="16"/>
      <c r="BF924" s="28">
        <f t="shared" si="373"/>
        <v>0</v>
      </c>
      <c r="BG924" s="29"/>
      <c r="BH924" s="27"/>
      <c r="BI924" s="30">
        <f t="shared" si="374"/>
        <v>365</v>
      </c>
      <c r="BJ924" s="31">
        <f t="shared" si="375"/>
        <v>45962</v>
      </c>
      <c r="BK924" s="27"/>
      <c r="BL924" s="16"/>
      <c r="BM924" s="27"/>
      <c r="BN924" s="16"/>
      <c r="BO924" s="27"/>
      <c r="BP924" s="16"/>
      <c r="BQ924" s="27"/>
      <c r="BR924" s="24"/>
      <c r="BS924" s="24"/>
      <c r="BT924" s="32"/>
      <c r="BU924" s="27"/>
      <c r="BV924" s="24"/>
      <c r="BW924" s="24"/>
      <c r="BX924" s="16"/>
      <c r="BY924" s="27"/>
      <c r="BZ924" s="24"/>
      <c r="CA924" s="24"/>
      <c r="CB924" s="16"/>
      <c r="CC924" s="49">
        <f t="shared" si="376"/>
        <v>0</v>
      </c>
      <c r="CD924" s="24"/>
      <c r="CE924" s="49">
        <f t="shared" si="367"/>
        <v>202068262</v>
      </c>
      <c r="CF924" s="50">
        <v>0</v>
      </c>
      <c r="CG924" s="49">
        <f t="shared" ca="1" si="366"/>
        <v>196532145.23287672</v>
      </c>
      <c r="CH924" s="33">
        <f t="shared" ca="1" si="384"/>
        <v>0.96944444444444444</v>
      </c>
      <c r="CI924" s="33">
        <f t="shared" ca="1" si="385"/>
        <v>0.96944444444444444</v>
      </c>
      <c r="CJ924" s="36">
        <f t="shared" ca="1" si="370"/>
        <v>97.260273972602747</v>
      </c>
      <c r="CK924" s="34">
        <f t="shared" si="371"/>
        <v>0</v>
      </c>
      <c r="CL924" s="21"/>
      <c r="CM924" s="35" t="str">
        <f t="shared" ca="1" si="377"/>
        <v>VIGENTE</v>
      </c>
      <c r="CN924" s="82"/>
      <c r="CP924" s="26"/>
    </row>
    <row r="925" spans="1:96" s="85" customFormat="1" ht="24.75" customHeight="1">
      <c r="A925" s="48" t="s">
        <v>7253</v>
      </c>
      <c r="B925" s="77" t="s">
        <v>7254</v>
      </c>
      <c r="C925" s="17" t="s">
        <v>104</v>
      </c>
      <c r="D925" s="18" t="s">
        <v>7255</v>
      </c>
      <c r="E925" s="17" t="s">
        <v>106</v>
      </c>
      <c r="F925" s="17" t="s">
        <v>1426</v>
      </c>
      <c r="G925" s="17" t="s">
        <v>1427</v>
      </c>
      <c r="H925" s="78" t="s">
        <v>7256</v>
      </c>
      <c r="I925" s="74" t="s">
        <v>7257</v>
      </c>
      <c r="J925" s="16" t="s">
        <v>7258</v>
      </c>
      <c r="K925" s="16">
        <v>1121866090</v>
      </c>
      <c r="L925" s="20" t="s">
        <v>7259</v>
      </c>
      <c r="M925" s="16" t="s">
        <v>6261</v>
      </c>
      <c r="N925" s="22">
        <v>45597</v>
      </c>
      <c r="O925" s="22">
        <v>45625</v>
      </c>
      <c r="P925" s="22">
        <v>45808</v>
      </c>
      <c r="Q925" s="23">
        <f t="shared" si="368"/>
        <v>183</v>
      </c>
      <c r="R925" s="17" t="s">
        <v>112</v>
      </c>
      <c r="S925" s="16" t="s">
        <v>7260</v>
      </c>
      <c r="T925" s="16"/>
      <c r="U925" s="67">
        <v>1639881809</v>
      </c>
      <c r="V925" s="16" t="s">
        <v>7261</v>
      </c>
      <c r="W925" s="67">
        <v>1639881809</v>
      </c>
      <c r="X925" s="24"/>
      <c r="Y925" s="24"/>
      <c r="Z925" s="24"/>
      <c r="AA925" s="17" t="s">
        <v>116</v>
      </c>
      <c r="AB925" s="23" t="str">
        <f>IFERROR(VLOOKUP(AA925,Listas!$A$1:$C$14,2,FALSE),"")</f>
        <v>FREDY CÉSPEDES VILLA</v>
      </c>
      <c r="AC925" s="23">
        <f>IFERROR(VLOOKUP(AA925,Listas!$A$1:$C$14,3,FALSE),"")</f>
        <v>93363483</v>
      </c>
      <c r="AD925" s="17" t="s">
        <v>116</v>
      </c>
      <c r="AE925" s="17" t="s">
        <v>659</v>
      </c>
      <c r="AF925" s="23" t="str">
        <f>IFERROR(VLOOKUP(AE925,Listas!$AD$1:$AF$65,2,FALSE),"")</f>
        <v>TATIANA FORERO TORRES</v>
      </c>
      <c r="AG925" s="23">
        <f>IFERROR(VLOOKUP(AE925,Listas!$AD$1:$AF$65,3,FALSE),"")</f>
        <v>1072446921</v>
      </c>
      <c r="AH925" s="17" t="s">
        <v>6266</v>
      </c>
      <c r="AI925" s="65"/>
      <c r="AJ925" s="25" t="s">
        <v>1435</v>
      </c>
      <c r="AK925" s="26" t="s">
        <v>2071</v>
      </c>
      <c r="AL925" s="26" t="s">
        <v>2071</v>
      </c>
      <c r="AM925" s="90" t="s">
        <v>1435</v>
      </c>
      <c r="AN925" s="105"/>
      <c r="AO925" s="91" t="str">
        <f t="shared" ca="1" si="369"/>
        <v xml:space="preserve"> </v>
      </c>
      <c r="AP925" s="26" t="s">
        <v>121</v>
      </c>
      <c r="AQ925" s="26" t="s">
        <v>886</v>
      </c>
      <c r="AR925" s="89"/>
      <c r="AS925" s="27"/>
      <c r="AT925" s="16"/>
      <c r="AU925" s="27"/>
      <c r="AV925" s="86"/>
      <c r="AW925" s="27"/>
      <c r="AX925" s="27"/>
      <c r="AY925" s="27"/>
      <c r="AZ925" s="27"/>
      <c r="BA925" s="27"/>
      <c r="BB925" s="27"/>
      <c r="BC925" s="97"/>
      <c r="BD925" s="27"/>
      <c r="BE925" s="16"/>
      <c r="BF925" s="28">
        <f t="shared" si="373"/>
        <v>0</v>
      </c>
      <c r="BG925" s="29"/>
      <c r="BH925" s="27"/>
      <c r="BI925" s="30">
        <f t="shared" si="374"/>
        <v>183</v>
      </c>
      <c r="BJ925" s="31">
        <f t="shared" si="375"/>
        <v>45808</v>
      </c>
      <c r="BK925" s="27"/>
      <c r="BL925" s="16"/>
      <c r="BM925" s="27"/>
      <c r="BN925" s="16"/>
      <c r="BO925" s="27"/>
      <c r="BP925" s="16"/>
      <c r="BQ925" s="27"/>
      <c r="BR925" s="24"/>
      <c r="BS925" s="24"/>
      <c r="BT925" s="32"/>
      <c r="BU925" s="27"/>
      <c r="BV925" s="24"/>
      <c r="BW925" s="24"/>
      <c r="BX925" s="16"/>
      <c r="BY925" s="27"/>
      <c r="BZ925" s="24"/>
      <c r="CA925" s="24"/>
      <c r="CB925" s="16"/>
      <c r="CC925" s="49">
        <f t="shared" si="376"/>
        <v>0</v>
      </c>
      <c r="CD925" s="24"/>
      <c r="CE925" s="49">
        <f t="shared" si="367"/>
        <v>1639881809</v>
      </c>
      <c r="CF925" s="50">
        <v>0</v>
      </c>
      <c r="CG925" s="49">
        <f t="shared" ca="1" si="366"/>
        <v>1639881809</v>
      </c>
      <c r="CH925" s="33">
        <f t="shared" ca="1" si="384"/>
        <v>1</v>
      </c>
      <c r="CI925" s="33">
        <f t="shared" ca="1" si="385"/>
        <v>1</v>
      </c>
      <c r="CJ925" s="36">
        <f t="shared" ca="1" si="370"/>
        <v>100</v>
      </c>
      <c r="CK925" s="34">
        <f t="shared" si="371"/>
        <v>0</v>
      </c>
      <c r="CL925" s="21"/>
      <c r="CM925" s="35" t="str">
        <f t="shared" ca="1" si="377"/>
        <v>TERMINADO</v>
      </c>
      <c r="CN925" s="82"/>
      <c r="CO925" s="145"/>
      <c r="CP925" s="26"/>
      <c r="CQ925" s="83"/>
      <c r="CR925" s="83"/>
    </row>
    <row r="926" spans="1:96" ht="24.75" customHeight="1">
      <c r="A926" s="48" t="s">
        <v>7262</v>
      </c>
      <c r="B926" s="77" t="s">
        <v>7263</v>
      </c>
      <c r="C926" s="17" t="s">
        <v>104</v>
      </c>
      <c r="D926" s="18" t="s">
        <v>7264</v>
      </c>
      <c r="E926" s="17" t="s">
        <v>106</v>
      </c>
      <c r="F926" s="17" t="s">
        <v>1426</v>
      </c>
      <c r="G926" s="17" t="s">
        <v>1427</v>
      </c>
      <c r="H926" s="78" t="s">
        <v>7265</v>
      </c>
      <c r="I926" s="74" t="s">
        <v>7266</v>
      </c>
      <c r="J926" s="16" t="s">
        <v>7267</v>
      </c>
      <c r="K926" s="16">
        <v>52531242</v>
      </c>
      <c r="L926" s="20" t="s">
        <v>7268</v>
      </c>
      <c r="M926" s="16" t="s">
        <v>6261</v>
      </c>
      <c r="N926" s="22">
        <v>45610</v>
      </c>
      <c r="O926" s="22">
        <v>45616</v>
      </c>
      <c r="P926" s="22">
        <v>45656</v>
      </c>
      <c r="Q926" s="23">
        <f t="shared" si="368"/>
        <v>40</v>
      </c>
      <c r="R926" s="17" t="s">
        <v>242</v>
      </c>
      <c r="S926" s="16" t="s">
        <v>7269</v>
      </c>
      <c r="T926" s="16"/>
      <c r="U926" s="67">
        <v>49305540</v>
      </c>
      <c r="V926" s="16" t="s">
        <v>7270</v>
      </c>
      <c r="W926" s="67">
        <v>49305540</v>
      </c>
      <c r="X926" s="24"/>
      <c r="Y926" s="24"/>
      <c r="Z926" s="24"/>
      <c r="AA926" s="17" t="s">
        <v>116</v>
      </c>
      <c r="AB926" s="23" t="str">
        <f>IFERROR(VLOOKUP(AA926,Listas!$A$1:$C$14,2,FALSE),"")</f>
        <v>FREDY CÉSPEDES VILLA</v>
      </c>
      <c r="AC926" s="23">
        <f>IFERROR(VLOOKUP(AA926,Listas!$A$1:$C$14,3,FALSE),"")</f>
        <v>93363483</v>
      </c>
      <c r="AD926" s="17" t="s">
        <v>116</v>
      </c>
      <c r="AE926" s="17" t="s">
        <v>659</v>
      </c>
      <c r="AF926" s="23" t="str">
        <f>IFERROR(VLOOKUP(AE926,Listas!$AD$1:$AF$65,2,FALSE),"")</f>
        <v>TATIANA FORERO TORRES</v>
      </c>
      <c r="AG926" s="23">
        <f>IFERROR(VLOOKUP(AE926,Listas!$AD$1:$AF$65,3,FALSE),"")</f>
        <v>1072446921</v>
      </c>
      <c r="AH926" s="17" t="s">
        <v>5821</v>
      </c>
      <c r="AI926" s="65"/>
      <c r="AJ926" s="25" t="s">
        <v>1435</v>
      </c>
      <c r="AK926" s="26" t="s">
        <v>2071</v>
      </c>
      <c r="AL926" s="26" t="s">
        <v>2071</v>
      </c>
      <c r="AM926" s="90" t="s">
        <v>1435</v>
      </c>
      <c r="AN926" s="105"/>
      <c r="AO926" s="91" t="str">
        <f t="shared" ca="1" si="369"/>
        <v xml:space="preserve"> </v>
      </c>
      <c r="AP926" s="26" t="s">
        <v>121</v>
      </c>
      <c r="AQ926" s="26" t="s">
        <v>220</v>
      </c>
      <c r="AR926" s="89"/>
      <c r="AS926" s="27"/>
      <c r="AT926" s="16"/>
      <c r="AU926" s="27"/>
      <c r="AV926" s="86"/>
      <c r="AW926" s="27"/>
      <c r="AX926" s="27"/>
      <c r="AY926" s="27"/>
      <c r="AZ926" s="27"/>
      <c r="BA926" s="27"/>
      <c r="BB926" s="27"/>
      <c r="BC926" s="97"/>
      <c r="BD926" s="27"/>
      <c r="BE926" s="16"/>
      <c r="BF926" s="28">
        <f t="shared" si="373"/>
        <v>0</v>
      </c>
      <c r="BG926" s="29"/>
      <c r="BH926" s="27"/>
      <c r="BI926" s="30">
        <f t="shared" si="374"/>
        <v>40</v>
      </c>
      <c r="BJ926" s="31">
        <f t="shared" si="375"/>
        <v>45656</v>
      </c>
      <c r="BK926" s="27"/>
      <c r="BL926" s="16"/>
      <c r="BM926" s="27"/>
      <c r="BN926" s="16"/>
      <c r="BO926" s="27"/>
      <c r="BP926" s="16"/>
      <c r="BQ926" s="27"/>
      <c r="BR926" s="24"/>
      <c r="BS926" s="24"/>
      <c r="BT926" s="32"/>
      <c r="BU926" s="27"/>
      <c r="BV926" s="24"/>
      <c r="BW926" s="24"/>
      <c r="BX926" s="16"/>
      <c r="BY926" s="27"/>
      <c r="BZ926" s="24"/>
      <c r="CA926" s="24"/>
      <c r="CB926" s="16"/>
      <c r="CC926" s="49">
        <f t="shared" si="376"/>
        <v>0</v>
      </c>
      <c r="CD926" s="24"/>
      <c r="CE926" s="49">
        <f t="shared" si="367"/>
        <v>49305540</v>
      </c>
      <c r="CF926" s="50"/>
      <c r="CG926" s="49">
        <f t="shared" ca="1" si="366"/>
        <v>49305540</v>
      </c>
      <c r="CH926" s="33">
        <f t="shared" ca="1" si="384"/>
        <v>1</v>
      </c>
      <c r="CI926" s="33">
        <f t="shared" ca="1" si="385"/>
        <v>1</v>
      </c>
      <c r="CJ926" s="36">
        <f t="shared" ca="1" si="370"/>
        <v>100</v>
      </c>
      <c r="CK926" s="34">
        <f t="shared" si="371"/>
        <v>0</v>
      </c>
      <c r="CL926" s="21"/>
      <c r="CM926" s="35" t="str">
        <f t="shared" ca="1" si="377"/>
        <v>TERMINADO</v>
      </c>
      <c r="CN926" s="82"/>
      <c r="CP926" s="26"/>
    </row>
    <row r="927" spans="1:96" s="85" customFormat="1" ht="24.75" customHeight="1">
      <c r="A927" s="48" t="s">
        <v>1424</v>
      </c>
      <c r="B927" s="77" t="s">
        <v>7271</v>
      </c>
      <c r="C927" s="17" t="s">
        <v>2927</v>
      </c>
      <c r="D927" s="18" t="s">
        <v>7272</v>
      </c>
      <c r="E927" s="17" t="s">
        <v>4162</v>
      </c>
      <c r="F927" s="17" t="s">
        <v>1426</v>
      </c>
      <c r="G927" s="17" t="s">
        <v>1427</v>
      </c>
      <c r="H927" s="78" t="s">
        <v>7273</v>
      </c>
      <c r="I927" s="74" t="s">
        <v>7274</v>
      </c>
      <c r="J927" s="16" t="s">
        <v>7275</v>
      </c>
      <c r="K927" s="16">
        <v>16724311</v>
      </c>
      <c r="L927" s="96" t="s">
        <v>7276</v>
      </c>
      <c r="M927" s="16"/>
      <c r="N927" s="22">
        <v>45603</v>
      </c>
      <c r="O927" s="115">
        <v>45615</v>
      </c>
      <c r="P927" s="22">
        <v>45736</v>
      </c>
      <c r="Q927" s="23">
        <f t="shared" si="368"/>
        <v>121</v>
      </c>
      <c r="R927" s="17" t="s">
        <v>2934</v>
      </c>
      <c r="S927" s="16" t="s">
        <v>1424</v>
      </c>
      <c r="T927" s="16" t="s">
        <v>1424</v>
      </c>
      <c r="U927" s="24">
        <v>0</v>
      </c>
      <c r="V927" s="16" t="s">
        <v>1424</v>
      </c>
      <c r="W927" s="227">
        <v>0</v>
      </c>
      <c r="X927" s="24"/>
      <c r="Y927" s="24">
        <v>1733270000</v>
      </c>
      <c r="Z927" s="24"/>
      <c r="AA927" s="17" t="s">
        <v>427</v>
      </c>
      <c r="AB927" s="23" t="str">
        <f>IFERROR(VLOOKUP(AA927,Listas!$A$1:$C$14,2,FALSE),"")</f>
        <v>DINORAH PATRICIA ABADIA MURILLO</v>
      </c>
      <c r="AC927" s="23">
        <f>IFERROR(VLOOKUP(AA927,Listas!$A$1:$C$14,3,FALSE),"")</f>
        <v>52220857</v>
      </c>
      <c r="AD927" s="17" t="s">
        <v>427</v>
      </c>
      <c r="AE927" s="17" t="s">
        <v>428</v>
      </c>
      <c r="AF927" s="23" t="str">
        <f>IFERROR(VLOOKUP(AE927,Listas!$AD$1:$AF$65,2,FALSE),"")</f>
        <v>DINORAH PATRICIA ABADIA MURILLO</v>
      </c>
      <c r="AG927" s="23">
        <f>IFERROR(VLOOKUP(AE927,Listas!$AD$1:$AF$65,3,FALSE),"")</f>
        <v>52220857</v>
      </c>
      <c r="AH927" s="17" t="s">
        <v>2936</v>
      </c>
      <c r="AI927" s="65"/>
      <c r="AJ927" s="25" t="s">
        <v>1435</v>
      </c>
      <c r="AK927" s="26" t="s">
        <v>2071</v>
      </c>
      <c r="AL927" s="26" t="s">
        <v>2071</v>
      </c>
      <c r="AM927" s="90" t="s">
        <v>1435</v>
      </c>
      <c r="AN927" s="105"/>
      <c r="AO927" s="91" t="str">
        <f t="shared" ca="1" si="369"/>
        <v xml:space="preserve"> </v>
      </c>
      <c r="AP927" s="26" t="s">
        <v>2937</v>
      </c>
      <c r="AQ927" s="26" t="s">
        <v>2938</v>
      </c>
      <c r="AR927" s="89"/>
      <c r="AS927" s="27"/>
      <c r="AT927" s="16"/>
      <c r="AU927" s="27"/>
      <c r="AV927" s="86"/>
      <c r="AW927" s="27"/>
      <c r="AX927" s="27"/>
      <c r="AY927" s="27"/>
      <c r="AZ927" s="27"/>
      <c r="BA927" s="27"/>
      <c r="BB927" s="27">
        <v>45736</v>
      </c>
      <c r="BC927" s="97">
        <v>92</v>
      </c>
      <c r="BD927" s="27">
        <v>45827</v>
      </c>
      <c r="BE927" s="16">
        <v>71</v>
      </c>
      <c r="BF927" s="28">
        <f t="shared" si="373"/>
        <v>163</v>
      </c>
      <c r="BG927" s="29"/>
      <c r="BH927" s="27"/>
      <c r="BI927" s="30">
        <f t="shared" si="374"/>
        <v>284</v>
      </c>
      <c r="BJ927" s="31">
        <f t="shared" si="375"/>
        <v>45899</v>
      </c>
      <c r="BK927" s="27">
        <v>45736</v>
      </c>
      <c r="BL927" s="16" t="s">
        <v>7277</v>
      </c>
      <c r="BM927" s="27">
        <v>45827</v>
      </c>
      <c r="BN927" s="16" t="s">
        <v>7278</v>
      </c>
      <c r="BO927" s="27"/>
      <c r="BP927" s="16"/>
      <c r="BQ927" s="27"/>
      <c r="BR927" s="24"/>
      <c r="BS927" s="24"/>
      <c r="BT927" s="32"/>
      <c r="BU927" s="27"/>
      <c r="BV927" s="24"/>
      <c r="BW927" s="24"/>
      <c r="BX927" s="16"/>
      <c r="BY927" s="27"/>
      <c r="BZ927" s="24"/>
      <c r="CA927" s="24"/>
      <c r="CB927" s="16"/>
      <c r="CC927" s="49">
        <f t="shared" si="376"/>
        <v>0</v>
      </c>
      <c r="CD927" s="24"/>
      <c r="CE927" s="49">
        <f t="shared" si="367"/>
        <v>1733270000</v>
      </c>
      <c r="CF927" s="50">
        <v>0</v>
      </c>
      <c r="CG927" s="49">
        <f t="shared" ca="1" si="366"/>
        <v>1733270000</v>
      </c>
      <c r="CH927" s="33">
        <f t="shared" ca="1" si="384"/>
        <v>1</v>
      </c>
      <c r="CI927" s="33">
        <f t="shared" ca="1" si="385"/>
        <v>1</v>
      </c>
      <c r="CJ927" s="36">
        <f t="shared" ca="1" si="370"/>
        <v>100</v>
      </c>
      <c r="CK927" s="34">
        <f t="shared" si="371"/>
        <v>0</v>
      </c>
      <c r="CL927" s="21"/>
      <c r="CM927" s="35" t="str">
        <f t="shared" ca="1" si="377"/>
        <v>TERMINADO</v>
      </c>
      <c r="CN927" s="82"/>
      <c r="CO927" s="145"/>
      <c r="CP927" s="26"/>
      <c r="CQ927" s="83"/>
      <c r="CR927" s="83"/>
    </row>
    <row r="928" spans="1:96" ht="24.75" customHeight="1">
      <c r="A928" s="48" t="s">
        <v>7279</v>
      </c>
      <c r="B928" s="77" t="s">
        <v>7280</v>
      </c>
      <c r="C928" s="17" t="s">
        <v>104</v>
      </c>
      <c r="D928" s="18" t="s">
        <v>7281</v>
      </c>
      <c r="E928" s="17" t="s">
        <v>106</v>
      </c>
      <c r="F928" s="17" t="s">
        <v>1426</v>
      </c>
      <c r="G928" s="17" t="s">
        <v>1427</v>
      </c>
      <c r="H928" s="78" t="s">
        <v>6588</v>
      </c>
      <c r="I928" s="74" t="s">
        <v>7282</v>
      </c>
      <c r="J928" s="16" t="s">
        <v>7283</v>
      </c>
      <c r="K928" s="16"/>
      <c r="L928" s="96" t="s">
        <v>7284</v>
      </c>
      <c r="M928" s="16"/>
      <c r="N928" s="22">
        <v>45616</v>
      </c>
      <c r="O928" s="22">
        <v>45629</v>
      </c>
      <c r="P928" s="22">
        <v>45993</v>
      </c>
      <c r="Q928" s="23">
        <f t="shared" si="368"/>
        <v>364</v>
      </c>
      <c r="R928" s="17" t="s">
        <v>242</v>
      </c>
      <c r="S928" s="16" t="s">
        <v>7285</v>
      </c>
      <c r="T928" s="16" t="s">
        <v>7286</v>
      </c>
      <c r="U928" s="67">
        <v>24197802</v>
      </c>
      <c r="V928" s="16" t="s">
        <v>7287</v>
      </c>
      <c r="W928" s="224">
        <v>24197802</v>
      </c>
      <c r="X928" s="24"/>
      <c r="Y928" s="24"/>
      <c r="Z928" s="24"/>
      <c r="AA928" s="17" t="s">
        <v>116</v>
      </c>
      <c r="AB928" s="23" t="str">
        <f>IFERROR(VLOOKUP(AA928,Listas!$A$1:$C$14,2,FALSE),"")</f>
        <v>FREDY CÉSPEDES VILLA</v>
      </c>
      <c r="AC928" s="23">
        <f>IFERROR(VLOOKUP(AA928,Listas!$A$1:$C$14,3,FALSE),"")</f>
        <v>93363483</v>
      </c>
      <c r="AD928" s="17" t="s">
        <v>282</v>
      </c>
      <c r="AE928" s="17" t="s">
        <v>283</v>
      </c>
      <c r="AF928" s="23" t="str">
        <f>IFERROR(VLOOKUP(AE928,Listas!$AD$1:$AF$65,2,FALSE),"")</f>
        <v>MARÍA STELLA CARREÑO JURADO</v>
      </c>
      <c r="AG928" s="23">
        <f>IFERROR(VLOOKUP(AE928,Listas!$AD$1:$AF$65,3,FALSE),"")</f>
        <v>51774925</v>
      </c>
      <c r="AH928" s="17" t="s">
        <v>118</v>
      </c>
      <c r="AI928" s="65"/>
      <c r="AJ928" s="25" t="s">
        <v>1435</v>
      </c>
      <c r="AK928" s="26" t="s">
        <v>2071</v>
      </c>
      <c r="AL928" s="26" t="s">
        <v>2071</v>
      </c>
      <c r="AM928" s="90" t="s">
        <v>1435</v>
      </c>
      <c r="AN928" s="105"/>
      <c r="AO928" s="91" t="str">
        <f t="shared" ca="1" si="369"/>
        <v xml:space="preserve"> </v>
      </c>
      <c r="AP928" s="26" t="s">
        <v>121</v>
      </c>
      <c r="AQ928" s="26" t="s">
        <v>220</v>
      </c>
      <c r="AR928" s="89"/>
      <c r="AS928" s="27"/>
      <c r="AT928" s="16"/>
      <c r="AU928" s="27"/>
      <c r="AV928" s="86"/>
      <c r="AW928" s="27"/>
      <c r="AX928" s="27"/>
      <c r="AY928" s="27"/>
      <c r="AZ928" s="27"/>
      <c r="BA928" s="27"/>
      <c r="BB928" s="27"/>
      <c r="BC928" s="97"/>
      <c r="BD928" s="27"/>
      <c r="BE928" s="16"/>
      <c r="BF928" s="28">
        <f t="shared" si="373"/>
        <v>0</v>
      </c>
      <c r="BG928" s="29"/>
      <c r="BH928" s="27"/>
      <c r="BI928" s="30">
        <f t="shared" si="374"/>
        <v>364</v>
      </c>
      <c r="BJ928" s="31">
        <f t="shared" si="375"/>
        <v>45993</v>
      </c>
      <c r="BK928" s="27"/>
      <c r="BL928" s="16"/>
      <c r="BM928" s="27"/>
      <c r="BN928" s="16"/>
      <c r="BO928" s="27"/>
      <c r="BP928" s="16"/>
      <c r="BQ928" s="27"/>
      <c r="BR928" s="24"/>
      <c r="BS928" s="24"/>
      <c r="BT928" s="32"/>
      <c r="BU928" s="27"/>
      <c r="BV928" s="24"/>
      <c r="BW928" s="24"/>
      <c r="BX928" s="16"/>
      <c r="BY928" s="27"/>
      <c r="BZ928" s="24"/>
      <c r="CA928" s="24"/>
      <c r="CB928" s="16"/>
      <c r="CC928" s="49">
        <f t="shared" si="376"/>
        <v>0</v>
      </c>
      <c r="CD928" s="24"/>
      <c r="CE928" s="49">
        <f t="shared" ref="CE928:CE959" si="386">IF(Y928=0,(W928+CC928)-CD928,IF(Y928&gt;0,(Y928+CC928)-CD928))</f>
        <v>24197802</v>
      </c>
      <c r="CF928" s="50"/>
      <c r="CG928" s="49">
        <f t="shared" ca="1" si="366"/>
        <v>22203477.659340661</v>
      </c>
      <c r="CH928" s="33">
        <f t="shared" ca="1" si="384"/>
        <v>0.88300835654596099</v>
      </c>
      <c r="CI928" s="33">
        <f t="shared" ca="1" si="385"/>
        <v>0.88300835654596099</v>
      </c>
      <c r="CJ928" s="36">
        <f t="shared" ca="1" si="370"/>
        <v>91.758241758241766</v>
      </c>
      <c r="CK928" s="34">
        <f t="shared" si="371"/>
        <v>0</v>
      </c>
      <c r="CL928" s="21"/>
      <c r="CM928" s="35" t="str">
        <f t="shared" ca="1" si="377"/>
        <v>VIGENTE</v>
      </c>
      <c r="CN928" s="82"/>
      <c r="CP928" s="26"/>
    </row>
    <row r="929" spans="1:96" ht="24.75" customHeight="1">
      <c r="A929" s="48" t="s">
        <v>7288</v>
      </c>
      <c r="B929" s="77" t="s">
        <v>7289</v>
      </c>
      <c r="C929" s="17" t="s">
        <v>104</v>
      </c>
      <c r="D929" s="18" t="s">
        <v>7290</v>
      </c>
      <c r="E929" s="17" t="s">
        <v>106</v>
      </c>
      <c r="F929" s="17" t="s">
        <v>1426</v>
      </c>
      <c r="G929" s="17" t="s">
        <v>1427</v>
      </c>
      <c r="H929" s="78" t="s">
        <v>7291</v>
      </c>
      <c r="I929" s="74" t="s">
        <v>7292</v>
      </c>
      <c r="J929" s="16"/>
      <c r="K929" s="16"/>
      <c r="L929" s="20" t="s">
        <v>7293</v>
      </c>
      <c r="M929" s="16"/>
      <c r="N929" s="22">
        <v>45610</v>
      </c>
      <c r="O929" s="22">
        <v>45617</v>
      </c>
      <c r="P929" s="22">
        <v>46346</v>
      </c>
      <c r="Q929" s="23">
        <f t="shared" si="368"/>
        <v>729</v>
      </c>
      <c r="R929" s="17" t="s">
        <v>242</v>
      </c>
      <c r="S929" s="16" t="s">
        <v>7294</v>
      </c>
      <c r="T929" s="16" t="s">
        <v>7286</v>
      </c>
      <c r="U929" s="67">
        <v>17884583</v>
      </c>
      <c r="V929" s="16" t="s">
        <v>7287</v>
      </c>
      <c r="W929" s="67">
        <v>27521600</v>
      </c>
      <c r="X929" s="24"/>
      <c r="Y929" s="24"/>
      <c r="Z929" s="24"/>
      <c r="AA929" s="17" t="s">
        <v>116</v>
      </c>
      <c r="AB929" s="23" t="str">
        <f>IFERROR(VLOOKUP(AA929,Listas!$A$1:$C$14,2,FALSE),"")</f>
        <v>FREDY CÉSPEDES VILLA</v>
      </c>
      <c r="AC929" s="23">
        <f>IFERROR(VLOOKUP(AA929,Listas!$A$1:$C$14,3,FALSE),"")</f>
        <v>93363483</v>
      </c>
      <c r="AD929" s="17" t="s">
        <v>282</v>
      </c>
      <c r="AE929" s="17" t="s">
        <v>2513</v>
      </c>
      <c r="AF929" s="23" t="str">
        <f>IFERROR(VLOOKUP(AE929,Listas!$AD$1:$AF$65,2,FALSE),"")</f>
        <v>SANDRA MIREYA ARÉVALO RODRÍGUEZ</v>
      </c>
      <c r="AG929" s="23">
        <f>IFERROR(VLOOKUP(AE929,Listas!$AD$1:$AF$65,3,FALSE),"")</f>
        <v>51917861</v>
      </c>
      <c r="AH929" s="17" t="s">
        <v>118</v>
      </c>
      <c r="AI929" s="65"/>
      <c r="AJ929" s="25" t="s">
        <v>1435</v>
      </c>
      <c r="AK929" s="26" t="s">
        <v>2071</v>
      </c>
      <c r="AL929" s="26" t="s">
        <v>2071</v>
      </c>
      <c r="AM929" s="90" t="s">
        <v>1435</v>
      </c>
      <c r="AN929" s="105"/>
      <c r="AO929" s="91" t="str">
        <f t="shared" ca="1" si="369"/>
        <v xml:space="preserve"> </v>
      </c>
      <c r="AP929" s="26" t="s">
        <v>121</v>
      </c>
      <c r="AQ929" s="26" t="s">
        <v>122</v>
      </c>
      <c r="AR929" s="89"/>
      <c r="AS929" s="27"/>
      <c r="AT929" s="16"/>
      <c r="AU929" s="27"/>
      <c r="AV929" s="86"/>
      <c r="AW929" s="27"/>
      <c r="AX929" s="27"/>
      <c r="AY929" s="27"/>
      <c r="AZ929" s="27"/>
      <c r="BA929" s="27"/>
      <c r="BB929" s="27"/>
      <c r="BC929" s="97"/>
      <c r="BD929" s="27"/>
      <c r="BE929" s="16"/>
      <c r="BF929" s="28">
        <f t="shared" si="373"/>
        <v>0</v>
      </c>
      <c r="BG929" s="29"/>
      <c r="BH929" s="27"/>
      <c r="BI929" s="30">
        <f t="shared" si="374"/>
        <v>729</v>
      </c>
      <c r="BJ929" s="31">
        <f t="shared" si="375"/>
        <v>46346</v>
      </c>
      <c r="BK929" s="27"/>
      <c r="BL929" s="16"/>
      <c r="BM929" s="27"/>
      <c r="BN929" s="16"/>
      <c r="BO929" s="27"/>
      <c r="BP929" s="16"/>
      <c r="BQ929" s="27"/>
      <c r="BR929" s="24"/>
      <c r="BS929" s="24"/>
      <c r="BT929" s="32"/>
      <c r="BU929" s="27"/>
      <c r="BV929" s="24"/>
      <c r="BW929" s="24"/>
      <c r="BX929" s="16"/>
      <c r="BY929" s="27"/>
      <c r="BZ929" s="24"/>
      <c r="CA929" s="24"/>
      <c r="CB929" s="16"/>
      <c r="CC929" s="49">
        <f t="shared" si="376"/>
        <v>0</v>
      </c>
      <c r="CD929" s="24"/>
      <c r="CE929" s="49">
        <f t="shared" si="386"/>
        <v>27521600</v>
      </c>
      <c r="CF929" s="50"/>
      <c r="CG929" s="49">
        <f t="shared" ca="1" si="366"/>
        <v>12835862.825788751</v>
      </c>
      <c r="CH929" s="33">
        <f t="shared" ca="1" si="384"/>
        <v>0.45757997218358831</v>
      </c>
      <c r="CI929" s="33">
        <f t="shared" ca="1" si="385"/>
        <v>0.45757997218358831</v>
      </c>
      <c r="CJ929" s="36">
        <f t="shared" ca="1" si="370"/>
        <v>46.63923182441701</v>
      </c>
      <c r="CK929" s="34">
        <f t="shared" si="371"/>
        <v>0</v>
      </c>
      <c r="CL929" s="21"/>
      <c r="CM929" s="35" t="str">
        <f t="shared" ca="1" si="377"/>
        <v>VIGENTE</v>
      </c>
      <c r="CN929" s="82"/>
      <c r="CP929" s="26"/>
    </row>
    <row r="930" spans="1:96" ht="24.75" customHeight="1">
      <c r="A930" s="48" t="s">
        <v>7295</v>
      </c>
      <c r="B930" s="77" t="s">
        <v>7296</v>
      </c>
      <c r="C930" s="17" t="s">
        <v>104</v>
      </c>
      <c r="D930" s="18" t="s">
        <v>7297</v>
      </c>
      <c r="E930" s="17" t="s">
        <v>106</v>
      </c>
      <c r="F930" s="17" t="s">
        <v>1426</v>
      </c>
      <c r="G930" s="17" t="s">
        <v>1427</v>
      </c>
      <c r="H930" s="78" t="s">
        <v>7298</v>
      </c>
      <c r="I930" s="74" t="s">
        <v>7299</v>
      </c>
      <c r="J930" s="16" t="s">
        <v>7300</v>
      </c>
      <c r="K930" s="16" t="s">
        <v>7301</v>
      </c>
      <c r="L930" s="96" t="s">
        <v>7302</v>
      </c>
      <c r="M930" s="16"/>
      <c r="N930" s="22">
        <v>45614</v>
      </c>
      <c r="O930" s="22">
        <v>45632</v>
      </c>
      <c r="P930" s="22">
        <v>45657</v>
      </c>
      <c r="Q930" s="23">
        <f t="shared" si="368"/>
        <v>25</v>
      </c>
      <c r="R930" s="17" t="s">
        <v>242</v>
      </c>
      <c r="S930" s="16" t="s">
        <v>7303</v>
      </c>
      <c r="T930" s="16" t="s">
        <v>6578</v>
      </c>
      <c r="U930" s="67">
        <v>281607357</v>
      </c>
      <c r="V930" s="16" t="s">
        <v>6579</v>
      </c>
      <c r="W930" s="24">
        <v>281607357</v>
      </c>
      <c r="X930" s="24"/>
      <c r="Y930" s="24"/>
      <c r="Z930" s="24"/>
      <c r="AA930" s="17" t="s">
        <v>116</v>
      </c>
      <c r="AB930" s="23" t="str">
        <f>IFERROR(VLOOKUP(AA930,Listas!$A$1:$C$14,2,FALSE),"")</f>
        <v>FREDY CÉSPEDES VILLA</v>
      </c>
      <c r="AC930" s="23">
        <f>IFERROR(VLOOKUP(AA930,Listas!$A$1:$C$14,3,FALSE),"")</f>
        <v>93363483</v>
      </c>
      <c r="AD930" s="17" t="s">
        <v>816</v>
      </c>
      <c r="AE930" s="17" t="s">
        <v>3578</v>
      </c>
      <c r="AF930" s="23" t="str">
        <f>IFERROR(VLOOKUP(AE930,Listas!$AD$1:$AF$65,2,FALSE),"")</f>
        <v>MARTHA RUTH ROBAYO LÓPEZ</v>
      </c>
      <c r="AG930" s="23">
        <f>IFERROR(VLOOKUP(AE930,Listas!$AD$1:$AF$65,3,FALSE),"")</f>
        <v>52193887</v>
      </c>
      <c r="AH930" s="17" t="s">
        <v>118</v>
      </c>
      <c r="AI930" s="65"/>
      <c r="AJ930" s="25" t="s">
        <v>1435</v>
      </c>
      <c r="AK930" s="26" t="s">
        <v>2071</v>
      </c>
      <c r="AL930" s="26" t="s">
        <v>2071</v>
      </c>
      <c r="AM930" s="90" t="s">
        <v>1435</v>
      </c>
      <c r="AN930" s="105"/>
      <c r="AO930" s="91" t="str">
        <f t="shared" ca="1" si="369"/>
        <v xml:space="preserve"> </v>
      </c>
      <c r="AP930" s="26" t="s">
        <v>121</v>
      </c>
      <c r="AQ930" s="26" t="s">
        <v>486</v>
      </c>
      <c r="AR930" s="89"/>
      <c r="AS930" s="27"/>
      <c r="AT930" s="16"/>
      <c r="AU930" s="27"/>
      <c r="AV930" s="86"/>
      <c r="AW930" s="27"/>
      <c r="AX930" s="27"/>
      <c r="AY930" s="27"/>
      <c r="AZ930" s="27"/>
      <c r="BA930" s="27"/>
      <c r="BB930" s="27"/>
      <c r="BC930" s="97"/>
      <c r="BD930" s="27"/>
      <c r="BE930" s="16"/>
      <c r="BF930" s="28">
        <f t="shared" si="373"/>
        <v>0</v>
      </c>
      <c r="BG930" s="29"/>
      <c r="BH930" s="27"/>
      <c r="BI930" s="30">
        <f t="shared" si="374"/>
        <v>25</v>
      </c>
      <c r="BJ930" s="31">
        <f t="shared" si="375"/>
        <v>45657</v>
      </c>
      <c r="BK930" s="27"/>
      <c r="BL930" s="16"/>
      <c r="BM930" s="27"/>
      <c r="BN930" s="16"/>
      <c r="BO930" s="27"/>
      <c r="BP930" s="16"/>
      <c r="BQ930" s="27"/>
      <c r="BR930" s="24"/>
      <c r="BS930" s="24"/>
      <c r="BT930" s="32"/>
      <c r="BU930" s="27"/>
      <c r="BV930" s="24"/>
      <c r="BW930" s="24"/>
      <c r="BX930" s="16"/>
      <c r="BY930" s="27"/>
      <c r="BZ930" s="24"/>
      <c r="CA930" s="24"/>
      <c r="CB930" s="16"/>
      <c r="CC930" s="49">
        <f t="shared" si="376"/>
        <v>0</v>
      </c>
      <c r="CD930" s="24"/>
      <c r="CE930" s="49">
        <f t="shared" si="386"/>
        <v>281607357</v>
      </c>
      <c r="CF930" s="50"/>
      <c r="CG930" s="49">
        <f t="shared" ca="1" si="366"/>
        <v>281607357</v>
      </c>
      <c r="CH930" s="33">
        <f t="shared" ca="1" si="384"/>
        <v>1</v>
      </c>
      <c r="CI930" s="33">
        <f t="shared" ca="1" si="385"/>
        <v>1</v>
      </c>
      <c r="CJ930" s="36">
        <f t="shared" ca="1" si="370"/>
        <v>100</v>
      </c>
      <c r="CK930" s="34">
        <f t="shared" si="371"/>
        <v>0</v>
      </c>
      <c r="CL930" s="21"/>
      <c r="CM930" s="35" t="str">
        <f t="shared" ca="1" si="377"/>
        <v>TERMINADO</v>
      </c>
      <c r="CN930" s="82"/>
      <c r="CP930" s="26"/>
    </row>
    <row r="931" spans="1:96" s="85" customFormat="1" ht="24.75" customHeight="1">
      <c r="A931" s="48"/>
      <c r="B931" s="345" t="s">
        <v>7304</v>
      </c>
      <c r="C931" s="345" t="s">
        <v>1583</v>
      </c>
      <c r="D931" s="18"/>
      <c r="E931" s="17"/>
      <c r="F931" s="17"/>
      <c r="G931" s="17"/>
      <c r="H931" s="78"/>
      <c r="I931" s="74"/>
      <c r="J931" s="16"/>
      <c r="K931" s="16"/>
      <c r="L931" s="96"/>
      <c r="M931" s="16"/>
      <c r="N931" s="22"/>
      <c r="O931" s="22"/>
      <c r="P931" s="22"/>
      <c r="Q931" s="23"/>
      <c r="R931" s="17"/>
      <c r="S931" s="16"/>
      <c r="T931" s="16"/>
      <c r="U931" s="67"/>
      <c r="V931" s="16"/>
      <c r="W931" s="24"/>
      <c r="X931" s="24"/>
      <c r="Y931" s="24"/>
      <c r="Z931" s="24"/>
      <c r="AA931" s="17"/>
      <c r="AB931" s="23"/>
      <c r="AC931" s="23"/>
      <c r="AD931" s="17"/>
      <c r="AE931" s="17"/>
      <c r="AF931" s="23"/>
      <c r="AG931" s="23"/>
      <c r="AH931" s="17"/>
      <c r="AI931" s="65"/>
      <c r="AJ931" s="25"/>
      <c r="AK931" s="26"/>
      <c r="AL931" s="26"/>
      <c r="AM931" s="90"/>
      <c r="AN931" s="105"/>
      <c r="AO931" s="91"/>
      <c r="AP931" s="26"/>
      <c r="AQ931" s="26"/>
      <c r="AR931" s="89"/>
      <c r="AS931" s="27"/>
      <c r="AT931" s="16"/>
      <c r="AU931" s="27"/>
      <c r="AV931" s="86"/>
      <c r="AW931" s="27"/>
      <c r="AX931" s="27"/>
      <c r="AY931" s="27"/>
      <c r="AZ931" s="27"/>
      <c r="BA931" s="27"/>
      <c r="BB931" s="27"/>
      <c r="BC931" s="97"/>
      <c r="BD931" s="27"/>
      <c r="BE931" s="16"/>
      <c r="BF931" s="28"/>
      <c r="BG931" s="29"/>
      <c r="BH931" s="27"/>
      <c r="BI931" s="30"/>
      <c r="BJ931" s="31"/>
      <c r="BK931" s="27"/>
      <c r="BL931" s="16"/>
      <c r="BM931" s="27"/>
      <c r="BN931" s="16"/>
      <c r="BO931" s="27"/>
      <c r="BP931" s="16"/>
      <c r="BQ931" s="27"/>
      <c r="BR931" s="24"/>
      <c r="BS931" s="24"/>
      <c r="BT931" s="32"/>
      <c r="BU931" s="27"/>
      <c r="BV931" s="24"/>
      <c r="BW931" s="24"/>
      <c r="BX931" s="16"/>
      <c r="BY931" s="27"/>
      <c r="BZ931" s="24"/>
      <c r="CA931" s="24"/>
      <c r="CB931" s="16"/>
      <c r="CC931" s="49"/>
      <c r="CD931" s="24"/>
      <c r="CE931" s="49"/>
      <c r="CF931" s="50"/>
      <c r="CG931" s="49"/>
      <c r="CH931" s="33"/>
      <c r="CI931" s="33"/>
      <c r="CJ931" s="36"/>
      <c r="CK931" s="34"/>
      <c r="CL931" s="21"/>
      <c r="CM931" s="35"/>
      <c r="CN931" s="82"/>
      <c r="CO931" s="145"/>
      <c r="CP931" s="26"/>
      <c r="CQ931" s="83"/>
      <c r="CR931" s="83"/>
    </row>
    <row r="932" spans="1:96" ht="24.75" customHeight="1">
      <c r="A932" s="48"/>
      <c r="B932" s="345" t="s">
        <v>7305</v>
      </c>
      <c r="C932" s="345" t="s">
        <v>1583</v>
      </c>
      <c r="D932" s="18"/>
      <c r="E932" s="17"/>
      <c r="F932" s="17"/>
      <c r="G932" s="17"/>
      <c r="H932" s="78"/>
      <c r="I932" s="74"/>
      <c r="J932" s="16"/>
      <c r="K932" s="16"/>
      <c r="L932" s="96"/>
      <c r="M932" s="16"/>
      <c r="N932" s="22"/>
      <c r="O932" s="22"/>
      <c r="P932" s="22"/>
      <c r="Q932" s="23"/>
      <c r="R932" s="17"/>
      <c r="S932" s="16"/>
      <c r="T932" s="16"/>
      <c r="U932" s="24"/>
      <c r="V932" s="16"/>
      <c r="W932" s="24"/>
      <c r="X932" s="24"/>
      <c r="Y932" s="24"/>
      <c r="Z932" s="24"/>
      <c r="AA932" s="17"/>
      <c r="AB932" s="23"/>
      <c r="AC932" s="23"/>
      <c r="AD932" s="17"/>
      <c r="AE932" s="17"/>
      <c r="AF932" s="23"/>
      <c r="AG932" s="23"/>
      <c r="AH932" s="17"/>
      <c r="AI932" s="65"/>
      <c r="AJ932" s="25"/>
      <c r="AK932" s="26"/>
      <c r="AL932" s="26"/>
      <c r="AM932" s="90"/>
      <c r="AN932" s="105"/>
      <c r="AO932" s="91"/>
      <c r="AP932" s="26"/>
      <c r="AQ932" s="26"/>
      <c r="AR932" s="89"/>
      <c r="AS932" s="27"/>
      <c r="AT932" s="16"/>
      <c r="AU932" s="27"/>
      <c r="AV932" s="86"/>
      <c r="AW932" s="27"/>
      <c r="AX932" s="27"/>
      <c r="AY932" s="27"/>
      <c r="AZ932" s="27"/>
      <c r="BA932" s="27"/>
      <c r="BB932" s="27"/>
      <c r="BC932" s="97"/>
      <c r="BD932" s="27"/>
      <c r="BE932" s="16"/>
      <c r="BF932" s="28">
        <f t="shared" si="373"/>
        <v>0</v>
      </c>
      <c r="BG932" s="29"/>
      <c r="BH932" s="27"/>
      <c r="BI932" s="30"/>
      <c r="BJ932" s="31"/>
      <c r="BK932" s="27"/>
      <c r="BL932" s="16"/>
      <c r="BM932" s="27"/>
      <c r="BN932" s="16"/>
      <c r="BO932" s="27"/>
      <c r="BP932" s="16"/>
      <c r="BQ932" s="27"/>
      <c r="BR932" s="24"/>
      <c r="BS932" s="24"/>
      <c r="BT932" s="32"/>
      <c r="BU932" s="27"/>
      <c r="BV932" s="24"/>
      <c r="BW932" s="24"/>
      <c r="BX932" s="16"/>
      <c r="BY932" s="27"/>
      <c r="BZ932" s="24"/>
      <c r="CA932" s="24"/>
      <c r="CB932" s="16"/>
      <c r="CC932" s="49"/>
      <c r="CD932" s="24"/>
      <c r="CE932" s="49"/>
      <c r="CF932" s="50"/>
      <c r="CG932" s="49"/>
      <c r="CH932" s="33"/>
      <c r="CI932" s="33"/>
      <c r="CJ932" s="36"/>
      <c r="CK932" s="34"/>
      <c r="CL932" s="21"/>
      <c r="CM932" s="35"/>
      <c r="CN932" s="82"/>
      <c r="CP932" s="26"/>
    </row>
    <row r="933" spans="1:96" s="85" customFormat="1" ht="24.75" customHeight="1">
      <c r="A933" s="48" t="s">
        <v>1424</v>
      </c>
      <c r="B933" s="77" t="s">
        <v>7306</v>
      </c>
      <c r="C933" s="17" t="s">
        <v>2927</v>
      </c>
      <c r="D933" s="18" t="s">
        <v>7307</v>
      </c>
      <c r="E933" s="17" t="s">
        <v>5866</v>
      </c>
      <c r="F933" s="17" t="s">
        <v>1426</v>
      </c>
      <c r="G933" s="17" t="s">
        <v>1427</v>
      </c>
      <c r="H933" s="78"/>
      <c r="I933" s="74" t="s">
        <v>7308</v>
      </c>
      <c r="J933" s="16" t="s">
        <v>7309</v>
      </c>
      <c r="K933" s="16"/>
      <c r="L933" s="96" t="s">
        <v>7310</v>
      </c>
      <c r="M933" s="16"/>
      <c r="N933" s="22">
        <v>45614</v>
      </c>
      <c r="O933" s="22">
        <v>45614</v>
      </c>
      <c r="P933" s="22">
        <v>46752</v>
      </c>
      <c r="Q933" s="23">
        <f t="shared" ref="Q933:Q963" si="387">P933-O933</f>
        <v>1138</v>
      </c>
      <c r="R933" s="17" t="s">
        <v>2934</v>
      </c>
      <c r="S933" s="16" t="s">
        <v>1424</v>
      </c>
      <c r="T933" s="16" t="s">
        <v>1424</v>
      </c>
      <c r="U933" s="24" t="s">
        <v>1424</v>
      </c>
      <c r="V933" s="16" t="s">
        <v>1424</v>
      </c>
      <c r="W933" s="227">
        <v>0</v>
      </c>
      <c r="X933" s="24"/>
      <c r="Y933" s="24">
        <v>219367932</v>
      </c>
      <c r="Z933" s="24"/>
      <c r="AA933" s="17" t="s">
        <v>607</v>
      </c>
      <c r="AB933" s="23" t="str">
        <f>IFERROR(VLOOKUP(AA933,Listas!$A$1:$C$14,2,FALSE),"")</f>
        <v>MARÍA FRANCISCA CEPEDA QUINTERO</v>
      </c>
      <c r="AC933" s="23">
        <f>IFERROR(VLOOKUP(AA933,Listas!$A$1:$C$14,3,FALSE),"")</f>
        <v>53062608</v>
      </c>
      <c r="AD933" s="17" t="s">
        <v>607</v>
      </c>
      <c r="AE933" s="17" t="s">
        <v>1155</v>
      </c>
      <c r="AF933" s="23" t="str">
        <f>IFERROR(VLOOKUP(AE933,Listas!$AD$1:$AF$65,2,FALSE),"")</f>
        <v>MARÍA FRANCISCA CEPEDA QUINTERO</v>
      </c>
      <c r="AG933" s="23">
        <f>IFERROR(VLOOKUP(AE933,Listas!$AD$1:$AF$65,3,FALSE),"")</f>
        <v>53062608</v>
      </c>
      <c r="AH933" s="17" t="s">
        <v>2936</v>
      </c>
      <c r="AI933" s="65"/>
      <c r="AJ933" s="25" t="s">
        <v>1435</v>
      </c>
      <c r="AK933" s="26" t="s">
        <v>2071</v>
      </c>
      <c r="AL933" s="26" t="s">
        <v>2071</v>
      </c>
      <c r="AM933" s="90" t="s">
        <v>1435</v>
      </c>
      <c r="AN933" s="105"/>
      <c r="AO933" s="91" t="str">
        <f t="shared" ca="1" si="369"/>
        <v xml:space="preserve"> </v>
      </c>
      <c r="AP933" s="26" t="s">
        <v>2937</v>
      </c>
      <c r="AQ933" s="26" t="s">
        <v>3067</v>
      </c>
      <c r="AR933" s="89"/>
      <c r="AS933" s="27"/>
      <c r="AT933" s="16"/>
      <c r="AU933" s="27"/>
      <c r="AV933" s="86"/>
      <c r="AW933" s="27"/>
      <c r="AX933" s="27"/>
      <c r="AY933" s="27"/>
      <c r="AZ933" s="27"/>
      <c r="BA933" s="27"/>
      <c r="BB933" s="27"/>
      <c r="BC933" s="97"/>
      <c r="BD933" s="27"/>
      <c r="BE933" s="16"/>
      <c r="BF933" s="28">
        <f t="shared" si="373"/>
        <v>0</v>
      </c>
      <c r="BG933" s="29"/>
      <c r="BH933" s="27"/>
      <c r="BI933" s="30">
        <f t="shared" si="374"/>
        <v>1138</v>
      </c>
      <c r="BJ933" s="31">
        <f t="shared" si="375"/>
        <v>46752</v>
      </c>
      <c r="BK933" s="27"/>
      <c r="BL933" s="16"/>
      <c r="BM933" s="27"/>
      <c r="BN933" s="16"/>
      <c r="BO933" s="27"/>
      <c r="BP933" s="16"/>
      <c r="BQ933" s="27"/>
      <c r="BR933" s="24"/>
      <c r="BS933" s="24"/>
      <c r="BT933" s="32"/>
      <c r="BU933" s="27"/>
      <c r="BV933" s="24"/>
      <c r="BW933" s="24"/>
      <c r="BX933" s="16"/>
      <c r="BY933" s="27"/>
      <c r="BZ933" s="24"/>
      <c r="CA933" s="24"/>
      <c r="CB933" s="16"/>
      <c r="CC933" s="49">
        <f t="shared" si="376"/>
        <v>0</v>
      </c>
      <c r="CD933" s="24"/>
      <c r="CE933" s="49">
        <f t="shared" si="386"/>
        <v>219367932</v>
      </c>
      <c r="CF933" s="50">
        <v>0</v>
      </c>
      <c r="CG933" s="49">
        <f t="shared" ca="1" si="366"/>
        <v>64769442.137082599</v>
      </c>
      <c r="CH933" s="33">
        <f t="shared" ca="1" si="384"/>
        <v>0.29563668744434551</v>
      </c>
      <c r="CI933" s="33">
        <f t="shared" ca="1" si="385"/>
        <v>0.29563668744434551</v>
      </c>
      <c r="CJ933" s="36">
        <f t="shared" ca="1" si="370"/>
        <v>29.525483304042176</v>
      </c>
      <c r="CK933" s="34">
        <f t="shared" si="371"/>
        <v>0</v>
      </c>
      <c r="CL933" s="21"/>
      <c r="CM933" s="35" t="str">
        <f t="shared" ca="1" si="377"/>
        <v>VIGENTE</v>
      </c>
      <c r="CN933" s="82"/>
      <c r="CO933" s="145"/>
      <c r="CP933" s="26"/>
      <c r="CQ933" s="83"/>
      <c r="CR933" s="83"/>
    </row>
    <row r="934" spans="1:96" ht="24.75" customHeight="1">
      <c r="A934" s="48" t="s">
        <v>7311</v>
      </c>
      <c r="B934" s="77" t="s">
        <v>7312</v>
      </c>
      <c r="C934" s="17" t="s">
        <v>5814</v>
      </c>
      <c r="D934" s="18" t="s">
        <v>7313</v>
      </c>
      <c r="E934" s="17" t="s">
        <v>106</v>
      </c>
      <c r="F934" s="17" t="s">
        <v>1426</v>
      </c>
      <c r="G934" s="17" t="s">
        <v>1427</v>
      </c>
      <c r="H934" s="78" t="s">
        <v>7314</v>
      </c>
      <c r="I934" s="74" t="s">
        <v>7315</v>
      </c>
      <c r="J934" s="16"/>
      <c r="K934" s="16"/>
      <c r="L934" s="96" t="s">
        <v>7316</v>
      </c>
      <c r="M934" s="16"/>
      <c r="N934" s="22">
        <v>45621</v>
      </c>
      <c r="O934" s="22">
        <v>45623</v>
      </c>
      <c r="P934" s="22">
        <v>45656</v>
      </c>
      <c r="Q934" s="23">
        <f t="shared" si="387"/>
        <v>33</v>
      </c>
      <c r="R934" s="17" t="s">
        <v>242</v>
      </c>
      <c r="S934" s="16" t="s">
        <v>7317</v>
      </c>
      <c r="T934" s="16"/>
      <c r="U934" s="67">
        <v>50000000</v>
      </c>
      <c r="V934" s="16" t="s">
        <v>7104</v>
      </c>
      <c r="W934" s="24">
        <v>27245050</v>
      </c>
      <c r="X934" s="24"/>
      <c r="Y934" s="24"/>
      <c r="Z934" s="24"/>
      <c r="AA934" s="17" t="s">
        <v>116</v>
      </c>
      <c r="AB934" s="23" t="str">
        <f>IFERROR(VLOOKUP(AA934,Listas!$A$1:$C$14,2,FALSE),"")</f>
        <v>FREDY CÉSPEDES VILLA</v>
      </c>
      <c r="AC934" s="23">
        <f>IFERROR(VLOOKUP(AA934,Listas!$A$1:$C$14,3,FALSE),"")</f>
        <v>93363483</v>
      </c>
      <c r="AD934" s="17" t="s">
        <v>116</v>
      </c>
      <c r="AE934" s="17" t="s">
        <v>2309</v>
      </c>
      <c r="AF934" s="23" t="str">
        <f>IFERROR(VLOOKUP(AE934,Listas!$AD$1:$AF$65,2,FALSE),"")</f>
        <v>YURY NAYIBE LADINO</v>
      </c>
      <c r="AG934" s="23">
        <f>IFERROR(VLOOKUP(AE934,Listas!$AD$1:$AF$65,3,FALSE),"")</f>
        <v>1013587191</v>
      </c>
      <c r="AH934" s="17" t="s">
        <v>5821</v>
      </c>
      <c r="AI934" s="65"/>
      <c r="AJ934" s="25" t="s">
        <v>1435</v>
      </c>
      <c r="AK934" s="26" t="s">
        <v>2071</v>
      </c>
      <c r="AL934" s="26" t="s">
        <v>2071</v>
      </c>
      <c r="AM934" s="90" t="s">
        <v>1435</v>
      </c>
      <c r="AN934" s="105"/>
      <c r="AO934" s="91" t="str">
        <f t="shared" ca="1" si="369"/>
        <v xml:space="preserve"> </v>
      </c>
      <c r="AP934" s="26" t="s">
        <v>121</v>
      </c>
      <c r="AQ934" s="26" t="s">
        <v>122</v>
      </c>
      <c r="AR934" s="89"/>
      <c r="AS934" s="27"/>
      <c r="AT934" s="16"/>
      <c r="AU934" s="27"/>
      <c r="AV934" s="86"/>
      <c r="AW934" s="27"/>
      <c r="AX934" s="27"/>
      <c r="AY934" s="27"/>
      <c r="AZ934" s="27"/>
      <c r="BA934" s="27"/>
      <c r="BB934" s="27"/>
      <c r="BC934" s="97"/>
      <c r="BD934" s="27"/>
      <c r="BE934" s="16"/>
      <c r="BF934" s="28">
        <f t="shared" si="373"/>
        <v>0</v>
      </c>
      <c r="BG934" s="29"/>
      <c r="BH934" s="27"/>
      <c r="BI934" s="30">
        <f t="shared" si="374"/>
        <v>33</v>
      </c>
      <c r="BJ934" s="31">
        <f t="shared" si="375"/>
        <v>45656</v>
      </c>
      <c r="BK934" s="27"/>
      <c r="BL934" s="16"/>
      <c r="BM934" s="27"/>
      <c r="BN934" s="16"/>
      <c r="BO934" s="27"/>
      <c r="BP934" s="16"/>
      <c r="BQ934" s="27"/>
      <c r="BR934" s="24"/>
      <c r="BS934" s="24"/>
      <c r="BT934" s="32"/>
      <c r="BU934" s="27"/>
      <c r="BV934" s="24"/>
      <c r="BW934" s="24"/>
      <c r="BX934" s="16"/>
      <c r="BY934" s="27"/>
      <c r="BZ934" s="24"/>
      <c r="CA934" s="24"/>
      <c r="CB934" s="16"/>
      <c r="CC934" s="49">
        <f t="shared" si="376"/>
        <v>0</v>
      </c>
      <c r="CD934" s="24"/>
      <c r="CE934" s="49">
        <f t="shared" si="386"/>
        <v>27245050</v>
      </c>
      <c r="CF934" s="50">
        <v>0</v>
      </c>
      <c r="CG934" s="49">
        <f t="shared" ca="1" si="366"/>
        <v>27245050</v>
      </c>
      <c r="CH934" s="33">
        <f t="shared" ca="1" si="384"/>
        <v>1</v>
      </c>
      <c r="CI934" s="33">
        <f t="shared" ca="1" si="385"/>
        <v>1</v>
      </c>
      <c r="CJ934" s="36">
        <f t="shared" ca="1" si="370"/>
        <v>100</v>
      </c>
      <c r="CK934" s="34">
        <f t="shared" si="371"/>
        <v>0</v>
      </c>
      <c r="CL934" s="21"/>
      <c r="CM934" s="35" t="str">
        <f t="shared" ca="1" si="377"/>
        <v>TERMINADO</v>
      </c>
      <c r="CN934" s="82"/>
      <c r="CP934" s="26"/>
    </row>
    <row r="935" spans="1:96" s="85" customFormat="1" ht="24.75" customHeight="1">
      <c r="A935" s="48" t="s">
        <v>1424</v>
      </c>
      <c r="B935" s="77" t="s">
        <v>7318</v>
      </c>
      <c r="C935" s="17" t="s">
        <v>2927</v>
      </c>
      <c r="D935" s="18" t="s">
        <v>1424</v>
      </c>
      <c r="E935" s="17" t="s">
        <v>6197</v>
      </c>
      <c r="F935" s="17" t="s">
        <v>1426</v>
      </c>
      <c r="G935" s="17" t="s">
        <v>1427</v>
      </c>
      <c r="H935" s="78" t="s">
        <v>7319</v>
      </c>
      <c r="I935" s="74" t="s">
        <v>7320</v>
      </c>
      <c r="J935" s="16" t="s">
        <v>7321</v>
      </c>
      <c r="K935" s="16">
        <v>14466800</v>
      </c>
      <c r="L935" s="96" t="s">
        <v>7322</v>
      </c>
      <c r="M935" s="16"/>
      <c r="N935" s="22">
        <v>45618</v>
      </c>
      <c r="O935" s="22">
        <v>45618</v>
      </c>
      <c r="P935" s="22">
        <v>46529</v>
      </c>
      <c r="Q935" s="23">
        <f t="shared" si="387"/>
        <v>911</v>
      </c>
      <c r="R935" s="17" t="s">
        <v>2934</v>
      </c>
      <c r="S935" s="16" t="s">
        <v>1424</v>
      </c>
      <c r="T935" s="16" t="s">
        <v>1424</v>
      </c>
      <c r="U935" s="67">
        <v>0</v>
      </c>
      <c r="V935" s="16" t="s">
        <v>1424</v>
      </c>
      <c r="W935" s="24"/>
      <c r="X935" s="24"/>
      <c r="Y935" s="24">
        <v>1316369244</v>
      </c>
      <c r="Z935" s="24"/>
      <c r="AA935" s="17" t="s">
        <v>427</v>
      </c>
      <c r="AB935" s="23" t="str">
        <f>IFERROR(VLOOKUP(AA935,Listas!$A$1:$C$14,2,FALSE),"")</f>
        <v>DINORAH PATRICIA ABADIA MURILLO</v>
      </c>
      <c r="AC935" s="23">
        <f>IFERROR(VLOOKUP(AA935,Listas!$A$1:$C$14,3,FALSE),"")</f>
        <v>52220857</v>
      </c>
      <c r="AD935" s="17" t="s">
        <v>427</v>
      </c>
      <c r="AE935" s="17" t="s">
        <v>428</v>
      </c>
      <c r="AF935" s="23" t="str">
        <f>IFERROR(VLOOKUP(AE935,Listas!$AD$1:$AF$65,2,FALSE),"")</f>
        <v>DINORAH PATRICIA ABADIA MURILLO</v>
      </c>
      <c r="AG935" s="23">
        <f>IFERROR(VLOOKUP(AE935,Listas!$AD$1:$AF$65,3,FALSE),"")</f>
        <v>52220857</v>
      </c>
      <c r="AH935" s="17" t="s">
        <v>2936</v>
      </c>
      <c r="AI935" s="65"/>
      <c r="AJ935" s="25" t="s">
        <v>1435</v>
      </c>
      <c r="AK935" s="26" t="s">
        <v>2071</v>
      </c>
      <c r="AL935" s="26" t="s">
        <v>2071</v>
      </c>
      <c r="AM935" s="90" t="s">
        <v>1435</v>
      </c>
      <c r="AN935" s="105"/>
      <c r="AO935" s="91" t="str">
        <f t="shared" ref="AO935:AO968" ca="1" si="388">IF(YEAR(TODAY())-YEAR(AN935)&gt;100," ",YEAR(TODAY())-YEAR(AN935))</f>
        <v xml:space="preserve"> </v>
      </c>
      <c r="AP935" s="26" t="s">
        <v>2937</v>
      </c>
      <c r="AQ935" s="26" t="s">
        <v>3501</v>
      </c>
      <c r="AR935" s="89"/>
      <c r="AS935" s="27"/>
      <c r="AT935" s="16"/>
      <c r="AU935" s="27"/>
      <c r="AV935" s="86"/>
      <c r="AW935" s="27"/>
      <c r="AX935" s="27"/>
      <c r="AY935" s="27"/>
      <c r="AZ935" s="27"/>
      <c r="BA935" s="27"/>
      <c r="BB935" s="27"/>
      <c r="BC935" s="97"/>
      <c r="BD935" s="27"/>
      <c r="BE935" s="16"/>
      <c r="BF935" s="28">
        <f t="shared" si="373"/>
        <v>0</v>
      </c>
      <c r="BG935" s="29"/>
      <c r="BH935" s="27"/>
      <c r="BI935" s="30">
        <f t="shared" si="374"/>
        <v>911</v>
      </c>
      <c r="BJ935" s="31">
        <f t="shared" si="375"/>
        <v>46529</v>
      </c>
      <c r="BK935" s="27"/>
      <c r="BL935" s="16"/>
      <c r="BM935" s="27"/>
      <c r="BN935" s="16"/>
      <c r="BO935" s="27"/>
      <c r="BP935" s="16"/>
      <c r="BQ935" s="27"/>
      <c r="BR935" s="24"/>
      <c r="BS935" s="24"/>
      <c r="BT935" s="32"/>
      <c r="BU935" s="27"/>
      <c r="BV935" s="24"/>
      <c r="BW935" s="24"/>
      <c r="BX935" s="16"/>
      <c r="BY935" s="27"/>
      <c r="BZ935" s="24"/>
      <c r="CA935" s="24"/>
      <c r="CB935" s="16"/>
      <c r="CC935" s="49">
        <f t="shared" si="376"/>
        <v>0</v>
      </c>
      <c r="CD935" s="24"/>
      <c r="CE935" s="49">
        <f t="shared" si="386"/>
        <v>1316369244</v>
      </c>
      <c r="CF935" s="50">
        <v>0</v>
      </c>
      <c r="CG935" s="49">
        <f t="shared" ca="1" si="366"/>
        <v>479730613.62019753</v>
      </c>
      <c r="CH935" s="33">
        <f t="shared" ca="1" si="384"/>
        <v>0.36444444444444446</v>
      </c>
      <c r="CI935" s="33">
        <f t="shared" ca="1" si="385"/>
        <v>0.36444444444444446</v>
      </c>
      <c r="CJ935" s="36">
        <f t="shared" ca="1" si="370"/>
        <v>36.44346871569703</v>
      </c>
      <c r="CK935" s="34">
        <f t="shared" si="371"/>
        <v>0</v>
      </c>
      <c r="CL935" s="21"/>
      <c r="CM935" s="35" t="str">
        <f t="shared" ca="1" si="377"/>
        <v>VIGENTE</v>
      </c>
      <c r="CN935" s="82"/>
      <c r="CO935" s="145"/>
      <c r="CP935" s="26"/>
      <c r="CQ935" s="83"/>
      <c r="CR935" s="83"/>
    </row>
    <row r="936" spans="1:96" s="85" customFormat="1" ht="24.75" customHeight="1">
      <c r="A936" s="48" t="s">
        <v>1424</v>
      </c>
      <c r="B936" s="77" t="s">
        <v>7323</v>
      </c>
      <c r="C936" s="17" t="s">
        <v>2927</v>
      </c>
      <c r="D936" s="18" t="s">
        <v>1424</v>
      </c>
      <c r="E936" s="17" t="s">
        <v>6197</v>
      </c>
      <c r="F936" s="17" t="s">
        <v>1426</v>
      </c>
      <c r="G936" s="17" t="s">
        <v>1427</v>
      </c>
      <c r="H936" s="78" t="s">
        <v>7324</v>
      </c>
      <c r="I936" s="74" t="s">
        <v>7325</v>
      </c>
      <c r="J936" s="16" t="s">
        <v>7326</v>
      </c>
      <c r="K936" s="16">
        <v>52991839</v>
      </c>
      <c r="L936" s="96" t="s">
        <v>7327</v>
      </c>
      <c r="M936" s="16"/>
      <c r="N936" s="22">
        <v>45618</v>
      </c>
      <c r="O936" s="22">
        <v>45629</v>
      </c>
      <c r="P936" s="22">
        <v>45994</v>
      </c>
      <c r="Q936" s="23">
        <f t="shared" si="387"/>
        <v>365</v>
      </c>
      <c r="R936" s="17" t="s">
        <v>2934</v>
      </c>
      <c r="S936" s="16" t="s">
        <v>1424</v>
      </c>
      <c r="T936" s="16" t="s">
        <v>1424</v>
      </c>
      <c r="U936" s="67">
        <v>0</v>
      </c>
      <c r="V936" s="16" t="s">
        <v>1424</v>
      </c>
      <c r="W936" s="24">
        <v>0</v>
      </c>
      <c r="X936" s="24"/>
      <c r="Y936" s="24">
        <v>1139444961.45</v>
      </c>
      <c r="Z936" s="24"/>
      <c r="AA936" s="17" t="s">
        <v>427</v>
      </c>
      <c r="AB936" s="23" t="str">
        <f>IFERROR(VLOOKUP(AA936,Listas!$A$1:$C$14,2,FALSE),"")</f>
        <v>DINORAH PATRICIA ABADIA MURILLO</v>
      </c>
      <c r="AC936" s="23">
        <f>IFERROR(VLOOKUP(AA936,Listas!$A$1:$C$14,3,FALSE),"")</f>
        <v>52220857</v>
      </c>
      <c r="AD936" s="17" t="s">
        <v>427</v>
      </c>
      <c r="AE936" s="17" t="s">
        <v>428</v>
      </c>
      <c r="AF936" s="23" t="str">
        <f>IFERROR(VLOOKUP(AE936,Listas!$AD$1:$AF$65,2,FALSE),"")</f>
        <v>DINORAH PATRICIA ABADIA MURILLO</v>
      </c>
      <c r="AG936" s="23">
        <f>IFERROR(VLOOKUP(AE936,Listas!$AD$1:$AF$65,3,FALSE),"")</f>
        <v>52220857</v>
      </c>
      <c r="AH936" s="17" t="s">
        <v>2936</v>
      </c>
      <c r="AI936" s="65"/>
      <c r="AJ936" s="25" t="s">
        <v>1435</v>
      </c>
      <c r="AK936" s="26" t="s">
        <v>2071</v>
      </c>
      <c r="AL936" s="26" t="s">
        <v>2071</v>
      </c>
      <c r="AM936" s="90" t="s">
        <v>1435</v>
      </c>
      <c r="AN936" s="105"/>
      <c r="AO936" s="91" t="str">
        <f t="shared" ca="1" si="388"/>
        <v xml:space="preserve"> </v>
      </c>
      <c r="AP936" s="26" t="s">
        <v>2937</v>
      </c>
      <c r="AQ936" s="26" t="s">
        <v>4526</v>
      </c>
      <c r="AR936" s="89"/>
      <c r="AS936" s="27"/>
      <c r="AT936" s="16"/>
      <c r="AU936" s="27"/>
      <c r="AV936" s="86"/>
      <c r="AW936" s="27"/>
      <c r="AX936" s="27"/>
      <c r="AY936" s="27"/>
      <c r="AZ936" s="27"/>
      <c r="BA936" s="27"/>
      <c r="BB936" s="27"/>
      <c r="BC936" s="97"/>
      <c r="BD936" s="27"/>
      <c r="BE936" s="16"/>
      <c r="BF936" s="28">
        <f t="shared" si="373"/>
        <v>0</v>
      </c>
      <c r="BG936" s="29"/>
      <c r="BH936" s="27"/>
      <c r="BI936" s="30">
        <f t="shared" si="374"/>
        <v>365</v>
      </c>
      <c r="BJ936" s="31">
        <f t="shared" si="375"/>
        <v>45994</v>
      </c>
      <c r="BK936" s="27"/>
      <c r="BL936" s="16"/>
      <c r="BM936" s="27"/>
      <c r="BN936" s="16"/>
      <c r="BO936" s="27"/>
      <c r="BP936" s="16"/>
      <c r="BQ936" s="27"/>
      <c r="BR936" s="24"/>
      <c r="BS936" s="24"/>
      <c r="BT936" s="32"/>
      <c r="BU936" s="27"/>
      <c r="BV936" s="24"/>
      <c r="BW936" s="24"/>
      <c r="BX936" s="16"/>
      <c r="BY936" s="27"/>
      <c r="BZ936" s="24"/>
      <c r="CA936" s="24"/>
      <c r="CB936" s="16"/>
      <c r="CC936" s="49">
        <f t="shared" si="376"/>
        <v>0</v>
      </c>
      <c r="CD936" s="24"/>
      <c r="CE936" s="49">
        <f t="shared" si="386"/>
        <v>1139444961.45</v>
      </c>
      <c r="CF936" s="50">
        <v>0</v>
      </c>
      <c r="CG936" s="49">
        <f t="shared" ca="1" si="366"/>
        <v>1036426649.8668494</v>
      </c>
      <c r="CH936" s="33">
        <f t="shared" ca="1" si="384"/>
        <v>0.88055555555555554</v>
      </c>
      <c r="CI936" s="33">
        <f t="shared" ca="1" si="385"/>
        <v>0.88055555555555554</v>
      </c>
      <c r="CJ936" s="36">
        <f t="shared" ca="1" si="370"/>
        <v>90.958904109589042</v>
      </c>
      <c r="CK936" s="34">
        <f t="shared" si="371"/>
        <v>0</v>
      </c>
      <c r="CL936" s="21"/>
      <c r="CM936" s="35" t="str">
        <f t="shared" ca="1" si="377"/>
        <v>VIGENTE</v>
      </c>
      <c r="CN936" s="82"/>
      <c r="CO936" s="145"/>
      <c r="CP936" s="26"/>
      <c r="CQ936" s="83"/>
      <c r="CR936" s="83"/>
    </row>
    <row r="937" spans="1:96" ht="24.75" customHeight="1">
      <c r="A937" s="48" t="s">
        <v>7328</v>
      </c>
      <c r="B937" s="77" t="s">
        <v>7329</v>
      </c>
      <c r="C937" s="17" t="s">
        <v>104</v>
      </c>
      <c r="D937" s="18" t="s">
        <v>7330</v>
      </c>
      <c r="E937" s="17" t="s">
        <v>3178</v>
      </c>
      <c r="F937" s="17" t="s">
        <v>1426</v>
      </c>
      <c r="G937" s="17" t="s">
        <v>1427</v>
      </c>
      <c r="H937" s="78" t="s">
        <v>7331</v>
      </c>
      <c r="I937" s="74" t="s">
        <v>7332</v>
      </c>
      <c r="J937" s="16" t="s">
        <v>7333</v>
      </c>
      <c r="K937" s="16">
        <v>80421019</v>
      </c>
      <c r="L937" s="20" t="s">
        <v>7334</v>
      </c>
      <c r="M937" s="16"/>
      <c r="N937" s="22">
        <v>45618</v>
      </c>
      <c r="O937" s="22">
        <v>45622</v>
      </c>
      <c r="P937" s="22">
        <v>46352</v>
      </c>
      <c r="Q937" s="23">
        <f t="shared" si="387"/>
        <v>730</v>
      </c>
      <c r="R937" s="17" t="s">
        <v>242</v>
      </c>
      <c r="S937" s="16" t="s">
        <v>7335</v>
      </c>
      <c r="T937" s="16" t="s">
        <v>5929</v>
      </c>
      <c r="U937" s="24">
        <v>2098735554</v>
      </c>
      <c r="V937" s="16" t="s">
        <v>7336</v>
      </c>
      <c r="W937" s="24">
        <v>1472464232</v>
      </c>
      <c r="X937" s="24"/>
      <c r="Y937" s="24"/>
      <c r="Z937" s="24"/>
      <c r="AA937" s="17" t="s">
        <v>116</v>
      </c>
      <c r="AB937" s="23" t="str">
        <f>IFERROR(VLOOKUP(AA937,Listas!$A$1:$C$14,2,FALSE),"")</f>
        <v>FREDY CÉSPEDES VILLA</v>
      </c>
      <c r="AC937" s="23">
        <f>IFERROR(VLOOKUP(AA937,Listas!$A$1:$C$14,3,FALSE),"")</f>
        <v>93363483</v>
      </c>
      <c r="AD937" s="17" t="s">
        <v>116</v>
      </c>
      <c r="AE937" s="17" t="s">
        <v>659</v>
      </c>
      <c r="AF937" s="23" t="str">
        <f>IFERROR(VLOOKUP(AE937,Listas!$AD$1:$AF$65,2,FALSE),"")</f>
        <v>TATIANA FORERO TORRES</v>
      </c>
      <c r="AG937" s="23">
        <f>IFERROR(VLOOKUP(AE937,Listas!$AD$1:$AF$65,3,FALSE),"")</f>
        <v>1072446921</v>
      </c>
      <c r="AH937" s="17" t="s">
        <v>6266</v>
      </c>
      <c r="AI937" s="65"/>
      <c r="AJ937" s="25" t="s">
        <v>1435</v>
      </c>
      <c r="AK937" s="26" t="s">
        <v>2071</v>
      </c>
      <c r="AL937" s="26" t="s">
        <v>2071</v>
      </c>
      <c r="AM937" s="90" t="s">
        <v>1435</v>
      </c>
      <c r="AN937" s="105"/>
      <c r="AO937" s="91" t="str">
        <f t="shared" ca="1" si="388"/>
        <v xml:space="preserve"> </v>
      </c>
      <c r="AP937" s="26" t="s">
        <v>121</v>
      </c>
      <c r="AQ937" s="26" t="s">
        <v>1272</v>
      </c>
      <c r="AR937" s="89"/>
      <c r="AS937" s="27"/>
      <c r="AT937" s="16"/>
      <c r="AU937" s="27"/>
      <c r="AV937" s="86"/>
      <c r="AW937" s="27"/>
      <c r="AX937" s="27"/>
      <c r="AY937" s="27"/>
      <c r="AZ937" s="27"/>
      <c r="BA937" s="27"/>
      <c r="BB937" s="27"/>
      <c r="BC937" s="97"/>
      <c r="BD937" s="27"/>
      <c r="BE937" s="16"/>
      <c r="BF937" s="28">
        <f t="shared" si="373"/>
        <v>0</v>
      </c>
      <c r="BG937" s="29"/>
      <c r="BH937" s="27"/>
      <c r="BI937" s="30">
        <f t="shared" si="374"/>
        <v>730</v>
      </c>
      <c r="BJ937" s="31">
        <f t="shared" si="375"/>
        <v>46352</v>
      </c>
      <c r="BK937" s="27"/>
      <c r="BL937" s="16"/>
      <c r="BM937" s="27"/>
      <c r="BN937" s="16"/>
      <c r="BO937" s="27"/>
      <c r="BP937" s="16"/>
      <c r="BQ937" s="27"/>
      <c r="BR937" s="24"/>
      <c r="BS937" s="24"/>
      <c r="BT937" s="32"/>
      <c r="BU937" s="27"/>
      <c r="BV937" s="24"/>
      <c r="BW937" s="24"/>
      <c r="BX937" s="16"/>
      <c r="BY937" s="27"/>
      <c r="BZ937" s="24"/>
      <c r="CA937" s="24"/>
      <c r="CB937" s="16"/>
      <c r="CC937" s="49">
        <f t="shared" si="376"/>
        <v>0</v>
      </c>
      <c r="CD937" s="24"/>
      <c r="CE937" s="49">
        <f t="shared" si="386"/>
        <v>1472464232</v>
      </c>
      <c r="CF937" s="50"/>
      <c r="CG937" s="49">
        <f t="shared" ca="1" si="366"/>
        <v>669668664.41643834</v>
      </c>
      <c r="CH937" s="33">
        <f t="shared" ca="1" si="384"/>
        <v>0.45</v>
      </c>
      <c r="CI937" s="33">
        <f t="shared" ca="1" si="385"/>
        <v>0.45</v>
      </c>
      <c r="CJ937" s="36">
        <f t="shared" ca="1" si="370"/>
        <v>45.479452054794514</v>
      </c>
      <c r="CK937" s="34">
        <f t="shared" si="371"/>
        <v>0</v>
      </c>
      <c r="CL937" s="21"/>
      <c r="CM937" s="35" t="str">
        <f t="shared" ca="1" si="377"/>
        <v>VIGENTE</v>
      </c>
      <c r="CN937" s="82"/>
      <c r="CP937" s="26"/>
    </row>
    <row r="938" spans="1:96" ht="24.75" customHeight="1">
      <c r="A938" s="48" t="s">
        <v>7337</v>
      </c>
      <c r="B938" s="77" t="s">
        <v>7338</v>
      </c>
      <c r="C938" s="17" t="s">
        <v>104</v>
      </c>
      <c r="D938" s="18" t="s">
        <v>7330</v>
      </c>
      <c r="E938" s="17" t="s">
        <v>3178</v>
      </c>
      <c r="F938" s="17" t="s">
        <v>1426</v>
      </c>
      <c r="G938" s="17" t="s">
        <v>1427</v>
      </c>
      <c r="H938" s="78" t="s">
        <v>7331</v>
      </c>
      <c r="I938" s="74" t="s">
        <v>7332</v>
      </c>
      <c r="J938" s="16" t="s">
        <v>7333</v>
      </c>
      <c r="K938" s="16">
        <v>80421019</v>
      </c>
      <c r="L938" s="20" t="s">
        <v>7334</v>
      </c>
      <c r="M938" s="16"/>
      <c r="N938" s="22">
        <v>45618</v>
      </c>
      <c r="O938" s="22">
        <v>45622</v>
      </c>
      <c r="P938" s="22">
        <v>46352</v>
      </c>
      <c r="Q938" s="23">
        <f t="shared" si="387"/>
        <v>730</v>
      </c>
      <c r="R938" s="17" t="s">
        <v>242</v>
      </c>
      <c r="S938" s="16" t="s">
        <v>7339</v>
      </c>
      <c r="T938" s="16" t="s">
        <v>5929</v>
      </c>
      <c r="U938" s="67">
        <v>163153891</v>
      </c>
      <c r="V938" s="16" t="s">
        <v>7336</v>
      </c>
      <c r="W938" s="24">
        <v>162815443</v>
      </c>
      <c r="X938" s="24"/>
      <c r="Y938" s="24"/>
      <c r="Z938" s="24"/>
      <c r="AA938" s="17" t="s">
        <v>116</v>
      </c>
      <c r="AB938" s="23" t="str">
        <f>IFERROR(VLOOKUP(AA938,Listas!$A$1:$C$14,2,FALSE),"")</f>
        <v>FREDY CÉSPEDES VILLA</v>
      </c>
      <c r="AC938" s="23">
        <f>IFERROR(VLOOKUP(AA938,Listas!$A$1:$C$14,3,FALSE),"")</f>
        <v>93363483</v>
      </c>
      <c r="AD938" s="17" t="s">
        <v>116</v>
      </c>
      <c r="AE938" s="17" t="s">
        <v>659</v>
      </c>
      <c r="AF938" s="23" t="str">
        <f>IFERROR(VLOOKUP(AE938,Listas!$AD$1:$AF$65,2,FALSE),"")</f>
        <v>TATIANA FORERO TORRES</v>
      </c>
      <c r="AG938" s="23">
        <f>IFERROR(VLOOKUP(AE938,Listas!$AD$1:$AF$65,3,FALSE),"")</f>
        <v>1072446921</v>
      </c>
      <c r="AH938" s="17" t="s">
        <v>6266</v>
      </c>
      <c r="AI938" s="65"/>
      <c r="AJ938" s="25" t="s">
        <v>1435</v>
      </c>
      <c r="AK938" s="26" t="s">
        <v>2071</v>
      </c>
      <c r="AL938" s="26" t="s">
        <v>2071</v>
      </c>
      <c r="AM938" s="90" t="s">
        <v>1435</v>
      </c>
      <c r="AN938" s="105"/>
      <c r="AO938" s="91" t="str">
        <f t="shared" ca="1" si="388"/>
        <v xml:space="preserve"> </v>
      </c>
      <c r="AP938" s="26" t="s">
        <v>121</v>
      </c>
      <c r="AQ938" s="26" t="s">
        <v>1272</v>
      </c>
      <c r="AR938" s="89"/>
      <c r="AS938" s="27"/>
      <c r="AT938" s="16"/>
      <c r="AU938" s="27"/>
      <c r="AV938" s="86"/>
      <c r="AW938" s="27"/>
      <c r="AX938" s="27"/>
      <c r="AY938" s="27"/>
      <c r="AZ938" s="27"/>
      <c r="BA938" s="27"/>
      <c r="BB938" s="27"/>
      <c r="BC938" s="97"/>
      <c r="BD938" s="27"/>
      <c r="BE938" s="16"/>
      <c r="BF938" s="28">
        <f t="shared" si="373"/>
        <v>0</v>
      </c>
      <c r="BG938" s="29"/>
      <c r="BH938" s="27"/>
      <c r="BI938" s="30">
        <f t="shared" si="374"/>
        <v>730</v>
      </c>
      <c r="BJ938" s="31">
        <f t="shared" si="375"/>
        <v>46352</v>
      </c>
      <c r="BK938" s="27"/>
      <c r="BL938" s="16"/>
      <c r="BM938" s="27"/>
      <c r="BN938" s="16"/>
      <c r="BO938" s="27"/>
      <c r="BP938" s="16"/>
      <c r="BQ938" s="27"/>
      <c r="BR938" s="24"/>
      <c r="BS938" s="24"/>
      <c r="BT938" s="32"/>
      <c r="BU938" s="27"/>
      <c r="BV938" s="24"/>
      <c r="BW938" s="24"/>
      <c r="BX938" s="16"/>
      <c r="BY938" s="27"/>
      <c r="BZ938" s="24"/>
      <c r="CA938" s="24"/>
      <c r="CB938" s="16"/>
      <c r="CC938" s="49">
        <f t="shared" si="376"/>
        <v>0</v>
      </c>
      <c r="CD938" s="24"/>
      <c r="CE938" s="49">
        <f t="shared" si="386"/>
        <v>162815443</v>
      </c>
      <c r="CF938" s="50"/>
      <c r="CG938" s="49">
        <f t="shared" ca="1" si="366"/>
        <v>74047571.336986303</v>
      </c>
      <c r="CH938" s="33">
        <f t="shared" ca="1" si="384"/>
        <v>0.45</v>
      </c>
      <c r="CI938" s="33">
        <f t="shared" ca="1" si="385"/>
        <v>0.45</v>
      </c>
      <c r="CJ938" s="36">
        <f t="shared" ca="1" si="370"/>
        <v>45.479452054794521</v>
      </c>
      <c r="CK938" s="34">
        <f t="shared" si="371"/>
        <v>0</v>
      </c>
      <c r="CL938" s="21"/>
      <c r="CM938" s="35" t="str">
        <f t="shared" ca="1" si="377"/>
        <v>VIGENTE</v>
      </c>
      <c r="CN938" s="82"/>
      <c r="CP938" s="26"/>
    </row>
    <row r="939" spans="1:96" ht="24.75" customHeight="1">
      <c r="A939" s="48" t="s">
        <v>7340</v>
      </c>
      <c r="B939" s="77" t="s">
        <v>7341</v>
      </c>
      <c r="C939" s="17" t="s">
        <v>104</v>
      </c>
      <c r="D939" s="18" t="s">
        <v>7330</v>
      </c>
      <c r="E939" s="17" t="s">
        <v>3178</v>
      </c>
      <c r="F939" s="17" t="s">
        <v>1426</v>
      </c>
      <c r="G939" s="17" t="s">
        <v>1427</v>
      </c>
      <c r="H939" s="78" t="s">
        <v>7342</v>
      </c>
      <c r="I939" s="74" t="s">
        <v>7343</v>
      </c>
      <c r="J939" s="16" t="s">
        <v>7344</v>
      </c>
      <c r="K939" s="16">
        <v>52898473</v>
      </c>
      <c r="L939" s="20" t="s">
        <v>7334</v>
      </c>
      <c r="M939" s="16"/>
      <c r="N939" s="22">
        <v>45618</v>
      </c>
      <c r="O939" s="22">
        <v>45622</v>
      </c>
      <c r="P939" s="22">
        <v>46352</v>
      </c>
      <c r="Q939" s="23">
        <f t="shared" si="387"/>
        <v>730</v>
      </c>
      <c r="R939" s="17" t="s">
        <v>242</v>
      </c>
      <c r="S939" s="16" t="s">
        <v>7345</v>
      </c>
      <c r="T939" s="16" t="s">
        <v>5929</v>
      </c>
      <c r="U939" s="67">
        <v>1590544461</v>
      </c>
      <c r="V939" s="16" t="s">
        <v>7336</v>
      </c>
      <c r="W939" s="24">
        <v>1317312177</v>
      </c>
      <c r="X939" s="24"/>
      <c r="Y939" s="24"/>
      <c r="Z939" s="24"/>
      <c r="AA939" s="17" t="s">
        <v>116</v>
      </c>
      <c r="AB939" s="23" t="str">
        <f>IFERROR(VLOOKUP(AA939,Listas!$A$1:$C$14,2,FALSE),"")</f>
        <v>FREDY CÉSPEDES VILLA</v>
      </c>
      <c r="AC939" s="23">
        <f>IFERROR(VLOOKUP(AA939,Listas!$A$1:$C$14,3,FALSE),"")</f>
        <v>93363483</v>
      </c>
      <c r="AD939" s="17" t="s">
        <v>116</v>
      </c>
      <c r="AE939" s="17" t="s">
        <v>659</v>
      </c>
      <c r="AF939" s="23" t="str">
        <f>IFERROR(VLOOKUP(AE939,Listas!$AD$1:$AF$65,2,FALSE),"")</f>
        <v>TATIANA FORERO TORRES</v>
      </c>
      <c r="AG939" s="23">
        <f>IFERROR(VLOOKUP(AE939,Listas!$AD$1:$AF$65,3,FALSE),"")</f>
        <v>1072446921</v>
      </c>
      <c r="AH939" s="17" t="s">
        <v>6266</v>
      </c>
      <c r="AI939" s="65"/>
      <c r="AJ939" s="25" t="s">
        <v>1435</v>
      </c>
      <c r="AK939" s="26" t="s">
        <v>2071</v>
      </c>
      <c r="AL939" s="26" t="s">
        <v>2071</v>
      </c>
      <c r="AM939" s="90" t="s">
        <v>1435</v>
      </c>
      <c r="AN939" s="105"/>
      <c r="AO939" s="91" t="str">
        <f t="shared" ref="AO939" ca="1" si="389">IF(YEAR(TODAY())-YEAR(AN939)&gt;100," ",YEAR(TODAY())-YEAR(AN939))</f>
        <v xml:space="preserve"> </v>
      </c>
      <c r="AP939" s="26" t="s">
        <v>121</v>
      </c>
      <c r="AQ939" s="26" t="s">
        <v>1272</v>
      </c>
      <c r="AR939" s="89"/>
      <c r="AS939" s="27"/>
      <c r="AT939" s="16"/>
      <c r="AU939" s="27"/>
      <c r="AV939" s="86"/>
      <c r="AW939" s="27"/>
      <c r="AX939" s="27"/>
      <c r="AY939" s="27"/>
      <c r="AZ939" s="27"/>
      <c r="BA939" s="27"/>
      <c r="BB939" s="27"/>
      <c r="BC939" s="97"/>
      <c r="BD939" s="27"/>
      <c r="BE939" s="16"/>
      <c r="BF939" s="28">
        <f t="shared" si="373"/>
        <v>0</v>
      </c>
      <c r="BG939" s="29"/>
      <c r="BH939" s="27"/>
      <c r="BI939" s="30">
        <f t="shared" si="374"/>
        <v>730</v>
      </c>
      <c r="BJ939" s="31">
        <f t="shared" si="375"/>
        <v>46352</v>
      </c>
      <c r="BK939" s="27"/>
      <c r="BL939" s="16"/>
      <c r="BM939" s="27"/>
      <c r="BN939" s="16"/>
      <c r="BO939" s="27"/>
      <c r="BP939" s="16"/>
      <c r="BQ939" s="27"/>
      <c r="BR939" s="24"/>
      <c r="BS939" s="24"/>
      <c r="BT939" s="32"/>
      <c r="BU939" s="27"/>
      <c r="BV939" s="24"/>
      <c r="BW939" s="24"/>
      <c r="BX939" s="16"/>
      <c r="BY939" s="27"/>
      <c r="BZ939" s="24"/>
      <c r="CA939" s="24"/>
      <c r="CB939" s="16"/>
      <c r="CC939" s="49">
        <f t="shared" si="376"/>
        <v>0</v>
      </c>
      <c r="CD939" s="24"/>
      <c r="CE939" s="49">
        <f t="shared" si="386"/>
        <v>1317312177</v>
      </c>
      <c r="CF939" s="50"/>
      <c r="CG939" s="49">
        <f t="shared" ca="1" si="366"/>
        <v>599106359.95068491</v>
      </c>
      <c r="CH939" s="33">
        <f t="shared" ca="1" si="384"/>
        <v>0.45</v>
      </c>
      <c r="CI939" s="33">
        <f t="shared" ca="1" si="385"/>
        <v>0.45</v>
      </c>
      <c r="CJ939" s="36">
        <f t="shared" ca="1" si="370"/>
        <v>45.479452054794514</v>
      </c>
      <c r="CK939" s="34">
        <f t="shared" si="371"/>
        <v>0</v>
      </c>
      <c r="CL939" s="21"/>
      <c r="CM939" s="35" t="str">
        <f t="shared" ref="CM939:CM957" ca="1" si="390">IF(CL939&gt;1/1/6,"LIQUIDADO",IF(BJ939=$BE$20003,"",IF(BJ939&gt;=TODAY(),"VIGENTE",IF(BJ939&lt;TODAY(),"TERMINADO",))))</f>
        <v>VIGENTE</v>
      </c>
      <c r="CN939" s="82"/>
      <c r="CP939" s="26"/>
    </row>
    <row r="940" spans="1:96" s="85" customFormat="1" ht="24.75" customHeight="1">
      <c r="A940" s="48" t="s">
        <v>1424</v>
      </c>
      <c r="B940" s="77" t="s">
        <v>7346</v>
      </c>
      <c r="C940" s="17" t="s">
        <v>2927</v>
      </c>
      <c r="D940" s="18" t="s">
        <v>1424</v>
      </c>
      <c r="E940" s="17" t="s">
        <v>6197</v>
      </c>
      <c r="F940" s="17" t="s">
        <v>1426</v>
      </c>
      <c r="G940" s="17" t="s">
        <v>1427</v>
      </c>
      <c r="H940" s="78" t="s">
        <v>7347</v>
      </c>
      <c r="I940" s="74" t="s">
        <v>7348</v>
      </c>
      <c r="J940" s="16" t="s">
        <v>7349</v>
      </c>
      <c r="K940" s="16">
        <v>52113881</v>
      </c>
      <c r="L940" s="20" t="s">
        <v>7350</v>
      </c>
      <c r="M940" s="16"/>
      <c r="N940" s="22">
        <v>45621</v>
      </c>
      <c r="O940" s="22">
        <v>45621</v>
      </c>
      <c r="P940" s="22">
        <v>48543</v>
      </c>
      <c r="Q940" s="23">
        <f t="shared" si="387"/>
        <v>2922</v>
      </c>
      <c r="R940" s="17" t="s">
        <v>2934</v>
      </c>
      <c r="S940" s="16" t="s">
        <v>1424</v>
      </c>
      <c r="T940" s="16" t="s">
        <v>1424</v>
      </c>
      <c r="U940" s="67">
        <v>0</v>
      </c>
      <c r="V940" s="16" t="s">
        <v>1424</v>
      </c>
      <c r="W940" s="24">
        <v>0</v>
      </c>
      <c r="X940" s="24"/>
      <c r="Y940" s="24">
        <v>8300000000</v>
      </c>
      <c r="Z940" s="24"/>
      <c r="AA940" s="17" t="s">
        <v>427</v>
      </c>
      <c r="AB940" s="23" t="str">
        <f>IFERROR(VLOOKUP(AA940,Listas!$A$1:$C$14,2,FALSE),"")</f>
        <v>DINORAH PATRICIA ABADIA MURILLO</v>
      </c>
      <c r="AC940" s="23">
        <f>IFERROR(VLOOKUP(AA940,Listas!$A$1:$C$14,3,FALSE),"")</f>
        <v>52220857</v>
      </c>
      <c r="AD940" s="17" t="s">
        <v>427</v>
      </c>
      <c r="AE940" s="17" t="s">
        <v>428</v>
      </c>
      <c r="AF940" s="23" t="str">
        <f>IFERROR(VLOOKUP(AE940,Listas!$AD$1:$AF$65,2,FALSE),"")</f>
        <v>DINORAH PATRICIA ABADIA MURILLO</v>
      </c>
      <c r="AG940" s="23">
        <f>IFERROR(VLOOKUP(AE940,Listas!$AD$1:$AF$65,3,FALSE),"")</f>
        <v>52220857</v>
      </c>
      <c r="AH940" s="17" t="s">
        <v>2936</v>
      </c>
      <c r="AI940" s="65"/>
      <c r="AJ940" s="25" t="s">
        <v>1435</v>
      </c>
      <c r="AK940" s="26" t="s">
        <v>2071</v>
      </c>
      <c r="AL940" s="26" t="s">
        <v>2071</v>
      </c>
      <c r="AM940" s="90" t="s">
        <v>1435</v>
      </c>
      <c r="AN940" s="105"/>
      <c r="AO940" s="91" t="str">
        <f t="shared" ca="1" si="388"/>
        <v xml:space="preserve"> </v>
      </c>
      <c r="AP940" s="26" t="s">
        <v>2937</v>
      </c>
      <c r="AQ940" s="26" t="s">
        <v>3453</v>
      </c>
      <c r="AR940" s="89"/>
      <c r="AS940" s="27"/>
      <c r="AT940" s="16"/>
      <c r="AU940" s="27"/>
      <c r="AV940" s="86"/>
      <c r="AW940" s="27"/>
      <c r="AX940" s="27"/>
      <c r="AY940" s="27"/>
      <c r="AZ940" s="27"/>
      <c r="BA940" s="27"/>
      <c r="BB940" s="27"/>
      <c r="BC940" s="97"/>
      <c r="BD940" s="27"/>
      <c r="BE940" s="16"/>
      <c r="BF940" s="28">
        <f t="shared" si="373"/>
        <v>0</v>
      </c>
      <c r="BG940" s="29"/>
      <c r="BH940" s="27"/>
      <c r="BI940" s="30">
        <f t="shared" si="374"/>
        <v>2922</v>
      </c>
      <c r="BJ940" s="31">
        <f t="shared" si="375"/>
        <v>48543</v>
      </c>
      <c r="BK940" s="27">
        <v>45848</v>
      </c>
      <c r="BL940" s="16" t="s">
        <v>7351</v>
      </c>
      <c r="BM940" s="27"/>
      <c r="BN940" s="16"/>
      <c r="BO940" s="27"/>
      <c r="BP940" s="16"/>
      <c r="BQ940" s="27"/>
      <c r="BR940" s="24"/>
      <c r="BS940" s="24"/>
      <c r="BT940" s="32"/>
      <c r="BU940" s="27"/>
      <c r="BV940" s="24"/>
      <c r="BW940" s="24"/>
      <c r="BX940" s="16"/>
      <c r="BY940" s="27"/>
      <c r="BZ940" s="24"/>
      <c r="CA940" s="24"/>
      <c r="CB940" s="16"/>
      <c r="CC940" s="49">
        <f t="shared" si="376"/>
        <v>0</v>
      </c>
      <c r="CD940" s="24"/>
      <c r="CE940" s="49">
        <f t="shared" si="386"/>
        <v>8300000000</v>
      </c>
      <c r="CF940" s="50">
        <v>0</v>
      </c>
      <c r="CG940" s="49">
        <f t="shared" ca="1" si="366"/>
        <v>934531143.05270362</v>
      </c>
      <c r="CH940" s="33">
        <f t="shared" ca="1" si="384"/>
        <v>0.11284722222222222</v>
      </c>
      <c r="CI940" s="33">
        <f t="shared" ca="1" si="385"/>
        <v>0.11284722222222222</v>
      </c>
      <c r="CJ940" s="36">
        <f t="shared" ca="1" si="370"/>
        <v>11.259411362080767</v>
      </c>
      <c r="CK940" s="34">
        <f t="shared" si="371"/>
        <v>0</v>
      </c>
      <c r="CL940" s="21"/>
      <c r="CM940" s="35" t="str">
        <f t="shared" ca="1" si="390"/>
        <v>VIGENTE</v>
      </c>
      <c r="CN940" s="82"/>
      <c r="CO940" s="145"/>
      <c r="CP940" s="26"/>
      <c r="CQ940" s="83"/>
      <c r="CR940" s="83"/>
    </row>
    <row r="941" spans="1:96" s="85" customFormat="1" ht="24.75" customHeight="1">
      <c r="A941" s="48" t="s">
        <v>1424</v>
      </c>
      <c r="B941" s="77" t="s">
        <v>7352</v>
      </c>
      <c r="C941" s="17" t="s">
        <v>2927</v>
      </c>
      <c r="D941" s="18" t="s">
        <v>1424</v>
      </c>
      <c r="E941" s="17" t="s">
        <v>6197</v>
      </c>
      <c r="F941" s="17" t="s">
        <v>1426</v>
      </c>
      <c r="G941" s="17" t="s">
        <v>1427</v>
      </c>
      <c r="H941" s="78" t="s">
        <v>7353</v>
      </c>
      <c r="I941" s="74" t="s">
        <v>7354</v>
      </c>
      <c r="J941" s="16" t="s">
        <v>7355</v>
      </c>
      <c r="K941" s="16">
        <v>80124133</v>
      </c>
      <c r="L941" s="20" t="s">
        <v>7356</v>
      </c>
      <c r="M941" s="16"/>
      <c r="N941" s="22">
        <v>45621</v>
      </c>
      <c r="O941" s="22">
        <v>45623</v>
      </c>
      <c r="P941" s="22">
        <v>47814</v>
      </c>
      <c r="Q941" s="23">
        <f t="shared" si="387"/>
        <v>2191</v>
      </c>
      <c r="R941" s="17" t="s">
        <v>2934</v>
      </c>
      <c r="S941" s="16" t="s">
        <v>1424</v>
      </c>
      <c r="T941" s="16" t="s">
        <v>1424</v>
      </c>
      <c r="U941" s="67">
        <v>0</v>
      </c>
      <c r="V941" s="16" t="s">
        <v>1424</v>
      </c>
      <c r="W941" s="24">
        <v>0</v>
      </c>
      <c r="X941" s="24"/>
      <c r="Y941" s="24">
        <v>333704000</v>
      </c>
      <c r="Z941" s="24"/>
      <c r="AA941" s="17" t="s">
        <v>427</v>
      </c>
      <c r="AB941" s="23" t="str">
        <f>IFERROR(VLOOKUP(AA941,Listas!$A$1:$C$14,2,FALSE),"")</f>
        <v>DINORAH PATRICIA ABADIA MURILLO</v>
      </c>
      <c r="AC941" s="23">
        <f>IFERROR(VLOOKUP(AA941,Listas!$A$1:$C$14,3,FALSE),"")</f>
        <v>52220857</v>
      </c>
      <c r="AD941" s="17" t="s">
        <v>427</v>
      </c>
      <c r="AE941" s="17" t="s">
        <v>428</v>
      </c>
      <c r="AF941" s="23" t="str">
        <f>IFERROR(VLOOKUP(AE941,Listas!$AD$1:$AF$65,2,FALSE),"")</f>
        <v>DINORAH PATRICIA ABADIA MURILLO</v>
      </c>
      <c r="AG941" s="23">
        <f>IFERROR(VLOOKUP(AE941,Listas!$AD$1:$AF$65,3,FALSE),"")</f>
        <v>52220857</v>
      </c>
      <c r="AH941" s="17" t="s">
        <v>2936</v>
      </c>
      <c r="AI941" s="65"/>
      <c r="AJ941" s="25" t="s">
        <v>1435</v>
      </c>
      <c r="AK941" s="26" t="s">
        <v>2071</v>
      </c>
      <c r="AL941" s="26" t="s">
        <v>2071</v>
      </c>
      <c r="AM941" s="90" t="s">
        <v>1435</v>
      </c>
      <c r="AN941" s="105"/>
      <c r="AO941" s="91" t="str">
        <f t="shared" ca="1" si="388"/>
        <v xml:space="preserve"> </v>
      </c>
      <c r="AP941" s="26" t="s">
        <v>2937</v>
      </c>
      <c r="AQ941" s="26" t="s">
        <v>3453</v>
      </c>
      <c r="AR941" s="89"/>
      <c r="AS941" s="27"/>
      <c r="AT941" s="16"/>
      <c r="AU941" s="27"/>
      <c r="AV941" s="86"/>
      <c r="AW941" s="27"/>
      <c r="AX941" s="27"/>
      <c r="AY941" s="27"/>
      <c r="AZ941" s="27"/>
      <c r="BA941" s="27"/>
      <c r="BB941" s="27"/>
      <c r="BC941" s="97"/>
      <c r="BD941" s="27"/>
      <c r="BE941" s="16"/>
      <c r="BF941" s="28">
        <f t="shared" si="373"/>
        <v>0</v>
      </c>
      <c r="BG941" s="29"/>
      <c r="BH941" s="27"/>
      <c r="BI941" s="30">
        <f t="shared" si="374"/>
        <v>2191</v>
      </c>
      <c r="BJ941" s="31">
        <f t="shared" si="375"/>
        <v>47814</v>
      </c>
      <c r="BK941" s="27"/>
      <c r="BL941" s="16"/>
      <c r="BM941" s="27"/>
      <c r="BN941" s="16"/>
      <c r="BO941" s="27"/>
      <c r="BP941" s="16"/>
      <c r="BQ941" s="27"/>
      <c r="BR941" s="24"/>
      <c r="BS941" s="24"/>
      <c r="BT941" s="32"/>
      <c r="BU941" s="27"/>
      <c r="BV941" s="24"/>
      <c r="BW941" s="24"/>
      <c r="BX941" s="16"/>
      <c r="BY941" s="27"/>
      <c r="BZ941" s="24"/>
      <c r="CA941" s="24"/>
      <c r="CB941" s="16"/>
      <c r="CC941" s="49">
        <f t="shared" si="376"/>
        <v>0</v>
      </c>
      <c r="CD941" s="24"/>
      <c r="CE941" s="49">
        <f t="shared" si="386"/>
        <v>333704000</v>
      </c>
      <c r="CF941" s="50">
        <v>0</v>
      </c>
      <c r="CG941" s="49">
        <f t="shared" ref="CG941:CG1002" ca="1" si="391">IFERROR(IF(((CE941/BI941)*(TODAY()-N941))&gt;CE941,CE941,((CE941/BI941)*(TODAY()-N941))),"")</f>
        <v>50108907.348242812</v>
      </c>
      <c r="CH941" s="33">
        <f t="shared" ca="1" si="384"/>
        <v>0.14953703703703702</v>
      </c>
      <c r="CI941" s="33">
        <f t="shared" ca="1" si="385"/>
        <v>0.14953703703703702</v>
      </c>
      <c r="CJ941" s="36">
        <f t="shared" ca="1" si="370"/>
        <v>15.015974440894569</v>
      </c>
      <c r="CK941" s="34">
        <f t="shared" si="371"/>
        <v>0</v>
      </c>
      <c r="CL941" s="21"/>
      <c r="CM941" s="35" t="str">
        <f t="shared" ca="1" si="390"/>
        <v>VIGENTE</v>
      </c>
      <c r="CN941" s="82"/>
      <c r="CO941" s="145"/>
      <c r="CP941" s="26"/>
      <c r="CQ941" s="83"/>
      <c r="CR941" s="83"/>
    </row>
    <row r="942" spans="1:96" s="85" customFormat="1" ht="24.75" customHeight="1">
      <c r="A942" s="48" t="s">
        <v>1424</v>
      </c>
      <c r="B942" s="77" t="s">
        <v>7357</v>
      </c>
      <c r="C942" s="17" t="s">
        <v>2927</v>
      </c>
      <c r="D942" s="18" t="s">
        <v>1424</v>
      </c>
      <c r="E942" s="17" t="s">
        <v>6197</v>
      </c>
      <c r="F942" s="17" t="s">
        <v>1426</v>
      </c>
      <c r="G942" s="17" t="s">
        <v>1427</v>
      </c>
      <c r="H942" s="78" t="s">
        <v>7358</v>
      </c>
      <c r="I942" s="74" t="s">
        <v>7359</v>
      </c>
      <c r="J942" s="16" t="s">
        <v>7360</v>
      </c>
      <c r="K942" s="16">
        <v>7225891</v>
      </c>
      <c r="L942" s="20" t="s">
        <v>7361</v>
      </c>
      <c r="M942" s="16"/>
      <c r="N942" s="22">
        <v>45621</v>
      </c>
      <c r="O942" s="22">
        <v>45621</v>
      </c>
      <c r="P942" s="22">
        <v>46351</v>
      </c>
      <c r="Q942" s="23">
        <f t="shared" si="387"/>
        <v>730</v>
      </c>
      <c r="R942" s="17" t="s">
        <v>2934</v>
      </c>
      <c r="S942" s="16" t="s">
        <v>1424</v>
      </c>
      <c r="T942" s="16" t="s">
        <v>1424</v>
      </c>
      <c r="U942" s="67">
        <v>0</v>
      </c>
      <c r="V942" s="16" t="s">
        <v>1424</v>
      </c>
      <c r="W942" s="24">
        <v>0</v>
      </c>
      <c r="X942" s="24"/>
      <c r="Y942" s="24">
        <v>60000000</v>
      </c>
      <c r="Z942" s="24"/>
      <c r="AA942" s="17" t="s">
        <v>427</v>
      </c>
      <c r="AB942" s="23" t="str">
        <f>IFERROR(VLOOKUP(AA942,Listas!$A$1:$C$14,2,FALSE),"")</f>
        <v>DINORAH PATRICIA ABADIA MURILLO</v>
      </c>
      <c r="AC942" s="23">
        <f>IFERROR(VLOOKUP(AA942,Listas!$A$1:$C$14,3,FALSE),"")</f>
        <v>52220857</v>
      </c>
      <c r="AD942" s="17" t="s">
        <v>427</v>
      </c>
      <c r="AE942" s="17" t="s">
        <v>428</v>
      </c>
      <c r="AF942" s="23" t="str">
        <f>IFERROR(VLOOKUP(AE942,Listas!$AD$1:$AF$65,2,FALSE),"")</f>
        <v>DINORAH PATRICIA ABADIA MURILLO</v>
      </c>
      <c r="AG942" s="23">
        <f>IFERROR(VLOOKUP(AE942,Listas!$AD$1:$AF$65,3,FALSE),"")</f>
        <v>52220857</v>
      </c>
      <c r="AH942" s="17" t="s">
        <v>2936</v>
      </c>
      <c r="AI942" s="65"/>
      <c r="AJ942" s="25" t="s">
        <v>1435</v>
      </c>
      <c r="AK942" s="26" t="s">
        <v>2071</v>
      </c>
      <c r="AL942" s="26" t="s">
        <v>2071</v>
      </c>
      <c r="AM942" s="90" t="s">
        <v>1435</v>
      </c>
      <c r="AN942" s="105"/>
      <c r="AO942" s="91" t="str">
        <f t="shared" ca="1" si="388"/>
        <v xml:space="preserve"> </v>
      </c>
      <c r="AP942" s="26" t="s">
        <v>2937</v>
      </c>
      <c r="AQ942" s="26" t="s">
        <v>2938</v>
      </c>
      <c r="AR942" s="89"/>
      <c r="AS942" s="27"/>
      <c r="AT942" s="16"/>
      <c r="AU942" s="27"/>
      <c r="AV942" s="86"/>
      <c r="AW942" s="27"/>
      <c r="AX942" s="27"/>
      <c r="AY942" s="27"/>
      <c r="AZ942" s="27"/>
      <c r="BA942" s="27"/>
      <c r="BB942" s="27"/>
      <c r="BC942" s="97"/>
      <c r="BD942" s="27"/>
      <c r="BE942" s="16"/>
      <c r="BF942" s="28">
        <f t="shared" si="373"/>
        <v>0</v>
      </c>
      <c r="BG942" s="29"/>
      <c r="BH942" s="27"/>
      <c r="BI942" s="30">
        <f t="shared" si="374"/>
        <v>730</v>
      </c>
      <c r="BJ942" s="31">
        <f t="shared" si="375"/>
        <v>46351</v>
      </c>
      <c r="BK942" s="27"/>
      <c r="BL942" s="16"/>
      <c r="BM942" s="27"/>
      <c r="BN942" s="16"/>
      <c r="BO942" s="27"/>
      <c r="BP942" s="16"/>
      <c r="BQ942" s="27"/>
      <c r="BR942" s="24"/>
      <c r="BS942" s="24"/>
      <c r="BT942" s="32"/>
      <c r="BU942" s="27"/>
      <c r="BV942" s="24"/>
      <c r="BW942" s="24"/>
      <c r="BX942" s="16"/>
      <c r="BY942" s="27"/>
      <c r="BZ942" s="24"/>
      <c r="CA942" s="24"/>
      <c r="CB942" s="16"/>
      <c r="CC942" s="49">
        <f t="shared" si="376"/>
        <v>0</v>
      </c>
      <c r="CD942" s="24"/>
      <c r="CE942" s="49">
        <f t="shared" si="386"/>
        <v>60000000</v>
      </c>
      <c r="CF942" s="50">
        <v>0</v>
      </c>
      <c r="CG942" s="49">
        <f t="shared" ca="1" si="391"/>
        <v>27041095.89041096</v>
      </c>
      <c r="CH942" s="33">
        <f t="shared" ca="1" si="384"/>
        <v>0.4513888888888889</v>
      </c>
      <c r="CI942" s="33">
        <f t="shared" ca="1" si="385"/>
        <v>0.4513888888888889</v>
      </c>
      <c r="CJ942" s="36">
        <f t="shared" ca="1" si="370"/>
        <v>45.068493150684937</v>
      </c>
      <c r="CK942" s="34">
        <f t="shared" si="371"/>
        <v>0</v>
      </c>
      <c r="CL942" s="21"/>
      <c r="CM942" s="35" t="str">
        <f t="shared" ca="1" si="390"/>
        <v>VIGENTE</v>
      </c>
      <c r="CN942" s="82"/>
      <c r="CO942" s="145"/>
      <c r="CP942" s="26"/>
      <c r="CQ942" s="83"/>
      <c r="CR942" s="83"/>
    </row>
    <row r="943" spans="1:96" s="85" customFormat="1" ht="24.75" customHeight="1">
      <c r="A943" s="48" t="s">
        <v>7362</v>
      </c>
      <c r="B943" s="77" t="s">
        <v>7363</v>
      </c>
      <c r="C943" s="17" t="s">
        <v>5814</v>
      </c>
      <c r="D943" s="18" t="s">
        <v>7364</v>
      </c>
      <c r="E943" s="17" t="s">
        <v>106</v>
      </c>
      <c r="F943" s="17" t="s">
        <v>1426</v>
      </c>
      <c r="G943" s="17" t="s">
        <v>1427</v>
      </c>
      <c r="H943" s="78" t="s">
        <v>7365</v>
      </c>
      <c r="I943" s="74" t="s">
        <v>7366</v>
      </c>
      <c r="J943" s="16" t="s">
        <v>7367</v>
      </c>
      <c r="K943" s="16">
        <v>1030522945</v>
      </c>
      <c r="L943" s="20" t="s">
        <v>7368</v>
      </c>
      <c r="M943" s="16"/>
      <c r="N943" s="22">
        <v>45622</v>
      </c>
      <c r="O943" s="22">
        <v>45627</v>
      </c>
      <c r="P943" s="22">
        <v>45991</v>
      </c>
      <c r="Q943" s="23">
        <f t="shared" si="387"/>
        <v>364</v>
      </c>
      <c r="R943" s="17" t="s">
        <v>242</v>
      </c>
      <c r="S943" s="16" t="s">
        <v>7369</v>
      </c>
      <c r="T943" s="16" t="s">
        <v>7370</v>
      </c>
      <c r="U943" s="67">
        <v>44413699</v>
      </c>
      <c r="V943" s="16" t="s">
        <v>7371</v>
      </c>
      <c r="W943" s="24">
        <v>41893840.390000001</v>
      </c>
      <c r="X943" s="24"/>
      <c r="Y943" s="24"/>
      <c r="Z943" s="24"/>
      <c r="AA943" s="17" t="s">
        <v>116</v>
      </c>
      <c r="AB943" s="23" t="str">
        <f>IFERROR(VLOOKUP(AA943,Listas!$A$1:$C$14,2,FALSE),"")</f>
        <v>FREDY CÉSPEDES VILLA</v>
      </c>
      <c r="AC943" s="23">
        <f>IFERROR(VLOOKUP(AA943,Listas!$A$1:$C$14,3,FALSE),"")</f>
        <v>93363483</v>
      </c>
      <c r="AD943" s="17" t="s">
        <v>217</v>
      </c>
      <c r="AE943" s="17" t="s">
        <v>539</v>
      </c>
      <c r="AF943" s="23" t="str">
        <f>IFERROR(VLOOKUP(AE943,Listas!$AD$1:$AF$65,2,FALSE),"")</f>
        <v>DORIS POVEDA BELTRÁN</v>
      </c>
      <c r="AG943" s="23">
        <f>IFERROR(VLOOKUP(AE943,Listas!$AD$1:$AF$65,3,FALSE),"")</f>
        <v>52049845</v>
      </c>
      <c r="AH943" s="17" t="s">
        <v>5821</v>
      </c>
      <c r="AI943" s="65"/>
      <c r="AJ943" s="25" t="s">
        <v>1435</v>
      </c>
      <c r="AK943" s="26" t="s">
        <v>2071</v>
      </c>
      <c r="AL943" s="26" t="s">
        <v>2071</v>
      </c>
      <c r="AM943" s="90" t="s">
        <v>1435</v>
      </c>
      <c r="AN943" s="105"/>
      <c r="AO943" s="91" t="str">
        <f t="shared" ca="1" si="388"/>
        <v xml:space="preserve"> </v>
      </c>
      <c r="AP943" s="26" t="s">
        <v>121</v>
      </c>
      <c r="AQ943" s="26" t="s">
        <v>409</v>
      </c>
      <c r="AR943" s="89"/>
      <c r="AS943" s="27"/>
      <c r="AT943" s="16"/>
      <c r="AU943" s="27"/>
      <c r="AV943" s="86"/>
      <c r="AW943" s="27"/>
      <c r="AX943" s="27"/>
      <c r="AY943" s="27"/>
      <c r="AZ943" s="27"/>
      <c r="BA943" s="27"/>
      <c r="BB943" s="27"/>
      <c r="BC943" s="97"/>
      <c r="BD943" s="27"/>
      <c r="BE943" s="16"/>
      <c r="BF943" s="28">
        <f t="shared" si="373"/>
        <v>0</v>
      </c>
      <c r="BG943" s="29"/>
      <c r="BH943" s="27"/>
      <c r="BI943" s="30">
        <f t="shared" si="374"/>
        <v>364</v>
      </c>
      <c r="BJ943" s="31">
        <f t="shared" si="375"/>
        <v>45991</v>
      </c>
      <c r="BK943" s="27"/>
      <c r="BL943" s="16"/>
      <c r="BM943" s="27"/>
      <c r="BN943" s="16"/>
      <c r="BO943" s="27"/>
      <c r="BP943" s="16"/>
      <c r="BQ943" s="27"/>
      <c r="BR943" s="24"/>
      <c r="BS943" s="24"/>
      <c r="BT943" s="32"/>
      <c r="BU943" s="27"/>
      <c r="BV943" s="24"/>
      <c r="BW943" s="24"/>
      <c r="BX943" s="16"/>
      <c r="BY943" s="27"/>
      <c r="BZ943" s="24"/>
      <c r="CA943" s="24"/>
      <c r="CB943" s="16"/>
      <c r="CC943" s="49">
        <f t="shared" si="376"/>
        <v>0</v>
      </c>
      <c r="CD943" s="24"/>
      <c r="CE943" s="49">
        <f t="shared" si="386"/>
        <v>41893840.390000001</v>
      </c>
      <c r="CF943" s="50"/>
      <c r="CG943" s="49">
        <f t="shared" ca="1" si="391"/>
        <v>37750493.538241759</v>
      </c>
      <c r="CH943" s="33">
        <f t="shared" ca="1" si="384"/>
        <v>0.88857938718662954</v>
      </c>
      <c r="CI943" s="33">
        <f t="shared" ca="1" si="385"/>
        <v>0.88857938718662954</v>
      </c>
      <c r="CJ943" s="36">
        <f t="shared" ca="1" si="370"/>
        <v>90.109890109890117</v>
      </c>
      <c r="CK943" s="34">
        <f t="shared" si="371"/>
        <v>0</v>
      </c>
      <c r="CL943" s="21"/>
      <c r="CM943" s="35" t="str">
        <f t="shared" ca="1" si="390"/>
        <v>VIGENTE</v>
      </c>
      <c r="CN943" s="82"/>
      <c r="CO943" s="145"/>
      <c r="CP943" s="26"/>
      <c r="CQ943" s="83"/>
      <c r="CR943" s="83"/>
    </row>
    <row r="944" spans="1:96" ht="24.75" customHeight="1">
      <c r="A944" s="48" t="s">
        <v>7372</v>
      </c>
      <c r="B944" s="150" t="s">
        <v>7373</v>
      </c>
      <c r="C944" s="17" t="s">
        <v>104</v>
      </c>
      <c r="D944" s="52" t="s">
        <v>7374</v>
      </c>
      <c r="E944" s="17" t="s">
        <v>106</v>
      </c>
      <c r="F944" s="17" t="s">
        <v>1426</v>
      </c>
      <c r="G944" s="17" t="s">
        <v>1427</v>
      </c>
      <c r="H944" s="78" t="s">
        <v>7375</v>
      </c>
      <c r="I944" s="74" t="s">
        <v>7376</v>
      </c>
      <c r="J944" s="16" t="s">
        <v>5630</v>
      </c>
      <c r="K944" s="104">
        <v>51704713</v>
      </c>
      <c r="L944" s="96" t="s">
        <v>7377</v>
      </c>
      <c r="M944" s="16" t="s">
        <v>111</v>
      </c>
      <c r="N944" s="22">
        <v>45622</v>
      </c>
      <c r="O944" s="342">
        <v>45642</v>
      </c>
      <c r="P944" s="22">
        <v>45657</v>
      </c>
      <c r="Q944" s="23">
        <f t="shared" si="387"/>
        <v>15</v>
      </c>
      <c r="R944" s="17" t="s">
        <v>242</v>
      </c>
      <c r="S944" s="16" t="s">
        <v>7378</v>
      </c>
      <c r="T944" s="16" t="s">
        <v>7379</v>
      </c>
      <c r="U944" s="67">
        <v>90860450</v>
      </c>
      <c r="V944" s="16" t="s">
        <v>3076</v>
      </c>
      <c r="W944" s="24">
        <v>49380644</v>
      </c>
      <c r="X944" s="24"/>
      <c r="Y944" s="24"/>
      <c r="Z944" s="24"/>
      <c r="AA944" s="17" t="s">
        <v>116</v>
      </c>
      <c r="AB944" s="23" t="str">
        <f>IFERROR(VLOOKUP(AA944,Listas!$A$1:$C$14,2,FALSE),"")</f>
        <v>FREDY CÉSPEDES VILLA</v>
      </c>
      <c r="AC944" s="23">
        <f>IFERROR(VLOOKUP(AA944,Listas!$A$1:$C$14,3,FALSE),"")</f>
        <v>93363483</v>
      </c>
      <c r="AD944" s="17" t="s">
        <v>816</v>
      </c>
      <c r="AE944" s="17" t="s">
        <v>2835</v>
      </c>
      <c r="AF944" s="23" t="str">
        <f>IFERROR(VLOOKUP(AE944,Listas!$AD$1:$AF$65,2,FALSE),"")</f>
        <v>GUILLERMO ANDRES CARDONA HERRERA</v>
      </c>
      <c r="AG944" s="23">
        <f>IFERROR(VLOOKUP(AE944,Listas!$AD$1:$AF$65,3,FALSE),"")</f>
        <v>80018909</v>
      </c>
      <c r="AH944" s="17" t="s">
        <v>118</v>
      </c>
      <c r="AI944" s="65"/>
      <c r="AJ944" s="25" t="s">
        <v>1435</v>
      </c>
      <c r="AK944" s="26" t="s">
        <v>2071</v>
      </c>
      <c r="AL944" s="26" t="s">
        <v>2071</v>
      </c>
      <c r="AM944" s="90" t="s">
        <v>1435</v>
      </c>
      <c r="AN944" s="105"/>
      <c r="AO944" s="91" t="str">
        <f t="shared" ca="1" si="388"/>
        <v xml:space="preserve"> </v>
      </c>
      <c r="AP944" s="26" t="s">
        <v>121</v>
      </c>
      <c r="AQ944" s="26" t="s">
        <v>220</v>
      </c>
      <c r="AR944" s="89"/>
      <c r="AS944" s="27"/>
      <c r="AT944" s="16"/>
      <c r="AU944" s="27"/>
      <c r="AV944" s="86"/>
      <c r="AW944" s="27"/>
      <c r="AX944" s="27"/>
      <c r="AY944" s="27"/>
      <c r="AZ944" s="27"/>
      <c r="BA944" s="27"/>
      <c r="BB944" s="27"/>
      <c r="BC944" s="97"/>
      <c r="BD944" s="27"/>
      <c r="BE944" s="16"/>
      <c r="BF944" s="28">
        <f t="shared" si="373"/>
        <v>0</v>
      </c>
      <c r="BG944" s="29"/>
      <c r="BH944" s="27"/>
      <c r="BI944" s="30">
        <f t="shared" si="374"/>
        <v>15</v>
      </c>
      <c r="BJ944" s="31">
        <f t="shared" si="375"/>
        <v>45657</v>
      </c>
      <c r="BK944" s="27"/>
      <c r="BL944" s="16"/>
      <c r="BM944" s="27"/>
      <c r="BN944" s="16"/>
      <c r="BO944" s="27"/>
      <c r="BP944" s="16"/>
      <c r="BQ944" s="27"/>
      <c r="BR944" s="24"/>
      <c r="BS944" s="24"/>
      <c r="BT944" s="32"/>
      <c r="BU944" s="27"/>
      <c r="BV944" s="24"/>
      <c r="BW944" s="24"/>
      <c r="BX944" s="16"/>
      <c r="BY944" s="27"/>
      <c r="BZ944" s="24"/>
      <c r="CA944" s="24"/>
      <c r="CB944" s="16"/>
      <c r="CC944" s="49">
        <f t="shared" si="376"/>
        <v>0</v>
      </c>
      <c r="CD944" s="24"/>
      <c r="CE944" s="49">
        <f t="shared" si="386"/>
        <v>49380644</v>
      </c>
      <c r="CF944" s="50"/>
      <c r="CG944" s="49">
        <f t="shared" ca="1" si="391"/>
        <v>49380644</v>
      </c>
      <c r="CH944" s="33">
        <f t="shared" ca="1" si="384"/>
        <v>1</v>
      </c>
      <c r="CI944" s="33">
        <f t="shared" ca="1" si="385"/>
        <v>1</v>
      </c>
      <c r="CJ944" s="36">
        <f t="shared" ca="1" si="370"/>
        <v>100</v>
      </c>
      <c r="CK944" s="34">
        <f t="shared" si="371"/>
        <v>0</v>
      </c>
      <c r="CL944" s="21"/>
      <c r="CM944" s="35" t="str">
        <f t="shared" ca="1" si="390"/>
        <v>TERMINADO</v>
      </c>
      <c r="CN944" s="82"/>
      <c r="CP944" s="26"/>
    </row>
    <row r="945" spans="1:98" s="85" customFormat="1" ht="24.75" customHeight="1">
      <c r="A945" s="48" t="s">
        <v>7380</v>
      </c>
      <c r="B945" s="77" t="s">
        <v>7381</v>
      </c>
      <c r="C945" s="17" t="s">
        <v>104</v>
      </c>
      <c r="D945" s="52" t="s">
        <v>7382</v>
      </c>
      <c r="E945" s="17" t="s">
        <v>2063</v>
      </c>
      <c r="F945" s="17" t="s">
        <v>107</v>
      </c>
      <c r="G945" s="17" t="s">
        <v>108</v>
      </c>
      <c r="H945" s="78">
        <v>68289320</v>
      </c>
      <c r="I945" s="74" t="s">
        <v>7383</v>
      </c>
      <c r="J945" s="16"/>
      <c r="K945" s="104"/>
      <c r="L945" s="96" t="s">
        <v>7384</v>
      </c>
      <c r="M945" s="16" t="s">
        <v>7385</v>
      </c>
      <c r="N945" s="22">
        <v>45623</v>
      </c>
      <c r="O945" s="22">
        <v>45627</v>
      </c>
      <c r="P945" s="22">
        <v>45991</v>
      </c>
      <c r="Q945" s="23">
        <f t="shared" si="387"/>
        <v>364</v>
      </c>
      <c r="R945" s="17" t="s">
        <v>242</v>
      </c>
      <c r="S945" s="16" t="s">
        <v>7386</v>
      </c>
      <c r="T945" s="16" t="s">
        <v>7231</v>
      </c>
      <c r="U945" s="67">
        <v>36000000</v>
      </c>
      <c r="V945" s="16" t="s">
        <v>2070</v>
      </c>
      <c r="W945" s="24">
        <v>3000000</v>
      </c>
      <c r="X945" s="24"/>
      <c r="Y945" s="24"/>
      <c r="Z945" s="24"/>
      <c r="AA945" s="17" t="s">
        <v>116</v>
      </c>
      <c r="AB945" s="23" t="str">
        <f>IFERROR(VLOOKUP(AA945,Listas!$A$1:$C$14,2,FALSE),"")</f>
        <v>FREDY CÉSPEDES VILLA</v>
      </c>
      <c r="AC945" s="23">
        <f>IFERROR(VLOOKUP(AA945,Listas!$A$1:$C$14,3,FALSE),"")</f>
        <v>93363483</v>
      </c>
      <c r="AD945" s="17" t="s">
        <v>1523</v>
      </c>
      <c r="AE945" s="17" t="s">
        <v>1524</v>
      </c>
      <c r="AF945" s="23" t="str">
        <f>IFERROR(VLOOKUP(AE945,Listas!$AD$1:$AF$65,2,FALSE),"")</f>
        <v>IVETTE FRASSER SÁNCHEZ</v>
      </c>
      <c r="AG945" s="23">
        <f>IFERROR(VLOOKUP(AE945,Listas!$AD$1:$AF$65,3,FALSE),"")</f>
        <v>38285903</v>
      </c>
      <c r="AH945" s="17" t="s">
        <v>118</v>
      </c>
      <c r="AI945" s="65"/>
      <c r="AJ945" s="25" t="s">
        <v>1435</v>
      </c>
      <c r="AK945" s="26" t="s">
        <v>2071</v>
      </c>
      <c r="AL945" s="26" t="s">
        <v>2071</v>
      </c>
      <c r="AM945" s="90" t="s">
        <v>1435</v>
      </c>
      <c r="AN945" s="105"/>
      <c r="AO945" s="91" t="str">
        <f t="shared" ca="1" si="388"/>
        <v xml:space="preserve"> </v>
      </c>
      <c r="AP945" s="26" t="s">
        <v>121</v>
      </c>
      <c r="AQ945" s="26" t="s">
        <v>285</v>
      </c>
      <c r="AR945" s="89"/>
      <c r="AS945" s="27"/>
      <c r="AT945" s="16"/>
      <c r="AU945" s="27"/>
      <c r="AV945" s="86"/>
      <c r="AW945" s="27"/>
      <c r="AX945" s="27"/>
      <c r="AY945" s="27"/>
      <c r="AZ945" s="27"/>
      <c r="BA945" s="27"/>
      <c r="BB945" s="27"/>
      <c r="BC945" s="97"/>
      <c r="BD945" s="27"/>
      <c r="BE945" s="16"/>
      <c r="BF945" s="28">
        <f t="shared" si="373"/>
        <v>0</v>
      </c>
      <c r="BG945" s="29"/>
      <c r="BH945" s="27"/>
      <c r="BI945" s="30">
        <f t="shared" si="374"/>
        <v>364</v>
      </c>
      <c r="BJ945" s="31">
        <f t="shared" si="375"/>
        <v>45991</v>
      </c>
      <c r="BK945" s="27"/>
      <c r="BL945" s="16"/>
      <c r="BM945" s="27"/>
      <c r="BN945" s="16"/>
      <c r="BO945" s="27"/>
      <c r="BP945" s="16"/>
      <c r="BQ945" s="27"/>
      <c r="BR945" s="24"/>
      <c r="BS945" s="24"/>
      <c r="BT945" s="32"/>
      <c r="BU945" s="27"/>
      <c r="BV945" s="24"/>
      <c r="BW945" s="24"/>
      <c r="BX945" s="16"/>
      <c r="BY945" s="27"/>
      <c r="BZ945" s="24"/>
      <c r="CA945" s="24"/>
      <c r="CB945" s="16"/>
      <c r="CC945" s="49">
        <f t="shared" si="376"/>
        <v>0</v>
      </c>
      <c r="CD945" s="24"/>
      <c r="CE945" s="49">
        <f t="shared" si="386"/>
        <v>3000000</v>
      </c>
      <c r="CF945" s="50"/>
      <c r="CG945" s="49">
        <f t="shared" ca="1" si="391"/>
        <v>2695054.9450549451</v>
      </c>
      <c r="CH945" s="33">
        <f t="shared" ca="1" si="384"/>
        <v>0.88857938718662954</v>
      </c>
      <c r="CI945" s="33">
        <f t="shared" ca="1" si="385"/>
        <v>0.88857938718662954</v>
      </c>
      <c r="CJ945" s="36">
        <f t="shared" ca="1" si="370"/>
        <v>89.835164835164832</v>
      </c>
      <c r="CK945" s="34">
        <f t="shared" si="371"/>
        <v>0</v>
      </c>
      <c r="CL945" s="21"/>
      <c r="CM945" s="35" t="str">
        <f t="shared" ca="1" si="390"/>
        <v>VIGENTE</v>
      </c>
      <c r="CN945" s="82"/>
      <c r="CO945" s="145"/>
      <c r="CP945" s="26"/>
      <c r="CQ945" s="83"/>
      <c r="CR945" s="83"/>
    </row>
    <row r="946" spans="1:98" ht="24.75" customHeight="1">
      <c r="A946" s="48" t="s">
        <v>7387</v>
      </c>
      <c r="B946" s="150" t="s">
        <v>7388</v>
      </c>
      <c r="C946" s="17" t="s">
        <v>104</v>
      </c>
      <c r="D946" s="52" t="s">
        <v>7389</v>
      </c>
      <c r="E946" s="17" t="s">
        <v>106</v>
      </c>
      <c r="F946" s="17" t="s">
        <v>1426</v>
      </c>
      <c r="G946" s="17" t="s">
        <v>1427</v>
      </c>
      <c r="H946" s="78" t="s">
        <v>7390</v>
      </c>
      <c r="I946" s="74" t="s">
        <v>7391</v>
      </c>
      <c r="J946" s="16"/>
      <c r="K946" s="104"/>
      <c r="L946" s="96" t="s">
        <v>7392</v>
      </c>
      <c r="M946" s="16" t="s">
        <v>111</v>
      </c>
      <c r="N946" s="342">
        <v>45631</v>
      </c>
      <c r="O946" s="342">
        <v>45637</v>
      </c>
      <c r="P946" s="342">
        <v>45657</v>
      </c>
      <c r="Q946" s="23">
        <f t="shared" si="387"/>
        <v>20</v>
      </c>
      <c r="R946" s="17" t="s">
        <v>242</v>
      </c>
      <c r="S946" s="16" t="s">
        <v>7393</v>
      </c>
      <c r="T946" s="16" t="s">
        <v>7379</v>
      </c>
      <c r="U946" s="67">
        <v>1561876100</v>
      </c>
      <c r="V946" s="16" t="s">
        <v>3076</v>
      </c>
      <c r="W946" s="24">
        <v>1546219422</v>
      </c>
      <c r="X946" s="24"/>
      <c r="Y946" s="24"/>
      <c r="Z946" s="24"/>
      <c r="AA946" s="17" t="s">
        <v>116</v>
      </c>
      <c r="AB946" s="23" t="str">
        <f>IFERROR(VLOOKUP(AA946,Listas!$A$1:$C$14,2,FALSE),"")</f>
        <v>FREDY CÉSPEDES VILLA</v>
      </c>
      <c r="AC946" s="23">
        <f>IFERROR(VLOOKUP(AA946,Listas!$A$1:$C$14,3,FALSE),"")</f>
        <v>93363483</v>
      </c>
      <c r="AD946" s="17" t="s">
        <v>816</v>
      </c>
      <c r="AE946" s="17" t="s">
        <v>2577</v>
      </c>
      <c r="AF946" s="23" t="str">
        <f>IFERROR(VLOOKUP(AE946,Listas!$AD$1:$AF$65,2,FALSE),"")</f>
        <v>VICTOR RAUL BAUTISTA GALINDO</v>
      </c>
      <c r="AG946" s="23">
        <f>IFERROR(VLOOKUP(AE946,Listas!$AD$1:$AF$65,3,FALSE),"")</f>
        <v>79352968</v>
      </c>
      <c r="AH946" s="17" t="s">
        <v>6266</v>
      </c>
      <c r="AI946" s="65"/>
      <c r="AJ946" s="25" t="s">
        <v>1435</v>
      </c>
      <c r="AK946" s="26" t="s">
        <v>2071</v>
      </c>
      <c r="AL946" s="26" t="s">
        <v>2071</v>
      </c>
      <c r="AM946" s="90" t="s">
        <v>1435</v>
      </c>
      <c r="AN946" s="105"/>
      <c r="AO946" s="91" t="str">
        <f t="shared" ca="1" si="388"/>
        <v xml:space="preserve"> </v>
      </c>
      <c r="AP946" s="26" t="s">
        <v>121</v>
      </c>
      <c r="AQ946" s="26" t="s">
        <v>327</v>
      </c>
      <c r="AR946" s="89"/>
      <c r="AS946" s="27"/>
      <c r="AT946" s="16"/>
      <c r="AU946" s="27"/>
      <c r="AV946" s="86"/>
      <c r="AW946" s="27"/>
      <c r="AX946" s="27"/>
      <c r="AY946" s="27"/>
      <c r="AZ946" s="27"/>
      <c r="BA946" s="27"/>
      <c r="BB946" s="27"/>
      <c r="BC946" s="97"/>
      <c r="BD946" s="27"/>
      <c r="BE946" s="16"/>
      <c r="BF946" s="28">
        <f t="shared" si="373"/>
        <v>0</v>
      </c>
      <c r="BG946" s="29"/>
      <c r="BH946" s="27"/>
      <c r="BI946" s="30">
        <f t="shared" si="374"/>
        <v>20</v>
      </c>
      <c r="BJ946" s="31">
        <f t="shared" si="375"/>
        <v>45657</v>
      </c>
      <c r="BK946" s="27"/>
      <c r="BL946" s="16"/>
      <c r="BM946" s="27"/>
      <c r="BN946" s="16"/>
      <c r="BO946" s="27"/>
      <c r="BP946" s="16"/>
      <c r="BQ946" s="27"/>
      <c r="BR946" s="24"/>
      <c r="BS946" s="24"/>
      <c r="BT946" s="32"/>
      <c r="BU946" s="27"/>
      <c r="BV946" s="24"/>
      <c r="BW946" s="24"/>
      <c r="BX946" s="16"/>
      <c r="BY946" s="27"/>
      <c r="BZ946" s="24"/>
      <c r="CA946" s="24"/>
      <c r="CB946" s="16"/>
      <c r="CC946" s="49">
        <f t="shared" si="376"/>
        <v>0</v>
      </c>
      <c r="CD946" s="24"/>
      <c r="CE946" s="49">
        <f t="shared" si="386"/>
        <v>1546219422</v>
      </c>
      <c r="CF946" s="50">
        <v>1417076100</v>
      </c>
      <c r="CG946" s="49">
        <f ca="1">IFERROR(IF(((CE946/BI946)*(TODAY()-N946))&gt;CE946,CE946,((CE946/BI946)*(TODAY()-N946))),"")</f>
        <v>1546219422</v>
      </c>
      <c r="CH946" s="33">
        <f ca="1">IF(TODAY()&gt;BJ946,1,+(DAYS360(O946,TODAY())/DAYS360(O946,BJ946)))</f>
        <v>1</v>
      </c>
      <c r="CI946" s="33">
        <f t="shared" ca="1" si="385"/>
        <v>1</v>
      </c>
      <c r="CJ946" s="36">
        <f ca="1">IFERROR(IF(((CG946/CE946)*100)&gt;100,100,((CG946/CE946)*100)),"")</f>
        <v>100</v>
      </c>
      <c r="CK946" s="34">
        <f t="shared" si="371"/>
        <v>91.647801071276419</v>
      </c>
      <c r="CL946" s="21"/>
      <c r="CM946" s="35" t="str">
        <f t="shared" ca="1" si="390"/>
        <v>TERMINADO</v>
      </c>
      <c r="CN946" s="82"/>
      <c r="CP946" s="26"/>
    </row>
    <row r="947" spans="1:98" s="85" customFormat="1" ht="24.75" customHeight="1">
      <c r="A947" s="48" t="s">
        <v>7394</v>
      </c>
      <c r="B947" s="150" t="s">
        <v>7395</v>
      </c>
      <c r="C947" s="17" t="s">
        <v>104</v>
      </c>
      <c r="D947" s="52" t="s">
        <v>7396</v>
      </c>
      <c r="E947" s="17" t="s">
        <v>106</v>
      </c>
      <c r="F947" s="17" t="s">
        <v>1426</v>
      </c>
      <c r="G947" s="17" t="s">
        <v>1427</v>
      </c>
      <c r="H947" s="78" t="s">
        <v>7397</v>
      </c>
      <c r="I947" s="74" t="s">
        <v>7398</v>
      </c>
      <c r="J947" s="16"/>
      <c r="K947" s="104"/>
      <c r="L947" s="96" t="s">
        <v>7399</v>
      </c>
      <c r="M947" s="16" t="s">
        <v>111</v>
      </c>
      <c r="N947" s="342">
        <v>45630</v>
      </c>
      <c r="O947" s="342"/>
      <c r="P947" s="342">
        <v>45995</v>
      </c>
      <c r="Q947" s="23">
        <f t="shared" si="387"/>
        <v>45995</v>
      </c>
      <c r="R947" s="17" t="s">
        <v>242</v>
      </c>
      <c r="S947" s="16" t="s">
        <v>7400</v>
      </c>
      <c r="T947" s="16" t="s">
        <v>7286</v>
      </c>
      <c r="U947" s="67">
        <v>3450000</v>
      </c>
      <c r="V947" s="16" t="s">
        <v>2812</v>
      </c>
      <c r="W947" s="24">
        <v>3444000</v>
      </c>
      <c r="X947" s="24"/>
      <c r="Y947" s="24"/>
      <c r="Z947" s="24"/>
      <c r="AA947" s="17" t="s">
        <v>116</v>
      </c>
      <c r="AB947" s="23" t="str">
        <f>IFERROR(VLOOKUP(AA947,Listas!$A$1:$C$14,2,FALSE),"")</f>
        <v>FREDY CÉSPEDES VILLA</v>
      </c>
      <c r="AC947" s="23">
        <f>IFERROR(VLOOKUP(AA947,Listas!$A$1:$C$14,3,FALSE),"")</f>
        <v>93363483</v>
      </c>
      <c r="AD947" s="17" t="s">
        <v>217</v>
      </c>
      <c r="AE947" s="17" t="s">
        <v>381</v>
      </c>
      <c r="AF947" s="23" t="str">
        <f>IFERROR(VLOOKUP(AE947,Listas!$AD$1:$AF$65,2,FALSE),"")</f>
        <v>MARINA AZUCENA MEDINA SANDOVAL</v>
      </c>
      <c r="AG947" s="23">
        <f>IFERROR(VLOOKUP(AE947,Listas!$AD$1:$AF$65,3,FALSE),"")</f>
        <v>51842510</v>
      </c>
      <c r="AH947" s="17" t="s">
        <v>3186</v>
      </c>
      <c r="AI947" s="65"/>
      <c r="AJ947" s="25" t="s">
        <v>1435</v>
      </c>
      <c r="AK947" s="26" t="s">
        <v>2071</v>
      </c>
      <c r="AL947" s="26" t="s">
        <v>2071</v>
      </c>
      <c r="AM947" s="90" t="s">
        <v>1435</v>
      </c>
      <c r="AN947" s="105"/>
      <c r="AO947" s="91" t="str">
        <f t="shared" ca="1" si="388"/>
        <v xml:space="preserve"> </v>
      </c>
      <c r="AP947" s="26" t="s">
        <v>121</v>
      </c>
      <c r="AQ947" s="26" t="s">
        <v>122</v>
      </c>
      <c r="AR947" s="89"/>
      <c r="AS947" s="27"/>
      <c r="AT947" s="16"/>
      <c r="AU947" s="27"/>
      <c r="AV947" s="86"/>
      <c r="AW947" s="27"/>
      <c r="AX947" s="27"/>
      <c r="AY947" s="27"/>
      <c r="AZ947" s="27"/>
      <c r="BA947" s="27"/>
      <c r="BB947" s="27"/>
      <c r="BC947" s="97"/>
      <c r="BD947" s="27"/>
      <c r="BE947" s="16"/>
      <c r="BF947" s="28">
        <f t="shared" si="373"/>
        <v>0</v>
      </c>
      <c r="BG947" s="29"/>
      <c r="BH947" s="27"/>
      <c r="BI947" s="30">
        <f t="shared" si="374"/>
        <v>45995</v>
      </c>
      <c r="BJ947" s="31">
        <f t="shared" si="375"/>
        <v>45995</v>
      </c>
      <c r="BK947" s="27"/>
      <c r="BL947" s="16"/>
      <c r="BM947" s="27"/>
      <c r="BN947" s="16"/>
      <c r="BO947" s="27"/>
      <c r="BP947" s="16"/>
      <c r="BQ947" s="27"/>
      <c r="BR947" s="24"/>
      <c r="BS947" s="24"/>
      <c r="BT947" s="32"/>
      <c r="BU947" s="27"/>
      <c r="BV947" s="24"/>
      <c r="BW947" s="24"/>
      <c r="BX947" s="16"/>
      <c r="BY947" s="27"/>
      <c r="BZ947" s="24"/>
      <c r="CA947" s="24"/>
      <c r="CB947" s="16"/>
      <c r="CC947" s="49">
        <f t="shared" si="376"/>
        <v>0</v>
      </c>
      <c r="CD947" s="24"/>
      <c r="CE947" s="49">
        <f t="shared" si="386"/>
        <v>3444000</v>
      </c>
      <c r="CF947" s="50">
        <v>3444000</v>
      </c>
      <c r="CG947" s="49">
        <f t="shared" ca="1" si="391"/>
        <v>23960.865311446898</v>
      </c>
      <c r="CH947" s="33">
        <f t="shared" ref="CH947:CH955" ca="1" si="392">IF(TODAY()&gt;BJ947,1,+(DAYS360(O947,TODAY())/DAYS360(O947,BJ947)))</f>
        <v>0.99902942603785239</v>
      </c>
      <c r="CI947" s="33">
        <f t="shared" ca="1" si="385"/>
        <v>0.99902942603785239</v>
      </c>
      <c r="CJ947" s="36">
        <v>100</v>
      </c>
      <c r="CK947" s="34">
        <f t="shared" si="371"/>
        <v>100</v>
      </c>
      <c r="CL947" s="21"/>
      <c r="CM947" s="35" t="str">
        <f t="shared" ca="1" si="390"/>
        <v>VIGENTE</v>
      </c>
      <c r="CN947" s="82"/>
      <c r="CO947" s="145"/>
      <c r="CP947" s="26"/>
      <c r="CQ947" s="83"/>
      <c r="CR947" s="83"/>
    </row>
    <row r="948" spans="1:98" s="85" customFormat="1" ht="24.75" customHeight="1">
      <c r="A948" s="48" t="s">
        <v>1424</v>
      </c>
      <c r="B948" s="150" t="s">
        <v>7401</v>
      </c>
      <c r="C948" s="17" t="s">
        <v>2927</v>
      </c>
      <c r="D948" s="52" t="s">
        <v>1424</v>
      </c>
      <c r="E948" s="17" t="s">
        <v>6197</v>
      </c>
      <c r="F948" s="17" t="s">
        <v>1426</v>
      </c>
      <c r="G948" s="17" t="s">
        <v>1427</v>
      </c>
      <c r="H948" s="78" t="s">
        <v>7402</v>
      </c>
      <c r="I948" s="74" t="s">
        <v>7403</v>
      </c>
      <c r="J948" s="16" t="s">
        <v>7404</v>
      </c>
      <c r="K948" s="104" t="s">
        <v>7405</v>
      </c>
      <c r="L948" s="96" t="s">
        <v>7406</v>
      </c>
      <c r="M948" s="16"/>
      <c r="N948" s="342">
        <v>45630</v>
      </c>
      <c r="O948" s="342">
        <v>45632</v>
      </c>
      <c r="P948" s="342">
        <v>47823</v>
      </c>
      <c r="Q948" s="23">
        <f t="shared" si="387"/>
        <v>2191</v>
      </c>
      <c r="R948" s="17" t="s">
        <v>2934</v>
      </c>
      <c r="S948" s="16" t="s">
        <v>1424</v>
      </c>
      <c r="T948" s="16" t="s">
        <v>1424</v>
      </c>
      <c r="U948" s="67">
        <v>0</v>
      </c>
      <c r="V948" s="16" t="s">
        <v>1424</v>
      </c>
      <c r="W948" s="24">
        <v>0</v>
      </c>
      <c r="X948" s="24"/>
      <c r="Y948" s="24">
        <v>6000000000</v>
      </c>
      <c r="Z948" s="24"/>
      <c r="AA948" s="17" t="s">
        <v>427</v>
      </c>
      <c r="AB948" s="23" t="str">
        <f>IFERROR(VLOOKUP(AA948,Listas!$A$1:$C$14,2,FALSE),"")</f>
        <v>DINORAH PATRICIA ABADIA MURILLO</v>
      </c>
      <c r="AC948" s="23">
        <f>IFERROR(VLOOKUP(AA948,Listas!$A$1:$C$14,3,FALSE),"")</f>
        <v>52220857</v>
      </c>
      <c r="AD948" s="17" t="s">
        <v>427</v>
      </c>
      <c r="AE948" s="17" t="s">
        <v>428</v>
      </c>
      <c r="AF948" s="23" t="str">
        <f>IFERROR(VLOOKUP(AE948,Listas!$AD$1:$AF$65,2,FALSE),"")</f>
        <v>DINORAH PATRICIA ABADIA MURILLO</v>
      </c>
      <c r="AG948" s="23">
        <f>IFERROR(VLOOKUP(AE948,Listas!$AD$1:$AF$65,3,FALSE),"")</f>
        <v>52220857</v>
      </c>
      <c r="AH948" s="17" t="s">
        <v>2936</v>
      </c>
      <c r="AI948" s="65"/>
      <c r="AJ948" s="25" t="s">
        <v>1435</v>
      </c>
      <c r="AK948" s="26" t="s">
        <v>2071</v>
      </c>
      <c r="AL948" s="26" t="s">
        <v>2071</v>
      </c>
      <c r="AM948" s="90" t="s">
        <v>1435</v>
      </c>
      <c r="AN948" s="105"/>
      <c r="AO948" s="91" t="str">
        <f t="shared" ca="1" si="388"/>
        <v xml:space="preserve"> </v>
      </c>
      <c r="AP948" s="26" t="s">
        <v>2937</v>
      </c>
      <c r="AQ948" s="26" t="s">
        <v>2938</v>
      </c>
      <c r="AR948" s="89"/>
      <c r="AS948" s="27"/>
      <c r="AT948" s="16"/>
      <c r="AU948" s="27"/>
      <c r="AV948" s="86"/>
      <c r="AW948" s="27"/>
      <c r="AX948" s="27"/>
      <c r="AY948" s="27"/>
      <c r="AZ948" s="27"/>
      <c r="BA948" s="27"/>
      <c r="BB948" s="27"/>
      <c r="BC948" s="97"/>
      <c r="BD948" s="27"/>
      <c r="BE948" s="16"/>
      <c r="BF948" s="28">
        <f t="shared" si="373"/>
        <v>0</v>
      </c>
      <c r="BG948" s="29"/>
      <c r="BH948" s="27"/>
      <c r="BI948" s="30">
        <f t="shared" si="374"/>
        <v>2191</v>
      </c>
      <c r="BJ948" s="31">
        <f t="shared" si="375"/>
        <v>47823</v>
      </c>
      <c r="BK948" s="27"/>
      <c r="BL948" s="16"/>
      <c r="BM948" s="27"/>
      <c r="BN948" s="16"/>
      <c r="BO948" s="27"/>
      <c r="BP948" s="16"/>
      <c r="BQ948" s="27"/>
      <c r="BR948" s="24"/>
      <c r="BS948" s="24"/>
      <c r="BT948" s="32"/>
      <c r="BU948" s="27"/>
      <c r="BV948" s="24"/>
      <c r="BW948" s="24"/>
      <c r="BX948" s="16"/>
      <c r="BY948" s="27"/>
      <c r="BZ948" s="24"/>
      <c r="CA948" s="24"/>
      <c r="CB948" s="16"/>
      <c r="CC948" s="49">
        <f t="shared" si="376"/>
        <v>0</v>
      </c>
      <c r="CD948" s="24"/>
      <c r="CE948" s="49">
        <f t="shared" si="386"/>
        <v>6000000000</v>
      </c>
      <c r="CF948" s="50">
        <v>0</v>
      </c>
      <c r="CG948" s="49">
        <f t="shared" ca="1" si="391"/>
        <v>876312186.21633959</v>
      </c>
      <c r="CH948" s="33">
        <f t="shared" ca="1" si="392"/>
        <v>0.14537037037037037</v>
      </c>
      <c r="CI948" s="33">
        <f t="shared" ca="1" si="385"/>
        <v>0.14537037037037037</v>
      </c>
      <c r="CJ948" s="36">
        <f t="shared" ca="1" si="370"/>
        <v>14.60520310360566</v>
      </c>
      <c r="CK948" s="34">
        <f t="shared" si="371"/>
        <v>0</v>
      </c>
      <c r="CL948" s="21"/>
      <c r="CM948" s="35" t="str">
        <f t="shared" ca="1" si="390"/>
        <v>VIGENTE</v>
      </c>
      <c r="CN948" s="82"/>
      <c r="CO948" s="145"/>
      <c r="CP948" s="26"/>
      <c r="CQ948" s="83"/>
      <c r="CR948" s="83"/>
    </row>
    <row r="949" spans="1:98" ht="24.75" customHeight="1">
      <c r="A949" s="48"/>
      <c r="B949" s="150" t="s">
        <v>7407</v>
      </c>
      <c r="C949" s="17" t="s">
        <v>104</v>
      </c>
      <c r="D949" s="52" t="s">
        <v>7408</v>
      </c>
      <c r="E949" s="17" t="s">
        <v>2063</v>
      </c>
      <c r="F949" s="17" t="s">
        <v>107</v>
      </c>
      <c r="G949" s="17" t="s">
        <v>108</v>
      </c>
      <c r="H949" s="78">
        <v>16585968</v>
      </c>
      <c r="I949" s="74" t="s">
        <v>7409</v>
      </c>
      <c r="J949" s="16"/>
      <c r="K949" s="104"/>
      <c r="L949" s="96" t="s">
        <v>7410</v>
      </c>
      <c r="M949" s="16" t="s">
        <v>557</v>
      </c>
      <c r="N949" s="342">
        <v>45637</v>
      </c>
      <c r="O949" s="342">
        <v>45658</v>
      </c>
      <c r="P949" s="342">
        <v>46387</v>
      </c>
      <c r="Q949" s="23">
        <f t="shared" si="387"/>
        <v>729</v>
      </c>
      <c r="R949" s="17" t="s">
        <v>242</v>
      </c>
      <c r="S949" s="16" t="s">
        <v>7411</v>
      </c>
      <c r="T949" s="16" t="s">
        <v>7412</v>
      </c>
      <c r="U949" s="67">
        <v>537767028</v>
      </c>
      <c r="V949" s="16" t="s">
        <v>2070</v>
      </c>
      <c r="W949" s="24">
        <v>22054094</v>
      </c>
      <c r="X949" s="24"/>
      <c r="Y949" s="24"/>
      <c r="Z949" s="24"/>
      <c r="AA949" s="17" t="s">
        <v>116</v>
      </c>
      <c r="AB949" s="23" t="str">
        <f>IFERROR(VLOOKUP(AA949,Listas!$A$1:$C$14,2,FALSE),"")</f>
        <v>FREDY CÉSPEDES VILLA</v>
      </c>
      <c r="AC949" s="23">
        <f>IFERROR(VLOOKUP(AA949,Listas!$A$1:$C$14,3,FALSE),"")</f>
        <v>93363483</v>
      </c>
      <c r="AD949" s="17" t="s">
        <v>116</v>
      </c>
      <c r="AE949" s="17" t="s">
        <v>659</v>
      </c>
      <c r="AF949" s="23" t="str">
        <f>IFERROR(VLOOKUP(AE949,Listas!$AD$1:$AF$65,2,FALSE),"")</f>
        <v>TATIANA FORERO TORRES</v>
      </c>
      <c r="AG949" s="23">
        <f>IFERROR(VLOOKUP(AE949,Listas!$AD$1:$AF$65,3,FALSE),"")</f>
        <v>1072446921</v>
      </c>
      <c r="AH949" s="17" t="s">
        <v>118</v>
      </c>
      <c r="AI949" s="65"/>
      <c r="AJ949" s="25" t="s">
        <v>1435</v>
      </c>
      <c r="AK949" s="26" t="s">
        <v>2071</v>
      </c>
      <c r="AL949" s="26" t="s">
        <v>2071</v>
      </c>
      <c r="AM949" s="90" t="s">
        <v>1435</v>
      </c>
      <c r="AN949" s="105"/>
      <c r="AO949" s="91" t="str">
        <f t="shared" ca="1" si="388"/>
        <v xml:space="preserve"> </v>
      </c>
      <c r="AP949" s="26" t="s">
        <v>121</v>
      </c>
      <c r="AQ949" s="26" t="s">
        <v>122</v>
      </c>
      <c r="AR949" s="89"/>
      <c r="AS949" s="27"/>
      <c r="AT949" s="16"/>
      <c r="AU949" s="27"/>
      <c r="AV949" s="86"/>
      <c r="AW949" s="27"/>
      <c r="AX949" s="27"/>
      <c r="AY949" s="27"/>
      <c r="AZ949" s="27"/>
      <c r="BA949" s="27"/>
      <c r="BB949" s="27"/>
      <c r="BC949" s="97"/>
      <c r="BD949" s="27"/>
      <c r="BE949" s="16"/>
      <c r="BF949" s="28">
        <f t="shared" si="373"/>
        <v>0</v>
      </c>
      <c r="BG949" s="29"/>
      <c r="BH949" s="27"/>
      <c r="BI949" s="30">
        <f t="shared" si="374"/>
        <v>729</v>
      </c>
      <c r="BJ949" s="31">
        <f t="shared" si="375"/>
        <v>46387</v>
      </c>
      <c r="BK949" s="27"/>
      <c r="BL949" s="16"/>
      <c r="BM949" s="27"/>
      <c r="BN949" s="16"/>
      <c r="BO949" s="27"/>
      <c r="BP949" s="16"/>
      <c r="BQ949" s="27"/>
      <c r="BR949" s="24"/>
      <c r="BS949" s="24"/>
      <c r="BT949" s="32"/>
      <c r="BU949" s="27"/>
      <c r="BV949" s="24"/>
      <c r="BW949" s="24"/>
      <c r="BX949" s="16"/>
      <c r="BY949" s="27"/>
      <c r="BZ949" s="24"/>
      <c r="CA949" s="24"/>
      <c r="CB949" s="16"/>
      <c r="CC949" s="49">
        <f t="shared" si="376"/>
        <v>0</v>
      </c>
      <c r="CD949" s="24"/>
      <c r="CE949" s="49">
        <f>IF(Y949=0,(U949+CC949)-CD949,IF(Y949&gt;0,(Y949+CC949)-CD949))</f>
        <v>537767028</v>
      </c>
      <c r="CF949" s="50">
        <v>0</v>
      </c>
      <c r="CG949" s="49">
        <f t="shared" ca="1" si="391"/>
        <v>230893113.53086421</v>
      </c>
      <c r="CH949" s="33">
        <f t="shared" ca="1" si="392"/>
        <v>0.40138888888888891</v>
      </c>
      <c r="CI949" s="33">
        <f t="shared" ca="1" si="385"/>
        <v>0.40138888888888891</v>
      </c>
      <c r="CJ949" s="36">
        <f ca="1">IFERROR(IF(((CG949/CE949)*100)&gt;100,100,((CG949/CE949)*100)),"")</f>
        <v>42.935528120713307</v>
      </c>
      <c r="CK949" s="34">
        <f t="shared" si="371"/>
        <v>0</v>
      </c>
      <c r="CL949" s="21"/>
      <c r="CM949" s="35" t="str">
        <f t="shared" ca="1" si="390"/>
        <v>VIGENTE</v>
      </c>
      <c r="CN949" s="82"/>
      <c r="CP949" s="26"/>
    </row>
    <row r="950" spans="1:98" ht="24.75" customHeight="1">
      <c r="A950" s="48" t="s">
        <v>2060</v>
      </c>
      <c r="B950" s="150" t="s">
        <v>7413</v>
      </c>
      <c r="C950" s="17" t="s">
        <v>104</v>
      </c>
      <c r="D950" s="52" t="s">
        <v>7414</v>
      </c>
      <c r="E950" s="17" t="s">
        <v>2063</v>
      </c>
      <c r="F950" s="17" t="s">
        <v>1426</v>
      </c>
      <c r="G950" s="17" t="s">
        <v>1427</v>
      </c>
      <c r="H950" s="78" t="s">
        <v>7415</v>
      </c>
      <c r="I950" s="74" t="s">
        <v>7416</v>
      </c>
      <c r="J950" s="16" t="s">
        <v>2066</v>
      </c>
      <c r="K950" s="104">
        <v>17122481</v>
      </c>
      <c r="L950" s="96" t="s">
        <v>7417</v>
      </c>
      <c r="M950" s="16" t="s">
        <v>111</v>
      </c>
      <c r="N950" s="342">
        <v>45643</v>
      </c>
      <c r="O950" s="342">
        <v>45658</v>
      </c>
      <c r="P950" s="342">
        <v>46021</v>
      </c>
      <c r="Q950" s="23">
        <f t="shared" si="387"/>
        <v>363</v>
      </c>
      <c r="R950" s="17" t="s">
        <v>242</v>
      </c>
      <c r="S950" s="16" t="s">
        <v>7418</v>
      </c>
      <c r="T950" s="16" t="s">
        <v>7412</v>
      </c>
      <c r="U950" s="67">
        <v>78734652</v>
      </c>
      <c r="V950" s="16" t="s">
        <v>2070</v>
      </c>
      <c r="W950" s="24">
        <v>6561221</v>
      </c>
      <c r="X950" s="24"/>
      <c r="Y950" s="24"/>
      <c r="Z950" s="24"/>
      <c r="AA950" s="17" t="s">
        <v>116</v>
      </c>
      <c r="AB950" s="23" t="str">
        <f>IFERROR(VLOOKUP(AA950,Listas!$A$1:$C$14,2,FALSE),"")</f>
        <v>FREDY CÉSPEDES VILLA</v>
      </c>
      <c r="AC950" s="23">
        <f>IFERROR(VLOOKUP(AA950,Listas!$A$1:$C$14,3,FALSE),"")</f>
        <v>93363483</v>
      </c>
      <c r="AD950" s="17" t="s">
        <v>116</v>
      </c>
      <c r="AE950" s="17" t="s">
        <v>659</v>
      </c>
      <c r="AF950" s="23" t="str">
        <f>IFERROR(VLOOKUP(AE950,Listas!$AD$1:$AF$65,2,FALSE),"")</f>
        <v>TATIANA FORERO TORRES</v>
      </c>
      <c r="AG950" s="23">
        <f>IFERROR(VLOOKUP(AE950,Listas!$AD$1:$AF$65,3,FALSE),"")</f>
        <v>1072446921</v>
      </c>
      <c r="AH950" s="17" t="s">
        <v>118</v>
      </c>
      <c r="AI950" s="65"/>
      <c r="AJ950" s="25" t="s">
        <v>1435</v>
      </c>
      <c r="AK950" s="26" t="s">
        <v>2071</v>
      </c>
      <c r="AL950" s="26" t="s">
        <v>2071</v>
      </c>
      <c r="AM950" s="90" t="s">
        <v>1435</v>
      </c>
      <c r="AN950" s="105"/>
      <c r="AO950" s="91" t="str">
        <f t="shared" ca="1" si="388"/>
        <v xml:space="preserve"> </v>
      </c>
      <c r="AP950" s="26" t="s">
        <v>121</v>
      </c>
      <c r="AQ950" s="26" t="s">
        <v>886</v>
      </c>
      <c r="AR950" s="89"/>
      <c r="AS950" s="27"/>
      <c r="AT950" s="16"/>
      <c r="AU950" s="27"/>
      <c r="AV950" s="86"/>
      <c r="AW950" s="27"/>
      <c r="AX950" s="27"/>
      <c r="AY950" s="27"/>
      <c r="AZ950" s="27"/>
      <c r="BA950" s="27"/>
      <c r="BB950" s="27"/>
      <c r="BC950" s="97"/>
      <c r="BD950" s="27"/>
      <c r="BE950" s="16"/>
      <c r="BF950" s="28">
        <f t="shared" si="373"/>
        <v>0</v>
      </c>
      <c r="BG950" s="29"/>
      <c r="BH950" s="27"/>
      <c r="BI950" s="30">
        <f t="shared" si="374"/>
        <v>363</v>
      </c>
      <c r="BJ950" s="31">
        <f t="shared" si="375"/>
        <v>46021</v>
      </c>
      <c r="BK950" s="27"/>
      <c r="BL950" s="16"/>
      <c r="BM950" s="27"/>
      <c r="BN950" s="16"/>
      <c r="BO950" s="27"/>
      <c r="BP950" s="16"/>
      <c r="BQ950" s="27"/>
      <c r="BR950" s="24"/>
      <c r="BS950" s="24"/>
      <c r="BT950" s="32"/>
      <c r="BU950" s="27"/>
      <c r="BV950" s="24"/>
      <c r="BW950" s="24"/>
      <c r="BX950" s="16"/>
      <c r="BY950" s="27"/>
      <c r="BZ950" s="24"/>
      <c r="CA950" s="24"/>
      <c r="CB950" s="16"/>
      <c r="CC950" s="49">
        <f t="shared" si="376"/>
        <v>0</v>
      </c>
      <c r="CD950" s="24"/>
      <c r="CE950" s="49">
        <f t="shared" si="386"/>
        <v>6561221</v>
      </c>
      <c r="CF950" s="50">
        <v>0</v>
      </c>
      <c r="CG950" s="49">
        <f t="shared" ca="1" si="391"/>
        <v>5549021.6170798903</v>
      </c>
      <c r="CH950" s="33">
        <f t="shared" ca="1" si="392"/>
        <v>0.80501392757660162</v>
      </c>
      <c r="CI950" s="33">
        <f t="shared" ca="1" si="385"/>
        <v>0.80501392757660162</v>
      </c>
      <c r="CJ950" s="36">
        <f t="shared" ca="1" si="370"/>
        <v>84.573002754820948</v>
      </c>
      <c r="CK950" s="34">
        <f t="shared" si="371"/>
        <v>0</v>
      </c>
      <c r="CL950" s="21"/>
      <c r="CM950" s="35" t="str">
        <f t="shared" ca="1" si="390"/>
        <v>VIGENTE</v>
      </c>
      <c r="CN950" s="82"/>
      <c r="CP950" s="26"/>
    </row>
    <row r="951" spans="1:98" s="85" customFormat="1" ht="24.75" customHeight="1">
      <c r="A951" s="48" t="s">
        <v>7419</v>
      </c>
      <c r="B951" s="150" t="s">
        <v>7420</v>
      </c>
      <c r="C951" s="17" t="s">
        <v>104</v>
      </c>
      <c r="D951" s="52" t="s">
        <v>7421</v>
      </c>
      <c r="E951" s="17" t="s">
        <v>106</v>
      </c>
      <c r="F951" s="17" t="s">
        <v>1426</v>
      </c>
      <c r="G951" s="17" t="s">
        <v>1427</v>
      </c>
      <c r="H951" s="78">
        <v>900434462</v>
      </c>
      <c r="I951" s="74" t="s">
        <v>7422</v>
      </c>
      <c r="J951" s="16"/>
      <c r="K951" s="104"/>
      <c r="L951" s="96" t="s">
        <v>7423</v>
      </c>
      <c r="M951" s="16" t="s">
        <v>111</v>
      </c>
      <c r="N951" s="342">
        <v>45642</v>
      </c>
      <c r="O951" s="342">
        <v>45650</v>
      </c>
      <c r="P951" s="342">
        <v>45680</v>
      </c>
      <c r="Q951" s="23">
        <f t="shared" si="387"/>
        <v>30</v>
      </c>
      <c r="R951" s="17" t="s">
        <v>242</v>
      </c>
      <c r="S951" s="16" t="s">
        <v>7424</v>
      </c>
      <c r="T951" s="16" t="s">
        <v>4536</v>
      </c>
      <c r="U951" s="67">
        <v>144620401</v>
      </c>
      <c r="V951" s="16" t="s">
        <v>2812</v>
      </c>
      <c r="W951" s="24">
        <v>131031034.47</v>
      </c>
      <c r="X951" s="24"/>
      <c r="Y951" s="24"/>
      <c r="Z951" s="24"/>
      <c r="AA951" s="17" t="s">
        <v>116</v>
      </c>
      <c r="AB951" s="23" t="str">
        <f>IFERROR(VLOOKUP(AA951,Listas!$A$1:$C$14,2,FALSE),"")</f>
        <v>FREDY CÉSPEDES VILLA</v>
      </c>
      <c r="AC951" s="23">
        <f>IFERROR(VLOOKUP(AA951,Listas!$A$1:$C$14,3,FALSE),"")</f>
        <v>93363483</v>
      </c>
      <c r="AD951" s="17" t="s">
        <v>816</v>
      </c>
      <c r="AE951" s="17" t="s">
        <v>2577</v>
      </c>
      <c r="AF951" s="23" t="str">
        <f>IFERROR(VLOOKUP(AE951,Listas!$AD$1:$AF$65,2,FALSE),"")</f>
        <v>VICTOR RAUL BAUTISTA GALINDO</v>
      </c>
      <c r="AG951" s="23">
        <f>IFERROR(VLOOKUP(AE951,Listas!$AD$1:$AF$65,3,FALSE),"")</f>
        <v>79352968</v>
      </c>
      <c r="AH951" s="17" t="s">
        <v>3186</v>
      </c>
      <c r="AI951" s="65"/>
      <c r="AJ951" s="25" t="s">
        <v>1435</v>
      </c>
      <c r="AK951" s="26" t="s">
        <v>2071</v>
      </c>
      <c r="AL951" s="26" t="s">
        <v>2071</v>
      </c>
      <c r="AM951" s="90" t="s">
        <v>1435</v>
      </c>
      <c r="AN951" s="105"/>
      <c r="AO951" s="91" t="str">
        <f t="shared" ca="1" si="388"/>
        <v xml:space="preserve"> </v>
      </c>
      <c r="AP951" s="26" t="s">
        <v>121</v>
      </c>
      <c r="AQ951" s="26" t="s">
        <v>1272</v>
      </c>
      <c r="AR951" s="89"/>
      <c r="AS951" s="27"/>
      <c r="AT951" s="16"/>
      <c r="AU951" s="27"/>
      <c r="AV951" s="86"/>
      <c r="AW951" s="27"/>
      <c r="AX951" s="27"/>
      <c r="AY951" s="27"/>
      <c r="AZ951" s="27"/>
      <c r="BA951" s="27"/>
      <c r="BB951" s="27"/>
      <c r="BC951" s="97"/>
      <c r="BD951" s="27"/>
      <c r="BE951" s="16"/>
      <c r="BF951" s="28">
        <f t="shared" si="373"/>
        <v>0</v>
      </c>
      <c r="BG951" s="29"/>
      <c r="BH951" s="27"/>
      <c r="BI951" s="30">
        <f t="shared" si="374"/>
        <v>30</v>
      </c>
      <c r="BJ951" s="31">
        <f t="shared" si="375"/>
        <v>45680</v>
      </c>
      <c r="BK951" s="27"/>
      <c r="BL951" s="16"/>
      <c r="BM951" s="27"/>
      <c r="BN951" s="16"/>
      <c r="BO951" s="27"/>
      <c r="BP951" s="16"/>
      <c r="BQ951" s="27"/>
      <c r="BR951" s="24"/>
      <c r="BS951" s="24"/>
      <c r="BT951" s="32"/>
      <c r="BU951" s="27"/>
      <c r="BV951" s="24"/>
      <c r="BW951" s="24"/>
      <c r="BX951" s="16"/>
      <c r="BY951" s="27"/>
      <c r="BZ951" s="24"/>
      <c r="CA951" s="24"/>
      <c r="CB951" s="16"/>
      <c r="CC951" s="49">
        <f t="shared" si="376"/>
        <v>0</v>
      </c>
      <c r="CD951" s="24"/>
      <c r="CE951" s="49">
        <f t="shared" si="386"/>
        <v>131031034.47</v>
      </c>
      <c r="CF951" s="50">
        <v>131031034.47</v>
      </c>
      <c r="CG951" s="49">
        <f t="shared" ca="1" si="391"/>
        <v>131031034.47</v>
      </c>
      <c r="CH951" s="33">
        <f t="shared" ca="1" si="392"/>
        <v>1</v>
      </c>
      <c r="CI951" s="33">
        <f t="shared" ca="1" si="385"/>
        <v>1</v>
      </c>
      <c r="CJ951" s="36">
        <f t="shared" ca="1" si="370"/>
        <v>100</v>
      </c>
      <c r="CK951" s="34">
        <f t="shared" si="371"/>
        <v>100</v>
      </c>
      <c r="CL951" s="21"/>
      <c r="CM951" s="35" t="str">
        <f t="shared" ca="1" si="390"/>
        <v>TERMINADO</v>
      </c>
      <c r="CN951" s="82"/>
      <c r="CO951" s="145"/>
      <c r="CP951" s="26"/>
      <c r="CQ951" s="83"/>
      <c r="CR951" s="83"/>
    </row>
    <row r="952" spans="1:98" s="85" customFormat="1" ht="24.75" customHeight="1">
      <c r="A952" s="48" t="s">
        <v>7425</v>
      </c>
      <c r="B952" s="150" t="s">
        <v>7426</v>
      </c>
      <c r="C952" s="17" t="s">
        <v>104</v>
      </c>
      <c r="D952" s="52" t="s">
        <v>7427</v>
      </c>
      <c r="E952" s="17" t="s">
        <v>106</v>
      </c>
      <c r="F952" s="17" t="s">
        <v>1426</v>
      </c>
      <c r="G952" s="17" t="s">
        <v>1427</v>
      </c>
      <c r="H952" s="78" t="s">
        <v>7428</v>
      </c>
      <c r="I952" s="74" t="s">
        <v>7429</v>
      </c>
      <c r="J952" s="16"/>
      <c r="K952" s="104"/>
      <c r="L952" s="96" t="s">
        <v>7430</v>
      </c>
      <c r="M952" s="16" t="s">
        <v>111</v>
      </c>
      <c r="N952" s="342">
        <v>45657</v>
      </c>
      <c r="O952" s="342">
        <v>45677</v>
      </c>
      <c r="P952" s="342">
        <v>46254</v>
      </c>
      <c r="Q952" s="23">
        <f t="shared" si="387"/>
        <v>577</v>
      </c>
      <c r="R952" s="17" t="s">
        <v>112</v>
      </c>
      <c r="S952" s="16" t="s">
        <v>7431</v>
      </c>
      <c r="T952" s="16" t="s">
        <v>7432</v>
      </c>
      <c r="U952" s="67">
        <v>401664568</v>
      </c>
      <c r="V952" s="16" t="s">
        <v>7433</v>
      </c>
      <c r="W952" s="24">
        <v>293930000</v>
      </c>
      <c r="X952" s="24"/>
      <c r="Y952" s="24"/>
      <c r="Z952" s="24"/>
      <c r="AA952" s="17" t="s">
        <v>116</v>
      </c>
      <c r="AB952" s="23" t="str">
        <f>IFERROR(VLOOKUP(AA952,Listas!$A$1:$C$14,2,FALSE),"")</f>
        <v>FREDY CÉSPEDES VILLA</v>
      </c>
      <c r="AC952" s="23">
        <f>IFERROR(VLOOKUP(AA952,Listas!$A$1:$C$14,3,FALSE),"")</f>
        <v>93363483</v>
      </c>
      <c r="AD952" s="17" t="s">
        <v>577</v>
      </c>
      <c r="AE952" s="17" t="s">
        <v>578</v>
      </c>
      <c r="AF952" s="23" t="str">
        <f>IFERROR(VLOOKUP(AE952,Listas!$AD$1:$AF$65,2,FALSE),"")</f>
        <v>EDGAR FABIO DÍAZ RAMIREZ</v>
      </c>
      <c r="AG952" s="23">
        <f>IFERROR(VLOOKUP(AE952,Listas!$AD$1:$AF$65,3,FALSE),"")</f>
        <v>79537198</v>
      </c>
      <c r="AH952" s="17" t="s">
        <v>118</v>
      </c>
      <c r="AI952" s="65"/>
      <c r="AJ952" s="25" t="s">
        <v>1435</v>
      </c>
      <c r="AK952" s="26" t="s">
        <v>2071</v>
      </c>
      <c r="AL952" s="26" t="s">
        <v>2071</v>
      </c>
      <c r="AM952" s="90" t="s">
        <v>1435</v>
      </c>
      <c r="AN952" s="105"/>
      <c r="AO952" s="91" t="str">
        <f t="shared" ca="1" si="388"/>
        <v xml:space="preserve"> </v>
      </c>
      <c r="AP952" s="26" t="s">
        <v>121</v>
      </c>
      <c r="AQ952" s="26" t="s">
        <v>409</v>
      </c>
      <c r="AR952" s="89"/>
      <c r="AS952" s="27"/>
      <c r="AT952" s="16"/>
      <c r="AU952" s="27"/>
      <c r="AV952" s="86"/>
      <c r="AW952" s="27"/>
      <c r="AX952" s="27"/>
      <c r="AY952" s="27"/>
      <c r="AZ952" s="27"/>
      <c r="BA952" s="27"/>
      <c r="BB952" s="27"/>
      <c r="BC952" s="97"/>
      <c r="BD952" s="27"/>
      <c r="BE952" s="16"/>
      <c r="BF952" s="28">
        <f t="shared" si="373"/>
        <v>0</v>
      </c>
      <c r="BG952" s="29"/>
      <c r="BH952" s="27"/>
      <c r="BI952" s="30">
        <f t="shared" si="374"/>
        <v>577</v>
      </c>
      <c r="BJ952" s="31">
        <f t="shared" si="375"/>
        <v>46254</v>
      </c>
      <c r="BK952" s="27"/>
      <c r="BL952" s="16"/>
      <c r="BM952" s="27"/>
      <c r="BN952" s="16"/>
      <c r="BO952" s="27"/>
      <c r="BP952" s="16"/>
      <c r="BQ952" s="27"/>
      <c r="BR952" s="24"/>
      <c r="BS952" s="24"/>
      <c r="BT952" s="32"/>
      <c r="BU952" s="27"/>
      <c r="BV952" s="24"/>
      <c r="BW952" s="24"/>
      <c r="BX952" s="16"/>
      <c r="BY952" s="27"/>
      <c r="BZ952" s="24"/>
      <c r="CA952" s="24"/>
      <c r="CB952" s="16"/>
      <c r="CC952" s="49">
        <f t="shared" si="376"/>
        <v>0</v>
      </c>
      <c r="CD952" s="24"/>
      <c r="CE952" s="49">
        <f t="shared" si="386"/>
        <v>293930000</v>
      </c>
      <c r="CF952" s="50">
        <v>0</v>
      </c>
      <c r="CG952" s="49">
        <f t="shared" ca="1" si="391"/>
        <v>149257348.35355288</v>
      </c>
      <c r="CH952" s="33">
        <f t="shared" ca="1" si="392"/>
        <v>0.47368421052631576</v>
      </c>
      <c r="CI952" s="33">
        <f t="shared" ca="1" si="385"/>
        <v>0.47368421052631576</v>
      </c>
      <c r="CJ952" s="36">
        <v>0</v>
      </c>
      <c r="CK952" s="34">
        <f t="shared" si="371"/>
        <v>0</v>
      </c>
      <c r="CL952" s="21"/>
      <c r="CM952" s="35" t="str">
        <f t="shared" ca="1" si="390"/>
        <v>VIGENTE</v>
      </c>
      <c r="CN952" s="82"/>
      <c r="CO952" s="145"/>
      <c r="CP952" s="26"/>
      <c r="CQ952" s="83"/>
      <c r="CR952" s="83"/>
    </row>
    <row r="953" spans="1:98" s="85" customFormat="1" ht="24.75" customHeight="1">
      <c r="A953" s="48" t="s">
        <v>7434</v>
      </c>
      <c r="B953" s="150" t="s">
        <v>7435</v>
      </c>
      <c r="C953" s="17" t="s">
        <v>104</v>
      </c>
      <c r="D953" s="52" t="s">
        <v>7436</v>
      </c>
      <c r="E953" s="17" t="s">
        <v>106</v>
      </c>
      <c r="F953" s="17" t="s">
        <v>107</v>
      </c>
      <c r="G953" s="17" t="s">
        <v>108</v>
      </c>
      <c r="H953" s="78">
        <v>1098784496</v>
      </c>
      <c r="I953" s="74" t="s">
        <v>7437</v>
      </c>
      <c r="J953" s="16"/>
      <c r="K953" s="104"/>
      <c r="L953" s="96" t="s">
        <v>7438</v>
      </c>
      <c r="M953" s="16" t="s">
        <v>111</v>
      </c>
      <c r="N953" s="342">
        <v>45642</v>
      </c>
      <c r="O953" s="342">
        <v>45643</v>
      </c>
      <c r="P953" s="342">
        <v>45657</v>
      </c>
      <c r="Q953" s="23">
        <f t="shared" si="387"/>
        <v>14</v>
      </c>
      <c r="R953" s="17" t="s">
        <v>242</v>
      </c>
      <c r="S953" s="16" t="s">
        <v>7439</v>
      </c>
      <c r="T953" s="16" t="s">
        <v>2760</v>
      </c>
      <c r="U953" s="67">
        <v>6744500</v>
      </c>
      <c r="V953" s="16" t="s">
        <v>7440</v>
      </c>
      <c r="W953" s="24">
        <v>6744500</v>
      </c>
      <c r="X953" s="24">
        <v>6744500</v>
      </c>
      <c r="Y953" s="24"/>
      <c r="Z953" s="24"/>
      <c r="AA953" s="17" t="s">
        <v>116</v>
      </c>
      <c r="AB953" s="23" t="str">
        <f>IFERROR(VLOOKUP(AA953,Listas!$A$1:$C$14,2,FALSE),"")</f>
        <v>FREDY CÉSPEDES VILLA</v>
      </c>
      <c r="AC953" s="23">
        <f>IFERROR(VLOOKUP(AA953,Listas!$A$1:$C$14,3,FALSE),"")</f>
        <v>93363483</v>
      </c>
      <c r="AD953" s="17" t="s">
        <v>304</v>
      </c>
      <c r="AE953" s="17" t="s">
        <v>305</v>
      </c>
      <c r="AF953" s="23" t="str">
        <f>IFERROR(VLOOKUP(AE953,Listas!$AD$1:$AF$65,2,FALSE),"")</f>
        <v>ALVARO HERNAN URQUIJO GOMEZ</v>
      </c>
      <c r="AG953" s="23">
        <v>80505520</v>
      </c>
      <c r="AH953" s="17" t="s">
        <v>6056</v>
      </c>
      <c r="AI953" s="65" t="s">
        <v>7441</v>
      </c>
      <c r="AJ953" s="25" t="s">
        <v>4370</v>
      </c>
      <c r="AK953" s="26" t="s">
        <v>120</v>
      </c>
      <c r="AL953" s="26" t="s">
        <v>120</v>
      </c>
      <c r="AM953" s="90" t="s">
        <v>119</v>
      </c>
      <c r="AN953" s="105"/>
      <c r="AO953" s="91" t="str">
        <f t="shared" ca="1" si="388"/>
        <v xml:space="preserve"> </v>
      </c>
      <c r="AP953" s="26" t="s">
        <v>121</v>
      </c>
      <c r="AQ953" s="26" t="s">
        <v>285</v>
      </c>
      <c r="AR953" s="89"/>
      <c r="AS953" s="27"/>
      <c r="AT953" s="16"/>
      <c r="AU953" s="27"/>
      <c r="AV953" s="86"/>
      <c r="AW953" s="27"/>
      <c r="AX953" s="27"/>
      <c r="AY953" s="27"/>
      <c r="AZ953" s="27"/>
      <c r="BA953" s="27"/>
      <c r="BB953" s="27"/>
      <c r="BC953" s="97"/>
      <c r="BD953" s="27"/>
      <c r="BE953" s="16"/>
      <c r="BF953" s="28">
        <f t="shared" si="373"/>
        <v>0</v>
      </c>
      <c r="BG953" s="29"/>
      <c r="BH953" s="27"/>
      <c r="BI953" s="30">
        <f t="shared" si="374"/>
        <v>14</v>
      </c>
      <c r="BJ953" s="31">
        <f t="shared" si="375"/>
        <v>45657</v>
      </c>
      <c r="BK953" s="27"/>
      <c r="BL953" s="16"/>
      <c r="BM953" s="27"/>
      <c r="BN953" s="16"/>
      <c r="BO953" s="27"/>
      <c r="BP953" s="16"/>
      <c r="BQ953" s="27"/>
      <c r="BR953" s="24"/>
      <c r="BS953" s="24"/>
      <c r="BT953" s="32"/>
      <c r="BU953" s="27"/>
      <c r="BV953" s="24"/>
      <c r="BW953" s="24"/>
      <c r="BX953" s="16"/>
      <c r="BY953" s="27"/>
      <c r="BZ953" s="24"/>
      <c r="CA953" s="24"/>
      <c r="CB953" s="16"/>
      <c r="CC953" s="49">
        <f t="shared" si="376"/>
        <v>0</v>
      </c>
      <c r="CD953" s="24"/>
      <c r="CE953" s="49">
        <f t="shared" si="386"/>
        <v>6744500</v>
      </c>
      <c r="CF953" s="50">
        <v>6294867</v>
      </c>
      <c r="CG953" s="49">
        <f t="shared" ca="1" si="391"/>
        <v>6744500</v>
      </c>
      <c r="CH953" s="33">
        <f t="shared" ca="1" si="392"/>
        <v>1</v>
      </c>
      <c r="CI953" s="33">
        <f t="shared" ca="1" si="385"/>
        <v>1</v>
      </c>
      <c r="CJ953" s="36">
        <f t="shared" ca="1" si="370"/>
        <v>100</v>
      </c>
      <c r="CK953" s="34">
        <f t="shared" si="371"/>
        <v>93.333338275631988</v>
      </c>
      <c r="CL953" s="21"/>
      <c r="CM953" s="35" t="str">
        <f t="shared" ca="1" si="390"/>
        <v>TERMINADO</v>
      </c>
      <c r="CN953" s="82"/>
      <c r="CO953" s="145"/>
      <c r="CP953" s="26"/>
      <c r="CQ953" s="83"/>
      <c r="CR953" s="83"/>
    </row>
    <row r="954" spans="1:98" s="85" customFormat="1" ht="24.75" customHeight="1">
      <c r="A954" s="48" t="s">
        <v>1424</v>
      </c>
      <c r="B954" s="150" t="s">
        <v>7442</v>
      </c>
      <c r="C954" s="17" t="s">
        <v>2927</v>
      </c>
      <c r="D954" s="52" t="s">
        <v>7443</v>
      </c>
      <c r="E954" s="17" t="s">
        <v>5866</v>
      </c>
      <c r="F954" s="17" t="s">
        <v>1426</v>
      </c>
      <c r="G954" s="17" t="s">
        <v>1427</v>
      </c>
      <c r="H954" s="78"/>
      <c r="I954" s="74" t="s">
        <v>7444</v>
      </c>
      <c r="J954" s="16" t="s">
        <v>7445</v>
      </c>
      <c r="K954" s="104"/>
      <c r="L954" s="96" t="s">
        <v>7446</v>
      </c>
      <c r="M954" s="16"/>
      <c r="N954" s="342">
        <v>45642</v>
      </c>
      <c r="O954" s="342">
        <v>45642</v>
      </c>
      <c r="P954" s="342">
        <v>46752</v>
      </c>
      <c r="Q954" s="23">
        <f t="shared" si="387"/>
        <v>1110</v>
      </c>
      <c r="R954" s="17" t="s">
        <v>2934</v>
      </c>
      <c r="S954" s="16" t="s">
        <v>1424</v>
      </c>
      <c r="T954" s="16" t="s">
        <v>1424</v>
      </c>
      <c r="U954" s="67">
        <v>0</v>
      </c>
      <c r="V954" s="16" t="s">
        <v>1424</v>
      </c>
      <c r="W954" s="24">
        <v>0</v>
      </c>
      <c r="X954" s="24"/>
      <c r="Y954" s="24">
        <v>0</v>
      </c>
      <c r="Z954" s="24"/>
      <c r="AA954" s="17" t="s">
        <v>607</v>
      </c>
      <c r="AB954" s="23" t="str">
        <f>IFERROR(VLOOKUP(AA954,Listas!$A$1:$C$14,2,FALSE),"")</f>
        <v>MARÍA FRANCISCA CEPEDA QUINTERO</v>
      </c>
      <c r="AC954" s="23">
        <f>IFERROR(VLOOKUP(AA954,Listas!$A$1:$C$14,3,FALSE),"")</f>
        <v>53062608</v>
      </c>
      <c r="AD954" s="17" t="s">
        <v>607</v>
      </c>
      <c r="AE954" s="17" t="s">
        <v>1155</v>
      </c>
      <c r="AF954" s="23" t="str">
        <f>IFERROR(VLOOKUP(AE954,Listas!$AD$1:$AF$65,2,FALSE),"")</f>
        <v>MARÍA FRANCISCA CEPEDA QUINTERO</v>
      </c>
      <c r="AG954" s="23">
        <f>IFERROR(VLOOKUP(AE954,Listas!$AD$1:$AF$65,3,FALSE),"")</f>
        <v>53062608</v>
      </c>
      <c r="AH954" s="17" t="s">
        <v>2936</v>
      </c>
      <c r="AI954" s="65"/>
      <c r="AJ954" s="25" t="s">
        <v>1435</v>
      </c>
      <c r="AK954" s="26" t="s">
        <v>2071</v>
      </c>
      <c r="AL954" s="26" t="s">
        <v>2071</v>
      </c>
      <c r="AM954" s="90" t="s">
        <v>1435</v>
      </c>
      <c r="AN954" s="105"/>
      <c r="AO954" s="91" t="str">
        <f t="shared" ca="1" si="388"/>
        <v xml:space="preserve"> </v>
      </c>
      <c r="AP954" s="26" t="s">
        <v>2937</v>
      </c>
      <c r="AQ954" s="26" t="s">
        <v>4526</v>
      </c>
      <c r="AR954" s="89"/>
      <c r="AS954" s="27"/>
      <c r="AT954" s="16"/>
      <c r="AU954" s="27"/>
      <c r="AV954" s="86"/>
      <c r="AW954" s="27"/>
      <c r="AX954" s="27"/>
      <c r="AY954" s="27"/>
      <c r="AZ954" s="27"/>
      <c r="BA954" s="27"/>
      <c r="BB954" s="27"/>
      <c r="BC954" s="97"/>
      <c r="BD954" s="27"/>
      <c r="BE954" s="16"/>
      <c r="BF954" s="28">
        <f t="shared" si="373"/>
        <v>0</v>
      </c>
      <c r="BG954" s="29"/>
      <c r="BH954" s="27"/>
      <c r="BI954" s="30">
        <f t="shared" si="374"/>
        <v>1110</v>
      </c>
      <c r="BJ954" s="31">
        <f t="shared" si="375"/>
        <v>46752</v>
      </c>
      <c r="BK954" s="27"/>
      <c r="BL954" s="16"/>
      <c r="BM954" s="27"/>
      <c r="BN954" s="16"/>
      <c r="BO954" s="27"/>
      <c r="BP954" s="16"/>
      <c r="BQ954" s="27"/>
      <c r="BR954" s="24"/>
      <c r="BS954" s="24"/>
      <c r="BT954" s="32"/>
      <c r="BU954" s="27"/>
      <c r="BV954" s="24"/>
      <c r="BW954" s="24"/>
      <c r="BX954" s="16"/>
      <c r="BY954" s="27"/>
      <c r="BZ954" s="24"/>
      <c r="CA954" s="24"/>
      <c r="CB954" s="16"/>
      <c r="CC954" s="49">
        <f t="shared" si="376"/>
        <v>0</v>
      </c>
      <c r="CD954" s="24"/>
      <c r="CE954" s="49">
        <f t="shared" si="386"/>
        <v>0</v>
      </c>
      <c r="CF954" s="50">
        <v>0</v>
      </c>
      <c r="CG954" s="49">
        <f t="shared" ca="1" si="391"/>
        <v>0</v>
      </c>
      <c r="CH954" s="33">
        <f t="shared" ca="1" si="392"/>
        <v>0.27762557077625571</v>
      </c>
      <c r="CI954" s="33">
        <f t="shared" ca="1" si="385"/>
        <v>0.27762557077625571</v>
      </c>
      <c r="CJ954" s="36">
        <v>0</v>
      </c>
      <c r="CK954" s="34">
        <v>0</v>
      </c>
      <c r="CL954" s="21"/>
      <c r="CM954" s="35" t="str">
        <f t="shared" ca="1" si="390"/>
        <v>VIGENTE</v>
      </c>
      <c r="CN954" s="82"/>
      <c r="CO954" s="145"/>
      <c r="CP954" s="26"/>
      <c r="CQ954" s="83"/>
      <c r="CR954" s="83"/>
    </row>
    <row r="955" spans="1:98" s="85" customFormat="1" ht="24.75" customHeight="1">
      <c r="A955" s="48" t="s">
        <v>7447</v>
      </c>
      <c r="B955" s="150" t="s">
        <v>7448</v>
      </c>
      <c r="C955" s="17" t="s">
        <v>104</v>
      </c>
      <c r="D955" s="52" t="s">
        <v>7449</v>
      </c>
      <c r="E955" s="17" t="s">
        <v>106</v>
      </c>
      <c r="F955" s="17" t="s">
        <v>1426</v>
      </c>
      <c r="G955" s="17" t="s">
        <v>1427</v>
      </c>
      <c r="H955" s="78" t="s">
        <v>7450</v>
      </c>
      <c r="I955" s="74" t="s">
        <v>7451</v>
      </c>
      <c r="J955" s="16"/>
      <c r="K955" s="104"/>
      <c r="L955" s="96" t="s">
        <v>7452</v>
      </c>
      <c r="M955" s="16" t="s">
        <v>111</v>
      </c>
      <c r="N955" s="342">
        <v>45644</v>
      </c>
      <c r="O955" s="342">
        <v>45652</v>
      </c>
      <c r="P955" s="342">
        <v>46016</v>
      </c>
      <c r="Q955" s="23">
        <f t="shared" si="387"/>
        <v>364</v>
      </c>
      <c r="R955" s="17" t="s">
        <v>242</v>
      </c>
      <c r="S955" s="16" t="s">
        <v>7453</v>
      </c>
      <c r="T955" s="16" t="s">
        <v>2811</v>
      </c>
      <c r="U955" s="67">
        <v>6198413</v>
      </c>
      <c r="V955" s="16" t="s">
        <v>2812</v>
      </c>
      <c r="W955" s="24">
        <v>6198413</v>
      </c>
      <c r="X955" s="24">
        <v>6198413</v>
      </c>
      <c r="Y955" s="24"/>
      <c r="Z955" s="24"/>
      <c r="AA955" s="17" t="s">
        <v>116</v>
      </c>
      <c r="AB955" s="23" t="str">
        <f>IFERROR(VLOOKUP(AA955,Listas!$A$1:$C$14,2,FALSE),"")</f>
        <v>FREDY CÉSPEDES VILLA</v>
      </c>
      <c r="AC955" s="23">
        <f>IFERROR(VLOOKUP(AA955,Listas!$A$1:$C$14,3,FALSE),"")</f>
        <v>93363483</v>
      </c>
      <c r="AD955" s="17" t="s">
        <v>816</v>
      </c>
      <c r="AE955" s="17" t="s">
        <v>2577</v>
      </c>
      <c r="AF955" s="23" t="str">
        <f>IFERROR(VLOOKUP(AE955,Listas!$AD$1:$AF$65,2,FALSE),"")</f>
        <v>VICTOR RAUL BAUTISTA GALINDO</v>
      </c>
      <c r="AG955" s="23">
        <f>IFERROR(VLOOKUP(AE955,Listas!$AD$1:$AF$65,3,FALSE),"")</f>
        <v>79352968</v>
      </c>
      <c r="AH955" s="17" t="s">
        <v>118</v>
      </c>
      <c r="AI955" s="65"/>
      <c r="AJ955" s="25" t="s">
        <v>1435</v>
      </c>
      <c r="AK955" s="26" t="s">
        <v>2071</v>
      </c>
      <c r="AL955" s="26" t="s">
        <v>2071</v>
      </c>
      <c r="AM955" s="90" t="s">
        <v>1435</v>
      </c>
      <c r="AN955" s="105"/>
      <c r="AO955" s="91" t="str">
        <f t="shared" ca="1" si="388"/>
        <v xml:space="preserve"> </v>
      </c>
      <c r="AP955" s="26" t="s">
        <v>121</v>
      </c>
      <c r="AQ955" s="26" t="s">
        <v>1272</v>
      </c>
      <c r="AR955" s="89"/>
      <c r="AS955" s="27"/>
      <c r="AT955" s="16"/>
      <c r="AU955" s="27"/>
      <c r="AV955" s="86"/>
      <c r="AW955" s="27"/>
      <c r="AX955" s="27"/>
      <c r="AY955" s="27"/>
      <c r="AZ955" s="27"/>
      <c r="BA955" s="27"/>
      <c r="BB955" s="27"/>
      <c r="BC955" s="97"/>
      <c r="BD955" s="27"/>
      <c r="BE955" s="16"/>
      <c r="BF955" s="28">
        <f t="shared" si="373"/>
        <v>0</v>
      </c>
      <c r="BG955" s="29"/>
      <c r="BH955" s="27"/>
      <c r="BI955" s="30">
        <f t="shared" si="374"/>
        <v>364</v>
      </c>
      <c r="BJ955" s="31">
        <f t="shared" si="375"/>
        <v>46016</v>
      </c>
      <c r="BK955" s="27"/>
      <c r="BL955" s="16"/>
      <c r="BM955" s="27"/>
      <c r="BN955" s="16"/>
      <c r="BO955" s="27"/>
      <c r="BP955" s="16"/>
      <c r="BQ955" s="27"/>
      <c r="BR955" s="24"/>
      <c r="BS955" s="24"/>
      <c r="BT955" s="32"/>
      <c r="BU955" s="27"/>
      <c r="BV955" s="24"/>
      <c r="BW955" s="24"/>
      <c r="BX955" s="16"/>
      <c r="BY955" s="27"/>
      <c r="BZ955" s="24"/>
      <c r="CA955" s="24"/>
      <c r="CB955" s="16"/>
      <c r="CC955" s="49">
        <f t="shared" si="376"/>
        <v>0</v>
      </c>
      <c r="CD955" s="24"/>
      <c r="CE955" s="49">
        <f t="shared" si="386"/>
        <v>6198413</v>
      </c>
      <c r="CF955" s="50">
        <v>6198413</v>
      </c>
      <c r="CG955" s="49">
        <f t="shared" ca="1" si="391"/>
        <v>5210753.7857142854</v>
      </c>
      <c r="CH955" s="33">
        <f t="shared" ca="1" si="392"/>
        <v>0.81894150417827294</v>
      </c>
      <c r="CI955" s="33">
        <f t="shared" ca="1" si="385"/>
        <v>0.81894150417827294</v>
      </c>
      <c r="CJ955" s="36">
        <f t="shared" ca="1" si="370"/>
        <v>84.065934065934073</v>
      </c>
      <c r="CK955" s="34">
        <f t="shared" si="371"/>
        <v>100</v>
      </c>
      <c r="CL955" s="21"/>
      <c r="CM955" s="35" t="str">
        <f t="shared" ca="1" si="390"/>
        <v>VIGENTE</v>
      </c>
      <c r="CN955" s="82"/>
      <c r="CO955" s="145"/>
      <c r="CP955" s="26"/>
      <c r="CQ955" s="83"/>
      <c r="CR955" s="83"/>
    </row>
    <row r="956" spans="1:98" s="85" customFormat="1" ht="24.75" customHeight="1">
      <c r="A956" s="48" t="s">
        <v>7454</v>
      </c>
      <c r="B956" s="150" t="s">
        <v>7455</v>
      </c>
      <c r="C956" s="17" t="s">
        <v>104</v>
      </c>
      <c r="D956" s="52" t="s">
        <v>7456</v>
      </c>
      <c r="E956" s="17" t="s">
        <v>106</v>
      </c>
      <c r="F956" s="17" t="s">
        <v>107</v>
      </c>
      <c r="G956" s="17" t="s">
        <v>108</v>
      </c>
      <c r="H956" s="78">
        <v>52532385</v>
      </c>
      <c r="I956" s="74" t="s">
        <v>7457</v>
      </c>
      <c r="J956" s="16"/>
      <c r="K956" s="104"/>
      <c r="L956" s="96" t="s">
        <v>7458</v>
      </c>
      <c r="M956" s="16" t="s">
        <v>111</v>
      </c>
      <c r="N956" s="342">
        <v>45643</v>
      </c>
      <c r="O956" s="342">
        <v>45644</v>
      </c>
      <c r="P956" s="342">
        <v>45657</v>
      </c>
      <c r="Q956" s="23">
        <f t="shared" si="387"/>
        <v>13</v>
      </c>
      <c r="R956" s="17" t="s">
        <v>242</v>
      </c>
      <c r="S956" s="16" t="s">
        <v>7459</v>
      </c>
      <c r="T956" s="16" t="s">
        <v>2760</v>
      </c>
      <c r="U956" s="67">
        <v>7664500</v>
      </c>
      <c r="V956" s="16" t="s">
        <v>7440</v>
      </c>
      <c r="W956" s="24">
        <v>15329000</v>
      </c>
      <c r="X956" s="24">
        <v>7664500</v>
      </c>
      <c r="Y956" s="24"/>
      <c r="Z956" s="24"/>
      <c r="AA956" s="17" t="s">
        <v>116</v>
      </c>
      <c r="AB956" s="23" t="str">
        <f>IFERROR(VLOOKUP(AA956,Listas!$A$1:$C$14,2,FALSE),"")</f>
        <v>FREDY CÉSPEDES VILLA</v>
      </c>
      <c r="AC956" s="23">
        <f>IFERROR(VLOOKUP(AA956,Listas!$A$1:$C$14,3,FALSE),"")</f>
        <v>93363483</v>
      </c>
      <c r="AD956" s="17" t="s">
        <v>304</v>
      </c>
      <c r="AE956" s="17" t="s">
        <v>305</v>
      </c>
      <c r="AF956" s="23" t="str">
        <f>IFERROR(VLOOKUP(AE956,Listas!$AD$1:$AF$65,2,FALSE),"")</f>
        <v>ALVARO HERNAN URQUIJO GOMEZ</v>
      </c>
      <c r="AG956" s="23">
        <v>80505520</v>
      </c>
      <c r="AH956" s="17" t="s">
        <v>118</v>
      </c>
      <c r="AI956" s="65" t="s">
        <v>7460</v>
      </c>
      <c r="AJ956" s="25" t="s">
        <v>4370</v>
      </c>
      <c r="AK956" s="26" t="s">
        <v>120</v>
      </c>
      <c r="AL956" s="26" t="s">
        <v>120</v>
      </c>
      <c r="AM956" s="90" t="s">
        <v>119</v>
      </c>
      <c r="AN956" s="105"/>
      <c r="AO956" s="91" t="str">
        <f t="shared" ca="1" si="388"/>
        <v xml:space="preserve"> </v>
      </c>
      <c r="AP956" s="26" t="s">
        <v>121</v>
      </c>
      <c r="AQ956" s="26" t="s">
        <v>285</v>
      </c>
      <c r="AR956" s="89"/>
      <c r="AS956" s="27"/>
      <c r="AT956" s="16"/>
      <c r="AU956" s="27"/>
      <c r="AV956" s="86"/>
      <c r="AW956" s="27"/>
      <c r="AX956" s="27"/>
      <c r="AY956" s="27"/>
      <c r="AZ956" s="27"/>
      <c r="BA956" s="27"/>
      <c r="BB956" s="27"/>
      <c r="BC956" s="97"/>
      <c r="BD956" s="27"/>
      <c r="BE956" s="16"/>
      <c r="BF956" s="28">
        <f t="shared" si="373"/>
        <v>0</v>
      </c>
      <c r="BG956" s="29"/>
      <c r="BH956" s="27"/>
      <c r="BI956" s="30">
        <f t="shared" si="374"/>
        <v>13</v>
      </c>
      <c r="BJ956" s="31">
        <f t="shared" si="375"/>
        <v>45657</v>
      </c>
      <c r="BK956" s="27"/>
      <c r="BL956" s="16"/>
      <c r="BM956" s="27"/>
      <c r="BN956" s="16"/>
      <c r="BO956" s="27"/>
      <c r="BP956" s="16"/>
      <c r="BQ956" s="27"/>
      <c r="BR956" s="24"/>
      <c r="BS956" s="24"/>
      <c r="BT956" s="32"/>
      <c r="BU956" s="27"/>
      <c r="BV956" s="24"/>
      <c r="BW956" s="24"/>
      <c r="BX956" s="16"/>
      <c r="BY956" s="27"/>
      <c r="BZ956" s="24"/>
      <c r="CA956" s="24"/>
      <c r="CB956" s="16"/>
      <c r="CC956" s="49">
        <f t="shared" si="376"/>
        <v>0</v>
      </c>
      <c r="CD956" s="24"/>
      <c r="CE956" s="49">
        <f t="shared" si="386"/>
        <v>15329000</v>
      </c>
      <c r="CF956" s="50">
        <v>6642566</v>
      </c>
      <c r="CG956" s="49">
        <f t="shared" ca="1" si="391"/>
        <v>15329000</v>
      </c>
      <c r="CH956" s="33">
        <f t="shared" ca="1" si="384"/>
        <v>1</v>
      </c>
      <c r="CI956" s="33">
        <f t="shared" ca="1" si="385"/>
        <v>1</v>
      </c>
      <c r="CJ956" s="36">
        <f t="shared" ca="1" si="370"/>
        <v>100</v>
      </c>
      <c r="CK956" s="34">
        <f t="shared" si="371"/>
        <v>43.333328984278161</v>
      </c>
      <c r="CL956" s="21"/>
      <c r="CM956" s="35" t="str">
        <f t="shared" ca="1" si="390"/>
        <v>TERMINADO</v>
      </c>
      <c r="CN956" s="82"/>
      <c r="CO956" s="145"/>
      <c r="CP956" s="26"/>
      <c r="CQ956" s="83"/>
      <c r="CR956" s="83"/>
    </row>
    <row r="957" spans="1:98" s="85" customFormat="1" ht="24.75" customHeight="1">
      <c r="A957" s="48" t="s">
        <v>7461</v>
      </c>
      <c r="B957" s="150" t="s">
        <v>7462</v>
      </c>
      <c r="C957" s="17" t="s">
        <v>104</v>
      </c>
      <c r="D957" s="52" t="s">
        <v>7463</v>
      </c>
      <c r="E957" s="17" t="s">
        <v>106</v>
      </c>
      <c r="F957" s="17" t="s">
        <v>107</v>
      </c>
      <c r="G957" s="17" t="s">
        <v>108</v>
      </c>
      <c r="H957" s="78">
        <v>1098407486</v>
      </c>
      <c r="I957" s="74" t="s">
        <v>7464</v>
      </c>
      <c r="J957" s="16"/>
      <c r="K957" s="104"/>
      <c r="L957" s="96" t="s">
        <v>7465</v>
      </c>
      <c r="M957" s="16" t="s">
        <v>111</v>
      </c>
      <c r="N957" s="342">
        <v>45644</v>
      </c>
      <c r="O957" s="342">
        <v>45646</v>
      </c>
      <c r="P957" s="342">
        <v>45657</v>
      </c>
      <c r="Q957" s="23">
        <f t="shared" si="387"/>
        <v>11</v>
      </c>
      <c r="R957" s="17" t="s">
        <v>242</v>
      </c>
      <c r="S957" s="16" t="s">
        <v>7466</v>
      </c>
      <c r="T957" s="16" t="s">
        <v>2760</v>
      </c>
      <c r="U957" s="67">
        <v>7664500</v>
      </c>
      <c r="V957" s="16" t="s">
        <v>7440</v>
      </c>
      <c r="W957" s="24">
        <v>7664500</v>
      </c>
      <c r="X957" s="24"/>
      <c r="Y957" s="24"/>
      <c r="Z957" s="24"/>
      <c r="AA957" s="17" t="s">
        <v>116</v>
      </c>
      <c r="AB957" s="23" t="str">
        <f>IFERROR(VLOOKUP(AA957,Listas!$A$1:$C$14,2,FALSE),"")</f>
        <v>FREDY CÉSPEDES VILLA</v>
      </c>
      <c r="AC957" s="23">
        <f>IFERROR(VLOOKUP(AA957,Listas!$A$1:$C$14,3,FALSE),"")</f>
        <v>93363483</v>
      </c>
      <c r="AD957" s="17" t="s">
        <v>304</v>
      </c>
      <c r="AE957" s="17" t="s">
        <v>305</v>
      </c>
      <c r="AF957" s="23" t="str">
        <f>IFERROR(VLOOKUP(AE957,Listas!$AD$1:$AF$65,2,FALSE),"")</f>
        <v>ALVARO HERNAN URQUIJO GOMEZ</v>
      </c>
      <c r="AG957" s="23">
        <v>80505520</v>
      </c>
      <c r="AH957" s="17" t="s">
        <v>6056</v>
      </c>
      <c r="AI957" s="65" t="s">
        <v>7467</v>
      </c>
      <c r="AJ957" s="25" t="s">
        <v>4370</v>
      </c>
      <c r="AK957" s="26" t="s">
        <v>120</v>
      </c>
      <c r="AL957" s="26" t="s">
        <v>120</v>
      </c>
      <c r="AM957" s="90" t="s">
        <v>119</v>
      </c>
      <c r="AN957" s="105"/>
      <c r="AO957" s="91" t="str">
        <f t="shared" ca="1" si="388"/>
        <v xml:space="preserve"> </v>
      </c>
      <c r="AP957" s="26" t="s">
        <v>121</v>
      </c>
      <c r="AQ957" s="26" t="s">
        <v>285</v>
      </c>
      <c r="AR957" s="89"/>
      <c r="AS957" s="27"/>
      <c r="AT957" s="16"/>
      <c r="AU957" s="27"/>
      <c r="AV957" s="86"/>
      <c r="AW957" s="27"/>
      <c r="AX957" s="27"/>
      <c r="AY957" s="27"/>
      <c r="AZ957" s="27"/>
      <c r="BA957" s="27"/>
      <c r="BB957" s="27"/>
      <c r="BC957" s="97"/>
      <c r="BD957" s="27"/>
      <c r="BE957" s="16"/>
      <c r="BF957" s="28">
        <f t="shared" si="373"/>
        <v>0</v>
      </c>
      <c r="BG957" s="29"/>
      <c r="BH957" s="27"/>
      <c r="BI957" s="30">
        <f t="shared" si="374"/>
        <v>11</v>
      </c>
      <c r="BJ957" s="31">
        <f t="shared" si="375"/>
        <v>45657</v>
      </c>
      <c r="BK957" s="27"/>
      <c r="BL957" s="16"/>
      <c r="BM957" s="27"/>
      <c r="BN957" s="16"/>
      <c r="BO957" s="27"/>
      <c r="BP957" s="16"/>
      <c r="BQ957" s="27"/>
      <c r="BR957" s="24"/>
      <c r="BS957" s="24"/>
      <c r="BT957" s="32"/>
      <c r="BU957" s="27"/>
      <c r="BV957" s="24"/>
      <c r="BW957" s="24"/>
      <c r="BX957" s="16"/>
      <c r="BY957" s="27"/>
      <c r="BZ957" s="24"/>
      <c r="CA957" s="24"/>
      <c r="CB957" s="16"/>
      <c r="CC957" s="49">
        <f t="shared" si="376"/>
        <v>0</v>
      </c>
      <c r="CD957" s="24"/>
      <c r="CE957" s="49">
        <f t="shared" si="386"/>
        <v>7664500</v>
      </c>
      <c r="CF957" s="50">
        <v>5620633</v>
      </c>
      <c r="CG957" s="49">
        <f t="shared" ca="1" si="391"/>
        <v>7664500</v>
      </c>
      <c r="CH957" s="33">
        <f t="shared" ca="1" si="384"/>
        <v>1</v>
      </c>
      <c r="CI957" s="33">
        <f t="shared" ca="1" si="385"/>
        <v>1</v>
      </c>
      <c r="CJ957" s="36">
        <f t="shared" ca="1" si="370"/>
        <v>100</v>
      </c>
      <c r="CK957" s="34">
        <f t="shared" si="371"/>
        <v>73.333328984278168</v>
      </c>
      <c r="CL957" s="21"/>
      <c r="CM957" s="35" t="str">
        <f t="shared" ca="1" si="390"/>
        <v>TERMINADO</v>
      </c>
      <c r="CN957" s="82"/>
      <c r="CO957" s="145"/>
      <c r="CP957" s="26"/>
      <c r="CQ957" s="83"/>
      <c r="CR957" s="83"/>
    </row>
    <row r="958" spans="1:98" ht="24.75" customHeight="1">
      <c r="A958" s="48"/>
      <c r="B958" s="345" t="s">
        <v>7468</v>
      </c>
      <c r="C958" s="345" t="s">
        <v>1583</v>
      </c>
      <c r="D958" s="52"/>
      <c r="E958" s="17"/>
      <c r="F958" s="17"/>
      <c r="G958" s="17"/>
      <c r="H958" s="78"/>
      <c r="I958" s="74"/>
      <c r="J958" s="16"/>
      <c r="K958" s="104"/>
      <c r="L958" s="96"/>
      <c r="M958" s="16"/>
      <c r="N958" s="342"/>
      <c r="O958" s="342"/>
      <c r="P958" s="342"/>
      <c r="Q958" s="23"/>
      <c r="R958" s="17"/>
      <c r="S958" s="16"/>
      <c r="T958" s="16"/>
      <c r="U958" s="67"/>
      <c r="V958" s="16"/>
      <c r="W958" s="24"/>
      <c r="X958" s="24"/>
      <c r="Y958" s="24"/>
      <c r="Z958" s="24"/>
      <c r="AA958" s="17"/>
      <c r="AB958" s="23"/>
      <c r="AC958" s="23"/>
      <c r="AD958" s="17"/>
      <c r="AE958" s="17"/>
      <c r="AF958" s="23"/>
      <c r="AG958" s="23"/>
      <c r="AH958" s="17"/>
      <c r="AI958" s="65"/>
      <c r="AJ958" s="25"/>
      <c r="AK958" s="26"/>
      <c r="AL958" s="26"/>
      <c r="AM958" s="90"/>
      <c r="AN958" s="105"/>
      <c r="AO958" s="91"/>
      <c r="AP958" s="26"/>
      <c r="AQ958" s="26"/>
      <c r="AR958" s="89"/>
      <c r="AS958" s="27"/>
      <c r="AT958" s="16"/>
      <c r="AU958" s="27"/>
      <c r="AV958" s="86"/>
      <c r="AW958" s="27"/>
      <c r="AX958" s="27"/>
      <c r="AY958" s="27"/>
      <c r="AZ958" s="27"/>
      <c r="BA958" s="27"/>
      <c r="BB958" s="27"/>
      <c r="BC958" s="97"/>
      <c r="BD958" s="27"/>
      <c r="BE958" s="16"/>
      <c r="BF958" s="28">
        <f t="shared" si="373"/>
        <v>0</v>
      </c>
      <c r="BG958" s="29"/>
      <c r="BH958" s="27"/>
      <c r="BI958" s="30"/>
      <c r="BJ958" s="31"/>
      <c r="BK958" s="27"/>
      <c r="BL958" s="16"/>
      <c r="BM958" s="27"/>
      <c r="BN958" s="16"/>
      <c r="BO958" s="27"/>
      <c r="BP958" s="16"/>
      <c r="BQ958" s="27"/>
      <c r="BR958" s="24"/>
      <c r="BS958" s="24"/>
      <c r="BT958" s="32"/>
      <c r="BU958" s="27"/>
      <c r="BV958" s="24"/>
      <c r="BW958" s="24"/>
      <c r="BX958" s="16"/>
      <c r="BY958" s="27"/>
      <c r="BZ958" s="24"/>
      <c r="CA958" s="24"/>
      <c r="CB958" s="16"/>
      <c r="CC958" s="49"/>
      <c r="CD958" s="24"/>
      <c r="CE958" s="49"/>
      <c r="CF958" s="50"/>
      <c r="CG958" s="49"/>
      <c r="CH958" s="33"/>
      <c r="CI958" s="33"/>
      <c r="CJ958" s="36"/>
      <c r="CK958" s="34"/>
      <c r="CL958" s="21"/>
      <c r="CM958" s="35"/>
      <c r="CN958" s="82"/>
      <c r="CP958" s="26"/>
    </row>
    <row r="959" spans="1:98" s="85" customFormat="1" ht="24.75" customHeight="1">
      <c r="A959" s="48" t="s">
        <v>1424</v>
      </c>
      <c r="B959" s="150" t="s">
        <v>7469</v>
      </c>
      <c r="C959" s="17" t="s">
        <v>2927</v>
      </c>
      <c r="D959" s="52" t="s">
        <v>7470</v>
      </c>
      <c r="E959" s="17" t="s">
        <v>5866</v>
      </c>
      <c r="F959" s="17" t="s">
        <v>1426</v>
      </c>
      <c r="G959" s="17" t="s">
        <v>1427</v>
      </c>
      <c r="H959" s="78"/>
      <c r="I959" s="74" t="s">
        <v>7471</v>
      </c>
      <c r="J959" s="16" t="s">
        <v>7472</v>
      </c>
      <c r="K959" s="104"/>
      <c r="L959" s="96" t="s">
        <v>7473</v>
      </c>
      <c r="M959" s="16"/>
      <c r="N959" s="342">
        <v>45646</v>
      </c>
      <c r="O959" s="342">
        <v>45646</v>
      </c>
      <c r="P959" s="342">
        <v>46752</v>
      </c>
      <c r="Q959" s="23">
        <f t="shared" si="387"/>
        <v>1106</v>
      </c>
      <c r="R959" s="17" t="s">
        <v>2934</v>
      </c>
      <c r="S959" s="16" t="s">
        <v>1424</v>
      </c>
      <c r="T959" s="16" t="s">
        <v>1424</v>
      </c>
      <c r="U959" s="67">
        <v>0</v>
      </c>
      <c r="V959" s="16" t="s">
        <v>1424</v>
      </c>
      <c r="W959" s="24">
        <v>0</v>
      </c>
      <c r="X959" s="24"/>
      <c r="Y959" s="24">
        <v>2330196264</v>
      </c>
      <c r="Z959" s="24"/>
      <c r="AA959" s="17" t="s">
        <v>607</v>
      </c>
      <c r="AB959" s="23" t="str">
        <f>IFERROR(VLOOKUP(AA959,Listas!$A$1:$C$14,2,FALSE),"")</f>
        <v>MARÍA FRANCISCA CEPEDA QUINTERO</v>
      </c>
      <c r="AC959" s="23">
        <f>IFERROR(VLOOKUP(AA959,Listas!$A$1:$C$14,3,FALSE),"")</f>
        <v>53062608</v>
      </c>
      <c r="AD959" s="17" t="s">
        <v>607</v>
      </c>
      <c r="AE959" s="17" t="s">
        <v>1155</v>
      </c>
      <c r="AF959" s="23" t="str">
        <f>IFERROR(VLOOKUP(AE959,Listas!$AD$1:$AF$65,2,FALSE),"")</f>
        <v>MARÍA FRANCISCA CEPEDA QUINTERO</v>
      </c>
      <c r="AG959" s="23">
        <f>IFERROR(VLOOKUP(AE959,Listas!$AD$1:$AF$65,3,FALSE),"")</f>
        <v>53062608</v>
      </c>
      <c r="AH959" s="17" t="s">
        <v>2936</v>
      </c>
      <c r="AI959" s="65"/>
      <c r="AJ959" s="25" t="s">
        <v>1435</v>
      </c>
      <c r="AK959" s="26" t="s">
        <v>2071</v>
      </c>
      <c r="AL959" s="26" t="s">
        <v>2071</v>
      </c>
      <c r="AM959" s="90" t="s">
        <v>1435</v>
      </c>
      <c r="AN959" s="105"/>
      <c r="AO959" s="91" t="str">
        <f t="shared" ca="1" si="388"/>
        <v xml:space="preserve"> </v>
      </c>
      <c r="AP959" s="26" t="s">
        <v>2937</v>
      </c>
      <c r="AQ959" s="26" t="s">
        <v>3501</v>
      </c>
      <c r="AR959" s="89"/>
      <c r="AS959" s="27"/>
      <c r="AT959" s="16"/>
      <c r="AU959" s="27"/>
      <c r="AV959" s="86"/>
      <c r="AW959" s="27"/>
      <c r="AX959" s="27"/>
      <c r="AY959" s="27"/>
      <c r="AZ959" s="27"/>
      <c r="BA959" s="27"/>
      <c r="BB959" s="27"/>
      <c r="BC959" s="97"/>
      <c r="BD959" s="27"/>
      <c r="BE959" s="16"/>
      <c r="BF959" s="28">
        <f t="shared" si="373"/>
        <v>0</v>
      </c>
      <c r="BG959" s="29"/>
      <c r="BH959" s="27"/>
      <c r="BI959" s="30">
        <f t="shared" si="374"/>
        <v>1106</v>
      </c>
      <c r="BJ959" s="31">
        <f t="shared" si="375"/>
        <v>46752</v>
      </c>
      <c r="BK959" s="27"/>
      <c r="BL959" s="16"/>
      <c r="BM959" s="27"/>
      <c r="BN959" s="16"/>
      <c r="BO959" s="27"/>
      <c r="BP959" s="16"/>
      <c r="BQ959" s="27"/>
      <c r="BR959" s="24"/>
      <c r="BS959" s="24"/>
      <c r="BT959" s="32"/>
      <c r="BU959" s="27"/>
      <c r="BV959" s="24"/>
      <c r="BW959" s="24"/>
      <c r="BX959" s="16"/>
      <c r="BY959" s="27"/>
      <c r="BZ959" s="24"/>
      <c r="CA959" s="24"/>
      <c r="CB959" s="16"/>
      <c r="CC959" s="49">
        <f t="shared" si="376"/>
        <v>0</v>
      </c>
      <c r="CD959" s="24"/>
      <c r="CE959" s="49">
        <f t="shared" si="386"/>
        <v>2330196264</v>
      </c>
      <c r="CF959" s="50">
        <v>0</v>
      </c>
      <c r="CG959" s="49">
        <f t="shared" ca="1" si="391"/>
        <v>640487942.36528039</v>
      </c>
      <c r="CH959" s="33">
        <f t="shared" ca="1" si="384"/>
        <v>0.27497708524289644</v>
      </c>
      <c r="CI959" s="33">
        <f t="shared" ca="1" si="385"/>
        <v>0.27497708524289644</v>
      </c>
      <c r="CJ959" s="36">
        <f t="shared" ca="1" si="370"/>
        <v>27.486437613019898</v>
      </c>
      <c r="CK959" s="34">
        <f t="shared" si="371"/>
        <v>0</v>
      </c>
      <c r="CL959" s="21"/>
      <c r="CM959" s="35" t="str">
        <f t="shared" ref="CM959:CM970" ca="1" si="393">IF(CL959&gt;1/1/6,"LIQUIDADO",IF(BJ959=$BE$20003,"",IF(BJ959&gt;=TODAY(),"VIGENTE",IF(BJ959&lt;TODAY(),"TERMINADO",))))</f>
        <v>VIGENTE</v>
      </c>
      <c r="CN959" s="82"/>
      <c r="CO959" s="145"/>
      <c r="CP959" s="26"/>
      <c r="CQ959" s="83"/>
      <c r="CR959" s="83"/>
    </row>
    <row r="960" spans="1:98" ht="24.75" customHeight="1">
      <c r="A960" s="48" t="s">
        <v>7474</v>
      </c>
      <c r="B960" s="150" t="s">
        <v>7475</v>
      </c>
      <c r="C960" s="17" t="s">
        <v>1423</v>
      </c>
      <c r="D960" s="52" t="s">
        <v>1424</v>
      </c>
      <c r="E960" s="17" t="s">
        <v>1425</v>
      </c>
      <c r="F960" s="17" t="s">
        <v>1426</v>
      </c>
      <c r="G960" s="17" t="s">
        <v>1427</v>
      </c>
      <c r="H960" s="78">
        <v>9015392482</v>
      </c>
      <c r="I960" s="74" t="s">
        <v>7476</v>
      </c>
      <c r="J960" s="16" t="s">
        <v>7477</v>
      </c>
      <c r="K960" s="104"/>
      <c r="L960" s="96" t="s">
        <v>7478</v>
      </c>
      <c r="M960" s="16" t="s">
        <v>6261</v>
      </c>
      <c r="N960" s="342">
        <v>45646</v>
      </c>
      <c r="O960" s="342">
        <v>45653</v>
      </c>
      <c r="P960" s="342">
        <v>45656</v>
      </c>
      <c r="Q960" s="23">
        <f t="shared" si="387"/>
        <v>3</v>
      </c>
      <c r="R960" s="17" t="s">
        <v>242</v>
      </c>
      <c r="S960" s="16" t="s">
        <v>7479</v>
      </c>
      <c r="T960" s="16" t="s">
        <v>6965</v>
      </c>
      <c r="U960" s="67">
        <v>69563698</v>
      </c>
      <c r="V960" s="16" t="s">
        <v>6966</v>
      </c>
      <c r="W960" s="24">
        <v>69563698</v>
      </c>
      <c r="X960" s="24"/>
      <c r="Y960" s="24"/>
      <c r="Z960" s="24"/>
      <c r="AA960" s="17" t="s">
        <v>116</v>
      </c>
      <c r="AB960" s="23" t="str">
        <f>IFERROR(VLOOKUP(AA960,Listas!$A$1:$C$14,2,FALSE),"")</f>
        <v>FREDY CÉSPEDES VILLA</v>
      </c>
      <c r="AC960" s="23">
        <f>IFERROR(VLOOKUP(AA960,Listas!$A$1:$C$14,3,FALSE),"")</f>
        <v>93363483</v>
      </c>
      <c r="AD960" s="17" t="s">
        <v>116</v>
      </c>
      <c r="AE960" s="17" t="s">
        <v>659</v>
      </c>
      <c r="AF960" s="23" t="str">
        <f>IFERROR(VLOOKUP(AE960,Listas!$AD$1:$AF$65,2,FALSE),"")</f>
        <v>TATIANA FORERO TORRES</v>
      </c>
      <c r="AG960" s="23">
        <f>IFERROR(VLOOKUP(AE960,Listas!$AD$1:$AF$65,3,FALSE),"")</f>
        <v>1072446921</v>
      </c>
      <c r="AH960" s="17" t="s">
        <v>1434</v>
      </c>
      <c r="AI960" s="65"/>
      <c r="AJ960" s="25" t="s">
        <v>1435</v>
      </c>
      <c r="AK960" s="26" t="s">
        <v>2071</v>
      </c>
      <c r="AL960" s="26" t="s">
        <v>2071</v>
      </c>
      <c r="AM960" s="90" t="s">
        <v>1435</v>
      </c>
      <c r="AN960" s="105"/>
      <c r="AO960" s="91" t="str">
        <f t="shared" ca="1" si="388"/>
        <v xml:space="preserve"> </v>
      </c>
      <c r="AP960" s="26" t="s">
        <v>121</v>
      </c>
      <c r="AQ960" s="26" t="s">
        <v>220</v>
      </c>
      <c r="AR960" s="89"/>
      <c r="AS960" s="27"/>
      <c r="AT960" s="16"/>
      <c r="AU960" s="27"/>
      <c r="AV960" s="86"/>
      <c r="AW960" s="27"/>
      <c r="AX960" s="27"/>
      <c r="AY960" s="27"/>
      <c r="AZ960" s="27"/>
      <c r="BA960" s="27"/>
      <c r="BB960" s="27"/>
      <c r="BC960" s="97"/>
      <c r="BD960" s="27"/>
      <c r="BE960" s="16"/>
      <c r="BF960" s="28">
        <f t="shared" si="373"/>
        <v>0</v>
      </c>
      <c r="BG960" s="29"/>
      <c r="BH960" s="27"/>
      <c r="BI960" s="30">
        <f t="shared" si="374"/>
        <v>3</v>
      </c>
      <c r="BJ960" s="31">
        <f t="shared" si="375"/>
        <v>45656</v>
      </c>
      <c r="BK960" s="27"/>
      <c r="BL960" s="16"/>
      <c r="BM960" s="27"/>
      <c r="BN960" s="16"/>
      <c r="BO960" s="27"/>
      <c r="BP960" s="16"/>
      <c r="BQ960" s="27"/>
      <c r="BR960" s="24"/>
      <c r="BS960" s="24"/>
      <c r="BT960" s="32"/>
      <c r="BU960" s="27"/>
      <c r="BV960" s="24"/>
      <c r="BW960" s="24"/>
      <c r="BX960" s="16"/>
      <c r="BY960" s="27"/>
      <c r="BZ960" s="24"/>
      <c r="CA960" s="24"/>
      <c r="CB960" s="16"/>
      <c r="CC960" s="49">
        <f t="shared" si="376"/>
        <v>0</v>
      </c>
      <c r="CD960" s="24"/>
      <c r="CE960" s="49">
        <f t="shared" ref="CE960:CE991" si="394">IF(Y960=0,(W960+CC960)-CD960,IF(Y960&gt;0,(Y960+CC960)-CD960))</f>
        <v>69563698</v>
      </c>
      <c r="CF960" s="340">
        <v>63296553.068999998</v>
      </c>
      <c r="CG960" s="49">
        <f t="shared" ca="1" si="391"/>
        <v>69563698</v>
      </c>
      <c r="CH960" s="33">
        <f t="shared" ca="1" si="384"/>
        <v>1</v>
      </c>
      <c r="CI960" s="33">
        <f t="shared" ca="1" si="385"/>
        <v>1</v>
      </c>
      <c r="CJ960" s="36">
        <f t="shared" ca="1" si="370"/>
        <v>100</v>
      </c>
      <c r="CK960" s="34">
        <f t="shared" si="371"/>
        <v>90.990782389113349</v>
      </c>
      <c r="CL960" s="21"/>
      <c r="CM960" s="35" t="str">
        <f t="shared" ca="1" si="393"/>
        <v>TERMINADO</v>
      </c>
      <c r="CN960" s="82"/>
      <c r="CP960" s="26"/>
      <c r="CS960" s="48"/>
      <c r="CT960" s="77"/>
    </row>
    <row r="961" spans="1:98" ht="24.75" customHeight="1">
      <c r="A961" s="48" t="s">
        <v>7480</v>
      </c>
      <c r="B961" s="150" t="s">
        <v>7481</v>
      </c>
      <c r="C961" s="17" t="s">
        <v>104</v>
      </c>
      <c r="D961" s="52" t="s">
        <v>7482</v>
      </c>
      <c r="E961" s="17" t="s">
        <v>106</v>
      </c>
      <c r="F961" s="17" t="s">
        <v>1426</v>
      </c>
      <c r="G961" s="17" t="s">
        <v>1427</v>
      </c>
      <c r="H961" s="78" t="s">
        <v>7483</v>
      </c>
      <c r="I961" s="74" t="s">
        <v>7484</v>
      </c>
      <c r="J961" s="16" t="s">
        <v>7485</v>
      </c>
      <c r="K961" s="104">
        <v>16760440</v>
      </c>
      <c r="L961" s="96" t="s">
        <v>7486</v>
      </c>
      <c r="M961" s="16" t="s">
        <v>111</v>
      </c>
      <c r="N961" s="342">
        <v>45652</v>
      </c>
      <c r="O961" s="342">
        <v>45654</v>
      </c>
      <c r="P961" s="342">
        <v>45853</v>
      </c>
      <c r="Q961" s="23">
        <f t="shared" si="387"/>
        <v>199</v>
      </c>
      <c r="R961" s="17" t="s">
        <v>242</v>
      </c>
      <c r="S961" s="16" t="s">
        <v>7487</v>
      </c>
      <c r="T961" s="16" t="s">
        <v>7488</v>
      </c>
      <c r="U961" s="67">
        <v>2324380729</v>
      </c>
      <c r="V961" s="16" t="s">
        <v>7489</v>
      </c>
      <c r="W961" s="24">
        <v>2324380729</v>
      </c>
      <c r="X961" s="24"/>
      <c r="Y961" s="24"/>
      <c r="Z961" s="24"/>
      <c r="AA961" s="17" t="s">
        <v>116</v>
      </c>
      <c r="AB961" s="23" t="str">
        <f>IFERROR(VLOOKUP(AA961,Listas!$A$1:$C$14,2,FALSE),"")</f>
        <v>FREDY CÉSPEDES VILLA</v>
      </c>
      <c r="AC961" s="23">
        <f>IFERROR(VLOOKUP(AA961,Listas!$A$1:$C$14,3,FALSE),"")</f>
        <v>93363483</v>
      </c>
      <c r="AD961" s="17" t="s">
        <v>116</v>
      </c>
      <c r="AE961" s="17" t="s">
        <v>659</v>
      </c>
      <c r="AF961" s="23" t="str">
        <f>IFERROR(VLOOKUP(AE961,Listas!$AD$1:$AF$65,2,FALSE),"")</f>
        <v>TATIANA FORERO TORRES</v>
      </c>
      <c r="AG961" s="23">
        <f>IFERROR(VLOOKUP(AE961,Listas!$AD$1:$AF$65,3,FALSE),"")</f>
        <v>1072446921</v>
      </c>
      <c r="AH961" s="17" t="s">
        <v>6266</v>
      </c>
      <c r="AI961" s="65"/>
      <c r="AJ961" s="25" t="s">
        <v>1435</v>
      </c>
      <c r="AK961" s="26" t="s">
        <v>2071</v>
      </c>
      <c r="AL961" s="26" t="s">
        <v>2071</v>
      </c>
      <c r="AM961" s="90" t="s">
        <v>1435</v>
      </c>
      <c r="AN961" s="105"/>
      <c r="AO961" s="91" t="str">
        <f t="shared" ca="1" si="388"/>
        <v xml:space="preserve"> </v>
      </c>
      <c r="AP961" s="26" t="s">
        <v>121</v>
      </c>
      <c r="AQ961" s="26" t="s">
        <v>886</v>
      </c>
      <c r="AR961" s="89"/>
      <c r="AS961" s="27"/>
      <c r="AT961" s="16"/>
      <c r="AU961" s="27"/>
      <c r="AV961" s="86"/>
      <c r="AW961" s="27"/>
      <c r="AX961" s="27"/>
      <c r="AY961" s="27"/>
      <c r="AZ961" s="27"/>
      <c r="BA961" s="27"/>
      <c r="BB961" s="27"/>
      <c r="BC961" s="97"/>
      <c r="BD961" s="27"/>
      <c r="BE961" s="16"/>
      <c r="BF961" s="28">
        <f t="shared" si="373"/>
        <v>0</v>
      </c>
      <c r="BG961" s="29"/>
      <c r="BH961" s="27"/>
      <c r="BI961" s="30">
        <f t="shared" si="374"/>
        <v>199</v>
      </c>
      <c r="BJ961" s="31">
        <f t="shared" si="375"/>
        <v>45853</v>
      </c>
      <c r="BK961" s="27"/>
      <c r="BL961" s="16"/>
      <c r="BM961" s="27"/>
      <c r="BN961" s="16"/>
      <c r="BO961" s="27"/>
      <c r="BP961" s="16"/>
      <c r="BQ961" s="27"/>
      <c r="BR961" s="24"/>
      <c r="BS961" s="24"/>
      <c r="BT961" s="32"/>
      <c r="BU961" s="27"/>
      <c r="BV961" s="24"/>
      <c r="BW961" s="24"/>
      <c r="BX961" s="16"/>
      <c r="BY961" s="27"/>
      <c r="BZ961" s="24"/>
      <c r="CA961" s="24"/>
      <c r="CB961" s="16"/>
      <c r="CC961" s="49">
        <f t="shared" si="376"/>
        <v>0</v>
      </c>
      <c r="CD961" s="24"/>
      <c r="CE961" s="49">
        <f t="shared" si="394"/>
        <v>2324380729</v>
      </c>
      <c r="CF961" s="50">
        <v>0</v>
      </c>
      <c r="CG961" s="49">
        <f t="shared" ca="1" si="391"/>
        <v>2324380729</v>
      </c>
      <c r="CH961" s="33">
        <f t="shared" ca="1" si="384"/>
        <v>1</v>
      </c>
      <c r="CI961" s="33">
        <f t="shared" ca="1" si="385"/>
        <v>1</v>
      </c>
      <c r="CJ961" s="36">
        <f t="shared" ca="1" si="370"/>
        <v>100</v>
      </c>
      <c r="CK961" s="34">
        <f t="shared" si="371"/>
        <v>0</v>
      </c>
      <c r="CL961" s="21"/>
      <c r="CM961" s="35" t="str">
        <f t="shared" ca="1" si="393"/>
        <v>TERMINADO</v>
      </c>
      <c r="CN961" s="82"/>
      <c r="CP961" s="26"/>
      <c r="CS961" s="48"/>
      <c r="CT961" s="77"/>
    </row>
    <row r="962" spans="1:98" ht="24.75" customHeight="1">
      <c r="A962" s="48"/>
      <c r="B962" s="150" t="s">
        <v>7490</v>
      </c>
      <c r="C962" s="17" t="s">
        <v>104</v>
      </c>
      <c r="D962" s="52" t="s">
        <v>7491</v>
      </c>
      <c r="E962" s="17" t="s">
        <v>106</v>
      </c>
      <c r="F962" s="17" t="s">
        <v>1426</v>
      </c>
      <c r="G962" s="17" t="s">
        <v>1427</v>
      </c>
      <c r="H962" s="78" t="s">
        <v>7492</v>
      </c>
      <c r="I962" s="74" t="s">
        <v>7493</v>
      </c>
      <c r="J962" s="16" t="s">
        <v>7494</v>
      </c>
      <c r="K962" s="104">
        <v>37277095</v>
      </c>
      <c r="L962" s="96" t="s">
        <v>7495</v>
      </c>
      <c r="M962" s="16" t="s">
        <v>111</v>
      </c>
      <c r="N962" s="342">
        <v>45650</v>
      </c>
      <c r="O962" s="342">
        <v>45652</v>
      </c>
      <c r="P962" s="342">
        <v>46017</v>
      </c>
      <c r="Q962" s="23">
        <f t="shared" si="387"/>
        <v>365</v>
      </c>
      <c r="R962" s="17" t="s">
        <v>242</v>
      </c>
      <c r="S962" s="16" t="s">
        <v>7496</v>
      </c>
      <c r="T962" s="16"/>
      <c r="U962" s="67"/>
      <c r="V962" s="16"/>
      <c r="W962" s="24">
        <v>1790250000</v>
      </c>
      <c r="X962" s="24"/>
      <c r="Y962" s="24"/>
      <c r="Z962" s="24"/>
      <c r="AA962" s="17" t="s">
        <v>116</v>
      </c>
      <c r="AB962" s="23" t="str">
        <f>IFERROR(VLOOKUP(AA962,Listas!$A$1:$C$14,2,FALSE),"")</f>
        <v>FREDY CÉSPEDES VILLA</v>
      </c>
      <c r="AC962" s="23">
        <f>IFERROR(VLOOKUP(AA962,Listas!$A$1:$C$14,3,FALSE),"")</f>
        <v>93363483</v>
      </c>
      <c r="AD962" s="17" t="s">
        <v>116</v>
      </c>
      <c r="AE962" s="17" t="s">
        <v>972</v>
      </c>
      <c r="AF962" s="23" t="str">
        <f>IFERROR(VLOOKUP(AE962,Listas!$AD$1:$AF$65,2,FALSE),"")</f>
        <v>LUZ MARIELLY MORALES MARTÍNEZ</v>
      </c>
      <c r="AG962" s="23">
        <f>IFERROR(VLOOKUP(AE962,Listas!$AD$1:$AF$65,3,FALSE),"")</f>
        <v>24497384</v>
      </c>
      <c r="AH962" s="17"/>
      <c r="AI962" s="65"/>
      <c r="AJ962" s="25" t="s">
        <v>1435</v>
      </c>
      <c r="AK962" s="26" t="s">
        <v>2071</v>
      </c>
      <c r="AL962" s="26" t="s">
        <v>2071</v>
      </c>
      <c r="AM962" s="90" t="s">
        <v>1435</v>
      </c>
      <c r="AN962" s="105"/>
      <c r="AO962" s="91" t="str">
        <f t="shared" ca="1" si="388"/>
        <v xml:space="preserve"> </v>
      </c>
      <c r="AP962" s="26" t="s">
        <v>121</v>
      </c>
      <c r="AQ962" s="26"/>
      <c r="AR962" s="89"/>
      <c r="AS962" s="27"/>
      <c r="AT962" s="16"/>
      <c r="AU962" s="27"/>
      <c r="AV962" s="86"/>
      <c r="AW962" s="27"/>
      <c r="AX962" s="27"/>
      <c r="AY962" s="27"/>
      <c r="AZ962" s="27"/>
      <c r="BA962" s="27"/>
      <c r="BB962" s="27"/>
      <c r="BC962" s="97"/>
      <c r="BD962" s="27"/>
      <c r="BE962" s="16"/>
      <c r="BF962" s="28">
        <f t="shared" si="373"/>
        <v>0</v>
      </c>
      <c r="BG962" s="29"/>
      <c r="BH962" s="27"/>
      <c r="BI962" s="30">
        <f t="shared" si="374"/>
        <v>365</v>
      </c>
      <c r="BJ962" s="31">
        <f t="shared" si="375"/>
        <v>46017</v>
      </c>
      <c r="BK962" s="27"/>
      <c r="BL962" s="16"/>
      <c r="BM962" s="27"/>
      <c r="BN962" s="16"/>
      <c r="BO962" s="27"/>
      <c r="BP962" s="16"/>
      <c r="BQ962" s="27"/>
      <c r="BR962" s="24"/>
      <c r="BS962" s="24"/>
      <c r="BT962" s="32"/>
      <c r="BU962" s="27"/>
      <c r="BV962" s="24"/>
      <c r="BW962" s="24"/>
      <c r="BX962" s="16"/>
      <c r="BY962" s="27"/>
      <c r="BZ962" s="24"/>
      <c r="CA962" s="24"/>
      <c r="CB962" s="16"/>
      <c r="CC962" s="49">
        <f t="shared" si="376"/>
        <v>0</v>
      </c>
      <c r="CD962" s="24"/>
      <c r="CE962" s="49">
        <f t="shared" si="394"/>
        <v>1790250000</v>
      </c>
      <c r="CF962" s="341">
        <v>0</v>
      </c>
      <c r="CG962" s="49">
        <f t="shared" ca="1" si="391"/>
        <v>1471438356.1643834</v>
      </c>
      <c r="CH962" s="33">
        <f t="shared" ca="1" si="384"/>
        <v>0.81666666666666665</v>
      </c>
      <c r="CI962" s="33">
        <f t="shared" ca="1" si="385"/>
        <v>0.81666666666666665</v>
      </c>
      <c r="CJ962" s="36">
        <v>0</v>
      </c>
      <c r="CK962" s="34">
        <f t="shared" si="371"/>
        <v>0</v>
      </c>
      <c r="CL962" s="21"/>
      <c r="CM962" s="35" t="str">
        <f t="shared" ca="1" si="393"/>
        <v>VIGENTE</v>
      </c>
      <c r="CN962" s="82"/>
      <c r="CP962" s="26"/>
      <c r="CS962" s="48"/>
      <c r="CT962" s="77"/>
    </row>
    <row r="963" spans="1:98" s="85" customFormat="1" ht="24.75" customHeight="1">
      <c r="A963" s="48" t="s">
        <v>1424</v>
      </c>
      <c r="B963" s="150" t="s">
        <v>7497</v>
      </c>
      <c r="C963" s="17" t="s">
        <v>2927</v>
      </c>
      <c r="D963" s="52" t="s">
        <v>7498</v>
      </c>
      <c r="E963" s="17" t="s">
        <v>4162</v>
      </c>
      <c r="F963" s="17" t="s">
        <v>1426</v>
      </c>
      <c r="G963" s="17" t="s">
        <v>1427</v>
      </c>
      <c r="H963" s="78" t="s">
        <v>4677</v>
      </c>
      <c r="I963" s="74" t="s">
        <v>7499</v>
      </c>
      <c r="J963" s="16" t="s">
        <v>7500</v>
      </c>
      <c r="K963" s="104">
        <v>73350900</v>
      </c>
      <c r="L963" s="96" t="s">
        <v>7276</v>
      </c>
      <c r="M963" s="16"/>
      <c r="N963" s="342">
        <v>45650</v>
      </c>
      <c r="O963" s="342">
        <v>45650</v>
      </c>
      <c r="P963" s="342">
        <v>45800</v>
      </c>
      <c r="Q963" s="23">
        <f t="shared" si="387"/>
        <v>150</v>
      </c>
      <c r="R963" s="17" t="s">
        <v>2934</v>
      </c>
      <c r="S963" s="16" t="s">
        <v>1424</v>
      </c>
      <c r="T963" s="16" t="s">
        <v>1424</v>
      </c>
      <c r="U963" s="67">
        <v>0</v>
      </c>
      <c r="V963" s="16" t="s">
        <v>1424</v>
      </c>
      <c r="W963" s="24">
        <v>0</v>
      </c>
      <c r="X963" s="24"/>
      <c r="Y963" s="24">
        <v>5276388180.8100004</v>
      </c>
      <c r="Z963" s="339">
        <v>4182509</v>
      </c>
      <c r="AA963" s="17" t="s">
        <v>427</v>
      </c>
      <c r="AB963" s="23" t="str">
        <f>IFERROR(VLOOKUP(AA963,Listas!$A$1:$C$14,2,FALSE),"")</f>
        <v>DINORAH PATRICIA ABADIA MURILLO</v>
      </c>
      <c r="AC963" s="23">
        <f>IFERROR(VLOOKUP(AA963,Listas!$A$1:$C$14,3,FALSE),"")</f>
        <v>52220857</v>
      </c>
      <c r="AD963" s="17" t="s">
        <v>427</v>
      </c>
      <c r="AE963" s="17" t="s">
        <v>428</v>
      </c>
      <c r="AF963" s="23" t="str">
        <f>IFERROR(VLOOKUP(AE963,Listas!$AD$1:$AF$65,2,FALSE),"")</f>
        <v>DINORAH PATRICIA ABADIA MURILLO</v>
      </c>
      <c r="AG963" s="23">
        <f>IFERROR(VLOOKUP(AE963,Listas!$AD$1:$AF$65,3,FALSE),"")</f>
        <v>52220857</v>
      </c>
      <c r="AH963" s="17" t="s">
        <v>2936</v>
      </c>
      <c r="AI963" s="65"/>
      <c r="AJ963" s="25" t="s">
        <v>1435</v>
      </c>
      <c r="AK963" s="26" t="s">
        <v>2071</v>
      </c>
      <c r="AL963" s="26" t="s">
        <v>2071</v>
      </c>
      <c r="AM963" s="90" t="s">
        <v>1435</v>
      </c>
      <c r="AN963" s="105"/>
      <c r="AO963" s="91" t="str">
        <f t="shared" ca="1" si="388"/>
        <v xml:space="preserve"> </v>
      </c>
      <c r="AP963" s="26" t="s">
        <v>2937</v>
      </c>
      <c r="AQ963" s="26" t="s">
        <v>2938</v>
      </c>
      <c r="AR963" s="89"/>
      <c r="AS963" s="27"/>
      <c r="AT963" s="16"/>
      <c r="AU963" s="27"/>
      <c r="AV963" s="86"/>
      <c r="AW963" s="27"/>
      <c r="AX963" s="27"/>
      <c r="AY963" s="27"/>
      <c r="AZ963" s="27"/>
      <c r="BA963" s="27"/>
      <c r="BB963" s="27">
        <v>45799</v>
      </c>
      <c r="BC963" s="97">
        <v>62</v>
      </c>
      <c r="BD963" s="27"/>
      <c r="BE963" s="16"/>
      <c r="BF963" s="28">
        <f t="shared" si="373"/>
        <v>62</v>
      </c>
      <c r="BG963" s="29"/>
      <c r="BH963" s="27"/>
      <c r="BI963" s="30">
        <f t="shared" si="374"/>
        <v>212</v>
      </c>
      <c r="BJ963" s="31">
        <f t="shared" si="375"/>
        <v>45862</v>
      </c>
      <c r="BK963" s="27">
        <v>45799</v>
      </c>
      <c r="BL963" s="16" t="s">
        <v>7501</v>
      </c>
      <c r="BM963" s="27"/>
      <c r="BN963" s="16"/>
      <c r="BO963" s="27"/>
      <c r="BP963" s="16"/>
      <c r="BQ963" s="27"/>
      <c r="BR963" s="24"/>
      <c r="BS963" s="24"/>
      <c r="BT963" s="32"/>
      <c r="BU963" s="27"/>
      <c r="BV963" s="24"/>
      <c r="BW963" s="24"/>
      <c r="BX963" s="16"/>
      <c r="BY963" s="27"/>
      <c r="BZ963" s="24"/>
      <c r="CA963" s="24"/>
      <c r="CB963" s="16"/>
      <c r="CC963" s="49">
        <f t="shared" si="376"/>
        <v>0</v>
      </c>
      <c r="CD963" s="24"/>
      <c r="CE963" s="49">
        <f t="shared" si="394"/>
        <v>5276388180.8100004</v>
      </c>
      <c r="CF963" s="50">
        <v>0</v>
      </c>
      <c r="CG963" s="49">
        <f t="shared" ca="1" si="391"/>
        <v>5276388180.8100004</v>
      </c>
      <c r="CH963" s="33">
        <f t="shared" ca="1" si="384"/>
        <v>1</v>
      </c>
      <c r="CI963" s="33">
        <f t="shared" ca="1" si="385"/>
        <v>1</v>
      </c>
      <c r="CJ963" s="36">
        <f t="shared" ca="1" si="370"/>
        <v>100</v>
      </c>
      <c r="CK963" s="34">
        <f t="shared" si="371"/>
        <v>0</v>
      </c>
      <c r="CL963" s="21"/>
      <c r="CM963" s="35" t="str">
        <f t="shared" ca="1" si="393"/>
        <v>TERMINADO</v>
      </c>
      <c r="CN963" s="82"/>
      <c r="CO963" s="145"/>
      <c r="CP963" s="26"/>
      <c r="CQ963" s="83"/>
      <c r="CR963" s="83"/>
      <c r="CS963" s="48"/>
      <c r="CT963" s="77"/>
    </row>
    <row r="964" spans="1:98" s="222" customFormat="1" ht="24.75" customHeight="1">
      <c r="A964" s="48" t="s">
        <v>7502</v>
      </c>
      <c r="B964" s="150" t="s">
        <v>7503</v>
      </c>
      <c r="C964" s="17" t="s">
        <v>104</v>
      </c>
      <c r="D964" s="52" t="s">
        <v>7504</v>
      </c>
      <c r="E964" s="17" t="s">
        <v>2063</v>
      </c>
      <c r="F964" s="17" t="s">
        <v>107</v>
      </c>
      <c r="G964" s="17" t="s">
        <v>108</v>
      </c>
      <c r="H964" s="78">
        <v>37003791</v>
      </c>
      <c r="I964" s="74" t="s">
        <v>7505</v>
      </c>
      <c r="J964" s="16"/>
      <c r="K964" s="104"/>
      <c r="L964" s="96" t="s">
        <v>7506</v>
      </c>
      <c r="M964" s="16" t="s">
        <v>3716</v>
      </c>
      <c r="N964" s="342">
        <v>45652</v>
      </c>
      <c r="O964" s="342">
        <v>45658</v>
      </c>
      <c r="P964" s="342">
        <v>46386</v>
      </c>
      <c r="Q964" s="23">
        <f t="shared" ref="Q964:Q995" si="395">P964-O964</f>
        <v>728</v>
      </c>
      <c r="R964" s="17" t="s">
        <v>242</v>
      </c>
      <c r="S964" s="16" t="s">
        <v>7507</v>
      </c>
      <c r="T964" s="16" t="s">
        <v>2069</v>
      </c>
      <c r="U964" s="67">
        <v>216962196</v>
      </c>
      <c r="V964" s="16" t="s">
        <v>7508</v>
      </c>
      <c r="W964" s="24">
        <v>98380649</v>
      </c>
      <c r="X964" s="24">
        <v>8198367</v>
      </c>
      <c r="Y964" s="24"/>
      <c r="Z964" s="24"/>
      <c r="AA964" s="17" t="s">
        <v>116</v>
      </c>
      <c r="AB964" s="23" t="str">
        <f>IFERROR(VLOOKUP(AA964,Listas!$A$1:$C$14,2,FALSE),"")</f>
        <v>FREDY CÉSPEDES VILLA</v>
      </c>
      <c r="AC964" s="23">
        <f>IFERROR(VLOOKUP(AA964,Listas!$A$1:$C$14,3,FALSE),"")</f>
        <v>93363483</v>
      </c>
      <c r="AD964" s="17" t="s">
        <v>116</v>
      </c>
      <c r="AE964" s="17" t="s">
        <v>659</v>
      </c>
      <c r="AF964" s="23" t="str">
        <f>IFERROR(VLOOKUP(AE964,Listas!$AD$1:$AF$65,2,FALSE),"")</f>
        <v>TATIANA FORERO TORRES</v>
      </c>
      <c r="AG964" s="23">
        <f>IFERROR(VLOOKUP(AE964,Listas!$AD$1:$AF$65,3,FALSE),"")</f>
        <v>1072446921</v>
      </c>
      <c r="AH964" s="17" t="s">
        <v>118</v>
      </c>
      <c r="AI964" s="65"/>
      <c r="AJ964" s="25" t="s">
        <v>1435</v>
      </c>
      <c r="AK964" s="26" t="s">
        <v>2071</v>
      </c>
      <c r="AL964" s="26" t="s">
        <v>2071</v>
      </c>
      <c r="AM964" s="90" t="s">
        <v>1435</v>
      </c>
      <c r="AN964" s="105"/>
      <c r="AO964" s="91" t="str">
        <f t="shared" ca="1" si="388"/>
        <v xml:space="preserve"> </v>
      </c>
      <c r="AP964" s="26" t="s">
        <v>121</v>
      </c>
      <c r="AQ964" s="26" t="s">
        <v>409</v>
      </c>
      <c r="AR964" s="89"/>
      <c r="AS964" s="27"/>
      <c r="AT964" s="16"/>
      <c r="AU964" s="27"/>
      <c r="AV964" s="86"/>
      <c r="AW964" s="27"/>
      <c r="AX964" s="27"/>
      <c r="AY964" s="27"/>
      <c r="AZ964" s="27"/>
      <c r="BA964" s="27"/>
      <c r="BB964" s="27"/>
      <c r="BC964" s="97"/>
      <c r="BD964" s="27"/>
      <c r="BE964" s="16"/>
      <c r="BF964" s="28">
        <f t="shared" si="373"/>
        <v>0</v>
      </c>
      <c r="BG964" s="29"/>
      <c r="BH964" s="27"/>
      <c r="BI964" s="30">
        <f t="shared" si="374"/>
        <v>728</v>
      </c>
      <c r="BJ964" s="31">
        <f t="shared" si="375"/>
        <v>46386</v>
      </c>
      <c r="BK964" s="27"/>
      <c r="BL964" s="16"/>
      <c r="BM964" s="27"/>
      <c r="BN964" s="16"/>
      <c r="BO964" s="27"/>
      <c r="BP964" s="16"/>
      <c r="BQ964" s="27"/>
      <c r="BR964" s="24"/>
      <c r="BS964" s="24"/>
      <c r="BT964" s="32"/>
      <c r="BU964" s="27"/>
      <c r="BV964" s="24"/>
      <c r="BW964" s="24"/>
      <c r="BX964" s="16"/>
      <c r="BY964" s="27"/>
      <c r="BZ964" s="24"/>
      <c r="CA964" s="24"/>
      <c r="CB964" s="16"/>
      <c r="CC964" s="49">
        <f t="shared" si="376"/>
        <v>0</v>
      </c>
      <c r="CD964" s="24"/>
      <c r="CE964" s="49">
        <f t="shared" si="394"/>
        <v>98380649</v>
      </c>
      <c r="CF964" s="50">
        <v>0</v>
      </c>
      <c r="CG964" s="49">
        <f t="shared" ca="1" si="391"/>
        <v>40271199.728021972</v>
      </c>
      <c r="CH964" s="33">
        <f t="shared" ca="1" si="384"/>
        <v>0.40194714881780252</v>
      </c>
      <c r="CI964" s="33">
        <f t="shared" ca="1" si="385"/>
        <v>0.40194714881780252</v>
      </c>
      <c r="CJ964" s="36">
        <f t="shared" ca="1" si="370"/>
        <v>40.934065934065927</v>
      </c>
      <c r="CK964" s="34">
        <f t="shared" si="371"/>
        <v>0</v>
      </c>
      <c r="CL964" s="21"/>
      <c r="CM964" s="35" t="str">
        <f t="shared" ca="1" si="393"/>
        <v>VIGENTE</v>
      </c>
      <c r="CN964" s="82"/>
      <c r="CO964" s="145"/>
      <c r="CP964" s="26"/>
      <c r="CQ964" s="83"/>
      <c r="CR964" s="83"/>
      <c r="CS964" s="48"/>
      <c r="CT964" s="77"/>
    </row>
    <row r="965" spans="1:98" s="222" customFormat="1" ht="24.75" customHeight="1">
      <c r="A965" s="48" t="s">
        <v>7509</v>
      </c>
      <c r="B965" s="150" t="s">
        <v>7510</v>
      </c>
      <c r="C965" s="17" t="s">
        <v>104</v>
      </c>
      <c r="D965" s="52" t="s">
        <v>7511</v>
      </c>
      <c r="E965" s="17" t="s">
        <v>4162</v>
      </c>
      <c r="F965" s="17" t="s">
        <v>1426</v>
      </c>
      <c r="G965" s="17" t="s">
        <v>1427</v>
      </c>
      <c r="H965" s="78" t="s">
        <v>7512</v>
      </c>
      <c r="I965" s="74" t="s">
        <v>7513</v>
      </c>
      <c r="J965" s="16" t="s">
        <v>7514</v>
      </c>
      <c r="K965" s="104">
        <v>79786878</v>
      </c>
      <c r="L965" s="96" t="s">
        <v>7515</v>
      </c>
      <c r="M965" s="16" t="s">
        <v>111</v>
      </c>
      <c r="N965" s="342">
        <v>45652</v>
      </c>
      <c r="O965" s="342">
        <v>45652</v>
      </c>
      <c r="P965" s="342">
        <v>45656</v>
      </c>
      <c r="Q965" s="23">
        <f t="shared" si="395"/>
        <v>4</v>
      </c>
      <c r="R965" s="17" t="s">
        <v>242</v>
      </c>
      <c r="S965" s="16" t="s">
        <v>7516</v>
      </c>
      <c r="T965" s="16" t="s">
        <v>7517</v>
      </c>
      <c r="U965" s="67">
        <v>37336387</v>
      </c>
      <c r="V965" s="16" t="s">
        <v>7518</v>
      </c>
      <c r="W965" s="24">
        <v>2322000</v>
      </c>
      <c r="X965" s="24">
        <v>2322000</v>
      </c>
      <c r="Y965" s="24"/>
      <c r="Z965" s="24"/>
      <c r="AA965" s="17" t="s">
        <v>116</v>
      </c>
      <c r="AB965" s="23" t="str">
        <f>IFERROR(VLOOKUP(AA965,Listas!$A$1:$C$14,2,FALSE),"")</f>
        <v>FREDY CÉSPEDES VILLA</v>
      </c>
      <c r="AC965" s="23">
        <f>IFERROR(VLOOKUP(AA965,Listas!$A$1:$C$14,3,FALSE),"")</f>
        <v>93363483</v>
      </c>
      <c r="AD965" s="17" t="s">
        <v>116</v>
      </c>
      <c r="AE965" s="17" t="s">
        <v>659</v>
      </c>
      <c r="AF965" s="23" t="str">
        <f>IFERROR(VLOOKUP(AE965,Listas!$AD$1:$AF$65,2,FALSE),"")</f>
        <v>TATIANA FORERO TORRES</v>
      </c>
      <c r="AG965" s="23">
        <f>IFERROR(VLOOKUP(AE965,Listas!$AD$1:$AF$65,3,FALSE),"")</f>
        <v>1072446921</v>
      </c>
      <c r="AH965" s="17" t="s">
        <v>5821</v>
      </c>
      <c r="AI965" s="65"/>
      <c r="AJ965" s="25" t="s">
        <v>1435</v>
      </c>
      <c r="AK965" s="26" t="s">
        <v>2071</v>
      </c>
      <c r="AL965" s="26" t="s">
        <v>2071</v>
      </c>
      <c r="AM965" s="90" t="s">
        <v>1435</v>
      </c>
      <c r="AN965" s="105"/>
      <c r="AO965" s="91" t="str">
        <f t="shared" ca="1" si="388"/>
        <v xml:space="preserve"> </v>
      </c>
      <c r="AP965" s="26" t="s">
        <v>121</v>
      </c>
      <c r="AQ965" s="26" t="s">
        <v>886</v>
      </c>
      <c r="AR965" s="89"/>
      <c r="AS965" s="27"/>
      <c r="AT965" s="16"/>
      <c r="AU965" s="27"/>
      <c r="AV965" s="86"/>
      <c r="AW965" s="27"/>
      <c r="AX965" s="27"/>
      <c r="AY965" s="27"/>
      <c r="AZ965" s="27"/>
      <c r="BA965" s="27"/>
      <c r="BB965" s="27"/>
      <c r="BC965" s="97"/>
      <c r="BD965" s="27"/>
      <c r="BE965" s="16"/>
      <c r="BF965" s="28">
        <f t="shared" si="373"/>
        <v>0</v>
      </c>
      <c r="BG965" s="29"/>
      <c r="BH965" s="27"/>
      <c r="BI965" s="30">
        <f t="shared" si="374"/>
        <v>4</v>
      </c>
      <c r="BJ965" s="31">
        <f t="shared" si="375"/>
        <v>45656</v>
      </c>
      <c r="BK965" s="27"/>
      <c r="BL965" s="16"/>
      <c r="BM965" s="27"/>
      <c r="BN965" s="16"/>
      <c r="BO965" s="27"/>
      <c r="BP965" s="16"/>
      <c r="BQ965" s="27"/>
      <c r="BR965" s="24"/>
      <c r="BS965" s="24"/>
      <c r="BT965" s="32"/>
      <c r="BU965" s="27"/>
      <c r="BV965" s="24"/>
      <c r="BW965" s="24"/>
      <c r="BX965" s="16"/>
      <c r="BY965" s="27"/>
      <c r="BZ965" s="24"/>
      <c r="CA965" s="24"/>
      <c r="CB965" s="16"/>
      <c r="CC965" s="49">
        <f t="shared" si="376"/>
        <v>0</v>
      </c>
      <c r="CD965" s="24"/>
      <c r="CE965" s="49">
        <f t="shared" si="394"/>
        <v>2322000</v>
      </c>
      <c r="CF965" s="50">
        <v>2322000</v>
      </c>
      <c r="CG965" s="49">
        <f t="shared" ca="1" si="391"/>
        <v>2322000</v>
      </c>
      <c r="CH965" s="33">
        <f t="shared" ca="1" si="384"/>
        <v>1</v>
      </c>
      <c r="CI965" s="33">
        <f t="shared" ca="1" si="385"/>
        <v>1</v>
      </c>
      <c r="CJ965" s="36">
        <f t="shared" ca="1" si="370"/>
        <v>100</v>
      </c>
      <c r="CK965" s="34">
        <f t="shared" si="371"/>
        <v>100</v>
      </c>
      <c r="CL965" s="21"/>
      <c r="CM965" s="35" t="str">
        <f t="shared" ca="1" si="393"/>
        <v>TERMINADO</v>
      </c>
      <c r="CN965" s="82"/>
      <c r="CO965" s="145"/>
      <c r="CP965" s="26"/>
      <c r="CQ965" s="83"/>
      <c r="CR965" s="83"/>
      <c r="CS965" s="48"/>
      <c r="CT965" s="77"/>
    </row>
    <row r="966" spans="1:98" s="222" customFormat="1" ht="24.75" customHeight="1">
      <c r="A966" s="48"/>
      <c r="B966" s="150" t="s">
        <v>7519</v>
      </c>
      <c r="C966" s="17" t="s">
        <v>104</v>
      </c>
      <c r="D966" s="52" t="s">
        <v>7520</v>
      </c>
      <c r="E966" s="17" t="s">
        <v>2063</v>
      </c>
      <c r="F966" s="17" t="s">
        <v>107</v>
      </c>
      <c r="G966" s="17" t="s">
        <v>108</v>
      </c>
      <c r="H966" s="78">
        <v>4080047</v>
      </c>
      <c r="I966" s="74" t="s">
        <v>6118</v>
      </c>
      <c r="J966" s="16"/>
      <c r="K966" s="104"/>
      <c r="L966" s="96" t="s">
        <v>7521</v>
      </c>
      <c r="M966" s="16" t="s">
        <v>6120</v>
      </c>
      <c r="N966" s="342">
        <v>45650</v>
      </c>
      <c r="O966" s="342">
        <v>45658</v>
      </c>
      <c r="P966" s="342">
        <v>46387</v>
      </c>
      <c r="Q966" s="23">
        <f t="shared" si="395"/>
        <v>729</v>
      </c>
      <c r="R966" s="17" t="s">
        <v>242</v>
      </c>
      <c r="S966" s="16" t="s">
        <v>7522</v>
      </c>
      <c r="T966" s="16" t="s">
        <v>2069</v>
      </c>
      <c r="U966" s="67">
        <v>66758520</v>
      </c>
      <c r="V966" s="16" t="s">
        <v>7508</v>
      </c>
      <c r="W966" s="24">
        <v>66758520</v>
      </c>
      <c r="X966" s="24">
        <v>2737800</v>
      </c>
      <c r="Y966" s="24"/>
      <c r="Z966" s="24"/>
      <c r="AA966" s="17" t="s">
        <v>116</v>
      </c>
      <c r="AB966" s="23" t="str">
        <f>IFERROR(VLOOKUP(AA966,Listas!$A$1:$C$14,2,FALSE),"")</f>
        <v>FREDY CÉSPEDES VILLA</v>
      </c>
      <c r="AC966" s="23">
        <f>IFERROR(VLOOKUP(AA966,Listas!$A$1:$C$14,3,FALSE),"")</f>
        <v>93363483</v>
      </c>
      <c r="AD966" s="17" t="s">
        <v>116</v>
      </c>
      <c r="AE966" s="17" t="s">
        <v>659</v>
      </c>
      <c r="AF966" s="23" t="str">
        <f>IFERROR(VLOOKUP(AE966,Listas!$AD$1:$AF$65,2,FALSE),"")</f>
        <v>TATIANA FORERO TORRES</v>
      </c>
      <c r="AG966" s="23">
        <f>IFERROR(VLOOKUP(AE966,Listas!$AD$1:$AF$65,3,FALSE),"")</f>
        <v>1072446921</v>
      </c>
      <c r="AH966" s="17" t="s">
        <v>118</v>
      </c>
      <c r="AI966" s="65"/>
      <c r="AJ966" s="25" t="s">
        <v>1435</v>
      </c>
      <c r="AK966" s="26" t="s">
        <v>2071</v>
      </c>
      <c r="AL966" s="26" t="s">
        <v>2071</v>
      </c>
      <c r="AM966" s="90" t="s">
        <v>1435</v>
      </c>
      <c r="AN966" s="105"/>
      <c r="AO966" s="91" t="str">
        <f t="shared" ca="1" si="388"/>
        <v xml:space="preserve"> </v>
      </c>
      <c r="AP966" s="26" t="s">
        <v>121</v>
      </c>
      <c r="AQ966" s="26" t="s">
        <v>285</v>
      </c>
      <c r="AR966" s="89"/>
      <c r="AS966" s="27"/>
      <c r="AT966" s="16"/>
      <c r="AU966" s="27"/>
      <c r="AV966" s="86"/>
      <c r="AW966" s="27"/>
      <c r="AX966" s="27"/>
      <c r="AY966" s="27"/>
      <c r="AZ966" s="27"/>
      <c r="BA966" s="27"/>
      <c r="BB966" s="27"/>
      <c r="BC966" s="97"/>
      <c r="BD966" s="27"/>
      <c r="BE966" s="16"/>
      <c r="BF966" s="28">
        <f t="shared" si="373"/>
        <v>0</v>
      </c>
      <c r="BG966" s="29"/>
      <c r="BH966" s="27"/>
      <c r="BI966" s="30">
        <f t="shared" si="374"/>
        <v>729</v>
      </c>
      <c r="BJ966" s="31">
        <f t="shared" si="375"/>
        <v>46387</v>
      </c>
      <c r="BK966" s="27"/>
      <c r="BL966" s="16"/>
      <c r="BM966" s="27"/>
      <c r="BN966" s="16"/>
      <c r="BO966" s="27"/>
      <c r="BP966" s="16"/>
      <c r="BQ966" s="27"/>
      <c r="BR966" s="24"/>
      <c r="BS966" s="24"/>
      <c r="BT966" s="32"/>
      <c r="BU966" s="27"/>
      <c r="BV966" s="24"/>
      <c r="BW966" s="24"/>
      <c r="BX966" s="16"/>
      <c r="BY966" s="27"/>
      <c r="BZ966" s="24"/>
      <c r="CA966" s="24"/>
      <c r="CB966" s="16"/>
      <c r="CC966" s="49">
        <f t="shared" si="376"/>
        <v>0</v>
      </c>
      <c r="CD966" s="24"/>
      <c r="CE966" s="49">
        <f t="shared" si="394"/>
        <v>66758520</v>
      </c>
      <c r="CF966" s="50">
        <v>0</v>
      </c>
      <c r="CG966" s="49">
        <f t="shared" ca="1" si="391"/>
        <v>27472641.975308642</v>
      </c>
      <c r="CH966" s="33">
        <f t="shared" ca="1" si="384"/>
        <v>0.40138888888888891</v>
      </c>
      <c r="CI966" s="33">
        <f t="shared" ca="1" si="385"/>
        <v>0.40138888888888891</v>
      </c>
      <c r="CJ966" s="36">
        <f t="shared" ca="1" si="370"/>
        <v>41.152263374485599</v>
      </c>
      <c r="CK966" s="34">
        <f t="shared" si="371"/>
        <v>0</v>
      </c>
      <c r="CL966" s="21"/>
      <c r="CM966" s="35" t="str">
        <f t="shared" ca="1" si="393"/>
        <v>VIGENTE</v>
      </c>
      <c r="CN966" s="82"/>
      <c r="CO966" s="145"/>
      <c r="CP966" s="26"/>
      <c r="CQ966" s="83"/>
      <c r="CR966" s="83"/>
      <c r="CS966" s="48"/>
      <c r="CT966" s="77"/>
    </row>
    <row r="967" spans="1:98" s="85" customFormat="1" ht="24.75" customHeight="1">
      <c r="A967" s="48" t="s">
        <v>7523</v>
      </c>
      <c r="B967" s="150" t="s">
        <v>7524</v>
      </c>
      <c r="C967" s="17" t="s">
        <v>1423</v>
      </c>
      <c r="D967" s="52" t="s">
        <v>7525</v>
      </c>
      <c r="E967" s="17" t="s">
        <v>4162</v>
      </c>
      <c r="F967" s="17" t="s">
        <v>1426</v>
      </c>
      <c r="G967" s="17" t="s">
        <v>1427</v>
      </c>
      <c r="H967" s="78" t="s">
        <v>7526</v>
      </c>
      <c r="I967" s="74" t="s">
        <v>7527</v>
      </c>
      <c r="J967" s="16" t="s">
        <v>7528</v>
      </c>
      <c r="K967" s="104"/>
      <c r="L967" s="96" t="s">
        <v>7529</v>
      </c>
      <c r="M967" s="16" t="s">
        <v>6261</v>
      </c>
      <c r="N967" s="342">
        <v>45649</v>
      </c>
      <c r="O967" s="342">
        <v>45652</v>
      </c>
      <c r="P967" s="342">
        <v>46016</v>
      </c>
      <c r="Q967" s="23">
        <f t="shared" si="395"/>
        <v>364</v>
      </c>
      <c r="R967" s="17" t="s">
        <v>242</v>
      </c>
      <c r="S967" s="16" t="s">
        <v>7530</v>
      </c>
      <c r="T967" s="16" t="s">
        <v>2811</v>
      </c>
      <c r="U967" s="67">
        <v>16612400</v>
      </c>
      <c r="V967" s="16" t="s">
        <v>5996</v>
      </c>
      <c r="W967" s="24">
        <v>16612400</v>
      </c>
      <c r="X967" s="24"/>
      <c r="Y967" s="24"/>
      <c r="Z967" s="24"/>
      <c r="AA967" s="17" t="s">
        <v>116</v>
      </c>
      <c r="AB967" s="23">
        <v>0</v>
      </c>
      <c r="AC967" s="23">
        <f>IFERROR(VLOOKUP(AA967,Listas!$A$1:$C$14,3,FALSE),"")</f>
        <v>93363483</v>
      </c>
      <c r="AD967" s="17" t="s">
        <v>816</v>
      </c>
      <c r="AE967" s="17" t="s">
        <v>2450</v>
      </c>
      <c r="AF967" s="23" t="str">
        <f>IFERROR(VLOOKUP(AE967,Listas!$AD$1:$AF$65,2,FALSE),"")</f>
        <v>VICTOR MANUEL MONDRAGÓN MACA</v>
      </c>
      <c r="AG967" s="23">
        <f>IFERROR(VLOOKUP(AE967,Listas!$AD$1:$AF$65,3,FALSE),"")</f>
        <v>76322322</v>
      </c>
      <c r="AH967" s="17" t="s">
        <v>1434</v>
      </c>
      <c r="AI967" s="65"/>
      <c r="AJ967" s="25" t="s">
        <v>1435</v>
      </c>
      <c r="AK967" s="26" t="s">
        <v>2071</v>
      </c>
      <c r="AL967" s="26" t="s">
        <v>2071</v>
      </c>
      <c r="AM967" s="90" t="s">
        <v>1435</v>
      </c>
      <c r="AN967" s="105"/>
      <c r="AO967" s="91" t="str">
        <f t="shared" ref="AO967:AO998" ca="1" si="396">IF(YEAR(TODAY())-YEAR(AN967)&gt;100," ",YEAR(TODAY())-YEAR(AN967))</f>
        <v xml:space="preserve"> </v>
      </c>
      <c r="AP967" s="26" t="s">
        <v>121</v>
      </c>
      <c r="AQ967" s="26" t="s">
        <v>327</v>
      </c>
      <c r="AR967" s="89"/>
      <c r="AS967" s="27"/>
      <c r="AT967" s="16"/>
      <c r="AU967" s="27"/>
      <c r="AV967" s="86"/>
      <c r="AW967" s="27"/>
      <c r="AX967" s="27"/>
      <c r="AY967" s="27"/>
      <c r="AZ967" s="27"/>
      <c r="BA967" s="27"/>
      <c r="BB967" s="27"/>
      <c r="BC967" s="97"/>
      <c r="BD967" s="27"/>
      <c r="BE967" s="16"/>
      <c r="BF967" s="28">
        <f t="shared" si="373"/>
        <v>0</v>
      </c>
      <c r="BG967" s="29"/>
      <c r="BH967" s="27"/>
      <c r="BI967" s="30">
        <f t="shared" si="374"/>
        <v>364</v>
      </c>
      <c r="BJ967" s="31">
        <f t="shared" si="375"/>
        <v>46016</v>
      </c>
      <c r="BK967" s="27"/>
      <c r="BL967" s="16"/>
      <c r="BM967" s="27"/>
      <c r="BN967" s="16"/>
      <c r="BO967" s="27"/>
      <c r="BP967" s="16"/>
      <c r="BQ967" s="27"/>
      <c r="BR967" s="24"/>
      <c r="BS967" s="24"/>
      <c r="BT967" s="32"/>
      <c r="BU967" s="27"/>
      <c r="BV967" s="24"/>
      <c r="BW967" s="24"/>
      <c r="BX967" s="16"/>
      <c r="BY967" s="27"/>
      <c r="BZ967" s="24"/>
      <c r="CA967" s="24"/>
      <c r="CB967" s="16"/>
      <c r="CC967" s="49">
        <f t="shared" si="376"/>
        <v>0</v>
      </c>
      <c r="CD967" s="24"/>
      <c r="CE967" s="49">
        <f t="shared" si="394"/>
        <v>16612400</v>
      </c>
      <c r="CF967" s="50">
        <v>107664665</v>
      </c>
      <c r="CG967" s="49">
        <f t="shared" ca="1" si="391"/>
        <v>13737176.923076924</v>
      </c>
      <c r="CH967" s="33">
        <f t="shared" ca="1" si="384"/>
        <v>0.81894150417827294</v>
      </c>
      <c r="CI967" s="33">
        <f t="shared" ca="1" si="385"/>
        <v>0.81894150417827294</v>
      </c>
      <c r="CJ967" s="36">
        <f t="shared" ca="1" si="370"/>
        <v>82.692307692307693</v>
      </c>
      <c r="CK967" s="34">
        <f t="shared" si="371"/>
        <v>648.09819773181482</v>
      </c>
      <c r="CL967" s="21"/>
      <c r="CM967" s="35" t="str">
        <f t="shared" ca="1" si="393"/>
        <v>VIGENTE</v>
      </c>
      <c r="CN967" s="82"/>
      <c r="CO967" s="145"/>
      <c r="CP967" s="26"/>
      <c r="CQ967" s="83"/>
      <c r="CR967" s="83"/>
      <c r="CS967" s="48"/>
      <c r="CT967" s="77"/>
    </row>
    <row r="968" spans="1:98" ht="24.75" customHeight="1">
      <c r="A968" s="48" t="s">
        <v>7531</v>
      </c>
      <c r="B968" s="150" t="s">
        <v>7532</v>
      </c>
      <c r="C968" s="17" t="s">
        <v>104</v>
      </c>
      <c r="D968" s="52" t="s">
        <v>7533</v>
      </c>
      <c r="E968" s="17" t="s">
        <v>2063</v>
      </c>
      <c r="F968" s="17" t="s">
        <v>1426</v>
      </c>
      <c r="G968" s="17" t="s">
        <v>1427</v>
      </c>
      <c r="H968" s="78">
        <v>9010583605</v>
      </c>
      <c r="I968" s="74" t="s">
        <v>7534</v>
      </c>
      <c r="J968" s="16" t="s">
        <v>7535</v>
      </c>
      <c r="K968" s="104">
        <v>18003707</v>
      </c>
      <c r="L968" s="96" t="s">
        <v>7536</v>
      </c>
      <c r="M968" s="16" t="s">
        <v>7537</v>
      </c>
      <c r="N968" s="342">
        <v>45652</v>
      </c>
      <c r="O968" s="342">
        <v>45658</v>
      </c>
      <c r="P968" s="342">
        <v>46387</v>
      </c>
      <c r="Q968" s="23">
        <f t="shared" si="395"/>
        <v>729</v>
      </c>
      <c r="R968" s="17" t="s">
        <v>242</v>
      </c>
      <c r="S968" s="16" t="s">
        <v>7538</v>
      </c>
      <c r="T968" s="16" t="s">
        <v>2069</v>
      </c>
      <c r="U968" s="67">
        <v>179734464</v>
      </c>
      <c r="V968" s="16" t="s">
        <v>2070</v>
      </c>
      <c r="W968" s="24">
        <v>179734464</v>
      </c>
      <c r="X968" s="24"/>
      <c r="Y968" s="24"/>
      <c r="Z968" s="24"/>
      <c r="AA968" s="17" t="s">
        <v>116</v>
      </c>
      <c r="AB968" s="23" t="str">
        <f>IFERROR(VLOOKUP(AA968,Listas!$A$1:$C$14,2,FALSE),"")</f>
        <v>FREDY CÉSPEDES VILLA</v>
      </c>
      <c r="AC968" s="23">
        <f>IFERROR(VLOOKUP(AA968,Listas!$A$1:$C$14,3,FALSE),"")</f>
        <v>93363483</v>
      </c>
      <c r="AD968" s="17" t="s">
        <v>345</v>
      </c>
      <c r="AE968" s="17" t="s">
        <v>346</v>
      </c>
      <c r="AF968" s="23" t="str">
        <f>IFERROR(VLOOKUP(AE968,Listas!$AD$1:$AF$65,2,FALSE),"")</f>
        <v>RODOLFO GIOVANNI CANCHILA SUÁREZ</v>
      </c>
      <c r="AG968" s="23">
        <f>IFERROR(VLOOKUP(AE968,Listas!$AD$1:$AF$65,3,FALSE),"")</f>
        <v>79672493</v>
      </c>
      <c r="AH968" s="17" t="s">
        <v>118</v>
      </c>
      <c r="AI968" s="65"/>
      <c r="AJ968" s="25" t="s">
        <v>1435</v>
      </c>
      <c r="AK968" s="26" t="s">
        <v>2071</v>
      </c>
      <c r="AL968" s="26" t="s">
        <v>2071</v>
      </c>
      <c r="AM968" s="90" t="s">
        <v>1435</v>
      </c>
      <c r="AN968" s="105"/>
      <c r="AO968" s="91" t="str">
        <f t="shared" ca="1" si="388"/>
        <v xml:space="preserve"> </v>
      </c>
      <c r="AP968" s="26" t="s">
        <v>121</v>
      </c>
      <c r="AQ968" s="26" t="s">
        <v>285</v>
      </c>
      <c r="AR968" s="89"/>
      <c r="AS968" s="27"/>
      <c r="AT968" s="16"/>
      <c r="AU968" s="27"/>
      <c r="AV968" s="86"/>
      <c r="AW968" s="27"/>
      <c r="AX968" s="27"/>
      <c r="AY968" s="27"/>
      <c r="AZ968" s="27"/>
      <c r="BA968" s="27"/>
      <c r="BB968" s="27"/>
      <c r="BC968" s="97"/>
      <c r="BD968" s="27"/>
      <c r="BE968" s="16"/>
      <c r="BF968" s="28">
        <f t="shared" si="373"/>
        <v>0</v>
      </c>
      <c r="BG968" s="29"/>
      <c r="BH968" s="27"/>
      <c r="BI968" s="30">
        <f t="shared" si="374"/>
        <v>729</v>
      </c>
      <c r="BJ968" s="31">
        <f t="shared" si="375"/>
        <v>46387</v>
      </c>
      <c r="BK968" s="27"/>
      <c r="BL968" s="16"/>
      <c r="BM968" s="27"/>
      <c r="BN968" s="16"/>
      <c r="BO968" s="27"/>
      <c r="BP968" s="16"/>
      <c r="BQ968" s="27"/>
      <c r="BR968" s="24"/>
      <c r="BS968" s="24"/>
      <c r="BT968" s="32"/>
      <c r="BU968" s="27"/>
      <c r="BV968" s="24"/>
      <c r="BW968" s="24"/>
      <c r="BX968" s="16"/>
      <c r="BY968" s="27"/>
      <c r="BZ968" s="24"/>
      <c r="CA968" s="24"/>
      <c r="CB968" s="16"/>
      <c r="CC968" s="49">
        <f t="shared" si="376"/>
        <v>0</v>
      </c>
      <c r="CD968" s="24"/>
      <c r="CE968" s="49">
        <f t="shared" si="394"/>
        <v>179734464</v>
      </c>
      <c r="CF968" s="50">
        <v>0</v>
      </c>
      <c r="CG968" s="49">
        <f t="shared" ca="1" si="391"/>
        <v>73471701.333333343</v>
      </c>
      <c r="CH968" s="33">
        <f t="shared" ca="1" si="384"/>
        <v>0.40138888888888891</v>
      </c>
      <c r="CI968" s="33">
        <f t="shared" ca="1" si="385"/>
        <v>0.40138888888888891</v>
      </c>
      <c r="CJ968" s="36">
        <f t="shared" ca="1" si="370"/>
        <v>40.877914951989034</v>
      </c>
      <c r="CK968" s="34">
        <f t="shared" si="371"/>
        <v>0</v>
      </c>
      <c r="CL968" s="21"/>
      <c r="CM968" s="35" t="str">
        <f t="shared" ca="1" si="393"/>
        <v>VIGENTE</v>
      </c>
      <c r="CN968" s="82"/>
      <c r="CP968" s="26"/>
      <c r="CS968" s="48"/>
      <c r="CT968" s="77"/>
    </row>
    <row r="969" spans="1:98" s="85" customFormat="1" ht="24.75" customHeight="1">
      <c r="A969" s="48" t="s">
        <v>7539</v>
      </c>
      <c r="B969" s="150" t="s">
        <v>7540</v>
      </c>
      <c r="C969" s="17" t="s">
        <v>104</v>
      </c>
      <c r="D969" s="52" t="s">
        <v>7541</v>
      </c>
      <c r="E969" s="17" t="s">
        <v>6608</v>
      </c>
      <c r="F969" s="17" t="s">
        <v>1426</v>
      </c>
      <c r="G969" s="17" t="s">
        <v>1427</v>
      </c>
      <c r="H969" s="78">
        <v>900618750</v>
      </c>
      <c r="I969" s="74" t="s">
        <v>7542</v>
      </c>
      <c r="J969" s="16"/>
      <c r="K969" s="104"/>
      <c r="L969" s="96" t="s">
        <v>7543</v>
      </c>
      <c r="M969" s="16"/>
      <c r="N969" s="342">
        <v>45653</v>
      </c>
      <c r="O969" s="342">
        <v>45657</v>
      </c>
      <c r="P969" s="342">
        <v>46021</v>
      </c>
      <c r="Q969" s="23">
        <f t="shared" si="395"/>
        <v>364</v>
      </c>
      <c r="R969" s="17" t="s">
        <v>242</v>
      </c>
      <c r="S969" s="16" t="s">
        <v>7544</v>
      </c>
      <c r="T969" s="16" t="s">
        <v>2811</v>
      </c>
      <c r="U969" s="67">
        <v>371096652</v>
      </c>
      <c r="V969" s="16" t="s">
        <v>2812</v>
      </c>
      <c r="W969" s="24">
        <v>371096652</v>
      </c>
      <c r="X969" s="24"/>
      <c r="Y969" s="24"/>
      <c r="Z969" s="24"/>
      <c r="AA969" s="17" t="s">
        <v>116</v>
      </c>
      <c r="AB969" s="23" t="str">
        <f>IFERROR(VLOOKUP(AA969,Listas!$A$1:$C$14,2,FALSE),"")</f>
        <v>FREDY CÉSPEDES VILLA</v>
      </c>
      <c r="AC969" s="23">
        <f>IFERROR(VLOOKUP(AA969,Listas!$A$1:$C$14,3,FALSE),"")</f>
        <v>93363483</v>
      </c>
      <c r="AD969" s="17" t="s">
        <v>816</v>
      </c>
      <c r="AE969" s="17" t="s">
        <v>2450</v>
      </c>
      <c r="AF969" s="23" t="str">
        <f>IFERROR(VLOOKUP(AE969,Listas!$AD$1:$AF$65,2,FALSE),"")</f>
        <v>VICTOR MANUEL MONDRAGÓN MACA</v>
      </c>
      <c r="AG969" s="23">
        <f>IFERROR(VLOOKUP(AE969,Listas!$AD$1:$AF$65,3,FALSE),"")</f>
        <v>76322322</v>
      </c>
      <c r="AH969" s="17" t="s">
        <v>3186</v>
      </c>
      <c r="AI969" s="65"/>
      <c r="AJ969" s="25" t="s">
        <v>1435</v>
      </c>
      <c r="AK969" s="26" t="s">
        <v>2071</v>
      </c>
      <c r="AL969" s="26" t="s">
        <v>2071</v>
      </c>
      <c r="AM969" s="90" t="s">
        <v>1435</v>
      </c>
      <c r="AN969" s="105"/>
      <c r="AO969" s="91" t="str">
        <f t="shared" ca="1" si="396"/>
        <v xml:space="preserve"> </v>
      </c>
      <c r="AP969" s="26" t="s">
        <v>121</v>
      </c>
      <c r="AQ969" s="26"/>
      <c r="AR969" s="89"/>
      <c r="AS969" s="27"/>
      <c r="AT969" s="16"/>
      <c r="AU969" s="27"/>
      <c r="AV969" s="86"/>
      <c r="AW969" s="27"/>
      <c r="AX969" s="27"/>
      <c r="AY969" s="27"/>
      <c r="AZ969" s="27"/>
      <c r="BA969" s="27"/>
      <c r="BB969" s="27"/>
      <c r="BC969" s="97"/>
      <c r="BD969" s="27"/>
      <c r="BE969" s="16"/>
      <c r="BF969" s="28">
        <f t="shared" si="373"/>
        <v>0</v>
      </c>
      <c r="BG969" s="29"/>
      <c r="BH969" s="27"/>
      <c r="BI969" s="30">
        <f t="shared" si="374"/>
        <v>364</v>
      </c>
      <c r="BJ969" s="31">
        <f t="shared" si="375"/>
        <v>46021</v>
      </c>
      <c r="BK969" s="27"/>
      <c r="BL969" s="16"/>
      <c r="BM969" s="27"/>
      <c r="BN969" s="16"/>
      <c r="BO969" s="27"/>
      <c r="BP969" s="16"/>
      <c r="BQ969" s="27"/>
      <c r="BR969" s="24"/>
      <c r="BS969" s="24"/>
      <c r="BT969" s="32"/>
      <c r="BU969" s="27"/>
      <c r="BV969" s="24"/>
      <c r="BW969" s="24"/>
      <c r="BX969" s="16"/>
      <c r="BY969" s="27"/>
      <c r="BZ969" s="24"/>
      <c r="CA969" s="24"/>
      <c r="CB969" s="16"/>
      <c r="CC969" s="49">
        <f t="shared" si="376"/>
        <v>0</v>
      </c>
      <c r="CD969" s="24"/>
      <c r="CE969" s="49">
        <f t="shared" si="394"/>
        <v>371096652</v>
      </c>
      <c r="CF969" s="50">
        <v>367331580</v>
      </c>
      <c r="CG969" s="49">
        <f t="shared" ca="1" si="391"/>
        <v>302790400.12087911</v>
      </c>
      <c r="CH969" s="33">
        <f t="shared" ca="1" si="384"/>
        <v>0.80555555555555558</v>
      </c>
      <c r="CI969" s="33">
        <f t="shared" ca="1" si="385"/>
        <v>0.80555555555555558</v>
      </c>
      <c r="CJ969" s="36">
        <f t="shared" ref="CJ969:CJ992" ca="1" si="397">IFERROR(IF(((CG969/CE969)*100)&gt;100,100,((CG969/CE969)*100)),"")</f>
        <v>81.593406593406598</v>
      </c>
      <c r="CK969" s="34">
        <f t="shared" ref="CK969:CK1002" si="398">IFERROR((CF969/CE969)*100,"")</f>
        <v>98.98542011098499</v>
      </c>
      <c r="CL969" s="21"/>
      <c r="CM969" s="35" t="str">
        <f t="shared" ca="1" si="393"/>
        <v>VIGENTE</v>
      </c>
      <c r="CN969" s="82"/>
      <c r="CO969" s="145"/>
      <c r="CP969" s="26"/>
      <c r="CQ969" s="83"/>
      <c r="CR969" s="83"/>
      <c r="CS969" s="48"/>
      <c r="CT969" s="77"/>
    </row>
    <row r="970" spans="1:98" ht="24.75" customHeight="1">
      <c r="A970" s="48">
        <v>13175</v>
      </c>
      <c r="B970" s="150" t="s">
        <v>7545</v>
      </c>
      <c r="C970" s="17" t="s">
        <v>1423</v>
      </c>
      <c r="D970" s="52" t="s">
        <v>1424</v>
      </c>
      <c r="E970" s="17" t="s">
        <v>1425</v>
      </c>
      <c r="F970" s="17" t="s">
        <v>1426</v>
      </c>
      <c r="G970" s="17" t="s">
        <v>1427</v>
      </c>
      <c r="H970" s="78">
        <v>8300952130</v>
      </c>
      <c r="I970" s="74" t="s">
        <v>7546</v>
      </c>
      <c r="J970" s="16" t="s">
        <v>7547</v>
      </c>
      <c r="K970" s="104"/>
      <c r="L970" s="96" t="s">
        <v>1430</v>
      </c>
      <c r="M970" s="16"/>
      <c r="N970" s="342">
        <v>45652</v>
      </c>
      <c r="O970" s="342">
        <v>45652</v>
      </c>
      <c r="P970" s="342">
        <v>46022</v>
      </c>
      <c r="Q970" s="23">
        <f t="shared" si="395"/>
        <v>370</v>
      </c>
      <c r="R970" s="17" t="s">
        <v>242</v>
      </c>
      <c r="S970" s="16" t="s">
        <v>7548</v>
      </c>
      <c r="T970" s="16" t="s">
        <v>1432</v>
      </c>
      <c r="U970" s="67">
        <v>54447810</v>
      </c>
      <c r="V970" s="16" t="s">
        <v>7549</v>
      </c>
      <c r="W970" s="24">
        <v>54447810</v>
      </c>
      <c r="X970" s="24"/>
      <c r="Y970" s="24"/>
      <c r="Z970" s="24"/>
      <c r="AA970" s="17" t="s">
        <v>116</v>
      </c>
      <c r="AB970" s="23" t="str">
        <f>IFERROR(VLOOKUP(AA970,Listas!$A$1:$C$14,2,FALSE),"")</f>
        <v>FREDY CÉSPEDES VILLA</v>
      </c>
      <c r="AC970" s="23">
        <f>IFERROR(VLOOKUP(AA970,Listas!$A$1:$C$14,3,FALSE),"")</f>
        <v>93363483</v>
      </c>
      <c r="AD970" s="17" t="s">
        <v>116</v>
      </c>
      <c r="AE970" s="17" t="s">
        <v>659</v>
      </c>
      <c r="AF970" s="23" t="str">
        <f>IFERROR(VLOOKUP(AE970,Listas!$AD$1:$AF$65,2,FALSE),"")</f>
        <v>TATIANA FORERO TORRES</v>
      </c>
      <c r="AG970" s="23">
        <f>IFERROR(VLOOKUP(AE970,Listas!$AD$1:$AF$65,3,FALSE),"")</f>
        <v>1072446921</v>
      </c>
      <c r="AH970" s="17" t="s">
        <v>118</v>
      </c>
      <c r="AI970" s="65"/>
      <c r="AJ970" s="25" t="s">
        <v>1435</v>
      </c>
      <c r="AK970" s="26" t="s">
        <v>2071</v>
      </c>
      <c r="AL970" s="26" t="s">
        <v>2071</v>
      </c>
      <c r="AM970" s="90" t="s">
        <v>1435</v>
      </c>
      <c r="AN970" s="105"/>
      <c r="AO970" s="91" t="str">
        <f t="shared" ca="1" si="396"/>
        <v xml:space="preserve"> </v>
      </c>
      <c r="AP970" s="26" t="s">
        <v>121</v>
      </c>
      <c r="AQ970" s="26" t="s">
        <v>220</v>
      </c>
      <c r="AR970" s="89"/>
      <c r="AS970" s="27"/>
      <c r="AT970" s="16"/>
      <c r="AU970" s="27"/>
      <c r="AV970" s="86"/>
      <c r="AW970" s="27"/>
      <c r="AX970" s="27"/>
      <c r="AY970" s="27"/>
      <c r="AZ970" s="27"/>
      <c r="BA970" s="27"/>
      <c r="BB970" s="27"/>
      <c r="BC970" s="97"/>
      <c r="BD970" s="27"/>
      <c r="BE970" s="16"/>
      <c r="BF970" s="28">
        <f t="shared" si="373"/>
        <v>0</v>
      </c>
      <c r="BG970" s="29"/>
      <c r="BH970" s="27"/>
      <c r="BI970" s="30">
        <f t="shared" si="374"/>
        <v>370</v>
      </c>
      <c r="BJ970" s="31">
        <f t="shared" si="375"/>
        <v>46022</v>
      </c>
      <c r="BK970" s="27"/>
      <c r="BL970" s="16"/>
      <c r="BM970" s="27"/>
      <c r="BN970" s="16"/>
      <c r="BO970" s="27"/>
      <c r="BP970" s="16"/>
      <c r="BQ970" s="27"/>
      <c r="BR970" s="24"/>
      <c r="BS970" s="24"/>
      <c r="BT970" s="32"/>
      <c r="BU970" s="27"/>
      <c r="BV970" s="24"/>
      <c r="BW970" s="24"/>
      <c r="BX970" s="16"/>
      <c r="BY970" s="27"/>
      <c r="BZ970" s="24"/>
      <c r="CA970" s="24"/>
      <c r="CB970" s="16"/>
      <c r="CC970" s="49">
        <f t="shared" si="376"/>
        <v>0</v>
      </c>
      <c r="CD970" s="24"/>
      <c r="CE970" s="49">
        <f t="shared" si="394"/>
        <v>54447810</v>
      </c>
      <c r="CF970" s="50">
        <v>0</v>
      </c>
      <c r="CG970" s="49">
        <f t="shared" ca="1" si="391"/>
        <v>43852560.486486487</v>
      </c>
      <c r="CH970" s="33">
        <f t="shared" ca="1" si="384"/>
        <v>0.80547945205479454</v>
      </c>
      <c r="CI970" s="33">
        <f t="shared" ca="1" si="385"/>
        <v>0.80547945205479454</v>
      </c>
      <c r="CJ970" s="36">
        <f t="shared" ca="1" si="397"/>
        <v>80.540540540540533</v>
      </c>
      <c r="CK970" s="34">
        <f t="shared" si="398"/>
        <v>0</v>
      </c>
      <c r="CL970" s="21"/>
      <c r="CM970" s="35" t="str">
        <f t="shared" ca="1" si="393"/>
        <v>VIGENTE</v>
      </c>
      <c r="CN970" s="82"/>
      <c r="CP970" s="26"/>
      <c r="CS970" s="48"/>
      <c r="CT970" s="77"/>
    </row>
    <row r="971" spans="1:98" s="85" customFormat="1" ht="269.25">
      <c r="A971" s="48" t="s">
        <v>1424</v>
      </c>
      <c r="B971" s="150" t="s">
        <v>7550</v>
      </c>
      <c r="C971" s="17" t="s">
        <v>2927</v>
      </c>
      <c r="D971" s="52" t="s">
        <v>1424</v>
      </c>
      <c r="E971" s="17" t="s">
        <v>5941</v>
      </c>
      <c r="F971" s="17" t="s">
        <v>1426</v>
      </c>
      <c r="G971" s="17" t="s">
        <v>1427</v>
      </c>
      <c r="H971" s="78" t="s">
        <v>7551</v>
      </c>
      <c r="I971" s="74" t="s">
        <v>7552</v>
      </c>
      <c r="J971" s="16" t="s">
        <v>7552</v>
      </c>
      <c r="K971" s="104">
        <v>79374224</v>
      </c>
      <c r="L971" s="96" t="s">
        <v>7553</v>
      </c>
      <c r="M971" s="16"/>
      <c r="N971" s="342">
        <v>45653</v>
      </c>
      <c r="O971" s="342">
        <v>45656</v>
      </c>
      <c r="P971" s="342">
        <v>51500</v>
      </c>
      <c r="Q971" s="23">
        <f t="shared" si="395"/>
        <v>5844</v>
      </c>
      <c r="R971" s="17" t="s">
        <v>2934</v>
      </c>
      <c r="S971" s="16" t="s">
        <v>1424</v>
      </c>
      <c r="T971" s="16" t="s">
        <v>1424</v>
      </c>
      <c r="U971" s="67">
        <v>0</v>
      </c>
      <c r="V971" s="16" t="s">
        <v>1424</v>
      </c>
      <c r="W971" s="24">
        <v>0</v>
      </c>
      <c r="X971" s="24"/>
      <c r="Y971" s="24">
        <v>5000000000</v>
      </c>
      <c r="Z971" s="24"/>
      <c r="AA971" s="17" t="s">
        <v>406</v>
      </c>
      <c r="AB971" s="23" t="str">
        <f>IFERROR(VLOOKUP(AA971,Listas!$A$1:$C$14,2,FALSE),"")</f>
        <v>EDUARDO ELÍAS BARCHA BOLÍVAR</v>
      </c>
      <c r="AC971" s="23">
        <f>IFERROR(VLOOKUP(AA971,Listas!$A$1:$C$14,3,FALSE),"")</f>
        <v>72133921</v>
      </c>
      <c r="AD971" s="17" t="s">
        <v>1533</v>
      </c>
      <c r="AE971" s="17" t="s">
        <v>1534</v>
      </c>
      <c r="AF971" s="23" t="str">
        <f>IFERROR(VLOOKUP(AE971,Listas!$AD$1:$AF$65,2,FALSE),"")</f>
        <v>ESTEBAN GUERRERO ALVAREZ</v>
      </c>
      <c r="AG971" s="23">
        <f>IFERROR(VLOOKUP(AE971,Listas!$AD$1:$AF$65,3,FALSE),"")</f>
        <v>1032460552</v>
      </c>
      <c r="AH971" s="17" t="s">
        <v>2936</v>
      </c>
      <c r="AI971" s="65"/>
      <c r="AJ971" s="25" t="s">
        <v>1435</v>
      </c>
      <c r="AK971" s="26" t="s">
        <v>2071</v>
      </c>
      <c r="AL971" s="26" t="s">
        <v>2071</v>
      </c>
      <c r="AM971" s="90" t="s">
        <v>1435</v>
      </c>
      <c r="AN971" s="105"/>
      <c r="AO971" s="91" t="str">
        <f t="shared" ca="1" si="396"/>
        <v xml:space="preserve"> </v>
      </c>
      <c r="AP971" s="26" t="s">
        <v>2937</v>
      </c>
      <c r="AQ971" s="26" t="s">
        <v>3133</v>
      </c>
      <c r="AR971" s="89"/>
      <c r="AS971" s="27"/>
      <c r="AT971" s="16"/>
      <c r="AU971" s="27"/>
      <c r="AV971" s="86"/>
      <c r="AW971" s="27"/>
      <c r="AX971" s="27"/>
      <c r="AY971" s="27"/>
      <c r="AZ971" s="27"/>
      <c r="BA971" s="27"/>
      <c r="BB971" s="27"/>
      <c r="BC971" s="97"/>
      <c r="BD971" s="27"/>
      <c r="BE971" s="16"/>
      <c r="BF971" s="28">
        <f t="shared" si="373"/>
        <v>0</v>
      </c>
      <c r="BG971" s="29"/>
      <c r="BH971" s="27"/>
      <c r="BI971" s="30">
        <f t="shared" si="374"/>
        <v>5844</v>
      </c>
      <c r="BJ971" s="31">
        <f t="shared" si="375"/>
        <v>51500</v>
      </c>
      <c r="BK971" s="27"/>
      <c r="BL971" s="16"/>
      <c r="BM971" s="27"/>
      <c r="BN971" s="16"/>
      <c r="BO971" s="27"/>
      <c r="BP971" s="16"/>
      <c r="BQ971" s="27"/>
      <c r="BR971" s="24"/>
      <c r="BS971" s="24"/>
      <c r="BT971" s="32"/>
      <c r="BU971" s="27"/>
      <c r="BV971" s="24"/>
      <c r="BW971" s="24"/>
      <c r="BX971" s="16"/>
      <c r="BY971" s="27"/>
      <c r="BZ971" s="24"/>
      <c r="CA971" s="24"/>
      <c r="CB971" s="16"/>
      <c r="CC971" s="49">
        <f t="shared" si="376"/>
        <v>0</v>
      </c>
      <c r="CD971" s="24"/>
      <c r="CE971" s="49">
        <f t="shared" si="394"/>
        <v>5000000000</v>
      </c>
      <c r="CF971" s="50">
        <v>0</v>
      </c>
      <c r="CG971" s="49">
        <f t="shared" ca="1" si="391"/>
        <v>254106776.18069813</v>
      </c>
      <c r="CH971" s="33">
        <f t="shared" ca="1" si="384"/>
        <v>5.0347222222222224E-2</v>
      </c>
      <c r="CI971" s="33">
        <f t="shared" ca="1" si="385"/>
        <v>5.0347222222222224E-2</v>
      </c>
      <c r="CJ971" s="36">
        <v>0</v>
      </c>
      <c r="CK971" s="34">
        <f t="shared" si="398"/>
        <v>0</v>
      </c>
      <c r="CL971" s="21"/>
      <c r="CM971" s="35" t="str">
        <f t="shared" ref="CM971" ca="1" si="399">IF(CL971&gt;1/1/6,"LIQUIDADO",IF(BJ971=$BE$20003,"",IF(BJ971&gt;=TODAY(),"VIGENTE",IF(BJ971&lt;TODAY(),"TERMINADO",))))</f>
        <v>VIGENTE</v>
      </c>
      <c r="CN971" s="82"/>
      <c r="CO971" s="145"/>
      <c r="CP971" s="26"/>
      <c r="CQ971" s="83"/>
      <c r="CR971" s="83"/>
      <c r="CS971" s="48"/>
      <c r="CT971" s="77"/>
    </row>
    <row r="972" spans="1:98" s="85" customFormat="1" ht="24.75" customHeight="1">
      <c r="A972" s="48" t="s">
        <v>7554</v>
      </c>
      <c r="B972" s="150" t="s">
        <v>7555</v>
      </c>
      <c r="C972" s="17" t="s">
        <v>104</v>
      </c>
      <c r="D972" s="52" t="s">
        <v>7556</v>
      </c>
      <c r="E972" s="17" t="s">
        <v>106</v>
      </c>
      <c r="F972" s="17" t="s">
        <v>1426</v>
      </c>
      <c r="G972" s="17" t="s">
        <v>1427</v>
      </c>
      <c r="H972" s="78" t="s">
        <v>7557</v>
      </c>
      <c r="I972" s="74" t="s">
        <v>7558</v>
      </c>
      <c r="J972" s="16"/>
      <c r="K972" s="104"/>
      <c r="L972" s="96" t="s">
        <v>7377</v>
      </c>
      <c r="M972" s="16"/>
      <c r="N972" s="342">
        <v>45656</v>
      </c>
      <c r="O972" s="342">
        <v>45994</v>
      </c>
      <c r="P972" s="342">
        <v>46359</v>
      </c>
      <c r="Q972" s="23">
        <f t="shared" si="395"/>
        <v>365</v>
      </c>
      <c r="R972" s="17" t="s">
        <v>242</v>
      </c>
      <c r="S972" s="16" t="s">
        <v>7559</v>
      </c>
      <c r="T972" s="16" t="s">
        <v>7560</v>
      </c>
      <c r="U972" s="67">
        <v>1149250424</v>
      </c>
      <c r="V972" s="16" t="s">
        <v>7561</v>
      </c>
      <c r="W972" s="24">
        <v>1103208888</v>
      </c>
      <c r="X972" s="24"/>
      <c r="Y972" s="24"/>
      <c r="Z972" s="24"/>
      <c r="AA972" s="17" t="s">
        <v>116</v>
      </c>
      <c r="AB972" s="23" t="str">
        <f>IFERROR(VLOOKUP(AA972,Listas!$A$1:$C$14,2,FALSE),"")</f>
        <v>FREDY CÉSPEDES VILLA</v>
      </c>
      <c r="AC972" s="23">
        <f>IFERROR(VLOOKUP(AA972,Listas!$A$1:$C$14,3,FALSE),"")</f>
        <v>93363483</v>
      </c>
      <c r="AD972" s="17" t="s">
        <v>816</v>
      </c>
      <c r="AE972" s="17" t="s">
        <v>817</v>
      </c>
      <c r="AF972" s="23" t="str">
        <f>IFERROR(VLOOKUP(AE972,Listas!$AD$1:$AF$65,2,FALSE),"")</f>
        <v>JOSÉ EDUARDO PARADA JIMÉNEZ</v>
      </c>
      <c r="AG972" s="23">
        <f>IFERROR(VLOOKUP(AE972,Listas!$AD$1:$AF$65,3,FALSE),"")</f>
        <v>79434805</v>
      </c>
      <c r="AH972" s="17" t="s">
        <v>3186</v>
      </c>
      <c r="AI972" s="65"/>
      <c r="AJ972" s="25" t="s">
        <v>1435</v>
      </c>
      <c r="AK972" s="26" t="s">
        <v>2071</v>
      </c>
      <c r="AL972" s="26" t="s">
        <v>2071</v>
      </c>
      <c r="AM972" s="90" t="s">
        <v>1435</v>
      </c>
      <c r="AN972" s="105"/>
      <c r="AO972" s="91" t="str">
        <f t="shared" ca="1" si="396"/>
        <v xml:space="preserve"> </v>
      </c>
      <c r="AP972" s="26" t="s">
        <v>121</v>
      </c>
      <c r="AQ972" s="26" t="s">
        <v>486</v>
      </c>
      <c r="AR972" s="89"/>
      <c r="AS972" s="27"/>
      <c r="AT972" s="16"/>
      <c r="AU972" s="27"/>
      <c r="AV972" s="86"/>
      <c r="AW972" s="27"/>
      <c r="AX972" s="27"/>
      <c r="AY972" s="27"/>
      <c r="AZ972" s="27"/>
      <c r="BA972" s="27"/>
      <c r="BB972" s="27"/>
      <c r="BC972" s="97"/>
      <c r="BD972" s="27"/>
      <c r="BE972" s="16"/>
      <c r="BF972" s="28">
        <f t="shared" ref="BF972:BF1002" si="400">BC972+BE972</f>
        <v>0</v>
      </c>
      <c r="BG972" s="29"/>
      <c r="BH972" s="27"/>
      <c r="BI972" s="30">
        <f t="shared" ref="BI972:BI1002" si="401">BF972+Q972</f>
        <v>365</v>
      </c>
      <c r="BJ972" s="31">
        <f t="shared" ref="BJ972:BJ1002" si="402">IF(BH972="",P972+BF972,BH972)</f>
        <v>46359</v>
      </c>
      <c r="BK972" s="27"/>
      <c r="BL972" s="16"/>
      <c r="BM972" s="27"/>
      <c r="BN972" s="16"/>
      <c r="BO972" s="27"/>
      <c r="BP972" s="16"/>
      <c r="BQ972" s="27"/>
      <c r="BR972" s="24"/>
      <c r="BS972" s="24"/>
      <c r="BT972" s="32"/>
      <c r="BU972" s="27"/>
      <c r="BV972" s="24"/>
      <c r="BW972" s="24"/>
      <c r="BX972" s="16"/>
      <c r="BY972" s="27"/>
      <c r="BZ972" s="24"/>
      <c r="CA972" s="24"/>
      <c r="CB972" s="16"/>
      <c r="CC972" s="49">
        <f t="shared" ref="CC972:CC1002" si="403">BR972+BV972+BZ972</f>
        <v>0</v>
      </c>
      <c r="CD972" s="24"/>
      <c r="CE972" s="49">
        <f t="shared" si="394"/>
        <v>1103208888</v>
      </c>
      <c r="CF972" s="50">
        <v>0</v>
      </c>
      <c r="CG972" s="49">
        <f t="shared" ca="1" si="391"/>
        <v>888612090.60821915</v>
      </c>
      <c r="CH972" s="33">
        <f t="shared" ca="1" si="384"/>
        <v>-0.11944444444444445</v>
      </c>
      <c r="CI972" s="33">
        <f t="shared" ca="1" si="385"/>
        <v>-0.11944444444444445</v>
      </c>
      <c r="CJ972" s="36">
        <f t="shared" ca="1" si="397"/>
        <v>80.547945205479451</v>
      </c>
      <c r="CK972" s="34">
        <f t="shared" si="398"/>
        <v>0</v>
      </c>
      <c r="CL972" s="21"/>
      <c r="CM972" s="35" t="str">
        <f t="shared" ref="CM972:CM1002" ca="1" si="404">IF(CL972&gt;1/1/6,"LIQUIDADO",IF(BJ972=$BE$20003,"",IF(BJ972&gt;=TODAY(),"VIGENTE",IF(BJ972&lt;TODAY(),"TERMINADO",))))</f>
        <v>VIGENTE</v>
      </c>
      <c r="CN972" s="82"/>
      <c r="CO972" s="145"/>
      <c r="CP972" s="26"/>
      <c r="CQ972" s="83"/>
      <c r="CR972" s="83"/>
      <c r="CS972" s="48"/>
      <c r="CT972" s="77"/>
    </row>
    <row r="973" spans="1:98" ht="24.75" customHeight="1">
      <c r="A973" s="48" t="s">
        <v>7562</v>
      </c>
      <c r="B973" s="150" t="s">
        <v>7563</v>
      </c>
      <c r="C973" s="17" t="s">
        <v>104</v>
      </c>
      <c r="D973" s="52" t="s">
        <v>7564</v>
      </c>
      <c r="E973" s="17" t="s">
        <v>2063</v>
      </c>
      <c r="F973" s="17" t="s">
        <v>1426</v>
      </c>
      <c r="G973" s="17" t="s">
        <v>1427</v>
      </c>
      <c r="H973" s="78">
        <v>830510371</v>
      </c>
      <c r="I973" s="74" t="s">
        <v>7565</v>
      </c>
      <c r="J973" s="16" t="s">
        <v>7566</v>
      </c>
      <c r="K973" s="104">
        <v>16475352</v>
      </c>
      <c r="L973" s="96" t="s">
        <v>7567</v>
      </c>
      <c r="M973" s="16" t="s">
        <v>4452</v>
      </c>
      <c r="N973" s="342">
        <v>45652</v>
      </c>
      <c r="O973" s="342">
        <v>45658</v>
      </c>
      <c r="P973" s="342">
        <v>46387</v>
      </c>
      <c r="Q973" s="23">
        <f t="shared" si="395"/>
        <v>729</v>
      </c>
      <c r="R973" s="17" t="s">
        <v>242</v>
      </c>
      <c r="S973" s="16" t="s">
        <v>7568</v>
      </c>
      <c r="T973" s="16" t="s">
        <v>2069</v>
      </c>
      <c r="U973" s="67">
        <v>116610456</v>
      </c>
      <c r="V973" s="16" t="s">
        <v>7569</v>
      </c>
      <c r="W973" s="24">
        <v>116610456</v>
      </c>
      <c r="X973" s="24"/>
      <c r="Y973" s="24"/>
      <c r="Z973" s="24"/>
      <c r="AA973" s="17" t="s">
        <v>345</v>
      </c>
      <c r="AB973" s="23" t="str">
        <f>IFERROR(VLOOKUP(AA973,Listas!$A$1:$C$14,2,FALSE),"")</f>
        <v>RODOLFO GIOVANNI CANCHILA SUÁREZ</v>
      </c>
      <c r="AC973" s="23">
        <f>IFERROR(VLOOKUP(AA973,Listas!$A$1:$C$14,3,FALSE),"")</f>
        <v>79672493</v>
      </c>
      <c r="AD973" s="17" t="s">
        <v>559</v>
      </c>
      <c r="AE973" s="17" t="s">
        <v>560</v>
      </c>
      <c r="AF973" s="23" t="str">
        <f>IFERROR(VLOOKUP(AE973,Listas!$AD$1:$AF$65,2,FALSE),"")</f>
        <v>CESAR AUGUSTO LÓPEZ LÓPEZ</v>
      </c>
      <c r="AG973" s="23">
        <f>IFERROR(VLOOKUP(AE973,Listas!$AD$1:$AF$65,3,FALSE),"")</f>
        <v>6103856</v>
      </c>
      <c r="AH973" s="17" t="s">
        <v>118</v>
      </c>
      <c r="AI973" s="65"/>
      <c r="AJ973" s="25" t="s">
        <v>1435</v>
      </c>
      <c r="AK973" s="26" t="s">
        <v>2071</v>
      </c>
      <c r="AL973" s="26" t="s">
        <v>2071</v>
      </c>
      <c r="AM973" s="90" t="s">
        <v>1435</v>
      </c>
      <c r="AN973" s="105"/>
      <c r="AO973" s="91" t="str">
        <f t="shared" ca="1" si="396"/>
        <v xml:space="preserve"> </v>
      </c>
      <c r="AP973" s="26" t="s">
        <v>121</v>
      </c>
      <c r="AQ973" s="26" t="s">
        <v>1272</v>
      </c>
      <c r="AR973" s="89"/>
      <c r="AS973" s="27"/>
      <c r="AT973" s="16"/>
      <c r="AU973" s="27"/>
      <c r="AV973" s="86"/>
      <c r="AW973" s="27"/>
      <c r="AX973" s="27"/>
      <c r="AY973" s="27"/>
      <c r="AZ973" s="27"/>
      <c r="BA973" s="27"/>
      <c r="BB973" s="27"/>
      <c r="BC973" s="97"/>
      <c r="BD973" s="27"/>
      <c r="BE973" s="16"/>
      <c r="BF973" s="28">
        <f t="shared" si="400"/>
        <v>0</v>
      </c>
      <c r="BG973" s="29"/>
      <c r="BH973" s="27"/>
      <c r="BI973" s="30">
        <f t="shared" si="401"/>
        <v>729</v>
      </c>
      <c r="BJ973" s="31">
        <f t="shared" si="402"/>
        <v>46387</v>
      </c>
      <c r="BK973" s="27"/>
      <c r="BL973" s="16"/>
      <c r="BM973" s="27"/>
      <c r="BN973" s="16"/>
      <c r="BO973" s="27"/>
      <c r="BP973" s="16"/>
      <c r="BQ973" s="27"/>
      <c r="BR973" s="24"/>
      <c r="BS973" s="24"/>
      <c r="BT973" s="32"/>
      <c r="BU973" s="27"/>
      <c r="BV973" s="24"/>
      <c r="BW973" s="24"/>
      <c r="BX973" s="16"/>
      <c r="BY973" s="27"/>
      <c r="BZ973" s="24"/>
      <c r="CA973" s="24"/>
      <c r="CB973" s="16"/>
      <c r="CC973" s="49">
        <f t="shared" si="403"/>
        <v>0</v>
      </c>
      <c r="CD973" s="24"/>
      <c r="CE973" s="49">
        <f t="shared" si="394"/>
        <v>116610456</v>
      </c>
      <c r="CF973" s="50">
        <v>0</v>
      </c>
      <c r="CG973" s="49">
        <f t="shared" ca="1" si="391"/>
        <v>47667923.028806582</v>
      </c>
      <c r="CH973" s="33">
        <f t="shared" ca="1" si="384"/>
        <v>0.40138888888888891</v>
      </c>
      <c r="CI973" s="33">
        <f t="shared" ca="1" si="385"/>
        <v>0.40138888888888891</v>
      </c>
      <c r="CJ973" s="36">
        <f t="shared" ca="1" si="397"/>
        <v>40.877914951989027</v>
      </c>
      <c r="CK973" s="34">
        <f t="shared" si="398"/>
        <v>0</v>
      </c>
      <c r="CL973" s="21"/>
      <c r="CM973" s="35" t="str">
        <f t="shared" ca="1" si="404"/>
        <v>VIGENTE</v>
      </c>
      <c r="CN973" s="82"/>
      <c r="CP973" s="26"/>
      <c r="CS973" s="48"/>
      <c r="CT973" s="77"/>
    </row>
    <row r="974" spans="1:98" s="85" customFormat="1" ht="24.75" customHeight="1">
      <c r="A974" s="48" t="s">
        <v>1424</v>
      </c>
      <c r="B974" s="150" t="s">
        <v>7570</v>
      </c>
      <c r="C974" s="17" t="s">
        <v>2927</v>
      </c>
      <c r="D974" s="52" t="s">
        <v>1424</v>
      </c>
      <c r="E974" s="17" t="s">
        <v>6197</v>
      </c>
      <c r="F974" s="17" t="s">
        <v>1426</v>
      </c>
      <c r="G974" s="17" t="s">
        <v>1427</v>
      </c>
      <c r="H974" s="78" t="s">
        <v>7571</v>
      </c>
      <c r="I974" s="74" t="s">
        <v>7572</v>
      </c>
      <c r="J974" s="16" t="s">
        <v>7573</v>
      </c>
      <c r="K974" s="104">
        <v>74281101</v>
      </c>
      <c r="L974" s="96" t="s">
        <v>7574</v>
      </c>
      <c r="M974" s="16"/>
      <c r="N974" s="342">
        <v>45653</v>
      </c>
      <c r="O974" s="342">
        <v>45654</v>
      </c>
      <c r="P974" s="342">
        <v>46383</v>
      </c>
      <c r="Q974" s="23">
        <f t="shared" si="395"/>
        <v>729</v>
      </c>
      <c r="R974" s="17" t="s">
        <v>2934</v>
      </c>
      <c r="S974" s="16" t="s">
        <v>1424</v>
      </c>
      <c r="T974" s="16" t="s">
        <v>1424</v>
      </c>
      <c r="U974" s="67">
        <v>0</v>
      </c>
      <c r="V974" s="16" t="s">
        <v>1424</v>
      </c>
      <c r="W974" s="24"/>
      <c r="X974" s="24"/>
      <c r="Y974" s="24">
        <v>84465280</v>
      </c>
      <c r="Z974" s="24"/>
      <c r="AA974" s="17" t="s">
        <v>427</v>
      </c>
      <c r="AB974" s="23" t="str">
        <f>IFERROR(VLOOKUP(AA974,Listas!$A$1:$C$14,2,FALSE),"")</f>
        <v>DINORAH PATRICIA ABADIA MURILLO</v>
      </c>
      <c r="AC974" s="23">
        <f>IFERROR(VLOOKUP(AA974,Listas!$A$1:$C$14,3,FALSE),"")</f>
        <v>52220857</v>
      </c>
      <c r="AD974" s="17" t="s">
        <v>427</v>
      </c>
      <c r="AE974" s="17" t="s">
        <v>428</v>
      </c>
      <c r="AF974" s="23" t="str">
        <f>IFERROR(VLOOKUP(AE974,Listas!$AD$1:$AF$65,2,FALSE),"")</f>
        <v>DINORAH PATRICIA ABADIA MURILLO</v>
      </c>
      <c r="AG974" s="23">
        <f>IFERROR(VLOOKUP(AE974,Listas!$AD$1:$AF$65,3,FALSE),"")</f>
        <v>52220857</v>
      </c>
      <c r="AH974" s="17" t="s">
        <v>2936</v>
      </c>
      <c r="AI974" s="65"/>
      <c r="AJ974" s="25" t="s">
        <v>1435</v>
      </c>
      <c r="AK974" s="26" t="s">
        <v>2071</v>
      </c>
      <c r="AL974" s="26" t="s">
        <v>2071</v>
      </c>
      <c r="AM974" s="90" t="s">
        <v>1435</v>
      </c>
      <c r="AN974" s="105"/>
      <c r="AO974" s="91" t="str">
        <f t="shared" ca="1" si="396"/>
        <v xml:space="preserve"> </v>
      </c>
      <c r="AP974" s="26" t="s">
        <v>2937</v>
      </c>
      <c r="AQ974" s="26" t="s">
        <v>3453</v>
      </c>
      <c r="AR974" s="89"/>
      <c r="AS974" s="27"/>
      <c r="AT974" s="16"/>
      <c r="AU974" s="27"/>
      <c r="AV974" s="86"/>
      <c r="AW974" s="27"/>
      <c r="AX974" s="27"/>
      <c r="AY974" s="27"/>
      <c r="AZ974" s="27"/>
      <c r="BA974" s="27"/>
      <c r="BB974" s="27"/>
      <c r="BC974" s="97"/>
      <c r="BD974" s="27"/>
      <c r="BE974" s="16"/>
      <c r="BF974" s="28">
        <f t="shared" si="400"/>
        <v>0</v>
      </c>
      <c r="BG974" s="29"/>
      <c r="BH974" s="27"/>
      <c r="BI974" s="30">
        <f t="shared" si="401"/>
        <v>729</v>
      </c>
      <c r="BJ974" s="31">
        <f t="shared" si="402"/>
        <v>46383</v>
      </c>
      <c r="BK974" s="27"/>
      <c r="BL974" s="16"/>
      <c r="BM974" s="27"/>
      <c r="BN974" s="16"/>
      <c r="BO974" s="27"/>
      <c r="BP974" s="16"/>
      <c r="BQ974" s="27"/>
      <c r="BR974" s="24"/>
      <c r="BS974" s="24"/>
      <c r="BT974" s="32"/>
      <c r="BU974" s="27"/>
      <c r="BV974" s="24"/>
      <c r="BW974" s="24"/>
      <c r="BX974" s="16"/>
      <c r="BY974" s="27"/>
      <c r="BZ974" s="24"/>
      <c r="CA974" s="24"/>
      <c r="CB974" s="16"/>
      <c r="CC974" s="49">
        <f t="shared" si="403"/>
        <v>0</v>
      </c>
      <c r="CD974" s="24"/>
      <c r="CE974" s="49">
        <f t="shared" si="394"/>
        <v>84465280</v>
      </c>
      <c r="CF974" s="50">
        <v>0</v>
      </c>
      <c r="CG974" s="49">
        <f t="shared" ca="1" si="391"/>
        <v>34411780.740740739</v>
      </c>
      <c r="CH974" s="33">
        <f t="shared" ca="1" si="384"/>
        <v>0.40611961057023643</v>
      </c>
      <c r="CI974" s="33">
        <f t="shared" ca="1" si="385"/>
        <v>0.40611961057023643</v>
      </c>
      <c r="CJ974" s="36">
        <v>0</v>
      </c>
      <c r="CK974" s="34">
        <f t="shared" si="398"/>
        <v>0</v>
      </c>
      <c r="CL974" s="21"/>
      <c r="CM974" s="35" t="str">
        <f t="shared" ca="1" si="404"/>
        <v>VIGENTE</v>
      </c>
      <c r="CN974" s="82"/>
      <c r="CO974" s="145"/>
      <c r="CP974" s="26"/>
      <c r="CQ974" s="83"/>
      <c r="CR974" s="83"/>
      <c r="CS974" s="48"/>
      <c r="CT974" s="77"/>
    </row>
    <row r="975" spans="1:98" ht="24.75" customHeight="1">
      <c r="A975" s="48" t="s">
        <v>7575</v>
      </c>
      <c r="B975" s="150" t="s">
        <v>7576</v>
      </c>
      <c r="C975" s="17" t="s">
        <v>104</v>
      </c>
      <c r="D975" s="52" t="s">
        <v>7577</v>
      </c>
      <c r="E975" s="17" t="s">
        <v>2063</v>
      </c>
      <c r="F975" s="17" t="s">
        <v>107</v>
      </c>
      <c r="G975" s="17" t="s">
        <v>108</v>
      </c>
      <c r="H975" s="78">
        <v>19210882</v>
      </c>
      <c r="I975" s="74" t="s">
        <v>7578</v>
      </c>
      <c r="J975" s="16"/>
      <c r="K975" s="104"/>
      <c r="L975" s="96" t="s">
        <v>7579</v>
      </c>
      <c r="M975" s="16" t="s">
        <v>6261</v>
      </c>
      <c r="N975" s="342">
        <v>45656</v>
      </c>
      <c r="O975" s="342">
        <v>45658</v>
      </c>
      <c r="P975" s="342">
        <v>46022</v>
      </c>
      <c r="Q975" s="23">
        <f t="shared" si="395"/>
        <v>364</v>
      </c>
      <c r="R975" s="17" t="s">
        <v>242</v>
      </c>
      <c r="S975" s="16" t="s">
        <v>7580</v>
      </c>
      <c r="T975" s="16" t="s">
        <v>2069</v>
      </c>
      <c r="U975" s="67">
        <v>217053276</v>
      </c>
      <c r="V975" s="16" t="s">
        <v>7569</v>
      </c>
      <c r="W975" s="24">
        <v>217053276</v>
      </c>
      <c r="X975" s="24">
        <v>18087773</v>
      </c>
      <c r="Y975" s="24"/>
      <c r="Z975" s="24"/>
      <c r="AA975" s="17" t="s">
        <v>116</v>
      </c>
      <c r="AB975" s="23" t="str">
        <f>IFERROR(VLOOKUP(AA975,Listas!$A$1:$C$14,2,FALSE),"")</f>
        <v>FREDY CÉSPEDES VILLA</v>
      </c>
      <c r="AC975" s="23">
        <f>IFERROR(VLOOKUP(AA975,Listas!$A$1:$C$14,3,FALSE),"")</f>
        <v>93363483</v>
      </c>
      <c r="AD975" s="17" t="s">
        <v>116</v>
      </c>
      <c r="AE975" s="17" t="s">
        <v>659</v>
      </c>
      <c r="AF975" s="23" t="str">
        <f>IFERROR(VLOOKUP(AE975,Listas!$AD$1:$AF$65,2,FALSE),"")</f>
        <v>TATIANA FORERO TORRES</v>
      </c>
      <c r="AG975" s="23">
        <f>IFERROR(VLOOKUP(AE975,Listas!$AD$1:$AF$65,3,FALSE),"")</f>
        <v>1072446921</v>
      </c>
      <c r="AH975" s="17" t="s">
        <v>118</v>
      </c>
      <c r="AI975" s="65"/>
      <c r="AJ975" s="25" t="s">
        <v>1435</v>
      </c>
      <c r="AK975" s="26" t="s">
        <v>2071</v>
      </c>
      <c r="AL975" s="26" t="s">
        <v>2071</v>
      </c>
      <c r="AM975" s="90" t="s">
        <v>1435</v>
      </c>
      <c r="AN975" s="105"/>
      <c r="AO975" s="91" t="str">
        <f t="shared" ca="1" si="396"/>
        <v xml:space="preserve"> </v>
      </c>
      <c r="AP975" s="26" t="s">
        <v>121</v>
      </c>
      <c r="AQ975" s="26" t="s">
        <v>327</v>
      </c>
      <c r="AR975" s="89"/>
      <c r="AS975" s="27"/>
      <c r="AT975" s="16"/>
      <c r="AU975" s="27"/>
      <c r="AV975" s="86"/>
      <c r="AW975" s="27"/>
      <c r="AX975" s="27"/>
      <c r="AY975" s="27"/>
      <c r="AZ975" s="27"/>
      <c r="BA975" s="27"/>
      <c r="BB975" s="27"/>
      <c r="BC975" s="97"/>
      <c r="BD975" s="27"/>
      <c r="BE975" s="16"/>
      <c r="BF975" s="28">
        <f t="shared" si="400"/>
        <v>0</v>
      </c>
      <c r="BG975" s="29"/>
      <c r="BH975" s="27"/>
      <c r="BI975" s="30">
        <f t="shared" si="401"/>
        <v>364</v>
      </c>
      <c r="BJ975" s="31">
        <f t="shared" si="402"/>
        <v>46022</v>
      </c>
      <c r="BK975" s="27"/>
      <c r="BL975" s="16"/>
      <c r="BM975" s="27"/>
      <c r="BN975" s="16"/>
      <c r="BO975" s="27"/>
      <c r="BP975" s="16"/>
      <c r="BQ975" s="27"/>
      <c r="BR975" s="24"/>
      <c r="BS975" s="24"/>
      <c r="BT975" s="32"/>
      <c r="BU975" s="27"/>
      <c r="BV975" s="24"/>
      <c r="BW975" s="24"/>
      <c r="BX975" s="16"/>
      <c r="BY975" s="27"/>
      <c r="BZ975" s="24"/>
      <c r="CA975" s="24"/>
      <c r="CB975" s="16"/>
      <c r="CC975" s="49">
        <f t="shared" si="403"/>
        <v>0</v>
      </c>
      <c r="CD975" s="24"/>
      <c r="CE975" s="49">
        <f t="shared" si="394"/>
        <v>217053276</v>
      </c>
      <c r="CF975" s="50">
        <v>0</v>
      </c>
      <c r="CG975" s="49">
        <f t="shared" ca="1" si="391"/>
        <v>175312261.38461539</v>
      </c>
      <c r="CH975" s="33">
        <f t="shared" ca="1" si="384"/>
        <v>0.80277777777777781</v>
      </c>
      <c r="CI975" s="33">
        <f t="shared" ca="1" si="385"/>
        <v>0.80277777777777781</v>
      </c>
      <c r="CJ975" s="36">
        <f t="shared" ca="1" si="397"/>
        <v>80.769230769230774</v>
      </c>
      <c r="CK975" s="34">
        <f t="shared" si="398"/>
        <v>0</v>
      </c>
      <c r="CL975" s="21"/>
      <c r="CM975" s="35" t="str">
        <f t="shared" ca="1" si="404"/>
        <v>VIGENTE</v>
      </c>
      <c r="CN975" s="82"/>
      <c r="CP975" s="26"/>
      <c r="CS975" s="48"/>
      <c r="CT975" s="77"/>
    </row>
    <row r="976" spans="1:98" s="85" customFormat="1" ht="24.75" customHeight="1">
      <c r="A976" s="48" t="s">
        <v>7581</v>
      </c>
      <c r="B976" s="150" t="s">
        <v>7582</v>
      </c>
      <c r="C976" s="17" t="s">
        <v>104</v>
      </c>
      <c r="D976" s="52" t="s">
        <v>7583</v>
      </c>
      <c r="E976" s="17" t="s">
        <v>2063</v>
      </c>
      <c r="F976" s="17" t="s">
        <v>1426</v>
      </c>
      <c r="G976" s="17" t="s">
        <v>1427</v>
      </c>
      <c r="H976" s="78" t="s">
        <v>7584</v>
      </c>
      <c r="I976" s="74" t="s">
        <v>7585</v>
      </c>
      <c r="J976" s="16" t="s">
        <v>7586</v>
      </c>
      <c r="K976" s="104">
        <v>42876450</v>
      </c>
      <c r="L976" s="96" t="s">
        <v>7587</v>
      </c>
      <c r="M976" s="16" t="s">
        <v>7588</v>
      </c>
      <c r="N976" s="342">
        <v>45657</v>
      </c>
      <c r="O976" s="342">
        <v>45658</v>
      </c>
      <c r="P976" s="342">
        <v>46387</v>
      </c>
      <c r="Q976" s="23">
        <f t="shared" si="395"/>
        <v>729</v>
      </c>
      <c r="R976" s="17" t="s">
        <v>242</v>
      </c>
      <c r="S976" s="16" t="s">
        <v>7589</v>
      </c>
      <c r="T976" s="16" t="s">
        <v>2069</v>
      </c>
      <c r="U976" s="67">
        <v>267138108</v>
      </c>
      <c r="V976" s="16" t="s">
        <v>7569</v>
      </c>
      <c r="W976" s="24">
        <v>267138108</v>
      </c>
      <c r="X976" s="24">
        <v>11438456</v>
      </c>
      <c r="Y976" s="24"/>
      <c r="Z976" s="24"/>
      <c r="AA976" s="17" t="s">
        <v>116</v>
      </c>
      <c r="AB976" s="23" t="str">
        <f>IFERROR(VLOOKUP(AA976,Listas!$A$1:$C$14,2,FALSE),"")</f>
        <v>FREDY CÉSPEDES VILLA</v>
      </c>
      <c r="AC976" s="23">
        <f>IFERROR(VLOOKUP(AA976,Listas!$A$1:$C$14,3,FALSE),"")</f>
        <v>93363483</v>
      </c>
      <c r="AD976" s="17" t="s">
        <v>472</v>
      </c>
      <c r="AE976" s="17" t="s">
        <v>473</v>
      </c>
      <c r="AF976" s="23" t="str">
        <f>IFERROR(VLOOKUP(AE976,Listas!$AD$1:$AF$65,2,FALSE),"")</f>
        <v>DANIEL ALBERTO CASTAÑO LOPEZ</v>
      </c>
      <c r="AG976" s="23">
        <f>IFERROR(VLOOKUP(AE976,Listas!$AD$1:$AF$65,3,FALSE),"")</f>
        <v>7544385</v>
      </c>
      <c r="AH976" s="17" t="s">
        <v>118</v>
      </c>
      <c r="AI976" s="65"/>
      <c r="AJ976" s="25" t="s">
        <v>1435</v>
      </c>
      <c r="AK976" s="26" t="s">
        <v>2071</v>
      </c>
      <c r="AL976" s="26" t="s">
        <v>2071</v>
      </c>
      <c r="AM976" s="90" t="s">
        <v>1435</v>
      </c>
      <c r="AN976" s="105"/>
      <c r="AO976" s="91" t="str">
        <f t="shared" ca="1" si="396"/>
        <v xml:space="preserve"> </v>
      </c>
      <c r="AP976" s="26" t="s">
        <v>121</v>
      </c>
      <c r="AQ976" s="26" t="s">
        <v>285</v>
      </c>
      <c r="AR976" s="89"/>
      <c r="AS976" s="27"/>
      <c r="AT976" s="16"/>
      <c r="AU976" s="27"/>
      <c r="AV976" s="86"/>
      <c r="AW976" s="27"/>
      <c r="AX976" s="27"/>
      <c r="AY976" s="27"/>
      <c r="AZ976" s="27"/>
      <c r="BA976" s="27"/>
      <c r="BB976" s="27"/>
      <c r="BC976" s="97"/>
      <c r="BD976" s="27"/>
      <c r="BE976" s="16"/>
      <c r="BF976" s="28">
        <f t="shared" si="400"/>
        <v>0</v>
      </c>
      <c r="BG976" s="29"/>
      <c r="BH976" s="27"/>
      <c r="BI976" s="30">
        <f t="shared" si="401"/>
        <v>729</v>
      </c>
      <c r="BJ976" s="31">
        <f t="shared" si="402"/>
        <v>46387</v>
      </c>
      <c r="BK976" s="27"/>
      <c r="BL976" s="16"/>
      <c r="BM976" s="27"/>
      <c r="BN976" s="16"/>
      <c r="BO976" s="27"/>
      <c r="BP976" s="16"/>
      <c r="BQ976" s="27"/>
      <c r="BR976" s="24"/>
      <c r="BS976" s="24"/>
      <c r="BT976" s="32"/>
      <c r="BU976" s="27"/>
      <c r="BV976" s="24"/>
      <c r="BW976" s="24"/>
      <c r="BX976" s="16"/>
      <c r="BY976" s="27"/>
      <c r="BZ976" s="24"/>
      <c r="CA976" s="24"/>
      <c r="CB976" s="16"/>
      <c r="CC976" s="49">
        <f t="shared" si="403"/>
        <v>0</v>
      </c>
      <c r="CD976" s="24"/>
      <c r="CE976" s="49">
        <f t="shared" si="394"/>
        <v>267138108</v>
      </c>
      <c r="CF976" s="50">
        <v>0</v>
      </c>
      <c r="CG976" s="49">
        <f t="shared" ca="1" si="391"/>
        <v>107368265.62962963</v>
      </c>
      <c r="CH976" s="33">
        <f t="shared" ca="1" si="384"/>
        <v>0.40138888888888891</v>
      </c>
      <c r="CI976" s="33">
        <f t="shared" ca="1" si="385"/>
        <v>0.40138888888888891</v>
      </c>
      <c r="CJ976" s="36">
        <f t="shared" ca="1" si="397"/>
        <v>40.192043895747595</v>
      </c>
      <c r="CK976" s="34">
        <f t="shared" si="398"/>
        <v>0</v>
      </c>
      <c r="CL976" s="21"/>
      <c r="CM976" s="35" t="str">
        <f t="shared" ca="1" si="404"/>
        <v>VIGENTE</v>
      </c>
      <c r="CN976" s="82"/>
      <c r="CO976" s="145"/>
      <c r="CP976" s="26"/>
      <c r="CQ976" s="83"/>
      <c r="CR976" s="83"/>
      <c r="CS976" s="48"/>
      <c r="CT976" s="77"/>
    </row>
    <row r="977" spans="1:98" s="85" customFormat="1" ht="24.75" customHeight="1">
      <c r="A977" s="48" t="s">
        <v>7590</v>
      </c>
      <c r="B977" s="150" t="s">
        <v>7591</v>
      </c>
      <c r="C977" s="17" t="s">
        <v>104</v>
      </c>
      <c r="D977" s="52" t="s">
        <v>7592</v>
      </c>
      <c r="E977" s="17" t="s">
        <v>2063</v>
      </c>
      <c r="F977" s="17" t="s">
        <v>1426</v>
      </c>
      <c r="G977" s="17" t="s">
        <v>1427</v>
      </c>
      <c r="H977" s="78" t="s">
        <v>7593</v>
      </c>
      <c r="I977" s="74" t="s">
        <v>7594</v>
      </c>
      <c r="J977" s="16" t="s">
        <v>7595</v>
      </c>
      <c r="K977" s="104">
        <v>40919587</v>
      </c>
      <c r="L977" s="96" t="s">
        <v>7596</v>
      </c>
      <c r="M977" s="16" t="s">
        <v>7597</v>
      </c>
      <c r="N977" s="342">
        <v>45657</v>
      </c>
      <c r="O977" s="342">
        <v>45659</v>
      </c>
      <c r="P977" s="342">
        <v>46387</v>
      </c>
      <c r="Q977" s="23">
        <f t="shared" si="395"/>
        <v>728</v>
      </c>
      <c r="R977" s="17" t="s">
        <v>242</v>
      </c>
      <c r="S977" s="16" t="s">
        <v>7598</v>
      </c>
      <c r="T977" s="16" t="s">
        <v>2069</v>
      </c>
      <c r="U977" s="67">
        <v>267138108</v>
      </c>
      <c r="V977" s="16" t="s">
        <v>7569</v>
      </c>
      <c r="W977" s="24">
        <v>52431753</v>
      </c>
      <c r="X977" s="24">
        <v>2150252</v>
      </c>
      <c r="Y977" s="24"/>
      <c r="Z977" s="24"/>
      <c r="AA977" s="17" t="s">
        <v>116</v>
      </c>
      <c r="AB977" s="23" t="str">
        <f>IFERROR(VLOOKUP(AA977,Listas!$A$1:$C$14,2,FALSE),"")</f>
        <v>FREDY CÉSPEDES VILLA</v>
      </c>
      <c r="AC977" s="23">
        <f>IFERROR(VLOOKUP(AA977,Listas!$A$1:$C$14,3,FALSE),"")</f>
        <v>93363483</v>
      </c>
      <c r="AD977" s="17" t="s">
        <v>903</v>
      </c>
      <c r="AE977" s="17" t="s">
        <v>904</v>
      </c>
      <c r="AF977" s="23" t="str">
        <f>IFERROR(VLOOKUP(AE977,Listas!$AD$1:$AF$65,2,FALSE),"")</f>
        <v>VIVIANA MARGARITA ROMERO</v>
      </c>
      <c r="AG977" s="23">
        <f>IFERROR(VLOOKUP(AE977,Listas!$AD$1:$AF$65,3,FALSE),"")</f>
        <v>32794946</v>
      </c>
      <c r="AH977" s="17" t="s">
        <v>118</v>
      </c>
      <c r="AI977" s="65"/>
      <c r="AJ977" s="25" t="s">
        <v>1435</v>
      </c>
      <c r="AK977" s="26" t="s">
        <v>2071</v>
      </c>
      <c r="AL977" s="26" t="s">
        <v>2071</v>
      </c>
      <c r="AM977" s="90" t="s">
        <v>1435</v>
      </c>
      <c r="AN977" s="105"/>
      <c r="AO977" s="91" t="str">
        <f t="shared" ca="1" si="396"/>
        <v xml:space="preserve"> </v>
      </c>
      <c r="AP977" s="26" t="s">
        <v>121</v>
      </c>
      <c r="AQ977" s="26" t="s">
        <v>285</v>
      </c>
      <c r="AR977" s="89"/>
      <c r="AS977" s="27"/>
      <c r="AT977" s="16"/>
      <c r="AU977" s="27"/>
      <c r="AV977" s="86"/>
      <c r="AW977" s="27"/>
      <c r="AX977" s="27"/>
      <c r="AY977" s="27"/>
      <c r="AZ977" s="27"/>
      <c r="BA977" s="27"/>
      <c r="BB977" s="27"/>
      <c r="BC977" s="97"/>
      <c r="BD977" s="27"/>
      <c r="BE977" s="16"/>
      <c r="BF977" s="28">
        <f t="shared" si="400"/>
        <v>0</v>
      </c>
      <c r="BG977" s="29"/>
      <c r="BH977" s="27"/>
      <c r="BI977" s="30">
        <f t="shared" si="401"/>
        <v>728</v>
      </c>
      <c r="BJ977" s="31">
        <f t="shared" si="402"/>
        <v>46387</v>
      </c>
      <c r="BK977" s="27"/>
      <c r="BL977" s="16"/>
      <c r="BM977" s="27"/>
      <c r="BN977" s="16"/>
      <c r="BO977" s="27"/>
      <c r="BP977" s="16"/>
      <c r="BQ977" s="27"/>
      <c r="BR977" s="24"/>
      <c r="BS977" s="24"/>
      <c r="BT977" s="32"/>
      <c r="BU977" s="27"/>
      <c r="BV977" s="24"/>
      <c r="BW977" s="24"/>
      <c r="BX977" s="16"/>
      <c r="BY977" s="27"/>
      <c r="BZ977" s="24"/>
      <c r="CA977" s="24"/>
      <c r="CB977" s="16"/>
      <c r="CC977" s="49">
        <f t="shared" si="403"/>
        <v>0</v>
      </c>
      <c r="CD977" s="24"/>
      <c r="CE977" s="49">
        <f t="shared" si="394"/>
        <v>52431753</v>
      </c>
      <c r="CF977" s="50">
        <v>0</v>
      </c>
      <c r="CG977" s="49">
        <f t="shared" ca="1" si="391"/>
        <v>21102340.149725273</v>
      </c>
      <c r="CH977" s="33">
        <f t="shared" ca="1" si="384"/>
        <v>0.40055632823365783</v>
      </c>
      <c r="CI977" s="33">
        <f t="shared" ca="1" si="385"/>
        <v>0.40055632823365783</v>
      </c>
      <c r="CJ977" s="36">
        <f t="shared" ca="1" si="397"/>
        <v>40.247252747252745</v>
      </c>
      <c r="CK977" s="34">
        <f t="shared" si="398"/>
        <v>0</v>
      </c>
      <c r="CL977" s="21"/>
      <c r="CM977" s="35" t="str">
        <f t="shared" ca="1" si="404"/>
        <v>VIGENTE</v>
      </c>
      <c r="CN977" s="82"/>
      <c r="CO977" s="145"/>
      <c r="CP977" s="26"/>
      <c r="CQ977" s="83"/>
      <c r="CR977" s="83"/>
      <c r="CS977" s="48"/>
      <c r="CT977" s="77"/>
    </row>
    <row r="978" spans="1:98" s="170" customFormat="1" ht="24.75" customHeight="1">
      <c r="A978" s="48" t="s">
        <v>1424</v>
      </c>
      <c r="B978" s="150" t="s">
        <v>7599</v>
      </c>
      <c r="C978" s="17" t="s">
        <v>2927</v>
      </c>
      <c r="D978" s="52" t="s">
        <v>1424</v>
      </c>
      <c r="E978" s="17" t="s">
        <v>6197</v>
      </c>
      <c r="F978" s="17" t="s">
        <v>1426</v>
      </c>
      <c r="G978" s="17" t="s">
        <v>1427</v>
      </c>
      <c r="H978" s="78" t="s">
        <v>7600</v>
      </c>
      <c r="I978" s="74" t="s">
        <v>7601</v>
      </c>
      <c r="J978" s="16" t="s">
        <v>7602</v>
      </c>
      <c r="K978" s="104">
        <v>1123635188</v>
      </c>
      <c r="L978" s="96" t="s">
        <v>7603</v>
      </c>
      <c r="M978" s="16"/>
      <c r="N978" s="342">
        <v>45656</v>
      </c>
      <c r="O978" s="342">
        <v>45656</v>
      </c>
      <c r="P978" s="342">
        <v>48212</v>
      </c>
      <c r="Q978" s="23">
        <f t="shared" si="395"/>
        <v>2556</v>
      </c>
      <c r="R978" s="17" t="s">
        <v>2934</v>
      </c>
      <c r="S978" s="16" t="s">
        <v>1424</v>
      </c>
      <c r="T978" s="16" t="s">
        <v>1424</v>
      </c>
      <c r="U978" s="67">
        <v>0</v>
      </c>
      <c r="V978" s="16" t="s">
        <v>1424</v>
      </c>
      <c r="W978" s="24">
        <v>0</v>
      </c>
      <c r="X978" s="24"/>
      <c r="Y978" s="24">
        <v>2000000000</v>
      </c>
      <c r="Z978" s="24"/>
      <c r="AA978" s="17" t="s">
        <v>427</v>
      </c>
      <c r="AB978" s="23" t="str">
        <f>IFERROR(VLOOKUP(AA978,Listas!$A$1:$C$14,2,FALSE),"")</f>
        <v>DINORAH PATRICIA ABADIA MURILLO</v>
      </c>
      <c r="AC978" s="23">
        <f>IFERROR(VLOOKUP(AA978,Listas!$A$1:$C$14,3,FALSE),"")</f>
        <v>52220857</v>
      </c>
      <c r="AD978" s="17" t="s">
        <v>427</v>
      </c>
      <c r="AE978" s="17" t="s">
        <v>428</v>
      </c>
      <c r="AF978" s="23" t="str">
        <f>IFERROR(VLOOKUP(AE978,Listas!$AD$1:$AF$65,2,FALSE),"")</f>
        <v>DINORAH PATRICIA ABADIA MURILLO</v>
      </c>
      <c r="AG978" s="23">
        <f>IFERROR(VLOOKUP(AE978,Listas!$AD$1:$AF$65,3,FALSE),"")</f>
        <v>52220857</v>
      </c>
      <c r="AH978" s="17" t="s">
        <v>2936</v>
      </c>
      <c r="AI978" s="65"/>
      <c r="AJ978" s="25" t="s">
        <v>1435</v>
      </c>
      <c r="AK978" s="26" t="s">
        <v>2071</v>
      </c>
      <c r="AL978" s="26" t="s">
        <v>2071</v>
      </c>
      <c r="AM978" s="90" t="s">
        <v>1435</v>
      </c>
      <c r="AN978" s="105"/>
      <c r="AO978" s="91" t="str">
        <f t="shared" ca="1" si="396"/>
        <v xml:space="preserve"> </v>
      </c>
      <c r="AP978" s="26" t="s">
        <v>2937</v>
      </c>
      <c r="AQ978" s="26" t="s">
        <v>3453</v>
      </c>
      <c r="AR978" s="89"/>
      <c r="AS978" s="27"/>
      <c r="AT978" s="16"/>
      <c r="AU978" s="27"/>
      <c r="AV978" s="86"/>
      <c r="AW978" s="27"/>
      <c r="AX978" s="27"/>
      <c r="AY978" s="27"/>
      <c r="AZ978" s="27"/>
      <c r="BA978" s="27"/>
      <c r="BB978" s="27"/>
      <c r="BC978" s="97"/>
      <c r="BD978" s="27"/>
      <c r="BE978" s="16"/>
      <c r="BF978" s="28">
        <f t="shared" si="400"/>
        <v>0</v>
      </c>
      <c r="BG978" s="29"/>
      <c r="BH978" s="27"/>
      <c r="BI978" s="30">
        <f t="shared" si="401"/>
        <v>2556</v>
      </c>
      <c r="BJ978" s="31">
        <f t="shared" si="402"/>
        <v>48212</v>
      </c>
      <c r="BK978" s="27"/>
      <c r="BL978" s="16"/>
      <c r="BM978" s="27"/>
      <c r="BN978" s="16"/>
      <c r="BO978" s="27"/>
      <c r="BP978" s="16"/>
      <c r="BQ978" s="27"/>
      <c r="BR978" s="24"/>
      <c r="BS978" s="24"/>
      <c r="BT978" s="32"/>
      <c r="BU978" s="27"/>
      <c r="BV978" s="24"/>
      <c r="BW978" s="24"/>
      <c r="BX978" s="16"/>
      <c r="BY978" s="27"/>
      <c r="BZ978" s="24"/>
      <c r="CA978" s="24"/>
      <c r="CB978" s="16"/>
      <c r="CC978" s="49">
        <f t="shared" si="403"/>
        <v>0</v>
      </c>
      <c r="CD978" s="24"/>
      <c r="CE978" s="49">
        <f t="shared" si="394"/>
        <v>2000000000</v>
      </c>
      <c r="CF978" s="50">
        <v>0</v>
      </c>
      <c r="CG978" s="49">
        <f t="shared" ca="1" si="391"/>
        <v>230046948.35680753</v>
      </c>
      <c r="CH978" s="33">
        <f t="shared" ca="1" si="384"/>
        <v>0.11507936507936507</v>
      </c>
      <c r="CI978" s="33">
        <f t="shared" ca="1" si="385"/>
        <v>0.11507936507936507</v>
      </c>
      <c r="CJ978" s="36">
        <v>0</v>
      </c>
      <c r="CK978" s="34">
        <f t="shared" si="398"/>
        <v>0</v>
      </c>
      <c r="CL978" s="21"/>
      <c r="CM978" s="35" t="str">
        <f t="shared" ca="1" si="404"/>
        <v>VIGENTE</v>
      </c>
      <c r="CN978" s="82"/>
      <c r="CO978" s="145"/>
      <c r="CP978" s="26"/>
      <c r="CQ978" s="83"/>
      <c r="CR978" s="83"/>
      <c r="CS978" s="48"/>
      <c r="CT978" s="77"/>
    </row>
    <row r="979" spans="1:98" s="156" customFormat="1" ht="24.75" customHeight="1">
      <c r="A979" s="48" t="s">
        <v>1424</v>
      </c>
      <c r="B979" s="345" t="s">
        <v>7604</v>
      </c>
      <c r="C979" s="345" t="s">
        <v>1583</v>
      </c>
      <c r="D979" s="18"/>
      <c r="E979" s="17"/>
      <c r="F979" s="17"/>
      <c r="G979" s="17"/>
      <c r="H979" s="78"/>
      <c r="I979" s="74"/>
      <c r="J979" s="16"/>
      <c r="K979" s="16"/>
      <c r="L979" s="96"/>
      <c r="M979" s="16"/>
      <c r="N979" s="22"/>
      <c r="O979" s="22"/>
      <c r="P979" s="22"/>
      <c r="Q979" s="23"/>
      <c r="R979" s="17"/>
      <c r="S979" s="16"/>
      <c r="T979" s="16"/>
      <c r="U979" s="67"/>
      <c r="V979" s="16"/>
      <c r="W979" s="24"/>
      <c r="X979" s="24"/>
      <c r="Y979" s="24"/>
      <c r="Z979" s="24"/>
      <c r="AA979" s="17"/>
      <c r="AB979" s="23"/>
      <c r="AC979" s="23"/>
      <c r="AD979" s="17"/>
      <c r="AE979" s="17"/>
      <c r="AF979" s="23"/>
      <c r="AG979" s="23"/>
      <c r="AH979" s="17"/>
      <c r="AI979" s="65"/>
      <c r="AJ979" s="25"/>
      <c r="AK979" s="26"/>
      <c r="AL979" s="26"/>
      <c r="AM979" s="90"/>
      <c r="AN979" s="105"/>
      <c r="AO979" s="91"/>
      <c r="AP979" s="26"/>
      <c r="AQ979" s="26"/>
      <c r="AR979" s="89"/>
      <c r="AS979" s="27"/>
      <c r="AT979" s="16"/>
      <c r="AU979" s="27"/>
      <c r="AV979" s="86"/>
      <c r="AW979" s="27"/>
      <c r="AX979" s="27"/>
      <c r="AY979" s="27"/>
      <c r="AZ979" s="27"/>
      <c r="BA979" s="27"/>
      <c r="BB979" s="27"/>
      <c r="BC979" s="97"/>
      <c r="BD979" s="27"/>
      <c r="BE979" s="16"/>
      <c r="BF979" s="28">
        <f t="shared" si="400"/>
        <v>0</v>
      </c>
      <c r="BG979" s="29"/>
      <c r="BH979" s="27"/>
      <c r="BI979" s="30">
        <f t="shared" si="401"/>
        <v>0</v>
      </c>
      <c r="BJ979" s="31">
        <f t="shared" si="402"/>
        <v>0</v>
      </c>
      <c r="BK979" s="27"/>
      <c r="BL979" s="16"/>
      <c r="BM979" s="27"/>
      <c r="BN979" s="16"/>
      <c r="BO979" s="27"/>
      <c r="BP979" s="16"/>
      <c r="BQ979" s="27"/>
      <c r="BR979" s="24"/>
      <c r="BS979" s="24"/>
      <c r="BT979" s="32"/>
      <c r="BU979" s="27"/>
      <c r="BV979" s="24"/>
      <c r="BW979" s="24"/>
      <c r="BX979" s="16"/>
      <c r="BY979" s="27"/>
      <c r="BZ979" s="24"/>
      <c r="CA979" s="24"/>
      <c r="CB979" s="16"/>
      <c r="CC979" s="49">
        <f t="shared" si="403"/>
        <v>0</v>
      </c>
      <c r="CD979" s="24"/>
      <c r="CE979" s="49">
        <f t="shared" si="394"/>
        <v>0</v>
      </c>
      <c r="CF979" s="50">
        <v>0</v>
      </c>
      <c r="CG979" s="49" t="str">
        <f t="shared" ca="1" si="391"/>
        <v/>
      </c>
      <c r="CH979" s="33">
        <f t="shared" ca="1" si="384"/>
        <v>1</v>
      </c>
      <c r="CI979" s="33">
        <f t="shared" ca="1" si="385"/>
        <v>1</v>
      </c>
      <c r="CJ979" s="36" t="str">
        <f t="shared" ca="1" si="397"/>
        <v/>
      </c>
      <c r="CK979" s="34" t="str">
        <f t="shared" si="398"/>
        <v/>
      </c>
      <c r="CL979" s="21"/>
      <c r="CM979" s="35" t="str">
        <f t="shared" ca="1" si="404"/>
        <v/>
      </c>
      <c r="CN979" s="82" t="s">
        <v>7605</v>
      </c>
      <c r="CO979" s="145"/>
      <c r="CP979" s="26"/>
      <c r="CQ979" s="83"/>
      <c r="CR979" s="83"/>
      <c r="CS979" s="48"/>
      <c r="CT979" s="345"/>
    </row>
    <row r="980" spans="1:98" ht="24.75" customHeight="1">
      <c r="A980" s="48"/>
      <c r="B980" s="150" t="s">
        <v>7606</v>
      </c>
      <c r="C980" s="17"/>
      <c r="D980" s="18"/>
      <c r="E980" s="17"/>
      <c r="F980" s="17"/>
      <c r="G980" s="17"/>
      <c r="H980" s="78"/>
      <c r="I980" s="74"/>
      <c r="J980" s="16"/>
      <c r="K980" s="16"/>
      <c r="L980" s="20"/>
      <c r="M980" s="16"/>
      <c r="N980" s="342"/>
      <c r="O980" s="342"/>
      <c r="P980" s="342"/>
      <c r="Q980" s="23">
        <f t="shared" si="395"/>
        <v>0</v>
      </c>
      <c r="R980" s="17"/>
      <c r="S980" s="16"/>
      <c r="T980" s="16"/>
      <c r="U980" s="67"/>
      <c r="V980" s="16"/>
      <c r="W980" s="224"/>
      <c r="X980" s="24"/>
      <c r="Y980" s="24"/>
      <c r="Z980" s="24"/>
      <c r="AA980" s="17"/>
      <c r="AB980" s="23" t="str">
        <f>IFERROR(VLOOKUP(AA980,Listas!$A$1:$C$14,2,FALSE),"")</f>
        <v/>
      </c>
      <c r="AC980" s="23" t="str">
        <f>IFERROR(VLOOKUP(AA980,Listas!$A$1:$C$14,3,FALSE),"")</f>
        <v/>
      </c>
      <c r="AD980" s="17"/>
      <c r="AE980" s="17"/>
      <c r="AF980" s="23" t="str">
        <f>IFERROR(VLOOKUP(AE980,Listas!$AD$1:$AF$65,2,FALSE),"")</f>
        <v/>
      </c>
      <c r="AG980" s="23" t="str">
        <f>IFERROR(VLOOKUP(AE980,Listas!$AD$1:$AF$65,3,FALSE),"")</f>
        <v/>
      </c>
      <c r="AH980" s="17"/>
      <c r="AI980" s="65"/>
      <c r="AJ980" s="25"/>
      <c r="AK980" s="26"/>
      <c r="AL980" s="26"/>
      <c r="AM980" s="90"/>
      <c r="AN980" s="105"/>
      <c r="AO980" s="91" t="str">
        <f t="shared" ca="1" si="396"/>
        <v xml:space="preserve"> </v>
      </c>
      <c r="AP980" s="26"/>
      <c r="AQ980" s="26"/>
      <c r="AR980" s="89"/>
      <c r="AS980" s="27"/>
      <c r="AT980" s="16"/>
      <c r="AU980" s="27"/>
      <c r="AV980" s="86"/>
      <c r="AW980" s="27"/>
      <c r="AX980" s="27"/>
      <c r="AY980" s="27"/>
      <c r="AZ980" s="27"/>
      <c r="BA980" s="27"/>
      <c r="BB980" s="27"/>
      <c r="BC980" s="97"/>
      <c r="BD980" s="27"/>
      <c r="BE980" s="16"/>
      <c r="BF980" s="28">
        <f t="shared" si="400"/>
        <v>0</v>
      </c>
      <c r="BG980" s="29"/>
      <c r="BH980" s="27"/>
      <c r="BI980" s="30">
        <f t="shared" si="401"/>
        <v>0</v>
      </c>
      <c r="BJ980" s="31">
        <f t="shared" si="402"/>
        <v>0</v>
      </c>
      <c r="BK980" s="27"/>
      <c r="BL980" s="16"/>
      <c r="BM980" s="27"/>
      <c r="BN980" s="16"/>
      <c r="BO980" s="27"/>
      <c r="BP980" s="16"/>
      <c r="BQ980" s="27"/>
      <c r="BR980" s="24"/>
      <c r="BS980" s="24"/>
      <c r="BT980" s="32"/>
      <c r="BU980" s="27"/>
      <c r="BV980" s="24"/>
      <c r="BW980" s="24"/>
      <c r="BX980" s="16"/>
      <c r="BY980" s="27"/>
      <c r="BZ980" s="24"/>
      <c r="CA980" s="24"/>
      <c r="CB980" s="16"/>
      <c r="CC980" s="49">
        <f t="shared" si="403"/>
        <v>0</v>
      </c>
      <c r="CD980" s="24"/>
      <c r="CE980" s="49">
        <f t="shared" si="394"/>
        <v>0</v>
      </c>
      <c r="CF980" s="50"/>
      <c r="CG980" s="49" t="str">
        <f t="shared" ca="1" si="391"/>
        <v/>
      </c>
      <c r="CH980" s="33">
        <f t="shared" ca="1" si="384"/>
        <v>1</v>
      </c>
      <c r="CI980" s="33">
        <f t="shared" ca="1" si="385"/>
        <v>1</v>
      </c>
      <c r="CJ980" s="36" t="str">
        <f t="shared" ca="1" si="397"/>
        <v/>
      </c>
      <c r="CK980" s="34" t="str">
        <f t="shared" si="398"/>
        <v/>
      </c>
      <c r="CL980" s="21"/>
      <c r="CM980" s="35" t="str">
        <f t="shared" ca="1" si="404"/>
        <v/>
      </c>
      <c r="CN980" s="82"/>
      <c r="CP980" s="26"/>
    </row>
    <row r="981" spans="1:98" ht="24.75" customHeight="1">
      <c r="A981" s="48"/>
      <c r="B981" s="150" t="s">
        <v>7607</v>
      </c>
      <c r="C981" s="17"/>
      <c r="D981" s="18"/>
      <c r="E981" s="17"/>
      <c r="F981" s="17"/>
      <c r="G981" s="17"/>
      <c r="H981" s="78"/>
      <c r="I981" s="74"/>
      <c r="J981" s="16"/>
      <c r="K981" s="16"/>
      <c r="L981" s="20"/>
      <c r="M981" s="16"/>
      <c r="N981" s="342"/>
      <c r="O981" s="342"/>
      <c r="P981" s="342"/>
      <c r="Q981" s="23">
        <f t="shared" si="395"/>
        <v>0</v>
      </c>
      <c r="R981" s="17"/>
      <c r="S981" s="16"/>
      <c r="T981" s="16"/>
      <c r="U981" s="67"/>
      <c r="V981" s="16"/>
      <c r="W981" s="224"/>
      <c r="X981" s="24"/>
      <c r="Y981" s="24"/>
      <c r="Z981" s="24"/>
      <c r="AA981" s="17"/>
      <c r="AB981" s="23" t="str">
        <f>IFERROR(VLOOKUP(AA981,Listas!$A$1:$C$14,2,FALSE),"")</f>
        <v/>
      </c>
      <c r="AC981" s="23" t="str">
        <f>IFERROR(VLOOKUP(AA981,Listas!$A$1:$C$14,3,FALSE),"")</f>
        <v/>
      </c>
      <c r="AD981" s="17"/>
      <c r="AE981" s="17"/>
      <c r="AF981" s="23" t="str">
        <f>IFERROR(VLOOKUP(AE981,Listas!$AD$1:$AF$65,2,FALSE),"")</f>
        <v/>
      </c>
      <c r="AG981" s="23" t="str">
        <f>IFERROR(VLOOKUP(AE981,Listas!$AD$1:$AF$65,3,FALSE),"")</f>
        <v/>
      </c>
      <c r="AH981" s="17"/>
      <c r="AI981" s="65"/>
      <c r="AJ981" s="25"/>
      <c r="AK981" s="26"/>
      <c r="AL981" s="26"/>
      <c r="AM981" s="90"/>
      <c r="AN981" s="105"/>
      <c r="AO981" s="91" t="str">
        <f t="shared" ca="1" si="396"/>
        <v xml:space="preserve"> </v>
      </c>
      <c r="AP981" s="26"/>
      <c r="AQ981" s="26"/>
      <c r="AR981" s="89"/>
      <c r="AS981" s="27"/>
      <c r="AT981" s="16"/>
      <c r="AU981" s="27"/>
      <c r="AV981" s="86"/>
      <c r="AW981" s="27"/>
      <c r="AX981" s="27"/>
      <c r="AY981" s="27"/>
      <c r="AZ981" s="27"/>
      <c r="BA981" s="27"/>
      <c r="BB981" s="27"/>
      <c r="BC981" s="97"/>
      <c r="BD981" s="27"/>
      <c r="BE981" s="16"/>
      <c r="BF981" s="28">
        <f t="shared" si="400"/>
        <v>0</v>
      </c>
      <c r="BG981" s="29"/>
      <c r="BH981" s="27"/>
      <c r="BI981" s="30">
        <f t="shared" si="401"/>
        <v>0</v>
      </c>
      <c r="BJ981" s="31">
        <f t="shared" si="402"/>
        <v>0</v>
      </c>
      <c r="BK981" s="27"/>
      <c r="BL981" s="16"/>
      <c r="BM981" s="27"/>
      <c r="BN981" s="16"/>
      <c r="BO981" s="27"/>
      <c r="BP981" s="16"/>
      <c r="BQ981" s="27"/>
      <c r="BR981" s="24"/>
      <c r="BS981" s="24"/>
      <c r="BT981" s="32"/>
      <c r="BU981" s="27"/>
      <c r="BV981" s="24"/>
      <c r="BW981" s="24"/>
      <c r="BX981" s="16"/>
      <c r="BY981" s="27"/>
      <c r="BZ981" s="24"/>
      <c r="CA981" s="24"/>
      <c r="CB981" s="16"/>
      <c r="CC981" s="49">
        <f t="shared" si="403"/>
        <v>0</v>
      </c>
      <c r="CD981" s="24"/>
      <c r="CE981" s="49">
        <f t="shared" si="394"/>
        <v>0</v>
      </c>
      <c r="CF981" s="50"/>
      <c r="CG981" s="49" t="str">
        <f t="shared" ca="1" si="391"/>
        <v/>
      </c>
      <c r="CH981" s="33">
        <f t="shared" ca="1" si="384"/>
        <v>1</v>
      </c>
      <c r="CI981" s="33">
        <f t="shared" ca="1" si="385"/>
        <v>1</v>
      </c>
      <c r="CJ981" s="36" t="str">
        <f t="shared" ca="1" si="397"/>
        <v/>
      </c>
      <c r="CK981" s="34" t="str">
        <f t="shared" si="398"/>
        <v/>
      </c>
      <c r="CL981" s="21"/>
      <c r="CM981" s="35" t="str">
        <f t="shared" ca="1" si="404"/>
        <v/>
      </c>
      <c r="CN981" s="82"/>
      <c r="CP981" s="26"/>
    </row>
    <row r="982" spans="1:98" ht="24.75" customHeight="1">
      <c r="A982" s="48"/>
      <c r="B982" s="150" t="s">
        <v>7608</v>
      </c>
      <c r="C982" s="17"/>
      <c r="D982" s="18"/>
      <c r="E982" s="17"/>
      <c r="F982" s="17"/>
      <c r="G982" s="17"/>
      <c r="H982" s="78"/>
      <c r="I982" s="74"/>
      <c r="J982" s="16"/>
      <c r="K982" s="16"/>
      <c r="L982" s="20"/>
      <c r="M982" s="16"/>
      <c r="N982" s="342"/>
      <c r="O982" s="342"/>
      <c r="P982" s="342"/>
      <c r="Q982" s="23">
        <f t="shared" si="395"/>
        <v>0</v>
      </c>
      <c r="R982" s="17"/>
      <c r="S982" s="16"/>
      <c r="T982" s="16"/>
      <c r="U982" s="67"/>
      <c r="V982" s="16"/>
      <c r="W982" s="224"/>
      <c r="X982" s="24"/>
      <c r="Y982" s="24"/>
      <c r="Z982" s="24"/>
      <c r="AA982" s="17"/>
      <c r="AB982" s="23" t="str">
        <f>IFERROR(VLOOKUP(AA982,Listas!$A$1:$C$14,2,FALSE),"")</f>
        <v/>
      </c>
      <c r="AC982" s="23" t="str">
        <f>IFERROR(VLOOKUP(AA982,Listas!$A$1:$C$14,3,FALSE),"")</f>
        <v/>
      </c>
      <c r="AD982" s="17"/>
      <c r="AE982" s="17"/>
      <c r="AF982" s="23" t="str">
        <f>IFERROR(VLOOKUP(AE982,Listas!$AD$1:$AF$65,2,FALSE),"")</f>
        <v/>
      </c>
      <c r="AG982" s="23" t="str">
        <f>IFERROR(VLOOKUP(AE982,Listas!$AD$1:$AF$65,3,FALSE),"")</f>
        <v/>
      </c>
      <c r="AH982" s="17"/>
      <c r="AI982" s="65"/>
      <c r="AJ982" s="25"/>
      <c r="AK982" s="26"/>
      <c r="AL982" s="26"/>
      <c r="AM982" s="90"/>
      <c r="AN982" s="105"/>
      <c r="AO982" s="91" t="str">
        <f t="shared" ca="1" si="396"/>
        <v xml:space="preserve"> </v>
      </c>
      <c r="AP982" s="26"/>
      <c r="AQ982" s="26"/>
      <c r="AR982" s="89"/>
      <c r="AS982" s="27"/>
      <c r="AT982" s="16"/>
      <c r="AU982" s="27"/>
      <c r="AV982" s="86"/>
      <c r="AW982" s="27"/>
      <c r="AX982" s="27"/>
      <c r="AY982" s="27"/>
      <c r="AZ982" s="27"/>
      <c r="BA982" s="27"/>
      <c r="BB982" s="27"/>
      <c r="BC982" s="97"/>
      <c r="BD982" s="27"/>
      <c r="BE982" s="16"/>
      <c r="BF982" s="28">
        <f t="shared" si="400"/>
        <v>0</v>
      </c>
      <c r="BG982" s="29"/>
      <c r="BH982" s="27"/>
      <c r="BI982" s="30">
        <f t="shared" si="401"/>
        <v>0</v>
      </c>
      <c r="BJ982" s="31">
        <f t="shared" si="402"/>
        <v>0</v>
      </c>
      <c r="BK982" s="27"/>
      <c r="BL982" s="16"/>
      <c r="BM982" s="27"/>
      <c r="BN982" s="16"/>
      <c r="BO982" s="27"/>
      <c r="BP982" s="16"/>
      <c r="BQ982" s="27"/>
      <c r="BR982" s="24"/>
      <c r="BS982" s="24"/>
      <c r="BT982" s="32"/>
      <c r="BU982" s="27"/>
      <c r="BV982" s="24"/>
      <c r="BW982" s="24"/>
      <c r="BX982" s="16"/>
      <c r="BY982" s="27"/>
      <c r="BZ982" s="24"/>
      <c r="CA982" s="24"/>
      <c r="CB982" s="16"/>
      <c r="CC982" s="49">
        <f t="shared" si="403"/>
        <v>0</v>
      </c>
      <c r="CD982" s="24"/>
      <c r="CE982" s="49">
        <f t="shared" si="394"/>
        <v>0</v>
      </c>
      <c r="CF982" s="50"/>
      <c r="CG982" s="49" t="str">
        <f t="shared" ca="1" si="391"/>
        <v/>
      </c>
      <c r="CH982" s="33">
        <f t="shared" ca="1" si="384"/>
        <v>1</v>
      </c>
      <c r="CI982" s="33">
        <f t="shared" ca="1" si="385"/>
        <v>1</v>
      </c>
      <c r="CJ982" s="36" t="str">
        <f t="shared" ca="1" si="397"/>
        <v/>
      </c>
      <c r="CK982" s="34" t="str">
        <f t="shared" si="398"/>
        <v/>
      </c>
      <c r="CL982" s="21"/>
      <c r="CM982" s="35" t="str">
        <f t="shared" ca="1" si="404"/>
        <v/>
      </c>
      <c r="CN982" s="82"/>
      <c r="CP982" s="26"/>
    </row>
    <row r="983" spans="1:98" ht="24.75" customHeight="1">
      <c r="A983" s="48"/>
      <c r="B983" s="150" t="s">
        <v>7609</v>
      </c>
      <c r="C983" s="17"/>
      <c r="D983" s="18"/>
      <c r="E983" s="17"/>
      <c r="F983" s="17"/>
      <c r="G983" s="17"/>
      <c r="H983" s="78"/>
      <c r="I983" s="74"/>
      <c r="J983" s="16"/>
      <c r="K983" s="16"/>
      <c r="L983" s="20"/>
      <c r="M983" s="16"/>
      <c r="N983" s="342"/>
      <c r="O983" s="342"/>
      <c r="P983" s="342"/>
      <c r="Q983" s="23">
        <f t="shared" si="395"/>
        <v>0</v>
      </c>
      <c r="R983" s="17"/>
      <c r="S983" s="16"/>
      <c r="T983" s="16"/>
      <c r="U983" s="67"/>
      <c r="V983" s="16"/>
      <c r="W983" s="224"/>
      <c r="X983" s="24"/>
      <c r="Y983" s="24"/>
      <c r="Z983" s="24"/>
      <c r="AA983" s="17"/>
      <c r="AB983" s="23" t="str">
        <f>IFERROR(VLOOKUP(AA983,Listas!$A$1:$C$14,2,FALSE),"")</f>
        <v/>
      </c>
      <c r="AC983" s="23" t="str">
        <f>IFERROR(VLOOKUP(AA983,Listas!$A$1:$C$14,3,FALSE),"")</f>
        <v/>
      </c>
      <c r="AD983" s="17"/>
      <c r="AE983" s="17"/>
      <c r="AF983" s="23" t="str">
        <f>IFERROR(VLOOKUP(AE983,Listas!$AD$1:$AF$65,2,FALSE),"")</f>
        <v/>
      </c>
      <c r="AG983" s="23" t="str">
        <f>IFERROR(VLOOKUP(AE983,Listas!$AD$1:$AF$65,3,FALSE),"")</f>
        <v/>
      </c>
      <c r="AH983" s="17"/>
      <c r="AI983" s="65"/>
      <c r="AJ983" s="25"/>
      <c r="AK983" s="26"/>
      <c r="AL983" s="26"/>
      <c r="AM983" s="90"/>
      <c r="AN983" s="105"/>
      <c r="AO983" s="91" t="str">
        <f t="shared" ca="1" si="396"/>
        <v xml:space="preserve"> </v>
      </c>
      <c r="AP983" s="26"/>
      <c r="AQ983" s="26"/>
      <c r="AR983" s="89"/>
      <c r="AS983" s="27"/>
      <c r="AT983" s="16"/>
      <c r="AU983" s="27"/>
      <c r="AV983" s="86"/>
      <c r="AW983" s="27"/>
      <c r="AX983" s="27"/>
      <c r="AY983" s="27"/>
      <c r="AZ983" s="27"/>
      <c r="BA983" s="27"/>
      <c r="BB983" s="27"/>
      <c r="BC983" s="97"/>
      <c r="BD983" s="27"/>
      <c r="BE983" s="16"/>
      <c r="BF983" s="28">
        <f t="shared" si="400"/>
        <v>0</v>
      </c>
      <c r="BG983" s="29"/>
      <c r="BH983" s="27"/>
      <c r="BI983" s="30">
        <f t="shared" si="401"/>
        <v>0</v>
      </c>
      <c r="BJ983" s="31">
        <f t="shared" si="402"/>
        <v>0</v>
      </c>
      <c r="BK983" s="27"/>
      <c r="BL983" s="16"/>
      <c r="BM983" s="27"/>
      <c r="BN983" s="16"/>
      <c r="BO983" s="27"/>
      <c r="BP983" s="16"/>
      <c r="BQ983" s="27"/>
      <c r="BR983" s="24"/>
      <c r="BS983" s="24"/>
      <c r="BT983" s="32"/>
      <c r="BU983" s="27"/>
      <c r="BV983" s="24"/>
      <c r="BW983" s="24"/>
      <c r="BX983" s="16"/>
      <c r="BY983" s="27"/>
      <c r="BZ983" s="24"/>
      <c r="CA983" s="24"/>
      <c r="CB983" s="16"/>
      <c r="CC983" s="49">
        <f t="shared" si="403"/>
        <v>0</v>
      </c>
      <c r="CD983" s="24"/>
      <c r="CE983" s="49">
        <f t="shared" si="394"/>
        <v>0</v>
      </c>
      <c r="CF983" s="50"/>
      <c r="CG983" s="49" t="str">
        <f t="shared" ca="1" si="391"/>
        <v/>
      </c>
      <c r="CH983" s="33">
        <f t="shared" ca="1" si="384"/>
        <v>1</v>
      </c>
      <c r="CI983" s="33">
        <f t="shared" ca="1" si="385"/>
        <v>1</v>
      </c>
      <c r="CJ983" s="36" t="str">
        <f t="shared" ca="1" si="397"/>
        <v/>
      </c>
      <c r="CK983" s="34" t="str">
        <f t="shared" si="398"/>
        <v/>
      </c>
      <c r="CL983" s="21"/>
      <c r="CM983" s="35" t="str">
        <f t="shared" ca="1" si="404"/>
        <v/>
      </c>
      <c r="CN983" s="82"/>
      <c r="CP983" s="26"/>
    </row>
    <row r="984" spans="1:98" ht="24.75" customHeight="1">
      <c r="A984" s="48"/>
      <c r="B984" s="150" t="s">
        <v>7610</v>
      </c>
      <c r="C984" s="17"/>
      <c r="D984" s="18"/>
      <c r="E984" s="17"/>
      <c r="F984" s="17"/>
      <c r="G984" s="17"/>
      <c r="H984" s="78"/>
      <c r="I984" s="74"/>
      <c r="J984" s="16"/>
      <c r="K984" s="16"/>
      <c r="L984" s="20"/>
      <c r="M984" s="16"/>
      <c r="N984" s="342"/>
      <c r="O984" s="342"/>
      <c r="P984" s="342"/>
      <c r="Q984" s="23">
        <f t="shared" si="395"/>
        <v>0</v>
      </c>
      <c r="R984" s="17"/>
      <c r="S984" s="16"/>
      <c r="T984" s="16"/>
      <c r="U984" s="67"/>
      <c r="V984" s="16"/>
      <c r="W984" s="224"/>
      <c r="X984" s="24"/>
      <c r="Y984" s="24"/>
      <c r="Z984" s="24"/>
      <c r="AA984" s="17"/>
      <c r="AB984" s="23" t="str">
        <f>IFERROR(VLOOKUP(AA984,Listas!$A$1:$C$14,2,FALSE),"")</f>
        <v/>
      </c>
      <c r="AC984" s="23" t="str">
        <f>IFERROR(VLOOKUP(AA984,Listas!$A$1:$C$14,3,FALSE),"")</f>
        <v/>
      </c>
      <c r="AD984" s="17"/>
      <c r="AE984" s="17"/>
      <c r="AF984" s="23" t="str">
        <f>IFERROR(VLOOKUP(AE984,Listas!$AD$1:$AF$65,2,FALSE),"")</f>
        <v/>
      </c>
      <c r="AG984" s="23" t="str">
        <f>IFERROR(VLOOKUP(AE984,Listas!$AD$1:$AF$65,3,FALSE),"")</f>
        <v/>
      </c>
      <c r="AH984" s="17"/>
      <c r="AI984" s="65"/>
      <c r="AJ984" s="25"/>
      <c r="AK984" s="26"/>
      <c r="AL984" s="26"/>
      <c r="AM984" s="90"/>
      <c r="AN984" s="105"/>
      <c r="AO984" s="91" t="str">
        <f t="shared" ca="1" si="396"/>
        <v xml:space="preserve"> </v>
      </c>
      <c r="AP984" s="26"/>
      <c r="AQ984" s="26"/>
      <c r="AR984" s="89"/>
      <c r="AS984" s="27"/>
      <c r="AT984" s="16"/>
      <c r="AU984" s="27"/>
      <c r="AV984" s="86"/>
      <c r="AW984" s="27"/>
      <c r="AX984" s="27"/>
      <c r="AY984" s="27"/>
      <c r="AZ984" s="27"/>
      <c r="BA984" s="27"/>
      <c r="BB984" s="27"/>
      <c r="BC984" s="97"/>
      <c r="BD984" s="27"/>
      <c r="BE984" s="16"/>
      <c r="BF984" s="28">
        <f t="shared" si="400"/>
        <v>0</v>
      </c>
      <c r="BG984" s="29"/>
      <c r="BH984" s="27"/>
      <c r="BI984" s="30">
        <f t="shared" si="401"/>
        <v>0</v>
      </c>
      <c r="BJ984" s="31">
        <f t="shared" si="402"/>
        <v>0</v>
      </c>
      <c r="BK984" s="27"/>
      <c r="BL984" s="16"/>
      <c r="BM984" s="27"/>
      <c r="BN984" s="16"/>
      <c r="BO984" s="27"/>
      <c r="BP984" s="16"/>
      <c r="BQ984" s="27"/>
      <c r="BR984" s="24"/>
      <c r="BS984" s="24"/>
      <c r="BT984" s="32"/>
      <c r="BU984" s="27"/>
      <c r="BV984" s="24"/>
      <c r="BW984" s="24"/>
      <c r="BX984" s="16"/>
      <c r="BY984" s="27"/>
      <c r="BZ984" s="24"/>
      <c r="CA984" s="24"/>
      <c r="CB984" s="16"/>
      <c r="CC984" s="49">
        <f t="shared" si="403"/>
        <v>0</v>
      </c>
      <c r="CD984" s="24"/>
      <c r="CE984" s="49">
        <f t="shared" si="394"/>
        <v>0</v>
      </c>
      <c r="CF984" s="50"/>
      <c r="CG984" s="49" t="str">
        <f t="shared" ca="1" si="391"/>
        <v/>
      </c>
      <c r="CH984" s="33">
        <f t="shared" ca="1" si="384"/>
        <v>1</v>
      </c>
      <c r="CI984" s="33">
        <f t="shared" ca="1" si="385"/>
        <v>1</v>
      </c>
      <c r="CJ984" s="36" t="str">
        <f t="shared" ca="1" si="397"/>
        <v/>
      </c>
      <c r="CK984" s="34" t="str">
        <f t="shared" si="398"/>
        <v/>
      </c>
      <c r="CL984" s="21"/>
      <c r="CM984" s="35" t="str">
        <f t="shared" ca="1" si="404"/>
        <v/>
      </c>
      <c r="CN984" s="82"/>
      <c r="CP984" s="26"/>
    </row>
    <row r="985" spans="1:98" ht="24.75" customHeight="1">
      <c r="A985" s="48"/>
      <c r="B985" s="150" t="s">
        <v>7611</v>
      </c>
      <c r="C985" s="17"/>
      <c r="D985" s="18"/>
      <c r="E985" s="17"/>
      <c r="F985" s="17"/>
      <c r="G985" s="17"/>
      <c r="H985" s="78"/>
      <c r="I985" s="74"/>
      <c r="J985" s="16"/>
      <c r="K985" s="16"/>
      <c r="L985" s="20"/>
      <c r="M985" s="16"/>
      <c r="N985" s="342"/>
      <c r="O985" s="342"/>
      <c r="P985" s="342"/>
      <c r="Q985" s="23">
        <f t="shared" si="395"/>
        <v>0</v>
      </c>
      <c r="R985" s="17"/>
      <c r="S985" s="16"/>
      <c r="T985" s="16"/>
      <c r="U985" s="67"/>
      <c r="V985" s="16"/>
      <c r="W985" s="224"/>
      <c r="X985" s="24"/>
      <c r="Y985" s="24"/>
      <c r="Z985" s="24"/>
      <c r="AA985" s="17"/>
      <c r="AB985" s="23" t="str">
        <f>IFERROR(VLOOKUP(AA985,Listas!$A$1:$C$14,2,FALSE),"")</f>
        <v/>
      </c>
      <c r="AC985" s="23" t="str">
        <f>IFERROR(VLOOKUP(AA985,Listas!$A$1:$C$14,3,FALSE),"")</f>
        <v/>
      </c>
      <c r="AD985" s="17"/>
      <c r="AE985" s="17"/>
      <c r="AF985" s="23" t="str">
        <f>IFERROR(VLOOKUP(AE985,Listas!$AD$1:$AF$65,2,FALSE),"")</f>
        <v/>
      </c>
      <c r="AG985" s="23" t="str">
        <f>IFERROR(VLOOKUP(AE985,Listas!$AD$1:$AF$65,3,FALSE),"")</f>
        <v/>
      </c>
      <c r="AH985" s="17"/>
      <c r="AI985" s="65"/>
      <c r="AJ985" s="25"/>
      <c r="AK985" s="26"/>
      <c r="AL985" s="26"/>
      <c r="AM985" s="90"/>
      <c r="AN985" s="105"/>
      <c r="AO985" s="91" t="str">
        <f t="shared" ca="1" si="396"/>
        <v xml:space="preserve"> </v>
      </c>
      <c r="AP985" s="26"/>
      <c r="AQ985" s="26"/>
      <c r="AR985" s="89"/>
      <c r="AS985" s="27"/>
      <c r="AT985" s="16"/>
      <c r="AU985" s="27"/>
      <c r="AV985" s="86"/>
      <c r="AW985" s="27"/>
      <c r="AX985" s="27"/>
      <c r="AY985" s="27"/>
      <c r="AZ985" s="27"/>
      <c r="BA985" s="27"/>
      <c r="BB985" s="27"/>
      <c r="BC985" s="97"/>
      <c r="BD985" s="27"/>
      <c r="BE985" s="16"/>
      <c r="BF985" s="28">
        <f t="shared" si="400"/>
        <v>0</v>
      </c>
      <c r="BG985" s="29"/>
      <c r="BH985" s="27"/>
      <c r="BI985" s="30">
        <f t="shared" si="401"/>
        <v>0</v>
      </c>
      <c r="BJ985" s="31">
        <f t="shared" si="402"/>
        <v>0</v>
      </c>
      <c r="BK985" s="27"/>
      <c r="BL985" s="16"/>
      <c r="BM985" s="27"/>
      <c r="BN985" s="16"/>
      <c r="BO985" s="27"/>
      <c r="BP985" s="16"/>
      <c r="BQ985" s="27"/>
      <c r="BR985" s="24"/>
      <c r="BS985" s="24"/>
      <c r="BT985" s="32"/>
      <c r="BU985" s="27"/>
      <c r="BV985" s="24"/>
      <c r="BW985" s="24"/>
      <c r="BX985" s="16"/>
      <c r="BY985" s="27"/>
      <c r="BZ985" s="24"/>
      <c r="CA985" s="24"/>
      <c r="CB985" s="16"/>
      <c r="CC985" s="49">
        <f t="shared" si="403"/>
        <v>0</v>
      </c>
      <c r="CD985" s="24"/>
      <c r="CE985" s="49">
        <f t="shared" si="394"/>
        <v>0</v>
      </c>
      <c r="CF985" s="50"/>
      <c r="CG985" s="49" t="str">
        <f t="shared" ca="1" si="391"/>
        <v/>
      </c>
      <c r="CH985" s="33">
        <f t="shared" ca="1" si="384"/>
        <v>1</v>
      </c>
      <c r="CI985" s="33">
        <f t="shared" ca="1" si="385"/>
        <v>1</v>
      </c>
      <c r="CJ985" s="36" t="str">
        <f t="shared" ca="1" si="397"/>
        <v/>
      </c>
      <c r="CK985" s="34" t="str">
        <f t="shared" si="398"/>
        <v/>
      </c>
      <c r="CL985" s="21"/>
      <c r="CM985" s="35" t="str">
        <f t="shared" ca="1" si="404"/>
        <v/>
      </c>
      <c r="CN985" s="82"/>
      <c r="CP985" s="26"/>
    </row>
    <row r="986" spans="1:98" ht="24.75" customHeight="1">
      <c r="A986" s="48"/>
      <c r="B986" s="150" t="s">
        <v>7612</v>
      </c>
      <c r="C986" s="17"/>
      <c r="D986" s="18"/>
      <c r="E986" s="17"/>
      <c r="F986" s="17"/>
      <c r="G986" s="17"/>
      <c r="H986" s="78"/>
      <c r="I986" s="74"/>
      <c r="J986" s="16"/>
      <c r="K986" s="16"/>
      <c r="L986" s="20"/>
      <c r="M986" s="16"/>
      <c r="N986" s="342"/>
      <c r="O986" s="342"/>
      <c r="P986" s="342"/>
      <c r="Q986" s="23">
        <f t="shared" si="395"/>
        <v>0</v>
      </c>
      <c r="R986" s="17"/>
      <c r="S986" s="16"/>
      <c r="T986" s="16"/>
      <c r="U986" s="67"/>
      <c r="V986" s="16"/>
      <c r="W986" s="224"/>
      <c r="X986" s="24"/>
      <c r="Y986" s="24"/>
      <c r="Z986" s="24"/>
      <c r="AA986" s="17"/>
      <c r="AB986" s="23" t="str">
        <f>IFERROR(VLOOKUP(AA986,Listas!$A$1:$C$14,2,FALSE),"")</f>
        <v/>
      </c>
      <c r="AC986" s="23" t="str">
        <f>IFERROR(VLOOKUP(AA986,Listas!$A$1:$C$14,3,FALSE),"")</f>
        <v/>
      </c>
      <c r="AD986" s="17"/>
      <c r="AE986" s="17"/>
      <c r="AF986" s="23" t="str">
        <f>IFERROR(VLOOKUP(AE986,Listas!$AD$1:$AF$65,2,FALSE),"")</f>
        <v/>
      </c>
      <c r="AG986" s="23" t="str">
        <f>IFERROR(VLOOKUP(AE986,Listas!$AD$1:$AF$65,3,FALSE),"")</f>
        <v/>
      </c>
      <c r="AH986" s="17"/>
      <c r="AI986" s="65"/>
      <c r="AJ986" s="25"/>
      <c r="AK986" s="26"/>
      <c r="AL986" s="26"/>
      <c r="AM986" s="90"/>
      <c r="AN986" s="105"/>
      <c r="AO986" s="91" t="str">
        <f t="shared" ca="1" si="396"/>
        <v xml:space="preserve"> </v>
      </c>
      <c r="AP986" s="26"/>
      <c r="AQ986" s="26"/>
      <c r="AR986" s="89"/>
      <c r="AS986" s="27"/>
      <c r="AT986" s="16"/>
      <c r="AU986" s="27"/>
      <c r="AV986" s="86"/>
      <c r="AW986" s="27"/>
      <c r="AX986" s="27"/>
      <c r="AY986" s="27"/>
      <c r="AZ986" s="27"/>
      <c r="BA986" s="27"/>
      <c r="BB986" s="27"/>
      <c r="BC986" s="97"/>
      <c r="BD986" s="27"/>
      <c r="BE986" s="16"/>
      <c r="BF986" s="28">
        <f t="shared" si="400"/>
        <v>0</v>
      </c>
      <c r="BG986" s="29"/>
      <c r="BH986" s="27"/>
      <c r="BI986" s="30">
        <f t="shared" si="401"/>
        <v>0</v>
      </c>
      <c r="BJ986" s="31">
        <f t="shared" si="402"/>
        <v>0</v>
      </c>
      <c r="BK986" s="27"/>
      <c r="BL986" s="16"/>
      <c r="BM986" s="27"/>
      <c r="BN986" s="16"/>
      <c r="BO986" s="27"/>
      <c r="BP986" s="16"/>
      <c r="BQ986" s="27"/>
      <c r="BR986" s="24"/>
      <c r="BS986" s="24"/>
      <c r="BT986" s="32"/>
      <c r="BU986" s="27"/>
      <c r="BV986" s="24"/>
      <c r="BW986" s="24"/>
      <c r="BX986" s="16"/>
      <c r="BY986" s="27"/>
      <c r="BZ986" s="24"/>
      <c r="CA986" s="24"/>
      <c r="CB986" s="16"/>
      <c r="CC986" s="49">
        <f t="shared" si="403"/>
        <v>0</v>
      </c>
      <c r="CD986" s="24"/>
      <c r="CE986" s="49">
        <f t="shared" si="394"/>
        <v>0</v>
      </c>
      <c r="CF986" s="50"/>
      <c r="CG986" s="49" t="str">
        <f t="shared" ca="1" si="391"/>
        <v/>
      </c>
      <c r="CH986" s="33">
        <f t="shared" ref="CH986:CH1002" ca="1" si="405">IF(TODAY()&gt;BJ986,1,+(DAYS360(O986,TODAY())/DAYS360(O986,BJ986)))</f>
        <v>1</v>
      </c>
      <c r="CI986" s="33">
        <f t="shared" ref="CI986:CI995" ca="1" si="406">+IF(CL986&gt;0,DAYS360(O986,CL986)/DAYS360(O986,BJ986),CH986)</f>
        <v>1</v>
      </c>
      <c r="CJ986" s="36" t="str">
        <f t="shared" ca="1" si="397"/>
        <v/>
      </c>
      <c r="CK986" s="34" t="str">
        <f t="shared" si="398"/>
        <v/>
      </c>
      <c r="CL986" s="21"/>
      <c r="CM986" s="35" t="str">
        <f t="shared" ca="1" si="404"/>
        <v/>
      </c>
      <c r="CN986" s="82"/>
      <c r="CP986" s="26"/>
    </row>
    <row r="987" spans="1:98" ht="24.75" customHeight="1">
      <c r="A987" s="48"/>
      <c r="B987" s="150" t="s">
        <v>7613</v>
      </c>
      <c r="C987" s="17"/>
      <c r="D987" s="18"/>
      <c r="E987" s="17"/>
      <c r="F987" s="17"/>
      <c r="G987" s="17"/>
      <c r="H987" s="78"/>
      <c r="I987" s="74"/>
      <c r="J987" s="16"/>
      <c r="K987" s="16"/>
      <c r="L987" s="20"/>
      <c r="M987" s="16"/>
      <c r="N987" s="342"/>
      <c r="O987" s="342"/>
      <c r="P987" s="342"/>
      <c r="Q987" s="23">
        <f t="shared" si="395"/>
        <v>0</v>
      </c>
      <c r="R987" s="17"/>
      <c r="S987" s="16"/>
      <c r="T987" s="16"/>
      <c r="U987" s="67"/>
      <c r="V987" s="16"/>
      <c r="W987" s="224"/>
      <c r="X987" s="24"/>
      <c r="Y987" s="24"/>
      <c r="Z987" s="24"/>
      <c r="AA987" s="17"/>
      <c r="AB987" s="23" t="str">
        <f>IFERROR(VLOOKUP(AA987,Listas!$A$1:$C$14,2,FALSE),"")</f>
        <v/>
      </c>
      <c r="AC987" s="23" t="str">
        <f>IFERROR(VLOOKUP(AA987,Listas!$A$1:$C$14,3,FALSE),"")</f>
        <v/>
      </c>
      <c r="AD987" s="17"/>
      <c r="AE987" s="17"/>
      <c r="AF987" s="23" t="str">
        <f>IFERROR(VLOOKUP(AE987,Listas!$AD$1:$AF$65,2,FALSE),"")</f>
        <v/>
      </c>
      <c r="AG987" s="23" t="str">
        <f>IFERROR(VLOOKUP(AE987,Listas!$AD$1:$AF$65,3,FALSE),"")</f>
        <v/>
      </c>
      <c r="AH987" s="17"/>
      <c r="AI987" s="65"/>
      <c r="AJ987" s="25"/>
      <c r="AK987" s="26"/>
      <c r="AL987" s="26"/>
      <c r="AM987" s="90"/>
      <c r="AN987" s="105"/>
      <c r="AO987" s="91" t="str">
        <f t="shared" ca="1" si="396"/>
        <v xml:space="preserve"> </v>
      </c>
      <c r="AP987" s="26"/>
      <c r="AQ987" s="26"/>
      <c r="AR987" s="89"/>
      <c r="AS987" s="27"/>
      <c r="AT987" s="16"/>
      <c r="AU987" s="27"/>
      <c r="AV987" s="86"/>
      <c r="AW987" s="27"/>
      <c r="AX987" s="27"/>
      <c r="AY987" s="27"/>
      <c r="AZ987" s="27"/>
      <c r="BA987" s="27"/>
      <c r="BB987" s="27"/>
      <c r="BC987" s="97"/>
      <c r="BD987" s="27"/>
      <c r="BE987" s="16"/>
      <c r="BF987" s="28">
        <f t="shared" si="400"/>
        <v>0</v>
      </c>
      <c r="BG987" s="29"/>
      <c r="BH987" s="27"/>
      <c r="BI987" s="30">
        <f t="shared" si="401"/>
        <v>0</v>
      </c>
      <c r="BJ987" s="31">
        <f t="shared" si="402"/>
        <v>0</v>
      </c>
      <c r="BK987" s="27"/>
      <c r="BL987" s="16"/>
      <c r="BM987" s="27"/>
      <c r="BN987" s="16"/>
      <c r="BO987" s="27"/>
      <c r="BP987" s="16"/>
      <c r="BQ987" s="27"/>
      <c r="BR987" s="24"/>
      <c r="BS987" s="24"/>
      <c r="BT987" s="32"/>
      <c r="BU987" s="27"/>
      <c r="BV987" s="24"/>
      <c r="BW987" s="24"/>
      <c r="BX987" s="16"/>
      <c r="BY987" s="27"/>
      <c r="BZ987" s="24"/>
      <c r="CA987" s="24"/>
      <c r="CB987" s="16"/>
      <c r="CC987" s="49">
        <f t="shared" si="403"/>
        <v>0</v>
      </c>
      <c r="CD987" s="24"/>
      <c r="CE987" s="49">
        <f t="shared" si="394"/>
        <v>0</v>
      </c>
      <c r="CF987" s="50"/>
      <c r="CG987" s="49" t="str">
        <f t="shared" ca="1" si="391"/>
        <v/>
      </c>
      <c r="CH987" s="33">
        <f t="shared" ca="1" si="405"/>
        <v>1</v>
      </c>
      <c r="CI987" s="33">
        <f t="shared" ca="1" si="406"/>
        <v>1</v>
      </c>
      <c r="CJ987" s="36" t="str">
        <f t="shared" ca="1" si="397"/>
        <v/>
      </c>
      <c r="CK987" s="34" t="str">
        <f t="shared" si="398"/>
        <v/>
      </c>
      <c r="CL987" s="21"/>
      <c r="CM987" s="35" t="str">
        <f t="shared" ca="1" si="404"/>
        <v/>
      </c>
      <c r="CN987" s="82"/>
      <c r="CP987" s="26"/>
    </row>
    <row r="988" spans="1:98" ht="24.75" customHeight="1">
      <c r="A988" s="48"/>
      <c r="B988" s="150" t="s">
        <v>7614</v>
      </c>
      <c r="C988" s="17"/>
      <c r="D988" s="18"/>
      <c r="E988" s="17"/>
      <c r="F988" s="17"/>
      <c r="G988" s="17"/>
      <c r="H988" s="78"/>
      <c r="I988" s="74"/>
      <c r="J988" s="16"/>
      <c r="K988" s="16"/>
      <c r="L988" s="20"/>
      <c r="M988" s="16"/>
      <c r="N988" s="342"/>
      <c r="O988" s="342"/>
      <c r="P988" s="342"/>
      <c r="Q988" s="23">
        <f t="shared" si="395"/>
        <v>0</v>
      </c>
      <c r="R988" s="17"/>
      <c r="S988" s="16"/>
      <c r="T988" s="16"/>
      <c r="U988" s="67"/>
      <c r="V988" s="16"/>
      <c r="W988" s="224"/>
      <c r="X988" s="24"/>
      <c r="Y988" s="24"/>
      <c r="Z988" s="24"/>
      <c r="AA988" s="17"/>
      <c r="AB988" s="23" t="str">
        <f>IFERROR(VLOOKUP(AA988,Listas!$A$1:$C$14,2,FALSE),"")</f>
        <v/>
      </c>
      <c r="AC988" s="23" t="str">
        <f>IFERROR(VLOOKUP(AA988,Listas!$A$1:$C$14,3,FALSE),"")</f>
        <v/>
      </c>
      <c r="AD988" s="17"/>
      <c r="AE988" s="17"/>
      <c r="AF988" s="23" t="str">
        <f>IFERROR(VLOOKUP(AE988,Listas!$AD$1:$AF$65,2,FALSE),"")</f>
        <v/>
      </c>
      <c r="AG988" s="23" t="str">
        <f>IFERROR(VLOOKUP(AE988,Listas!$AD$1:$AF$65,3,FALSE),"")</f>
        <v/>
      </c>
      <c r="AH988" s="17"/>
      <c r="AI988" s="65"/>
      <c r="AJ988" s="25"/>
      <c r="AK988" s="26"/>
      <c r="AL988" s="26"/>
      <c r="AM988" s="90"/>
      <c r="AN988" s="105"/>
      <c r="AO988" s="91" t="str">
        <f t="shared" ca="1" si="396"/>
        <v xml:space="preserve"> </v>
      </c>
      <c r="AP988" s="26"/>
      <c r="AQ988" s="26"/>
      <c r="AR988" s="89"/>
      <c r="AS988" s="27"/>
      <c r="AT988" s="16"/>
      <c r="AU988" s="27"/>
      <c r="AV988" s="86"/>
      <c r="AW988" s="27"/>
      <c r="AX988" s="27"/>
      <c r="AY988" s="27"/>
      <c r="AZ988" s="27"/>
      <c r="BA988" s="27"/>
      <c r="BB988" s="27"/>
      <c r="BC988" s="97"/>
      <c r="BD988" s="27"/>
      <c r="BE988" s="16"/>
      <c r="BF988" s="28">
        <f t="shared" si="400"/>
        <v>0</v>
      </c>
      <c r="BG988" s="29"/>
      <c r="BH988" s="27"/>
      <c r="BI988" s="30">
        <f t="shared" si="401"/>
        <v>0</v>
      </c>
      <c r="BJ988" s="31">
        <f t="shared" si="402"/>
        <v>0</v>
      </c>
      <c r="BK988" s="27"/>
      <c r="BL988" s="16"/>
      <c r="BM988" s="27"/>
      <c r="BN988" s="16"/>
      <c r="BO988" s="27"/>
      <c r="BP988" s="16"/>
      <c r="BQ988" s="27"/>
      <c r="BR988" s="24"/>
      <c r="BS988" s="24"/>
      <c r="BT988" s="32"/>
      <c r="BU988" s="27"/>
      <c r="BV988" s="24"/>
      <c r="BW988" s="24"/>
      <c r="BX988" s="16"/>
      <c r="BY988" s="27"/>
      <c r="BZ988" s="24"/>
      <c r="CA988" s="24"/>
      <c r="CB988" s="16"/>
      <c r="CC988" s="49">
        <f t="shared" si="403"/>
        <v>0</v>
      </c>
      <c r="CD988" s="24"/>
      <c r="CE988" s="49">
        <f t="shared" si="394"/>
        <v>0</v>
      </c>
      <c r="CF988" s="50"/>
      <c r="CG988" s="49" t="str">
        <f t="shared" ca="1" si="391"/>
        <v/>
      </c>
      <c r="CH988" s="33">
        <f t="shared" ca="1" si="405"/>
        <v>1</v>
      </c>
      <c r="CI988" s="33">
        <f t="shared" ca="1" si="406"/>
        <v>1</v>
      </c>
      <c r="CJ988" s="36" t="str">
        <f t="shared" ca="1" si="397"/>
        <v/>
      </c>
      <c r="CK988" s="34" t="str">
        <f t="shared" si="398"/>
        <v/>
      </c>
      <c r="CL988" s="21"/>
      <c r="CM988" s="35" t="str">
        <f t="shared" ca="1" si="404"/>
        <v/>
      </c>
      <c r="CN988" s="82"/>
      <c r="CP988" s="26"/>
    </row>
    <row r="989" spans="1:98" ht="24.75" customHeight="1">
      <c r="A989" s="48"/>
      <c r="B989" s="150" t="s">
        <v>7615</v>
      </c>
      <c r="C989" s="17"/>
      <c r="D989" s="18"/>
      <c r="E989" s="17"/>
      <c r="F989" s="17"/>
      <c r="G989" s="17"/>
      <c r="H989" s="78"/>
      <c r="I989" s="74"/>
      <c r="J989" s="16"/>
      <c r="K989" s="16"/>
      <c r="L989" s="20"/>
      <c r="M989" s="16"/>
      <c r="N989" s="342"/>
      <c r="O989" s="342"/>
      <c r="P989" s="342"/>
      <c r="Q989" s="23">
        <f t="shared" si="395"/>
        <v>0</v>
      </c>
      <c r="R989" s="17"/>
      <c r="S989" s="16"/>
      <c r="T989" s="16"/>
      <c r="U989" s="67"/>
      <c r="V989" s="16"/>
      <c r="W989" s="224"/>
      <c r="X989" s="24"/>
      <c r="Y989" s="24"/>
      <c r="Z989" s="24"/>
      <c r="AA989" s="17"/>
      <c r="AB989" s="23" t="str">
        <f>IFERROR(VLOOKUP(AA989,Listas!$A$1:$C$14,2,FALSE),"")</f>
        <v/>
      </c>
      <c r="AC989" s="23" t="str">
        <f>IFERROR(VLOOKUP(AA989,Listas!$A$1:$C$14,3,FALSE),"")</f>
        <v/>
      </c>
      <c r="AD989" s="17"/>
      <c r="AE989" s="17"/>
      <c r="AF989" s="23" t="str">
        <f>IFERROR(VLOOKUP(AE989,Listas!$AD$1:$AF$65,2,FALSE),"")</f>
        <v/>
      </c>
      <c r="AG989" s="23" t="str">
        <f>IFERROR(VLOOKUP(AE989,Listas!$AD$1:$AF$65,3,FALSE),"")</f>
        <v/>
      </c>
      <c r="AH989" s="17"/>
      <c r="AI989" s="65"/>
      <c r="AJ989" s="25"/>
      <c r="AK989" s="26"/>
      <c r="AL989" s="26"/>
      <c r="AM989" s="90"/>
      <c r="AN989" s="105"/>
      <c r="AO989" s="91" t="str">
        <f t="shared" ca="1" si="396"/>
        <v xml:space="preserve"> </v>
      </c>
      <c r="AP989" s="26"/>
      <c r="AQ989" s="26"/>
      <c r="AR989" s="89"/>
      <c r="AS989" s="27"/>
      <c r="AT989" s="16"/>
      <c r="AU989" s="27"/>
      <c r="AV989" s="86"/>
      <c r="AW989" s="27"/>
      <c r="AX989" s="27"/>
      <c r="AY989" s="27"/>
      <c r="AZ989" s="27"/>
      <c r="BA989" s="27"/>
      <c r="BB989" s="27"/>
      <c r="BC989" s="97"/>
      <c r="BD989" s="27"/>
      <c r="BE989" s="16"/>
      <c r="BF989" s="28">
        <f t="shared" si="400"/>
        <v>0</v>
      </c>
      <c r="BG989" s="29"/>
      <c r="BH989" s="27"/>
      <c r="BI989" s="30">
        <f t="shared" si="401"/>
        <v>0</v>
      </c>
      <c r="BJ989" s="31">
        <f t="shared" si="402"/>
        <v>0</v>
      </c>
      <c r="BK989" s="27"/>
      <c r="BL989" s="16"/>
      <c r="BM989" s="27"/>
      <c r="BN989" s="16"/>
      <c r="BO989" s="27"/>
      <c r="BP989" s="16"/>
      <c r="BQ989" s="27"/>
      <c r="BR989" s="24"/>
      <c r="BS989" s="24"/>
      <c r="BT989" s="32"/>
      <c r="BU989" s="27"/>
      <c r="BV989" s="24"/>
      <c r="BW989" s="24"/>
      <c r="BX989" s="16"/>
      <c r="BY989" s="27"/>
      <c r="BZ989" s="24"/>
      <c r="CA989" s="24"/>
      <c r="CB989" s="16"/>
      <c r="CC989" s="49">
        <f t="shared" si="403"/>
        <v>0</v>
      </c>
      <c r="CD989" s="24"/>
      <c r="CE989" s="49">
        <f t="shared" si="394"/>
        <v>0</v>
      </c>
      <c r="CF989" s="50"/>
      <c r="CG989" s="49" t="str">
        <f t="shared" ca="1" si="391"/>
        <v/>
      </c>
      <c r="CH989" s="33">
        <f t="shared" ca="1" si="405"/>
        <v>1</v>
      </c>
      <c r="CI989" s="33">
        <f t="shared" ca="1" si="406"/>
        <v>1</v>
      </c>
      <c r="CJ989" s="36" t="str">
        <f t="shared" ca="1" si="397"/>
        <v/>
      </c>
      <c r="CK989" s="34" t="str">
        <f t="shared" si="398"/>
        <v/>
      </c>
      <c r="CL989" s="21"/>
      <c r="CM989" s="35" t="str">
        <f t="shared" ca="1" si="404"/>
        <v/>
      </c>
      <c r="CN989" s="82"/>
      <c r="CP989" s="26"/>
    </row>
    <row r="990" spans="1:98" ht="24.75" customHeight="1">
      <c r="A990" s="48"/>
      <c r="B990" s="150" t="s">
        <v>7616</v>
      </c>
      <c r="C990" s="17"/>
      <c r="D990" s="18"/>
      <c r="E990" s="17"/>
      <c r="F990" s="17"/>
      <c r="G990" s="17"/>
      <c r="H990" s="78"/>
      <c r="I990" s="74"/>
      <c r="J990" s="16"/>
      <c r="K990" s="16"/>
      <c r="L990" s="20"/>
      <c r="M990" s="16"/>
      <c r="N990" s="342"/>
      <c r="O990" s="342"/>
      <c r="P990" s="342"/>
      <c r="Q990" s="23">
        <f t="shared" si="395"/>
        <v>0</v>
      </c>
      <c r="R990" s="17"/>
      <c r="S990" s="16"/>
      <c r="T990" s="16"/>
      <c r="U990" s="67"/>
      <c r="V990" s="16"/>
      <c r="W990" s="224"/>
      <c r="X990" s="24"/>
      <c r="Y990" s="24"/>
      <c r="Z990" s="24"/>
      <c r="AA990" s="17"/>
      <c r="AB990" s="23" t="str">
        <f>IFERROR(VLOOKUP(AA990,Listas!$A$1:$C$14,2,FALSE),"")</f>
        <v/>
      </c>
      <c r="AC990" s="23" t="str">
        <f>IFERROR(VLOOKUP(AA990,Listas!$A$1:$C$14,3,FALSE),"")</f>
        <v/>
      </c>
      <c r="AD990" s="17"/>
      <c r="AE990" s="17"/>
      <c r="AF990" s="23" t="str">
        <f>IFERROR(VLOOKUP(AE990,Listas!$AD$1:$AF$65,2,FALSE),"")</f>
        <v/>
      </c>
      <c r="AG990" s="23" t="str">
        <f>IFERROR(VLOOKUP(AE990,Listas!$AD$1:$AF$65,3,FALSE),"")</f>
        <v/>
      </c>
      <c r="AH990" s="17"/>
      <c r="AI990" s="65"/>
      <c r="AJ990" s="25"/>
      <c r="AK990" s="26"/>
      <c r="AL990" s="26"/>
      <c r="AM990" s="90"/>
      <c r="AN990" s="105"/>
      <c r="AO990" s="91" t="str">
        <f t="shared" ca="1" si="396"/>
        <v xml:space="preserve"> </v>
      </c>
      <c r="AP990" s="26"/>
      <c r="AQ990" s="26"/>
      <c r="AR990" s="89"/>
      <c r="AS990" s="27"/>
      <c r="AT990" s="16"/>
      <c r="AU990" s="27"/>
      <c r="AV990" s="86"/>
      <c r="AW990" s="27"/>
      <c r="AX990" s="27"/>
      <c r="AY990" s="27"/>
      <c r="AZ990" s="27"/>
      <c r="BA990" s="27"/>
      <c r="BB990" s="27"/>
      <c r="BC990" s="97"/>
      <c r="BD990" s="27"/>
      <c r="BE990" s="16"/>
      <c r="BF990" s="28">
        <f t="shared" si="400"/>
        <v>0</v>
      </c>
      <c r="BG990" s="29"/>
      <c r="BH990" s="27"/>
      <c r="BI990" s="30">
        <f t="shared" si="401"/>
        <v>0</v>
      </c>
      <c r="BJ990" s="31">
        <f t="shared" si="402"/>
        <v>0</v>
      </c>
      <c r="BK990" s="27"/>
      <c r="BL990" s="16"/>
      <c r="BM990" s="27"/>
      <c r="BN990" s="16"/>
      <c r="BO990" s="27"/>
      <c r="BP990" s="16"/>
      <c r="BQ990" s="27"/>
      <c r="BR990" s="24"/>
      <c r="BS990" s="24"/>
      <c r="BT990" s="32"/>
      <c r="BU990" s="27"/>
      <c r="BV990" s="24"/>
      <c r="BW990" s="24"/>
      <c r="BX990" s="16"/>
      <c r="BY990" s="27"/>
      <c r="BZ990" s="24"/>
      <c r="CA990" s="24"/>
      <c r="CB990" s="16"/>
      <c r="CC990" s="49">
        <f t="shared" si="403"/>
        <v>0</v>
      </c>
      <c r="CD990" s="24"/>
      <c r="CE990" s="49">
        <f t="shared" si="394"/>
        <v>0</v>
      </c>
      <c r="CF990" s="50"/>
      <c r="CG990" s="49" t="str">
        <f t="shared" ca="1" si="391"/>
        <v/>
      </c>
      <c r="CH990" s="33">
        <f t="shared" ca="1" si="405"/>
        <v>1</v>
      </c>
      <c r="CI990" s="33">
        <f t="shared" ca="1" si="406"/>
        <v>1</v>
      </c>
      <c r="CJ990" s="36" t="str">
        <f t="shared" ca="1" si="397"/>
        <v/>
      </c>
      <c r="CK990" s="34" t="str">
        <f t="shared" si="398"/>
        <v/>
      </c>
      <c r="CL990" s="21"/>
      <c r="CM990" s="35" t="str">
        <f t="shared" ca="1" si="404"/>
        <v/>
      </c>
      <c r="CN990" s="82"/>
      <c r="CP990" s="26"/>
    </row>
    <row r="991" spans="1:98" ht="24.75" customHeight="1">
      <c r="A991" s="48"/>
      <c r="B991" s="150" t="s">
        <v>7617</v>
      </c>
      <c r="C991" s="17"/>
      <c r="D991" s="18"/>
      <c r="E991" s="17"/>
      <c r="F991" s="17"/>
      <c r="G991" s="17"/>
      <c r="H991" s="78"/>
      <c r="I991" s="74"/>
      <c r="J991" s="16"/>
      <c r="K991" s="16"/>
      <c r="L991" s="20"/>
      <c r="M991" s="16"/>
      <c r="N991" s="342"/>
      <c r="O991" s="342"/>
      <c r="P991" s="342"/>
      <c r="Q991" s="23">
        <f t="shared" si="395"/>
        <v>0</v>
      </c>
      <c r="R991" s="17"/>
      <c r="S991" s="16"/>
      <c r="T991" s="16"/>
      <c r="U991" s="67"/>
      <c r="V991" s="16"/>
      <c r="W991" s="224"/>
      <c r="X991" s="24"/>
      <c r="Y991" s="24"/>
      <c r="Z991" s="24"/>
      <c r="AA991" s="17"/>
      <c r="AB991" s="23" t="str">
        <f>IFERROR(VLOOKUP(AA991,Listas!$A$1:$C$14,2,FALSE),"")</f>
        <v/>
      </c>
      <c r="AC991" s="23" t="str">
        <f>IFERROR(VLOOKUP(AA991,Listas!$A$1:$C$14,3,FALSE),"")</f>
        <v/>
      </c>
      <c r="AD991" s="17"/>
      <c r="AE991" s="17"/>
      <c r="AF991" s="23" t="str">
        <f>IFERROR(VLOOKUP(AE991,Listas!$AD$1:$AF$65,2,FALSE),"")</f>
        <v/>
      </c>
      <c r="AG991" s="23" t="str">
        <f>IFERROR(VLOOKUP(AE991,Listas!$AD$1:$AF$65,3,FALSE),"")</f>
        <v/>
      </c>
      <c r="AH991" s="17"/>
      <c r="AI991" s="65"/>
      <c r="AJ991" s="25"/>
      <c r="AK991" s="26"/>
      <c r="AL991" s="26"/>
      <c r="AM991" s="90"/>
      <c r="AN991" s="105"/>
      <c r="AO991" s="91" t="str">
        <f t="shared" ca="1" si="396"/>
        <v xml:space="preserve"> </v>
      </c>
      <c r="AP991" s="26"/>
      <c r="AQ991" s="26"/>
      <c r="AR991" s="89"/>
      <c r="AS991" s="27"/>
      <c r="AT991" s="16"/>
      <c r="AU991" s="27"/>
      <c r="AV991" s="86"/>
      <c r="AW991" s="27"/>
      <c r="AX991" s="27"/>
      <c r="AY991" s="27"/>
      <c r="AZ991" s="27"/>
      <c r="BA991" s="27"/>
      <c r="BB991" s="27"/>
      <c r="BC991" s="97"/>
      <c r="BD991" s="27"/>
      <c r="BE991" s="16"/>
      <c r="BF991" s="28">
        <f t="shared" si="400"/>
        <v>0</v>
      </c>
      <c r="BG991" s="29"/>
      <c r="BH991" s="27"/>
      <c r="BI991" s="30">
        <f t="shared" si="401"/>
        <v>0</v>
      </c>
      <c r="BJ991" s="31">
        <f t="shared" si="402"/>
        <v>0</v>
      </c>
      <c r="BK991" s="27"/>
      <c r="BL991" s="16"/>
      <c r="BM991" s="27"/>
      <c r="BN991" s="16"/>
      <c r="BO991" s="27"/>
      <c r="BP991" s="16"/>
      <c r="BQ991" s="27"/>
      <c r="BR991" s="24"/>
      <c r="BS991" s="24"/>
      <c r="BT991" s="32"/>
      <c r="BU991" s="27"/>
      <c r="BV991" s="24"/>
      <c r="BW991" s="24"/>
      <c r="BX991" s="16"/>
      <c r="BY991" s="27"/>
      <c r="BZ991" s="24"/>
      <c r="CA991" s="24"/>
      <c r="CB991" s="16"/>
      <c r="CC991" s="49">
        <f t="shared" si="403"/>
        <v>0</v>
      </c>
      <c r="CD991" s="24"/>
      <c r="CE991" s="49">
        <f t="shared" si="394"/>
        <v>0</v>
      </c>
      <c r="CF991" s="50"/>
      <c r="CG991" s="49" t="str">
        <f t="shared" ca="1" si="391"/>
        <v/>
      </c>
      <c r="CH991" s="33">
        <f t="shared" ca="1" si="405"/>
        <v>1</v>
      </c>
      <c r="CI991" s="33">
        <f t="shared" ca="1" si="406"/>
        <v>1</v>
      </c>
      <c r="CJ991" s="36" t="str">
        <f t="shared" ca="1" si="397"/>
        <v/>
      </c>
      <c r="CK991" s="34" t="str">
        <f t="shared" si="398"/>
        <v/>
      </c>
      <c r="CL991" s="21"/>
      <c r="CM991" s="35" t="str">
        <f t="shared" ca="1" si="404"/>
        <v/>
      </c>
      <c r="CN991" s="82"/>
      <c r="CP991" s="26"/>
    </row>
    <row r="992" spans="1:98" ht="24.75" customHeight="1">
      <c r="A992" s="48"/>
      <c r="B992" s="150" t="s">
        <v>7618</v>
      </c>
      <c r="C992" s="17"/>
      <c r="D992" s="18"/>
      <c r="E992" s="17"/>
      <c r="F992" s="17"/>
      <c r="G992" s="17"/>
      <c r="H992" s="78"/>
      <c r="I992" s="74"/>
      <c r="J992" s="16"/>
      <c r="K992" s="16"/>
      <c r="L992" s="20"/>
      <c r="M992" s="16"/>
      <c r="N992" s="342"/>
      <c r="O992" s="342"/>
      <c r="P992" s="342"/>
      <c r="Q992" s="23">
        <f t="shared" si="395"/>
        <v>0</v>
      </c>
      <c r="R992" s="17"/>
      <c r="S992" s="16"/>
      <c r="T992" s="16"/>
      <c r="U992" s="67"/>
      <c r="V992" s="16"/>
      <c r="W992" s="224"/>
      <c r="X992" s="24"/>
      <c r="Y992" s="24"/>
      <c r="Z992" s="24"/>
      <c r="AA992" s="17"/>
      <c r="AB992" s="23" t="str">
        <f>IFERROR(VLOOKUP(AA992,Listas!$A$1:$C$14,2,FALSE),"")</f>
        <v/>
      </c>
      <c r="AC992" s="23" t="str">
        <f>IFERROR(VLOOKUP(AA992,Listas!$A$1:$C$14,3,FALSE),"")</f>
        <v/>
      </c>
      <c r="AD992" s="17"/>
      <c r="AE992" s="17"/>
      <c r="AF992" s="23" t="str">
        <f>IFERROR(VLOOKUP(AE992,Listas!$AD$1:$AF$65,2,FALSE),"")</f>
        <v/>
      </c>
      <c r="AG992" s="23" t="str">
        <f>IFERROR(VLOOKUP(AE992,Listas!$AD$1:$AF$65,3,FALSE),"")</f>
        <v/>
      </c>
      <c r="AH992" s="17"/>
      <c r="AI992" s="65"/>
      <c r="AJ992" s="25"/>
      <c r="AK992" s="26"/>
      <c r="AL992" s="26"/>
      <c r="AM992" s="90"/>
      <c r="AN992" s="105"/>
      <c r="AO992" s="91" t="str">
        <f t="shared" ca="1" si="396"/>
        <v xml:space="preserve"> </v>
      </c>
      <c r="AP992" s="26"/>
      <c r="AQ992" s="26"/>
      <c r="AR992" s="89"/>
      <c r="AS992" s="27"/>
      <c r="AT992" s="16"/>
      <c r="AU992" s="27"/>
      <c r="AV992" s="86"/>
      <c r="AW992" s="27"/>
      <c r="AX992" s="27"/>
      <c r="AY992" s="27"/>
      <c r="AZ992" s="27"/>
      <c r="BA992" s="27"/>
      <c r="BB992" s="27"/>
      <c r="BC992" s="97"/>
      <c r="BD992" s="27"/>
      <c r="BE992" s="16"/>
      <c r="BF992" s="28">
        <f t="shared" si="400"/>
        <v>0</v>
      </c>
      <c r="BG992" s="29"/>
      <c r="BH992" s="27"/>
      <c r="BI992" s="30">
        <f t="shared" si="401"/>
        <v>0</v>
      </c>
      <c r="BJ992" s="31">
        <f t="shared" si="402"/>
        <v>0</v>
      </c>
      <c r="BK992" s="27"/>
      <c r="BL992" s="16"/>
      <c r="BM992" s="27"/>
      <c r="BN992" s="16"/>
      <c r="BO992" s="27"/>
      <c r="BP992" s="16"/>
      <c r="BQ992" s="27"/>
      <c r="BR992" s="24"/>
      <c r="BS992" s="24"/>
      <c r="BT992" s="32"/>
      <c r="BU992" s="27"/>
      <c r="BV992" s="24"/>
      <c r="BW992" s="24"/>
      <c r="BX992" s="16"/>
      <c r="BY992" s="27"/>
      <c r="BZ992" s="24"/>
      <c r="CA992" s="24"/>
      <c r="CB992" s="16"/>
      <c r="CC992" s="49">
        <f t="shared" si="403"/>
        <v>0</v>
      </c>
      <c r="CD992" s="24"/>
      <c r="CE992" s="49">
        <f t="shared" ref="CE992:CE1002" si="407">IF(Y992=0,(W992+CC992)-CD992,IF(Y992&gt;0,(Y992+CC992)-CD992))</f>
        <v>0</v>
      </c>
      <c r="CF992" s="50"/>
      <c r="CG992" s="49" t="str">
        <f t="shared" ca="1" si="391"/>
        <v/>
      </c>
      <c r="CH992" s="33">
        <f t="shared" ca="1" si="405"/>
        <v>1</v>
      </c>
      <c r="CI992" s="33">
        <f t="shared" ca="1" si="406"/>
        <v>1</v>
      </c>
      <c r="CJ992" s="36" t="str">
        <f t="shared" ca="1" si="397"/>
        <v/>
      </c>
      <c r="CK992" s="34" t="str">
        <f t="shared" si="398"/>
        <v/>
      </c>
      <c r="CL992" s="21"/>
      <c r="CM992" s="35" t="str">
        <f t="shared" ca="1" si="404"/>
        <v/>
      </c>
      <c r="CN992" s="82"/>
      <c r="CP992" s="26"/>
    </row>
    <row r="993" spans="1:94" ht="24.75" customHeight="1">
      <c r="A993" s="48"/>
      <c r="B993" s="150" t="s">
        <v>7619</v>
      </c>
      <c r="C993" s="17"/>
      <c r="D993" s="18"/>
      <c r="E993" s="17"/>
      <c r="F993" s="17"/>
      <c r="G993" s="17"/>
      <c r="H993" s="78"/>
      <c r="I993" s="74"/>
      <c r="J993" s="16"/>
      <c r="K993" s="16"/>
      <c r="L993" s="20"/>
      <c r="M993" s="16"/>
      <c r="N993" s="342"/>
      <c r="O993" s="342"/>
      <c r="P993" s="342"/>
      <c r="Q993" s="23">
        <f t="shared" si="395"/>
        <v>0</v>
      </c>
      <c r="R993" s="17"/>
      <c r="S993" s="16"/>
      <c r="T993" s="16"/>
      <c r="U993" s="67"/>
      <c r="V993" s="16"/>
      <c r="W993" s="224"/>
      <c r="X993" s="24"/>
      <c r="Y993" s="24"/>
      <c r="Z993" s="24"/>
      <c r="AA993" s="17"/>
      <c r="AB993" s="23" t="str">
        <f>IFERROR(VLOOKUP(AA993,Listas!$A$1:$C$14,2,FALSE),"")</f>
        <v/>
      </c>
      <c r="AC993" s="23" t="str">
        <f>IFERROR(VLOOKUP(AA993,Listas!$A$1:$C$14,3,FALSE),"")</f>
        <v/>
      </c>
      <c r="AD993" s="17"/>
      <c r="AE993" s="17"/>
      <c r="AF993" s="23" t="str">
        <f>IFERROR(VLOOKUP(AE993,Listas!$AD$1:$AF$65,2,FALSE),"")</f>
        <v/>
      </c>
      <c r="AG993" s="23" t="str">
        <f>IFERROR(VLOOKUP(AE993,Listas!$AD$1:$AF$65,3,FALSE),"")</f>
        <v/>
      </c>
      <c r="AH993" s="17"/>
      <c r="AI993" s="65"/>
      <c r="AJ993" s="25"/>
      <c r="AK993" s="26"/>
      <c r="AL993" s="26"/>
      <c r="AM993" s="90"/>
      <c r="AN993" s="105"/>
      <c r="AO993" s="91" t="str">
        <f t="shared" ca="1" si="396"/>
        <v xml:space="preserve"> </v>
      </c>
      <c r="AP993" s="26"/>
      <c r="AQ993" s="26"/>
      <c r="AR993" s="89"/>
      <c r="AS993" s="27"/>
      <c r="AT993" s="16"/>
      <c r="AU993" s="27"/>
      <c r="AV993" s="86"/>
      <c r="AW993" s="27"/>
      <c r="AX993" s="27"/>
      <c r="AY993" s="27"/>
      <c r="AZ993" s="27"/>
      <c r="BA993" s="27"/>
      <c r="BB993" s="27"/>
      <c r="BC993" s="97"/>
      <c r="BD993" s="27"/>
      <c r="BE993" s="16"/>
      <c r="BF993" s="28">
        <f t="shared" si="400"/>
        <v>0</v>
      </c>
      <c r="BG993" s="29"/>
      <c r="BH993" s="27"/>
      <c r="BI993" s="30">
        <f t="shared" si="401"/>
        <v>0</v>
      </c>
      <c r="BJ993" s="31">
        <f t="shared" si="402"/>
        <v>0</v>
      </c>
      <c r="BK993" s="27"/>
      <c r="BL993" s="16"/>
      <c r="BM993" s="27"/>
      <c r="BN993" s="16"/>
      <c r="BO993" s="27"/>
      <c r="BP993" s="16"/>
      <c r="BQ993" s="27"/>
      <c r="BR993" s="24"/>
      <c r="BS993" s="24"/>
      <c r="BT993" s="32"/>
      <c r="BU993" s="27"/>
      <c r="BV993" s="24"/>
      <c r="BW993" s="24"/>
      <c r="BX993" s="16"/>
      <c r="BY993" s="27"/>
      <c r="BZ993" s="24"/>
      <c r="CA993" s="24"/>
      <c r="CB993" s="16"/>
      <c r="CC993" s="49">
        <f t="shared" si="403"/>
        <v>0</v>
      </c>
      <c r="CD993" s="24"/>
      <c r="CE993" s="49">
        <f t="shared" si="407"/>
        <v>0</v>
      </c>
      <c r="CF993" s="50"/>
      <c r="CG993" s="49" t="str">
        <f t="shared" ca="1" si="391"/>
        <v/>
      </c>
      <c r="CH993" s="33">
        <f t="shared" ca="1" si="405"/>
        <v>1</v>
      </c>
      <c r="CI993" s="33">
        <f t="shared" ca="1" si="406"/>
        <v>1</v>
      </c>
      <c r="CJ993" s="36" t="str">
        <f t="shared" ref="CJ993:CJ1002" ca="1" si="408">IFERROR(IF(((CG993/CE993)*100)&gt;100,100,((CG993/CE993)*100)),"")</f>
        <v/>
      </c>
      <c r="CK993" s="34" t="str">
        <f t="shared" si="398"/>
        <v/>
      </c>
      <c r="CL993" s="21"/>
      <c r="CM993" s="35" t="str">
        <f t="shared" ca="1" si="404"/>
        <v/>
      </c>
      <c r="CN993" s="82"/>
      <c r="CP993" s="26"/>
    </row>
    <row r="994" spans="1:94" ht="24.75" customHeight="1">
      <c r="A994" s="48"/>
      <c r="B994" s="150" t="s">
        <v>7620</v>
      </c>
      <c r="C994" s="17"/>
      <c r="D994" s="18"/>
      <c r="E994" s="17"/>
      <c r="F994" s="17"/>
      <c r="G994" s="17"/>
      <c r="H994" s="78"/>
      <c r="I994" s="74"/>
      <c r="J994" s="16"/>
      <c r="K994" s="16"/>
      <c r="L994" s="20"/>
      <c r="M994" s="16"/>
      <c r="N994" s="342"/>
      <c r="O994" s="342"/>
      <c r="P994" s="342"/>
      <c r="Q994" s="23">
        <f t="shared" si="395"/>
        <v>0</v>
      </c>
      <c r="R994" s="17"/>
      <c r="S994" s="16"/>
      <c r="T994" s="16"/>
      <c r="U994" s="67"/>
      <c r="V994" s="16"/>
      <c r="W994" s="224"/>
      <c r="X994" s="24"/>
      <c r="Y994" s="24"/>
      <c r="Z994" s="24"/>
      <c r="AA994" s="17"/>
      <c r="AB994" s="23" t="str">
        <f>IFERROR(VLOOKUP(AA994,Listas!$A$1:$C$14,2,FALSE),"")</f>
        <v/>
      </c>
      <c r="AC994" s="23" t="str">
        <f>IFERROR(VLOOKUP(AA994,Listas!$A$1:$C$14,3,FALSE),"")</f>
        <v/>
      </c>
      <c r="AD994" s="17"/>
      <c r="AE994" s="17"/>
      <c r="AF994" s="23" t="str">
        <f>IFERROR(VLOOKUP(AE994,Listas!$AD$1:$AF$65,2,FALSE),"")</f>
        <v/>
      </c>
      <c r="AG994" s="23" t="str">
        <f>IFERROR(VLOOKUP(AE994,Listas!$AD$1:$AF$65,3,FALSE),"")</f>
        <v/>
      </c>
      <c r="AH994" s="17"/>
      <c r="AI994" s="65"/>
      <c r="AJ994" s="25"/>
      <c r="AK994" s="26"/>
      <c r="AL994" s="26"/>
      <c r="AM994" s="90"/>
      <c r="AN994" s="105"/>
      <c r="AO994" s="91" t="str">
        <f t="shared" ca="1" si="396"/>
        <v xml:space="preserve"> </v>
      </c>
      <c r="AP994" s="26"/>
      <c r="AQ994" s="26"/>
      <c r="AR994" s="89"/>
      <c r="AS994" s="27"/>
      <c r="AT994" s="16"/>
      <c r="AU994" s="27"/>
      <c r="AV994" s="86"/>
      <c r="AW994" s="27"/>
      <c r="AX994" s="27"/>
      <c r="AY994" s="27"/>
      <c r="AZ994" s="27"/>
      <c r="BA994" s="27"/>
      <c r="BB994" s="27"/>
      <c r="BC994" s="97"/>
      <c r="BD994" s="27"/>
      <c r="BE994" s="16"/>
      <c r="BF994" s="28">
        <f t="shared" si="400"/>
        <v>0</v>
      </c>
      <c r="BG994" s="29"/>
      <c r="BH994" s="27"/>
      <c r="BI994" s="30">
        <f t="shared" si="401"/>
        <v>0</v>
      </c>
      <c r="BJ994" s="31">
        <f t="shared" si="402"/>
        <v>0</v>
      </c>
      <c r="BK994" s="27"/>
      <c r="BL994" s="16"/>
      <c r="BM994" s="27"/>
      <c r="BN994" s="16"/>
      <c r="BO994" s="27"/>
      <c r="BP994" s="16"/>
      <c r="BQ994" s="27"/>
      <c r="BR994" s="24"/>
      <c r="BS994" s="24"/>
      <c r="BT994" s="32"/>
      <c r="BU994" s="27"/>
      <c r="BV994" s="24"/>
      <c r="BW994" s="24"/>
      <c r="BX994" s="16"/>
      <c r="BY994" s="27"/>
      <c r="BZ994" s="24"/>
      <c r="CA994" s="24"/>
      <c r="CB994" s="16"/>
      <c r="CC994" s="49">
        <f t="shared" si="403"/>
        <v>0</v>
      </c>
      <c r="CD994" s="24"/>
      <c r="CE994" s="49">
        <f t="shared" si="407"/>
        <v>0</v>
      </c>
      <c r="CF994" s="50"/>
      <c r="CG994" s="49" t="str">
        <f t="shared" ca="1" si="391"/>
        <v/>
      </c>
      <c r="CH994" s="33">
        <f t="shared" ca="1" si="405"/>
        <v>1</v>
      </c>
      <c r="CI994" s="33">
        <f t="shared" ca="1" si="406"/>
        <v>1</v>
      </c>
      <c r="CJ994" s="36" t="str">
        <f t="shared" ca="1" si="408"/>
        <v/>
      </c>
      <c r="CK994" s="34" t="str">
        <f t="shared" si="398"/>
        <v/>
      </c>
      <c r="CL994" s="21"/>
      <c r="CM994" s="35" t="str">
        <f t="shared" ca="1" si="404"/>
        <v/>
      </c>
      <c r="CN994" s="82"/>
      <c r="CP994" s="26"/>
    </row>
    <row r="995" spans="1:94" ht="24.75" customHeight="1">
      <c r="A995" s="48"/>
      <c r="B995" s="150" t="s">
        <v>7621</v>
      </c>
      <c r="C995" s="17"/>
      <c r="D995" s="18"/>
      <c r="E995" s="17"/>
      <c r="F995" s="17"/>
      <c r="G995" s="17"/>
      <c r="H995" s="78"/>
      <c r="I995" s="74"/>
      <c r="J995" s="16"/>
      <c r="K995" s="16"/>
      <c r="L995" s="20"/>
      <c r="M995" s="16"/>
      <c r="N995" s="342"/>
      <c r="O995" s="342"/>
      <c r="P995" s="342"/>
      <c r="Q995" s="23">
        <f t="shared" si="395"/>
        <v>0</v>
      </c>
      <c r="R995" s="17"/>
      <c r="S995" s="16"/>
      <c r="T995" s="16"/>
      <c r="U995" s="67"/>
      <c r="V995" s="16"/>
      <c r="W995" s="224"/>
      <c r="X995" s="24"/>
      <c r="Y995" s="24"/>
      <c r="Z995" s="24"/>
      <c r="AA995" s="17"/>
      <c r="AB995" s="23" t="str">
        <f>IFERROR(VLOOKUP(AA995,Listas!$A$1:$C$14,2,FALSE),"")</f>
        <v/>
      </c>
      <c r="AC995" s="23" t="str">
        <f>IFERROR(VLOOKUP(AA995,Listas!$A$1:$C$14,3,FALSE),"")</f>
        <v/>
      </c>
      <c r="AD995" s="17"/>
      <c r="AE995" s="17"/>
      <c r="AF995" s="23" t="str">
        <f>IFERROR(VLOOKUP(AE995,Listas!$AD$1:$AF$65,2,FALSE),"")</f>
        <v/>
      </c>
      <c r="AG995" s="23" t="str">
        <f>IFERROR(VLOOKUP(AE995,Listas!$AD$1:$AF$65,3,FALSE),"")</f>
        <v/>
      </c>
      <c r="AH995" s="17"/>
      <c r="AI995" s="65"/>
      <c r="AJ995" s="25"/>
      <c r="AK995" s="26"/>
      <c r="AL995" s="26"/>
      <c r="AM995" s="90"/>
      <c r="AN995" s="105"/>
      <c r="AO995" s="91" t="str">
        <f t="shared" ca="1" si="396"/>
        <v xml:space="preserve"> </v>
      </c>
      <c r="AP995" s="26"/>
      <c r="AQ995" s="26"/>
      <c r="AR995" s="89"/>
      <c r="AS995" s="27"/>
      <c r="AT995" s="16"/>
      <c r="AU995" s="27"/>
      <c r="AV995" s="86"/>
      <c r="AW995" s="27"/>
      <c r="AX995" s="27"/>
      <c r="AY995" s="27"/>
      <c r="AZ995" s="27"/>
      <c r="BA995" s="27"/>
      <c r="BB995" s="27"/>
      <c r="BC995" s="97"/>
      <c r="BD995" s="27"/>
      <c r="BE995" s="16"/>
      <c r="BF995" s="28">
        <f t="shared" si="400"/>
        <v>0</v>
      </c>
      <c r="BG995" s="29"/>
      <c r="BH995" s="27"/>
      <c r="BI995" s="30">
        <f t="shared" si="401"/>
        <v>0</v>
      </c>
      <c r="BJ995" s="31">
        <f t="shared" si="402"/>
        <v>0</v>
      </c>
      <c r="BK995" s="27"/>
      <c r="BL995" s="16"/>
      <c r="BM995" s="27"/>
      <c r="BN995" s="16"/>
      <c r="BO995" s="27"/>
      <c r="BP995" s="16"/>
      <c r="BQ995" s="27"/>
      <c r="BR995" s="24"/>
      <c r="BS995" s="24"/>
      <c r="BT995" s="32"/>
      <c r="BU995" s="27"/>
      <c r="BV995" s="24"/>
      <c r="BW995" s="24"/>
      <c r="BX995" s="16"/>
      <c r="BY995" s="27"/>
      <c r="BZ995" s="24"/>
      <c r="CA995" s="24"/>
      <c r="CB995" s="16"/>
      <c r="CC995" s="49">
        <f t="shared" si="403"/>
        <v>0</v>
      </c>
      <c r="CD995" s="24"/>
      <c r="CE995" s="49">
        <f t="shared" si="407"/>
        <v>0</v>
      </c>
      <c r="CF995" s="50"/>
      <c r="CG995" s="49" t="str">
        <f t="shared" ca="1" si="391"/>
        <v/>
      </c>
      <c r="CH995" s="33">
        <f t="shared" ca="1" si="405"/>
        <v>1</v>
      </c>
      <c r="CI995" s="33">
        <f t="shared" ca="1" si="406"/>
        <v>1</v>
      </c>
      <c r="CJ995" s="36" t="str">
        <f t="shared" ca="1" si="408"/>
        <v/>
      </c>
      <c r="CK995" s="34" t="str">
        <f t="shared" si="398"/>
        <v/>
      </c>
      <c r="CL995" s="21"/>
      <c r="CM995" s="35" t="str">
        <f t="shared" ca="1" si="404"/>
        <v/>
      </c>
      <c r="CN995" s="82"/>
      <c r="CP995" s="26"/>
    </row>
    <row r="996" spans="1:94" ht="24.75" customHeight="1">
      <c r="A996" s="48"/>
      <c r="B996" s="150" t="s">
        <v>7622</v>
      </c>
      <c r="C996" s="17"/>
      <c r="D996" s="18"/>
      <c r="E996" s="17"/>
      <c r="F996" s="17"/>
      <c r="G996" s="17"/>
      <c r="H996" s="78"/>
      <c r="I996" s="74"/>
      <c r="J996" s="16"/>
      <c r="K996" s="16"/>
      <c r="L996" s="20"/>
      <c r="M996" s="16"/>
      <c r="N996" s="342"/>
      <c r="O996" s="342"/>
      <c r="P996" s="342"/>
      <c r="Q996" s="23">
        <f t="shared" ref="Q996:Q1002" si="409">P996-O996</f>
        <v>0</v>
      </c>
      <c r="R996" s="17"/>
      <c r="S996" s="16"/>
      <c r="T996" s="16"/>
      <c r="U996" s="67"/>
      <c r="V996" s="16"/>
      <c r="W996" s="224"/>
      <c r="X996" s="24"/>
      <c r="Y996" s="24"/>
      <c r="Z996" s="24"/>
      <c r="AA996" s="17"/>
      <c r="AB996" s="23" t="str">
        <f>IFERROR(VLOOKUP(AA996,Listas!$A$1:$C$14,2,FALSE),"")</f>
        <v/>
      </c>
      <c r="AC996" s="23" t="str">
        <f>IFERROR(VLOOKUP(AA996,Listas!$A$1:$C$14,3,FALSE),"")</f>
        <v/>
      </c>
      <c r="AD996" s="17"/>
      <c r="AE996" s="17"/>
      <c r="AF996" s="23" t="str">
        <f>IFERROR(VLOOKUP(AE996,Listas!$AD$1:$AF$65,2,FALSE),"")</f>
        <v/>
      </c>
      <c r="AG996" s="23" t="str">
        <f>IFERROR(VLOOKUP(AE996,Listas!$AD$1:$AF$65,3,FALSE),"")</f>
        <v/>
      </c>
      <c r="AH996" s="17"/>
      <c r="AI996" s="65"/>
      <c r="AJ996" s="25"/>
      <c r="AK996" s="26"/>
      <c r="AL996" s="26"/>
      <c r="AM996" s="90"/>
      <c r="AN996" s="105"/>
      <c r="AO996" s="91" t="str">
        <f t="shared" ca="1" si="396"/>
        <v xml:space="preserve"> </v>
      </c>
      <c r="AP996" s="26"/>
      <c r="AQ996" s="26"/>
      <c r="AR996" s="89"/>
      <c r="AS996" s="27"/>
      <c r="AT996" s="16"/>
      <c r="AU996" s="27"/>
      <c r="AV996" s="86"/>
      <c r="AW996" s="27"/>
      <c r="AX996" s="27"/>
      <c r="AY996" s="27"/>
      <c r="AZ996" s="27"/>
      <c r="BA996" s="27"/>
      <c r="BB996" s="27"/>
      <c r="BC996" s="97"/>
      <c r="BD996" s="27"/>
      <c r="BE996" s="16"/>
      <c r="BF996" s="28">
        <f t="shared" si="400"/>
        <v>0</v>
      </c>
      <c r="BG996" s="29"/>
      <c r="BH996" s="27"/>
      <c r="BI996" s="30">
        <f t="shared" si="401"/>
        <v>0</v>
      </c>
      <c r="BJ996" s="31">
        <f t="shared" si="402"/>
        <v>0</v>
      </c>
      <c r="BK996" s="27"/>
      <c r="BL996" s="16"/>
      <c r="BM996" s="27"/>
      <c r="BN996" s="16"/>
      <c r="BO996" s="27"/>
      <c r="BP996" s="16"/>
      <c r="BQ996" s="27"/>
      <c r="BR996" s="24"/>
      <c r="BS996" s="24"/>
      <c r="BT996" s="32"/>
      <c r="BU996" s="27"/>
      <c r="BV996" s="24"/>
      <c r="BW996" s="24"/>
      <c r="BX996" s="16"/>
      <c r="BY996" s="27"/>
      <c r="BZ996" s="24"/>
      <c r="CA996" s="24"/>
      <c r="CB996" s="16"/>
      <c r="CC996" s="49">
        <f t="shared" si="403"/>
        <v>0</v>
      </c>
      <c r="CD996" s="24"/>
      <c r="CE996" s="49">
        <f t="shared" si="407"/>
        <v>0</v>
      </c>
      <c r="CF996" s="50"/>
      <c r="CG996" s="49" t="str">
        <f t="shared" ca="1" si="391"/>
        <v/>
      </c>
      <c r="CH996" s="33">
        <f t="shared" ca="1" si="405"/>
        <v>1</v>
      </c>
      <c r="CI996" s="33">
        <f t="shared" ref="CI996:CI1002" ca="1" si="410">+IF(CL996&gt;0,DAYS360(O996,CL996)/DAYS360(O996,BJ996),CH996)</f>
        <v>1</v>
      </c>
      <c r="CJ996" s="36" t="str">
        <f t="shared" ca="1" si="408"/>
        <v/>
      </c>
      <c r="CK996" s="34" t="str">
        <f t="shared" si="398"/>
        <v/>
      </c>
      <c r="CL996" s="21"/>
      <c r="CM996" s="35" t="str">
        <f t="shared" ca="1" si="404"/>
        <v/>
      </c>
      <c r="CN996" s="82"/>
      <c r="CP996" s="26"/>
    </row>
    <row r="997" spans="1:94" ht="24.75" customHeight="1">
      <c r="A997" s="48"/>
      <c r="B997" s="150" t="s">
        <v>7623</v>
      </c>
      <c r="C997" s="17"/>
      <c r="D997" s="18"/>
      <c r="E997" s="17"/>
      <c r="F997" s="17"/>
      <c r="G997" s="17"/>
      <c r="H997" s="78"/>
      <c r="I997" s="74"/>
      <c r="J997" s="16"/>
      <c r="K997" s="16"/>
      <c r="L997" s="20"/>
      <c r="M997" s="16"/>
      <c r="N997" s="342"/>
      <c r="O997" s="342"/>
      <c r="P997" s="342"/>
      <c r="Q997" s="23">
        <f t="shared" si="409"/>
        <v>0</v>
      </c>
      <c r="R997" s="17"/>
      <c r="S997" s="16"/>
      <c r="T997" s="16"/>
      <c r="U997" s="67"/>
      <c r="V997" s="16"/>
      <c r="W997" s="224"/>
      <c r="X997" s="24"/>
      <c r="Y997" s="24"/>
      <c r="Z997" s="24"/>
      <c r="AA997" s="17"/>
      <c r="AB997" s="23" t="str">
        <f>IFERROR(VLOOKUP(AA997,Listas!$A$1:$C$14,2,FALSE),"")</f>
        <v/>
      </c>
      <c r="AC997" s="23" t="str">
        <f>IFERROR(VLOOKUP(AA997,Listas!$A$1:$C$14,3,FALSE),"")</f>
        <v/>
      </c>
      <c r="AD997" s="17"/>
      <c r="AE997" s="17"/>
      <c r="AF997" s="23" t="str">
        <f>IFERROR(VLOOKUP(AE997,Listas!$AD$1:$AF$65,2,FALSE),"")</f>
        <v/>
      </c>
      <c r="AG997" s="23" t="str">
        <f>IFERROR(VLOOKUP(AE997,Listas!$AD$1:$AF$65,3,FALSE),"")</f>
        <v/>
      </c>
      <c r="AH997" s="17"/>
      <c r="AI997" s="65"/>
      <c r="AJ997" s="25"/>
      <c r="AK997" s="26"/>
      <c r="AL997" s="26"/>
      <c r="AM997" s="90"/>
      <c r="AN997" s="105"/>
      <c r="AO997" s="91" t="str">
        <f t="shared" ca="1" si="396"/>
        <v xml:space="preserve"> </v>
      </c>
      <c r="AP997" s="26"/>
      <c r="AQ997" s="26"/>
      <c r="AR997" s="89"/>
      <c r="AS997" s="27"/>
      <c r="AT997" s="16"/>
      <c r="AU997" s="27"/>
      <c r="AV997" s="86"/>
      <c r="AW997" s="27"/>
      <c r="AX997" s="27"/>
      <c r="AY997" s="27"/>
      <c r="AZ997" s="27"/>
      <c r="BA997" s="27"/>
      <c r="BB997" s="27"/>
      <c r="BC997" s="97"/>
      <c r="BD997" s="27"/>
      <c r="BE997" s="16"/>
      <c r="BF997" s="28">
        <f t="shared" si="400"/>
        <v>0</v>
      </c>
      <c r="BG997" s="29"/>
      <c r="BH997" s="27"/>
      <c r="BI997" s="30">
        <f t="shared" si="401"/>
        <v>0</v>
      </c>
      <c r="BJ997" s="31">
        <f t="shared" si="402"/>
        <v>0</v>
      </c>
      <c r="BK997" s="27"/>
      <c r="BL997" s="16"/>
      <c r="BM997" s="27"/>
      <c r="BN997" s="16"/>
      <c r="BO997" s="27"/>
      <c r="BP997" s="16"/>
      <c r="BQ997" s="27"/>
      <c r="BR997" s="24"/>
      <c r="BS997" s="24"/>
      <c r="BT997" s="32"/>
      <c r="BU997" s="27"/>
      <c r="BV997" s="24"/>
      <c r="BW997" s="24"/>
      <c r="BX997" s="16"/>
      <c r="BY997" s="27"/>
      <c r="BZ997" s="24"/>
      <c r="CA997" s="24"/>
      <c r="CB997" s="16"/>
      <c r="CC997" s="49">
        <f t="shared" si="403"/>
        <v>0</v>
      </c>
      <c r="CD997" s="24"/>
      <c r="CE997" s="49">
        <f t="shared" si="407"/>
        <v>0</v>
      </c>
      <c r="CF997" s="50"/>
      <c r="CG997" s="49" t="str">
        <f t="shared" ca="1" si="391"/>
        <v/>
      </c>
      <c r="CH997" s="33">
        <f t="shared" ca="1" si="405"/>
        <v>1</v>
      </c>
      <c r="CI997" s="33">
        <f t="shared" ca="1" si="410"/>
        <v>1</v>
      </c>
      <c r="CJ997" s="36" t="str">
        <f t="shared" ca="1" si="408"/>
        <v/>
      </c>
      <c r="CK997" s="34" t="str">
        <f t="shared" si="398"/>
        <v/>
      </c>
      <c r="CL997" s="21"/>
      <c r="CM997" s="35" t="str">
        <f t="shared" ca="1" si="404"/>
        <v/>
      </c>
      <c r="CN997" s="82"/>
      <c r="CP997" s="26"/>
    </row>
    <row r="998" spans="1:94" ht="24.75" customHeight="1">
      <c r="A998" s="48"/>
      <c r="B998" s="150" t="s">
        <v>7624</v>
      </c>
      <c r="C998" s="17"/>
      <c r="D998" s="18"/>
      <c r="E998" s="17"/>
      <c r="F998" s="17"/>
      <c r="G998" s="17"/>
      <c r="H998" s="78"/>
      <c r="I998" s="74"/>
      <c r="J998" s="16"/>
      <c r="K998" s="16"/>
      <c r="L998" s="20"/>
      <c r="M998" s="16"/>
      <c r="N998" s="342"/>
      <c r="O998" s="342"/>
      <c r="P998" s="342"/>
      <c r="Q998" s="23">
        <f t="shared" si="409"/>
        <v>0</v>
      </c>
      <c r="R998" s="17"/>
      <c r="S998" s="16"/>
      <c r="T998" s="16"/>
      <c r="U998" s="67"/>
      <c r="V998" s="16"/>
      <c r="W998" s="224"/>
      <c r="X998" s="24"/>
      <c r="Y998" s="24"/>
      <c r="Z998" s="24"/>
      <c r="AA998" s="17"/>
      <c r="AB998" s="23" t="str">
        <f>IFERROR(VLOOKUP(AA998,Listas!$A$1:$C$14,2,FALSE),"")</f>
        <v/>
      </c>
      <c r="AC998" s="23" t="str">
        <f>IFERROR(VLOOKUP(AA998,Listas!$A$1:$C$14,3,FALSE),"")</f>
        <v/>
      </c>
      <c r="AD998" s="17"/>
      <c r="AE998" s="17"/>
      <c r="AF998" s="23" t="str">
        <f>IFERROR(VLOOKUP(AE998,Listas!$AD$1:$AF$65,2,FALSE),"")</f>
        <v/>
      </c>
      <c r="AG998" s="23" t="str">
        <f>IFERROR(VLOOKUP(AE998,Listas!$AD$1:$AF$65,3,FALSE),"")</f>
        <v/>
      </c>
      <c r="AH998" s="17"/>
      <c r="AI998" s="65"/>
      <c r="AJ998" s="25"/>
      <c r="AK998" s="26"/>
      <c r="AL998" s="26"/>
      <c r="AM998" s="90"/>
      <c r="AN998" s="105"/>
      <c r="AO998" s="91" t="str">
        <f t="shared" ca="1" si="396"/>
        <v xml:space="preserve"> </v>
      </c>
      <c r="AP998" s="26"/>
      <c r="AQ998" s="26"/>
      <c r="AR998" s="89"/>
      <c r="AS998" s="27"/>
      <c r="AT998" s="16"/>
      <c r="AU998" s="27"/>
      <c r="AV998" s="86"/>
      <c r="AW998" s="27"/>
      <c r="AX998" s="27"/>
      <c r="AY998" s="27"/>
      <c r="AZ998" s="27"/>
      <c r="BA998" s="27"/>
      <c r="BB998" s="27"/>
      <c r="BC998" s="97"/>
      <c r="BD998" s="27"/>
      <c r="BE998" s="16"/>
      <c r="BF998" s="28">
        <f t="shared" si="400"/>
        <v>0</v>
      </c>
      <c r="BG998" s="29"/>
      <c r="BH998" s="27"/>
      <c r="BI998" s="30">
        <f t="shared" si="401"/>
        <v>0</v>
      </c>
      <c r="BJ998" s="31">
        <f t="shared" si="402"/>
        <v>0</v>
      </c>
      <c r="BK998" s="27"/>
      <c r="BL998" s="16"/>
      <c r="BM998" s="27"/>
      <c r="BN998" s="16"/>
      <c r="BO998" s="27"/>
      <c r="BP998" s="16"/>
      <c r="BQ998" s="27"/>
      <c r="BR998" s="24"/>
      <c r="BS998" s="24"/>
      <c r="BT998" s="32"/>
      <c r="BU998" s="27"/>
      <c r="BV998" s="24"/>
      <c r="BW998" s="24"/>
      <c r="BX998" s="16"/>
      <c r="BY998" s="27"/>
      <c r="BZ998" s="24"/>
      <c r="CA998" s="24"/>
      <c r="CB998" s="16"/>
      <c r="CC998" s="49">
        <f t="shared" si="403"/>
        <v>0</v>
      </c>
      <c r="CD998" s="24"/>
      <c r="CE998" s="49">
        <f t="shared" si="407"/>
        <v>0</v>
      </c>
      <c r="CF998" s="50"/>
      <c r="CG998" s="49" t="str">
        <f t="shared" ca="1" si="391"/>
        <v/>
      </c>
      <c r="CH998" s="33">
        <f t="shared" ca="1" si="405"/>
        <v>1</v>
      </c>
      <c r="CI998" s="33">
        <f t="shared" ca="1" si="410"/>
        <v>1</v>
      </c>
      <c r="CJ998" s="36" t="str">
        <f t="shared" ca="1" si="408"/>
        <v/>
      </c>
      <c r="CK998" s="34" t="str">
        <f t="shared" si="398"/>
        <v/>
      </c>
      <c r="CL998" s="21"/>
      <c r="CM998" s="35" t="str">
        <f t="shared" ca="1" si="404"/>
        <v/>
      </c>
      <c r="CN998" s="82"/>
      <c r="CP998" s="26"/>
    </row>
    <row r="999" spans="1:94" ht="24.75" customHeight="1">
      <c r="A999" s="48"/>
      <c r="B999" s="150" t="s">
        <v>7625</v>
      </c>
      <c r="C999" s="17"/>
      <c r="D999" s="18"/>
      <c r="E999" s="17"/>
      <c r="F999" s="17"/>
      <c r="G999" s="17"/>
      <c r="H999" s="78"/>
      <c r="I999" s="74"/>
      <c r="J999" s="16"/>
      <c r="K999" s="16"/>
      <c r="L999" s="20"/>
      <c r="M999" s="16"/>
      <c r="N999" s="342"/>
      <c r="O999" s="342"/>
      <c r="P999" s="342"/>
      <c r="Q999" s="23">
        <f t="shared" si="409"/>
        <v>0</v>
      </c>
      <c r="R999" s="17"/>
      <c r="S999" s="16"/>
      <c r="T999" s="16"/>
      <c r="U999" s="67"/>
      <c r="V999" s="16"/>
      <c r="W999" s="224"/>
      <c r="X999" s="24"/>
      <c r="Y999" s="24"/>
      <c r="Z999" s="24"/>
      <c r="AA999" s="17"/>
      <c r="AB999" s="23" t="str">
        <f>IFERROR(VLOOKUP(AA999,Listas!$A$1:$C$14,2,FALSE),"")</f>
        <v/>
      </c>
      <c r="AC999" s="23" t="str">
        <f>IFERROR(VLOOKUP(AA999,Listas!$A$1:$C$14,3,FALSE),"")</f>
        <v/>
      </c>
      <c r="AD999" s="17"/>
      <c r="AE999" s="17"/>
      <c r="AF999" s="23" t="str">
        <f>IFERROR(VLOOKUP(AE999,Listas!$AD$1:$AF$65,2,FALSE),"")</f>
        <v/>
      </c>
      <c r="AG999" s="23" t="str">
        <f>IFERROR(VLOOKUP(AE999,Listas!$AD$1:$AF$65,3,FALSE),"")</f>
        <v/>
      </c>
      <c r="AH999" s="17"/>
      <c r="AI999" s="65"/>
      <c r="AJ999" s="25"/>
      <c r="AK999" s="26"/>
      <c r="AL999" s="26"/>
      <c r="AM999" s="90"/>
      <c r="AN999" s="105"/>
      <c r="AO999" s="91" t="str">
        <f t="shared" ref="AO999:AO1002" ca="1" si="411">IF(YEAR(TODAY())-YEAR(AN999)&gt;100," ",YEAR(TODAY())-YEAR(AN999))</f>
        <v xml:space="preserve"> </v>
      </c>
      <c r="AP999" s="26"/>
      <c r="AQ999" s="26"/>
      <c r="AR999" s="89"/>
      <c r="AS999" s="27"/>
      <c r="AT999" s="16"/>
      <c r="AU999" s="27"/>
      <c r="AV999" s="86"/>
      <c r="AW999" s="27"/>
      <c r="AX999" s="27"/>
      <c r="AY999" s="27"/>
      <c r="AZ999" s="27"/>
      <c r="BA999" s="27"/>
      <c r="BB999" s="27"/>
      <c r="BC999" s="97"/>
      <c r="BD999" s="27"/>
      <c r="BE999" s="16"/>
      <c r="BF999" s="28">
        <f t="shared" si="400"/>
        <v>0</v>
      </c>
      <c r="BG999" s="29"/>
      <c r="BH999" s="27"/>
      <c r="BI999" s="30">
        <f t="shared" si="401"/>
        <v>0</v>
      </c>
      <c r="BJ999" s="31">
        <f t="shared" si="402"/>
        <v>0</v>
      </c>
      <c r="BK999" s="27"/>
      <c r="BL999" s="16"/>
      <c r="BM999" s="27"/>
      <c r="BN999" s="16"/>
      <c r="BO999" s="27"/>
      <c r="BP999" s="16"/>
      <c r="BQ999" s="27"/>
      <c r="BR999" s="24"/>
      <c r="BS999" s="24"/>
      <c r="BT999" s="32"/>
      <c r="BU999" s="27"/>
      <c r="BV999" s="24"/>
      <c r="BW999" s="24"/>
      <c r="BX999" s="16"/>
      <c r="BY999" s="27"/>
      <c r="BZ999" s="24"/>
      <c r="CA999" s="24"/>
      <c r="CB999" s="16"/>
      <c r="CC999" s="49">
        <f t="shared" si="403"/>
        <v>0</v>
      </c>
      <c r="CD999" s="24"/>
      <c r="CE999" s="49">
        <f t="shared" si="407"/>
        <v>0</v>
      </c>
      <c r="CF999" s="50"/>
      <c r="CG999" s="49" t="str">
        <f t="shared" ca="1" si="391"/>
        <v/>
      </c>
      <c r="CH999" s="33">
        <f t="shared" ca="1" si="405"/>
        <v>1</v>
      </c>
      <c r="CI999" s="33">
        <f t="shared" ca="1" si="410"/>
        <v>1</v>
      </c>
      <c r="CJ999" s="36" t="str">
        <f t="shared" ca="1" si="408"/>
        <v/>
      </c>
      <c r="CK999" s="34" t="str">
        <f t="shared" si="398"/>
        <v/>
      </c>
      <c r="CL999" s="21"/>
      <c r="CM999" s="35" t="str">
        <f t="shared" ca="1" si="404"/>
        <v/>
      </c>
      <c r="CN999" s="82"/>
      <c r="CP999" s="26"/>
    </row>
    <row r="1000" spans="1:94" ht="24.75" customHeight="1">
      <c r="A1000" s="48"/>
      <c r="B1000" s="150" t="s">
        <v>7626</v>
      </c>
      <c r="C1000" s="17"/>
      <c r="D1000" s="18"/>
      <c r="E1000" s="17"/>
      <c r="F1000" s="17"/>
      <c r="G1000" s="17"/>
      <c r="H1000" s="78"/>
      <c r="I1000" s="74"/>
      <c r="J1000" s="16"/>
      <c r="K1000" s="16"/>
      <c r="L1000" s="20"/>
      <c r="M1000" s="16"/>
      <c r="N1000" s="342"/>
      <c r="O1000" s="342"/>
      <c r="P1000" s="342"/>
      <c r="Q1000" s="23">
        <f t="shared" si="409"/>
        <v>0</v>
      </c>
      <c r="R1000" s="17"/>
      <c r="S1000" s="16"/>
      <c r="T1000" s="16"/>
      <c r="U1000" s="67"/>
      <c r="V1000" s="16"/>
      <c r="W1000" s="224"/>
      <c r="X1000" s="24"/>
      <c r="Y1000" s="24"/>
      <c r="Z1000" s="24"/>
      <c r="AA1000" s="17"/>
      <c r="AB1000" s="23" t="str">
        <f>IFERROR(VLOOKUP(AA1000,Listas!$A$1:$C$14,2,FALSE),"")</f>
        <v/>
      </c>
      <c r="AC1000" s="23" t="str">
        <f>IFERROR(VLOOKUP(AA1000,Listas!$A$1:$C$14,3,FALSE),"")</f>
        <v/>
      </c>
      <c r="AD1000" s="17"/>
      <c r="AE1000" s="17"/>
      <c r="AF1000" s="23" t="str">
        <f>IFERROR(VLOOKUP(AE1000,Listas!$AD$1:$AF$65,2,FALSE),"")</f>
        <v/>
      </c>
      <c r="AG1000" s="23" t="str">
        <f>IFERROR(VLOOKUP(AE1000,Listas!$AD$1:$AF$65,3,FALSE),"")</f>
        <v/>
      </c>
      <c r="AH1000" s="17"/>
      <c r="AI1000" s="65"/>
      <c r="AJ1000" s="25"/>
      <c r="AK1000" s="26"/>
      <c r="AL1000" s="26"/>
      <c r="AM1000" s="90"/>
      <c r="AN1000" s="105"/>
      <c r="AO1000" s="91" t="str">
        <f t="shared" ca="1" si="411"/>
        <v xml:space="preserve"> </v>
      </c>
      <c r="AP1000" s="26"/>
      <c r="AQ1000" s="26"/>
      <c r="AR1000" s="89"/>
      <c r="AS1000" s="27"/>
      <c r="AT1000" s="16"/>
      <c r="AU1000" s="27"/>
      <c r="AV1000" s="86"/>
      <c r="AW1000" s="27"/>
      <c r="AX1000" s="27"/>
      <c r="AY1000" s="27"/>
      <c r="AZ1000" s="27"/>
      <c r="BA1000" s="27"/>
      <c r="BB1000" s="27"/>
      <c r="BC1000" s="97"/>
      <c r="BD1000" s="27"/>
      <c r="BE1000" s="16"/>
      <c r="BF1000" s="28">
        <f t="shared" si="400"/>
        <v>0</v>
      </c>
      <c r="BG1000" s="29"/>
      <c r="BH1000" s="27"/>
      <c r="BI1000" s="30">
        <f t="shared" si="401"/>
        <v>0</v>
      </c>
      <c r="BJ1000" s="31">
        <f t="shared" si="402"/>
        <v>0</v>
      </c>
      <c r="BK1000" s="27"/>
      <c r="BL1000" s="16"/>
      <c r="BM1000" s="27"/>
      <c r="BN1000" s="16"/>
      <c r="BO1000" s="27"/>
      <c r="BP1000" s="16"/>
      <c r="BQ1000" s="27"/>
      <c r="BR1000" s="24"/>
      <c r="BS1000" s="24"/>
      <c r="BT1000" s="32"/>
      <c r="BU1000" s="27"/>
      <c r="BV1000" s="24"/>
      <c r="BW1000" s="24"/>
      <c r="BX1000" s="16"/>
      <c r="BY1000" s="27"/>
      <c r="BZ1000" s="24"/>
      <c r="CA1000" s="24"/>
      <c r="CB1000" s="16"/>
      <c r="CC1000" s="49">
        <f t="shared" si="403"/>
        <v>0</v>
      </c>
      <c r="CD1000" s="24"/>
      <c r="CE1000" s="49">
        <f t="shared" si="407"/>
        <v>0</v>
      </c>
      <c r="CF1000" s="50"/>
      <c r="CG1000" s="49" t="str">
        <f t="shared" ca="1" si="391"/>
        <v/>
      </c>
      <c r="CH1000" s="33">
        <f t="shared" ca="1" si="405"/>
        <v>1</v>
      </c>
      <c r="CI1000" s="33">
        <f t="shared" ca="1" si="410"/>
        <v>1</v>
      </c>
      <c r="CJ1000" s="36" t="str">
        <f t="shared" ca="1" si="408"/>
        <v/>
      </c>
      <c r="CK1000" s="34" t="str">
        <f t="shared" si="398"/>
        <v/>
      </c>
      <c r="CL1000" s="21"/>
      <c r="CM1000" s="35" t="str">
        <f t="shared" ca="1" si="404"/>
        <v/>
      </c>
      <c r="CN1000" s="82"/>
      <c r="CP1000" s="26"/>
    </row>
    <row r="1001" spans="1:94" ht="24.75" customHeight="1">
      <c r="A1001" s="48"/>
      <c r="B1001" s="150" t="s">
        <v>7627</v>
      </c>
      <c r="C1001" s="17"/>
      <c r="D1001" s="18"/>
      <c r="E1001" s="17"/>
      <c r="F1001" s="17"/>
      <c r="G1001" s="17"/>
      <c r="H1001" s="78"/>
      <c r="I1001" s="74"/>
      <c r="J1001" s="16"/>
      <c r="K1001" s="16"/>
      <c r="L1001" s="20"/>
      <c r="M1001" s="16"/>
      <c r="N1001" s="342"/>
      <c r="O1001" s="342"/>
      <c r="P1001" s="342"/>
      <c r="Q1001" s="23">
        <f t="shared" si="409"/>
        <v>0</v>
      </c>
      <c r="R1001" s="17"/>
      <c r="S1001" s="16"/>
      <c r="T1001" s="16"/>
      <c r="U1001" s="67"/>
      <c r="V1001" s="16"/>
      <c r="W1001" s="224"/>
      <c r="X1001" s="24"/>
      <c r="Y1001" s="24"/>
      <c r="Z1001" s="24"/>
      <c r="AA1001" s="17"/>
      <c r="AB1001" s="23" t="str">
        <f>IFERROR(VLOOKUP(AA1001,Listas!$A$1:$C$14,2,FALSE),"")</f>
        <v/>
      </c>
      <c r="AC1001" s="23" t="str">
        <f>IFERROR(VLOOKUP(AA1001,Listas!$A$1:$C$14,3,FALSE),"")</f>
        <v/>
      </c>
      <c r="AD1001" s="17"/>
      <c r="AE1001" s="17"/>
      <c r="AF1001" s="23" t="str">
        <f>IFERROR(VLOOKUP(AE1001,Listas!$AD$1:$AF$65,2,FALSE),"")</f>
        <v/>
      </c>
      <c r="AG1001" s="23" t="str">
        <f>IFERROR(VLOOKUP(AE1001,Listas!$AD$1:$AF$65,3,FALSE),"")</f>
        <v/>
      </c>
      <c r="AH1001" s="17"/>
      <c r="AI1001" s="65"/>
      <c r="AJ1001" s="25"/>
      <c r="AK1001" s="26"/>
      <c r="AL1001" s="26"/>
      <c r="AM1001" s="90"/>
      <c r="AN1001" s="105"/>
      <c r="AO1001" s="91" t="str">
        <f t="shared" ca="1" si="411"/>
        <v xml:space="preserve"> </v>
      </c>
      <c r="AP1001" s="26"/>
      <c r="AQ1001" s="26"/>
      <c r="AR1001" s="89"/>
      <c r="AS1001" s="27"/>
      <c r="AT1001" s="16"/>
      <c r="AU1001" s="27"/>
      <c r="AV1001" s="86"/>
      <c r="AW1001" s="27"/>
      <c r="AX1001" s="27"/>
      <c r="AY1001" s="27"/>
      <c r="AZ1001" s="27"/>
      <c r="BA1001" s="27"/>
      <c r="BB1001" s="27"/>
      <c r="BC1001" s="97"/>
      <c r="BD1001" s="27"/>
      <c r="BE1001" s="16"/>
      <c r="BF1001" s="28">
        <f t="shared" si="400"/>
        <v>0</v>
      </c>
      <c r="BG1001" s="29"/>
      <c r="BH1001" s="27"/>
      <c r="BI1001" s="30">
        <f t="shared" si="401"/>
        <v>0</v>
      </c>
      <c r="BJ1001" s="31">
        <f t="shared" si="402"/>
        <v>0</v>
      </c>
      <c r="BK1001" s="27"/>
      <c r="BL1001" s="16"/>
      <c r="BM1001" s="27"/>
      <c r="BN1001" s="16"/>
      <c r="BO1001" s="27"/>
      <c r="BP1001" s="16"/>
      <c r="BQ1001" s="27"/>
      <c r="BR1001" s="24"/>
      <c r="BS1001" s="24"/>
      <c r="BT1001" s="32"/>
      <c r="BU1001" s="27"/>
      <c r="BV1001" s="24"/>
      <c r="BW1001" s="24"/>
      <c r="BX1001" s="16"/>
      <c r="BY1001" s="27"/>
      <c r="BZ1001" s="24"/>
      <c r="CA1001" s="24"/>
      <c r="CB1001" s="16"/>
      <c r="CC1001" s="49">
        <f t="shared" si="403"/>
        <v>0</v>
      </c>
      <c r="CD1001" s="24"/>
      <c r="CE1001" s="49">
        <f t="shared" si="407"/>
        <v>0</v>
      </c>
      <c r="CF1001" s="50"/>
      <c r="CG1001" s="49" t="str">
        <f t="shared" ca="1" si="391"/>
        <v/>
      </c>
      <c r="CH1001" s="33">
        <f t="shared" ca="1" si="405"/>
        <v>1</v>
      </c>
      <c r="CI1001" s="33">
        <f t="shared" ca="1" si="410"/>
        <v>1</v>
      </c>
      <c r="CJ1001" s="36" t="str">
        <f t="shared" ca="1" si="408"/>
        <v/>
      </c>
      <c r="CK1001" s="34" t="str">
        <f t="shared" si="398"/>
        <v/>
      </c>
      <c r="CL1001" s="21"/>
      <c r="CM1001" s="35" t="str">
        <f t="shared" ca="1" si="404"/>
        <v/>
      </c>
      <c r="CN1001" s="82"/>
      <c r="CP1001" s="26"/>
    </row>
    <row r="1002" spans="1:94" ht="24.75" customHeight="1">
      <c r="A1002" s="48"/>
      <c r="B1002" s="150" t="s">
        <v>7628</v>
      </c>
      <c r="C1002" s="17"/>
      <c r="D1002" s="18"/>
      <c r="E1002" s="17"/>
      <c r="F1002" s="17"/>
      <c r="G1002" s="17"/>
      <c r="H1002" s="78"/>
      <c r="I1002" s="74"/>
      <c r="J1002" s="16"/>
      <c r="K1002" s="16"/>
      <c r="L1002" s="20"/>
      <c r="M1002" s="16"/>
      <c r="N1002" s="342"/>
      <c r="O1002" s="342"/>
      <c r="P1002" s="342"/>
      <c r="Q1002" s="23">
        <f t="shared" si="409"/>
        <v>0</v>
      </c>
      <c r="R1002" s="17"/>
      <c r="S1002" s="16"/>
      <c r="T1002" s="16"/>
      <c r="U1002" s="67"/>
      <c r="V1002" s="16"/>
      <c r="W1002" s="224"/>
      <c r="X1002" s="24"/>
      <c r="Y1002" s="24"/>
      <c r="Z1002" s="24"/>
      <c r="AA1002" s="17"/>
      <c r="AB1002" s="23" t="str">
        <f>IFERROR(VLOOKUP(AA1002,Listas!$A$1:$C$14,2,FALSE),"")</f>
        <v/>
      </c>
      <c r="AC1002" s="23" t="str">
        <f>IFERROR(VLOOKUP(AA1002,Listas!$A$1:$C$14,3,FALSE),"")</f>
        <v/>
      </c>
      <c r="AD1002" s="17"/>
      <c r="AE1002" s="17"/>
      <c r="AF1002" s="23" t="str">
        <f>IFERROR(VLOOKUP(AE1002,Listas!$AD$1:$AF$65,2,FALSE),"")</f>
        <v/>
      </c>
      <c r="AG1002" s="23" t="str">
        <f>IFERROR(VLOOKUP(AE1002,Listas!$AD$1:$AF$65,3,FALSE),"")</f>
        <v/>
      </c>
      <c r="AH1002" s="17"/>
      <c r="AI1002" s="65"/>
      <c r="AJ1002" s="25"/>
      <c r="AK1002" s="26"/>
      <c r="AL1002" s="26"/>
      <c r="AM1002" s="90"/>
      <c r="AN1002" s="105"/>
      <c r="AO1002" s="91" t="str">
        <f t="shared" ca="1" si="411"/>
        <v xml:space="preserve"> </v>
      </c>
      <c r="AP1002" s="26"/>
      <c r="AQ1002" s="26"/>
      <c r="AR1002" s="89"/>
      <c r="AS1002" s="27"/>
      <c r="AT1002" s="16"/>
      <c r="AU1002" s="27"/>
      <c r="AV1002" s="86"/>
      <c r="AW1002" s="27"/>
      <c r="AX1002" s="27"/>
      <c r="AY1002" s="27"/>
      <c r="AZ1002" s="27"/>
      <c r="BA1002" s="27"/>
      <c r="BB1002" s="27"/>
      <c r="BC1002" s="97"/>
      <c r="BD1002" s="27"/>
      <c r="BE1002" s="16"/>
      <c r="BF1002" s="28">
        <f t="shared" si="400"/>
        <v>0</v>
      </c>
      <c r="BG1002" s="29"/>
      <c r="BH1002" s="27"/>
      <c r="BI1002" s="30">
        <f t="shared" si="401"/>
        <v>0</v>
      </c>
      <c r="BJ1002" s="31">
        <f t="shared" si="402"/>
        <v>0</v>
      </c>
      <c r="BK1002" s="27"/>
      <c r="BL1002" s="16"/>
      <c r="BM1002" s="27"/>
      <c r="BN1002" s="16"/>
      <c r="BO1002" s="27"/>
      <c r="BP1002" s="16"/>
      <c r="BQ1002" s="27"/>
      <c r="BR1002" s="24"/>
      <c r="BS1002" s="24"/>
      <c r="BT1002" s="32"/>
      <c r="BU1002" s="27"/>
      <c r="BV1002" s="24"/>
      <c r="BW1002" s="24"/>
      <c r="BX1002" s="16"/>
      <c r="BY1002" s="27"/>
      <c r="BZ1002" s="24"/>
      <c r="CA1002" s="24"/>
      <c r="CB1002" s="16"/>
      <c r="CC1002" s="49">
        <f t="shared" si="403"/>
        <v>0</v>
      </c>
      <c r="CD1002" s="24"/>
      <c r="CE1002" s="49">
        <f t="shared" si="407"/>
        <v>0</v>
      </c>
      <c r="CF1002" s="50"/>
      <c r="CG1002" s="49" t="str">
        <f t="shared" ca="1" si="391"/>
        <v/>
      </c>
      <c r="CH1002" s="33">
        <f t="shared" ca="1" si="405"/>
        <v>1</v>
      </c>
      <c r="CI1002" s="33">
        <f t="shared" ca="1" si="410"/>
        <v>1</v>
      </c>
      <c r="CJ1002" s="36" t="str">
        <f t="shared" ca="1" si="408"/>
        <v/>
      </c>
      <c r="CK1002" s="34" t="str">
        <f t="shared" si="398"/>
        <v/>
      </c>
      <c r="CL1002" s="21"/>
      <c r="CM1002" s="35" t="str">
        <f t="shared" ca="1" si="404"/>
        <v/>
      </c>
      <c r="CN1002" s="82"/>
      <c r="CP1002" s="26"/>
    </row>
    <row r="1003" spans="1:94" ht="15.75">
      <c r="A1003" s="346"/>
      <c r="B1003" s="347"/>
      <c r="C1003" s="347"/>
      <c r="D1003" s="348"/>
      <c r="E1003" s="347"/>
      <c r="F1003" s="347"/>
      <c r="G1003" s="347"/>
      <c r="H1003" s="349"/>
      <c r="I1003" s="347"/>
      <c r="J1003" s="347"/>
      <c r="K1003" s="347"/>
      <c r="L1003" s="350"/>
      <c r="M1003" s="347"/>
      <c r="N1003" s="351"/>
      <c r="O1003" s="351"/>
      <c r="P1003" s="351"/>
      <c r="Q1003" s="352"/>
      <c r="R1003" s="347"/>
      <c r="S1003" s="347"/>
      <c r="T1003" s="347"/>
      <c r="U1003" s="353"/>
      <c r="V1003" s="347"/>
      <c r="W1003" s="354"/>
      <c r="X1003" s="353"/>
      <c r="Y1003" s="353"/>
      <c r="Z1003" s="353"/>
      <c r="AA1003" s="347"/>
      <c r="AB1003" s="352"/>
      <c r="AC1003" s="352"/>
      <c r="AD1003" s="347"/>
      <c r="AE1003" s="347"/>
      <c r="AF1003" s="352"/>
      <c r="AG1003" s="352"/>
      <c r="AH1003" s="347"/>
      <c r="AI1003" s="355"/>
      <c r="AJ1003" s="356"/>
      <c r="AK1003" s="357"/>
      <c r="AL1003" s="357"/>
      <c r="AM1003" s="358"/>
      <c r="AN1003" s="359"/>
      <c r="AO1003" s="91"/>
      <c r="AP1003" s="26"/>
      <c r="AQ1003" s="26"/>
      <c r="AR1003" s="89"/>
      <c r="AS1003" s="27"/>
      <c r="AT1003" s="16"/>
      <c r="AU1003" s="27"/>
      <c r="AV1003" s="86"/>
      <c r="AW1003" s="27"/>
      <c r="AX1003" s="27"/>
      <c r="AY1003" s="27"/>
      <c r="AZ1003" s="27"/>
      <c r="BA1003" s="27"/>
      <c r="BB1003" s="27"/>
      <c r="BC1003" s="97"/>
      <c r="BD1003" s="27"/>
      <c r="BE1003" s="16"/>
      <c r="BF1003" s="28"/>
      <c r="BG1003" s="29"/>
      <c r="BH1003" s="27"/>
      <c r="BI1003" s="30"/>
      <c r="BJ1003" s="31"/>
      <c r="BK1003" s="27"/>
      <c r="BL1003" s="16"/>
      <c r="BM1003" s="27"/>
      <c r="BN1003" s="16"/>
      <c r="BO1003" s="27"/>
      <c r="BP1003" s="16"/>
      <c r="BQ1003" s="27"/>
      <c r="BR1003" s="24"/>
      <c r="BS1003" s="24"/>
      <c r="BT1003" s="32"/>
      <c r="BU1003" s="27"/>
      <c r="BV1003" s="24"/>
      <c r="BW1003" s="24"/>
      <c r="BX1003" s="16"/>
      <c r="BY1003" s="27"/>
      <c r="BZ1003" s="24"/>
      <c r="CA1003" s="24"/>
      <c r="CB1003" s="16"/>
      <c r="CC1003" s="49"/>
      <c r="CD1003" s="24"/>
      <c r="CE1003" s="49"/>
      <c r="CF1003" s="50"/>
      <c r="CG1003" s="49"/>
      <c r="CH1003" s="33"/>
      <c r="CI1003" s="33"/>
      <c r="CJ1003" s="36"/>
      <c r="CK1003" s="34"/>
      <c r="CL1003" s="21"/>
      <c r="CM1003" s="35"/>
      <c r="CN1003" s="82"/>
      <c r="CP1003" s="26"/>
    </row>
    <row r="1004" spans="1:94" ht="15.75">
      <c r="A1004" s="48"/>
      <c r="B1004" s="150"/>
      <c r="C1004" s="17"/>
      <c r="D1004" s="18"/>
      <c r="E1004" s="17"/>
      <c r="F1004" s="17"/>
      <c r="G1004" s="17"/>
      <c r="H1004" s="78"/>
      <c r="I1004" s="74"/>
      <c r="J1004" s="16"/>
      <c r="K1004" s="16"/>
      <c r="L1004" s="20"/>
      <c r="M1004" s="16"/>
      <c r="N1004" s="342"/>
      <c r="O1004" s="342"/>
      <c r="P1004" s="342"/>
      <c r="Q1004" s="23"/>
      <c r="R1004" s="17"/>
      <c r="S1004" s="16"/>
      <c r="T1004" s="16"/>
      <c r="U1004" s="67"/>
      <c r="V1004" s="16"/>
      <c r="W1004" s="224"/>
      <c r="X1004" s="24"/>
      <c r="Y1004" s="24"/>
      <c r="Z1004" s="24"/>
      <c r="AA1004" s="17"/>
      <c r="AB1004" s="23"/>
      <c r="AC1004" s="23"/>
      <c r="AD1004" s="17"/>
      <c r="AE1004" s="17"/>
      <c r="AF1004" s="23"/>
      <c r="AG1004" s="23"/>
      <c r="AH1004" s="17"/>
      <c r="AI1004" s="65"/>
      <c r="AJ1004" s="25"/>
      <c r="AK1004" s="26"/>
      <c r="AL1004" s="26"/>
      <c r="AM1004" s="90"/>
      <c r="AN1004" s="105"/>
      <c r="AO1004" s="91"/>
      <c r="AP1004" s="26"/>
      <c r="AQ1004" s="26"/>
      <c r="AR1004" s="89"/>
      <c r="AS1004" s="27"/>
      <c r="AT1004" s="16"/>
      <c r="AU1004" s="27"/>
      <c r="AV1004" s="86"/>
      <c r="AW1004" s="27"/>
      <c r="AX1004" s="27"/>
      <c r="AY1004" s="27"/>
      <c r="AZ1004" s="27"/>
      <c r="BA1004" s="27"/>
      <c r="BB1004" s="27"/>
      <c r="BC1004" s="97"/>
      <c r="BD1004" s="27"/>
      <c r="BE1004" s="16"/>
      <c r="BF1004" s="28"/>
      <c r="BG1004" s="29"/>
      <c r="BH1004" s="27"/>
      <c r="BI1004" s="30"/>
      <c r="BJ1004" s="31"/>
      <c r="BK1004" s="27"/>
      <c r="BL1004" s="16"/>
      <c r="BM1004" s="27"/>
      <c r="BN1004" s="16"/>
      <c r="BO1004" s="27"/>
      <c r="BP1004" s="16"/>
      <c r="BQ1004" s="27"/>
      <c r="BR1004" s="24"/>
      <c r="BS1004" s="24"/>
      <c r="BT1004" s="32"/>
      <c r="BU1004" s="27"/>
      <c r="BV1004" s="24"/>
      <c r="BW1004" s="24"/>
      <c r="BX1004" s="16"/>
      <c r="BY1004" s="27"/>
      <c r="BZ1004" s="24"/>
      <c r="CA1004" s="24"/>
      <c r="CB1004" s="16"/>
      <c r="CC1004" s="49"/>
      <c r="CD1004" s="24"/>
      <c r="CE1004" s="49"/>
      <c r="CF1004" s="50"/>
      <c r="CG1004" s="49"/>
      <c r="CH1004" s="33"/>
      <c r="CI1004" s="33"/>
      <c r="CJ1004" s="36"/>
      <c r="CK1004" s="34"/>
      <c r="CL1004" s="21"/>
      <c r="CM1004" s="35"/>
      <c r="CN1004" s="82"/>
      <c r="CP1004" s="26"/>
    </row>
    <row r="1005" spans="1:94" ht="15.75">
      <c r="A1005" s="48"/>
      <c r="B1005" s="150"/>
      <c r="C1005" s="17"/>
      <c r="D1005" s="18"/>
      <c r="E1005" s="17"/>
      <c r="F1005" s="17"/>
      <c r="G1005" s="17"/>
      <c r="H1005" s="78"/>
      <c r="I1005" s="74"/>
      <c r="J1005" s="16"/>
      <c r="K1005" s="16"/>
      <c r="L1005" s="20"/>
      <c r="M1005" s="16"/>
      <c r="N1005" s="360"/>
      <c r="O1005" s="342"/>
      <c r="P1005" s="342"/>
      <c r="Q1005" s="23"/>
      <c r="R1005" s="17"/>
      <c r="S1005" s="16"/>
      <c r="T1005" s="16"/>
      <c r="U1005" s="67"/>
      <c r="V1005" s="16"/>
      <c r="W1005" s="224"/>
      <c r="X1005" s="24"/>
      <c r="Y1005" s="24"/>
      <c r="Z1005" s="24"/>
      <c r="AA1005" s="17"/>
      <c r="AB1005" s="23"/>
      <c r="AC1005" s="23"/>
      <c r="AD1005" s="17"/>
      <c r="AE1005" s="17"/>
      <c r="AF1005" s="23"/>
      <c r="AG1005" s="23"/>
      <c r="AH1005" s="17"/>
      <c r="AI1005" s="65"/>
      <c r="AJ1005" s="25"/>
      <c r="AK1005" s="26"/>
      <c r="AL1005" s="26"/>
      <c r="AM1005" s="90"/>
      <c r="AN1005" s="105"/>
      <c r="AO1005" s="91"/>
      <c r="AP1005" s="26"/>
      <c r="AQ1005" s="26"/>
      <c r="AR1005" s="89"/>
      <c r="AS1005" s="27"/>
      <c r="AT1005" s="16"/>
      <c r="AU1005" s="27"/>
      <c r="AV1005" s="86"/>
      <c r="AW1005" s="27"/>
      <c r="AX1005" s="27"/>
      <c r="AY1005" s="27"/>
      <c r="AZ1005" s="27"/>
      <c r="BA1005" s="27"/>
      <c r="BB1005" s="27"/>
      <c r="BC1005" s="97"/>
      <c r="BD1005" s="27"/>
      <c r="BE1005" s="16"/>
      <c r="BF1005" s="28"/>
      <c r="BG1005" s="29"/>
      <c r="BH1005" s="27"/>
      <c r="BI1005" s="30"/>
      <c r="BJ1005" s="31"/>
      <c r="BK1005" s="27"/>
      <c r="BL1005" s="16"/>
      <c r="BM1005" s="27"/>
      <c r="BN1005" s="16"/>
      <c r="BO1005" s="27"/>
      <c r="BP1005" s="16"/>
      <c r="BQ1005" s="27"/>
      <c r="BR1005" s="24"/>
      <c r="BS1005" s="24"/>
      <c r="BT1005" s="32"/>
      <c r="BU1005" s="27"/>
      <c r="BV1005" s="24"/>
      <c r="BW1005" s="24"/>
      <c r="BX1005" s="16"/>
      <c r="BY1005" s="27"/>
      <c r="BZ1005" s="24"/>
      <c r="CA1005" s="24"/>
      <c r="CB1005" s="16"/>
      <c r="CC1005" s="49"/>
      <c r="CD1005" s="24"/>
      <c r="CE1005" s="49"/>
      <c r="CF1005" s="50"/>
      <c r="CG1005" s="49"/>
      <c r="CH1005" s="33"/>
      <c r="CI1005" s="33"/>
      <c r="CJ1005" s="36"/>
      <c r="CK1005" s="34"/>
      <c r="CL1005" s="21"/>
      <c r="CM1005" s="35"/>
      <c r="CN1005" s="82"/>
      <c r="CP1005" s="26"/>
    </row>
    <row r="1006" spans="1:94" ht="15.75">
      <c r="A1006" s="48"/>
      <c r="B1006" s="150"/>
      <c r="C1006" s="17"/>
      <c r="D1006" s="18"/>
      <c r="E1006" s="17"/>
      <c r="F1006" s="17"/>
      <c r="G1006" s="17"/>
      <c r="H1006" s="78"/>
      <c r="I1006" s="74"/>
      <c r="J1006" s="16"/>
      <c r="K1006" s="16"/>
      <c r="L1006" s="20"/>
      <c r="M1006" s="16"/>
      <c r="N1006" s="342"/>
      <c r="O1006" s="342"/>
      <c r="P1006" s="342"/>
      <c r="Q1006" s="23"/>
      <c r="R1006" s="17"/>
      <c r="S1006" s="16"/>
      <c r="T1006" s="16"/>
      <c r="U1006" s="67"/>
      <c r="V1006" s="16"/>
      <c r="W1006" s="224"/>
      <c r="X1006" s="24"/>
      <c r="Y1006" s="24"/>
      <c r="Z1006" s="24"/>
      <c r="AA1006" s="17"/>
      <c r="AB1006" s="23"/>
      <c r="AC1006" s="23"/>
      <c r="AD1006" s="17"/>
      <c r="AE1006" s="17"/>
      <c r="AF1006" s="23"/>
      <c r="AG1006" s="23"/>
      <c r="AH1006" s="17"/>
      <c r="AI1006" s="65"/>
      <c r="AJ1006" s="25"/>
      <c r="AK1006" s="26"/>
      <c r="AL1006" s="26"/>
      <c r="AM1006" s="90"/>
      <c r="AN1006" s="105"/>
      <c r="AO1006" s="91"/>
      <c r="AP1006" s="26"/>
      <c r="AQ1006" s="26"/>
      <c r="AR1006" s="89"/>
      <c r="AS1006" s="27"/>
      <c r="AT1006" s="16"/>
      <c r="AU1006" s="27"/>
      <c r="AV1006" s="86"/>
      <c r="AW1006" s="27"/>
      <c r="AX1006" s="27"/>
      <c r="AY1006" s="27"/>
      <c r="AZ1006" s="27"/>
      <c r="BA1006" s="27"/>
      <c r="BB1006" s="27"/>
      <c r="BC1006" s="97"/>
      <c r="BD1006" s="27"/>
      <c r="BE1006" s="16"/>
      <c r="BF1006" s="28"/>
      <c r="BG1006" s="29"/>
      <c r="BH1006" s="27"/>
      <c r="BI1006" s="30"/>
      <c r="BJ1006" s="31"/>
      <c r="BK1006" s="27"/>
      <c r="BL1006" s="16"/>
      <c r="BM1006" s="27"/>
      <c r="BN1006" s="16"/>
      <c r="BO1006" s="27"/>
      <c r="BP1006" s="16"/>
      <c r="BQ1006" s="27"/>
      <c r="BR1006" s="24"/>
      <c r="BS1006" s="24"/>
      <c r="BT1006" s="32"/>
      <c r="BU1006" s="27"/>
      <c r="BV1006" s="24"/>
      <c r="BW1006" s="24"/>
      <c r="BX1006" s="16"/>
      <c r="BY1006" s="27"/>
      <c r="BZ1006" s="24"/>
      <c r="CA1006" s="24"/>
      <c r="CB1006" s="16"/>
      <c r="CC1006" s="49"/>
      <c r="CD1006" s="24"/>
      <c r="CE1006" s="49"/>
      <c r="CF1006" s="50"/>
      <c r="CG1006" s="49"/>
      <c r="CH1006" s="33"/>
      <c r="CI1006" s="33"/>
      <c r="CJ1006" s="36"/>
      <c r="CK1006" s="34"/>
      <c r="CL1006" s="21"/>
      <c r="CM1006" s="35"/>
      <c r="CN1006" s="82"/>
      <c r="CP1006" s="26"/>
    </row>
    <row r="1007" spans="1:94" ht="15.75">
      <c r="A1007" s="48"/>
      <c r="B1007" s="150"/>
      <c r="C1007" s="17"/>
      <c r="D1007" s="18"/>
      <c r="E1007" s="17"/>
      <c r="F1007" s="17"/>
      <c r="G1007" s="17"/>
      <c r="H1007" s="78"/>
      <c r="I1007" s="74"/>
      <c r="J1007" s="16"/>
      <c r="K1007" s="16"/>
      <c r="L1007" s="20"/>
      <c r="M1007" s="16"/>
      <c r="N1007" s="342"/>
      <c r="O1007" s="342"/>
      <c r="P1007" s="342"/>
      <c r="Q1007" s="23"/>
      <c r="R1007" s="17"/>
      <c r="S1007" s="16"/>
      <c r="T1007" s="16"/>
      <c r="U1007" s="67"/>
      <c r="V1007" s="16"/>
      <c r="W1007" s="224"/>
      <c r="X1007" s="24"/>
      <c r="Y1007" s="24"/>
      <c r="Z1007" s="24"/>
      <c r="AA1007" s="17"/>
      <c r="AB1007" s="23"/>
      <c r="AC1007" s="23"/>
      <c r="AD1007" s="17"/>
      <c r="AE1007" s="17"/>
      <c r="AF1007" s="23"/>
      <c r="AG1007" s="23"/>
      <c r="AH1007" s="17"/>
      <c r="AI1007" s="65"/>
      <c r="AJ1007" s="25"/>
      <c r="AK1007" s="26"/>
      <c r="AL1007" s="26"/>
      <c r="AM1007" s="90"/>
      <c r="AN1007" s="105"/>
      <c r="AO1007" s="91"/>
      <c r="AP1007" s="26"/>
      <c r="AQ1007" s="26"/>
      <c r="AR1007" s="89"/>
      <c r="AS1007" s="27"/>
      <c r="AT1007" s="16"/>
      <c r="AU1007" s="27"/>
      <c r="AV1007" s="86"/>
      <c r="AW1007" s="27"/>
      <c r="AX1007" s="27"/>
      <c r="AY1007" s="27"/>
      <c r="AZ1007" s="27"/>
      <c r="BA1007" s="27"/>
      <c r="BB1007" s="27"/>
      <c r="BC1007" s="97"/>
      <c r="BD1007" s="27"/>
      <c r="BE1007" s="16"/>
      <c r="BF1007" s="28"/>
      <c r="BG1007" s="29"/>
      <c r="BH1007" s="27"/>
      <c r="BI1007" s="30"/>
      <c r="BJ1007" s="31"/>
      <c r="BK1007" s="27"/>
      <c r="BL1007" s="16"/>
      <c r="BM1007" s="27"/>
      <c r="BN1007" s="16"/>
      <c r="BO1007" s="27"/>
      <c r="BP1007" s="16"/>
      <c r="BQ1007" s="27"/>
      <c r="BR1007" s="24"/>
      <c r="BS1007" s="24"/>
      <c r="BT1007" s="32"/>
      <c r="BU1007" s="27"/>
      <c r="BV1007" s="24"/>
      <c r="BW1007" s="24"/>
      <c r="BX1007" s="16"/>
      <c r="BY1007" s="27"/>
      <c r="BZ1007" s="24"/>
      <c r="CA1007" s="24"/>
      <c r="CB1007" s="16"/>
      <c r="CC1007" s="49"/>
      <c r="CD1007" s="24"/>
      <c r="CE1007" s="49"/>
      <c r="CF1007" s="50"/>
      <c r="CG1007" s="49"/>
      <c r="CH1007" s="33"/>
      <c r="CI1007" s="33"/>
      <c r="CJ1007" s="36"/>
      <c r="CK1007" s="34"/>
      <c r="CL1007" s="21"/>
      <c r="CM1007" s="35"/>
      <c r="CN1007" s="82"/>
      <c r="CP1007" s="26"/>
    </row>
    <row r="1008" spans="1:94" ht="15.75">
      <c r="A1008" s="48"/>
      <c r="B1008" s="150"/>
      <c r="C1008" s="17"/>
      <c r="D1008" s="18"/>
      <c r="E1008" s="17"/>
      <c r="F1008" s="17"/>
      <c r="G1008" s="17"/>
      <c r="H1008" s="78"/>
      <c r="I1008" s="74"/>
      <c r="J1008" s="16"/>
      <c r="K1008" s="16"/>
      <c r="L1008" s="20"/>
      <c r="M1008" s="16"/>
      <c r="N1008" s="342"/>
      <c r="O1008" s="342"/>
      <c r="P1008" s="342"/>
      <c r="Q1008" s="23"/>
      <c r="R1008" s="17"/>
      <c r="S1008" s="16"/>
      <c r="T1008" s="16"/>
      <c r="U1008" s="67"/>
      <c r="V1008" s="16"/>
      <c r="W1008" s="224"/>
      <c r="X1008" s="24"/>
      <c r="Y1008" s="24"/>
      <c r="Z1008" s="24"/>
      <c r="AA1008" s="17"/>
      <c r="AB1008" s="23"/>
      <c r="AC1008" s="23"/>
      <c r="AD1008" s="17"/>
      <c r="AE1008" s="17"/>
      <c r="AF1008" s="23"/>
      <c r="AG1008" s="23"/>
      <c r="AH1008" s="17"/>
      <c r="AI1008" s="65"/>
      <c r="AJ1008" s="25"/>
      <c r="AK1008" s="26"/>
      <c r="AL1008" s="26"/>
      <c r="AM1008" s="90"/>
      <c r="AN1008" s="105"/>
      <c r="AO1008" s="91"/>
      <c r="AP1008" s="26"/>
      <c r="AQ1008" s="26"/>
      <c r="AR1008" s="89"/>
      <c r="AS1008" s="27"/>
      <c r="AT1008" s="16"/>
      <c r="AU1008" s="27"/>
      <c r="AV1008" s="86"/>
      <c r="AW1008" s="27"/>
      <c r="AX1008" s="27"/>
      <c r="AY1008" s="27"/>
      <c r="AZ1008" s="27"/>
      <c r="BA1008" s="27"/>
      <c r="BB1008" s="27"/>
      <c r="BC1008" s="97"/>
      <c r="BD1008" s="27"/>
      <c r="BE1008" s="16"/>
      <c r="BF1008" s="28"/>
      <c r="BG1008" s="29"/>
      <c r="BH1008" s="27"/>
      <c r="BI1008" s="30"/>
      <c r="BJ1008" s="31"/>
      <c r="BK1008" s="27"/>
      <c r="BL1008" s="16"/>
      <c r="BM1008" s="27"/>
      <c r="BN1008" s="16"/>
      <c r="BO1008" s="27"/>
      <c r="BP1008" s="16"/>
      <c r="BQ1008" s="27"/>
      <c r="BR1008" s="24"/>
      <c r="BS1008" s="24"/>
      <c r="BT1008" s="32"/>
      <c r="BU1008" s="27"/>
      <c r="BV1008" s="24"/>
      <c r="BW1008" s="24"/>
      <c r="BX1008" s="16"/>
      <c r="BY1008" s="27"/>
      <c r="BZ1008" s="24"/>
      <c r="CA1008" s="24"/>
      <c r="CB1008" s="16"/>
      <c r="CC1008" s="49"/>
      <c r="CD1008" s="24"/>
      <c r="CE1008" s="49"/>
      <c r="CF1008" s="50"/>
      <c r="CG1008" s="49"/>
      <c r="CH1008" s="33"/>
      <c r="CI1008" s="33"/>
      <c r="CJ1008" s="36"/>
      <c r="CK1008" s="34"/>
      <c r="CL1008" s="21"/>
      <c r="CM1008" s="35"/>
      <c r="CN1008" s="82"/>
      <c r="CP1008" s="26"/>
    </row>
    <row r="1009" spans="1:94" ht="15.75">
      <c r="A1009" s="48"/>
      <c r="B1009" s="150"/>
      <c r="C1009" s="17"/>
      <c r="D1009" s="18"/>
      <c r="E1009" s="17"/>
      <c r="F1009" s="17"/>
      <c r="G1009" s="17"/>
      <c r="H1009" s="78"/>
      <c r="I1009" s="74"/>
      <c r="J1009" s="16"/>
      <c r="K1009" s="16"/>
      <c r="L1009" s="20"/>
      <c r="M1009" s="16"/>
      <c r="N1009" s="342"/>
      <c r="O1009" s="342"/>
      <c r="P1009" s="342"/>
      <c r="Q1009" s="23"/>
      <c r="R1009" s="17"/>
      <c r="S1009" s="16"/>
      <c r="T1009" s="16"/>
      <c r="U1009" s="67"/>
      <c r="V1009" s="16"/>
      <c r="W1009" s="224"/>
      <c r="X1009" s="24"/>
      <c r="Y1009" s="24"/>
      <c r="Z1009" s="24"/>
      <c r="AA1009" s="17"/>
      <c r="AB1009" s="23"/>
      <c r="AC1009" s="23"/>
      <c r="AD1009" s="17"/>
      <c r="AE1009" s="17"/>
      <c r="AF1009" s="23"/>
      <c r="AG1009" s="23"/>
      <c r="AH1009" s="17"/>
      <c r="AI1009" s="65"/>
      <c r="AJ1009" s="25"/>
      <c r="AK1009" s="26"/>
      <c r="AL1009" s="26"/>
      <c r="AM1009" s="90"/>
      <c r="AN1009" s="105"/>
      <c r="AO1009" s="91"/>
      <c r="AP1009" s="26"/>
      <c r="AQ1009" s="26"/>
      <c r="AR1009" s="89"/>
      <c r="AS1009" s="27"/>
      <c r="AT1009" s="16"/>
      <c r="AU1009" s="27"/>
      <c r="AV1009" s="86"/>
      <c r="AW1009" s="27"/>
      <c r="AX1009" s="27"/>
      <c r="AY1009" s="27"/>
      <c r="AZ1009" s="27"/>
      <c r="BA1009" s="27"/>
      <c r="BB1009" s="27"/>
      <c r="BC1009" s="97"/>
      <c r="BD1009" s="27"/>
      <c r="BE1009" s="16"/>
      <c r="BF1009" s="28"/>
      <c r="BG1009" s="29"/>
      <c r="BH1009" s="27"/>
      <c r="BI1009" s="30"/>
      <c r="BJ1009" s="31"/>
      <c r="BK1009" s="27"/>
      <c r="BL1009" s="16"/>
      <c r="BM1009" s="27"/>
      <c r="BN1009" s="16"/>
      <c r="BO1009" s="27"/>
      <c r="BP1009" s="16"/>
      <c r="BQ1009" s="27"/>
      <c r="BR1009" s="24"/>
      <c r="BS1009" s="24"/>
      <c r="BT1009" s="32"/>
      <c r="BU1009" s="27"/>
      <c r="BV1009" s="24"/>
      <c r="BW1009" s="24"/>
      <c r="BX1009" s="16"/>
      <c r="BY1009" s="27"/>
      <c r="BZ1009" s="24"/>
      <c r="CA1009" s="24"/>
      <c r="CB1009" s="16"/>
      <c r="CC1009" s="49"/>
      <c r="CD1009" s="24"/>
      <c r="CE1009" s="49"/>
      <c r="CF1009" s="50"/>
      <c r="CG1009" s="49"/>
      <c r="CH1009" s="33"/>
      <c r="CI1009" s="33"/>
      <c r="CJ1009" s="36"/>
      <c r="CK1009" s="34"/>
      <c r="CL1009" s="21"/>
      <c r="CM1009" s="35"/>
      <c r="CN1009" s="82"/>
      <c r="CP1009" s="26"/>
    </row>
    <row r="1010" spans="1:94" ht="15.75">
      <c r="A1010" s="48"/>
      <c r="B1010" s="150"/>
      <c r="C1010" s="17"/>
      <c r="D1010" s="18"/>
      <c r="E1010" s="17"/>
      <c r="F1010" s="17"/>
      <c r="G1010" s="17"/>
      <c r="H1010" s="78"/>
      <c r="I1010" s="74"/>
      <c r="J1010" s="16"/>
      <c r="K1010" s="16"/>
      <c r="L1010" s="20"/>
      <c r="M1010" s="16"/>
      <c r="N1010" s="342"/>
      <c r="O1010" s="342"/>
      <c r="P1010" s="342"/>
      <c r="Q1010" s="23"/>
      <c r="R1010" s="17"/>
      <c r="S1010" s="16"/>
      <c r="T1010" s="16"/>
      <c r="U1010" s="67"/>
      <c r="V1010" s="16"/>
      <c r="W1010" s="224"/>
      <c r="X1010" s="24"/>
      <c r="Y1010" s="24"/>
      <c r="Z1010" s="24"/>
      <c r="AA1010" s="17"/>
      <c r="AB1010" s="23"/>
      <c r="AC1010" s="23"/>
      <c r="AD1010" s="17"/>
      <c r="AE1010" s="17"/>
      <c r="AF1010" s="23"/>
      <c r="AG1010" s="23"/>
      <c r="AH1010" s="17"/>
      <c r="AI1010" s="65"/>
      <c r="AJ1010" s="25"/>
      <c r="AK1010" s="26"/>
      <c r="AL1010" s="26"/>
      <c r="AM1010" s="90"/>
      <c r="AN1010" s="105"/>
      <c r="AO1010" s="91"/>
      <c r="AP1010" s="26"/>
      <c r="AQ1010" s="26"/>
      <c r="AR1010" s="89"/>
      <c r="AS1010" s="27"/>
      <c r="AT1010" s="16"/>
      <c r="AU1010" s="27"/>
      <c r="AV1010" s="86"/>
      <c r="AW1010" s="27"/>
      <c r="AX1010" s="27"/>
      <c r="AY1010" s="27"/>
      <c r="AZ1010" s="27"/>
      <c r="BA1010" s="27"/>
      <c r="BB1010" s="27"/>
      <c r="BC1010" s="97"/>
      <c r="BD1010" s="27"/>
      <c r="BE1010" s="16"/>
      <c r="BF1010" s="28"/>
      <c r="BG1010" s="29"/>
      <c r="BH1010" s="27"/>
      <c r="BI1010" s="30"/>
      <c r="BJ1010" s="31"/>
      <c r="BK1010" s="27"/>
      <c r="BL1010" s="16"/>
      <c r="BM1010" s="27"/>
      <c r="BN1010" s="16"/>
      <c r="BO1010" s="27"/>
      <c r="BP1010" s="16"/>
      <c r="BQ1010" s="27"/>
      <c r="BR1010" s="24"/>
      <c r="BS1010" s="24"/>
      <c r="BT1010" s="32"/>
      <c r="BU1010" s="27"/>
      <c r="BV1010" s="24"/>
      <c r="BW1010" s="24"/>
      <c r="BX1010" s="16"/>
      <c r="BY1010" s="27"/>
      <c r="BZ1010" s="24"/>
      <c r="CA1010" s="24"/>
      <c r="CB1010" s="16"/>
      <c r="CC1010" s="49"/>
      <c r="CD1010" s="24"/>
      <c r="CE1010" s="49"/>
      <c r="CF1010" s="50"/>
      <c r="CG1010" s="49"/>
      <c r="CH1010" s="33"/>
      <c r="CI1010" s="33"/>
      <c r="CJ1010" s="36"/>
      <c r="CK1010" s="34"/>
      <c r="CL1010" s="21"/>
      <c r="CM1010" s="35"/>
      <c r="CN1010" s="82"/>
      <c r="CP1010" s="26"/>
    </row>
    <row r="1011" spans="1:94" ht="15.75">
      <c r="A1011" s="48"/>
      <c r="B1011" s="150"/>
      <c r="C1011" s="17"/>
      <c r="D1011" s="18"/>
      <c r="E1011" s="17"/>
      <c r="F1011" s="17"/>
      <c r="G1011" s="17"/>
      <c r="H1011" s="78"/>
      <c r="I1011" s="74"/>
      <c r="J1011" s="16"/>
      <c r="K1011" s="16"/>
      <c r="L1011" s="20"/>
      <c r="M1011" s="16"/>
      <c r="N1011" s="342"/>
      <c r="O1011" s="342"/>
      <c r="P1011" s="342"/>
      <c r="Q1011" s="23"/>
      <c r="R1011" s="17"/>
      <c r="S1011" s="16"/>
      <c r="T1011" s="16"/>
      <c r="U1011" s="67"/>
      <c r="V1011" s="16"/>
      <c r="W1011" s="224"/>
      <c r="X1011" s="24"/>
      <c r="Y1011" s="24"/>
      <c r="Z1011" s="24"/>
      <c r="AA1011" s="17"/>
      <c r="AB1011" s="23"/>
      <c r="AC1011" s="23"/>
      <c r="AD1011" s="17"/>
      <c r="AE1011" s="17"/>
      <c r="AF1011" s="23"/>
      <c r="AG1011" s="23"/>
      <c r="AH1011" s="17"/>
      <c r="AI1011" s="65"/>
      <c r="AJ1011" s="25"/>
      <c r="AK1011" s="26"/>
      <c r="AL1011" s="26"/>
      <c r="AM1011" s="90"/>
      <c r="AN1011" s="105"/>
      <c r="AO1011" s="91"/>
      <c r="AP1011" s="26"/>
      <c r="AQ1011" s="26"/>
      <c r="AR1011" s="89"/>
      <c r="AS1011" s="27"/>
      <c r="AT1011" s="16"/>
      <c r="AU1011" s="27"/>
      <c r="AV1011" s="86"/>
      <c r="AW1011" s="27"/>
      <c r="AX1011" s="27"/>
      <c r="AY1011" s="27"/>
      <c r="AZ1011" s="27"/>
      <c r="BA1011" s="27"/>
      <c r="BB1011" s="27"/>
      <c r="BC1011" s="97"/>
      <c r="BD1011" s="27"/>
      <c r="BE1011" s="16"/>
      <c r="BF1011" s="28"/>
      <c r="BG1011" s="29"/>
      <c r="BH1011" s="27"/>
      <c r="BI1011" s="30"/>
      <c r="BJ1011" s="31"/>
      <c r="BK1011" s="27"/>
      <c r="BL1011" s="16"/>
      <c r="BM1011" s="27"/>
      <c r="BN1011" s="16"/>
      <c r="BO1011" s="27"/>
      <c r="BP1011" s="16"/>
      <c r="BQ1011" s="27"/>
      <c r="BR1011" s="24"/>
      <c r="BS1011" s="24"/>
      <c r="BT1011" s="32"/>
      <c r="BU1011" s="27"/>
      <c r="BV1011" s="24"/>
      <c r="BW1011" s="24"/>
      <c r="BX1011" s="16"/>
      <c r="BY1011" s="27"/>
      <c r="BZ1011" s="24"/>
      <c r="CA1011" s="24"/>
      <c r="CB1011" s="16"/>
      <c r="CC1011" s="49"/>
      <c r="CD1011" s="24"/>
      <c r="CE1011" s="49"/>
      <c r="CF1011" s="50"/>
      <c r="CG1011" s="49"/>
      <c r="CH1011" s="33"/>
      <c r="CI1011" s="33"/>
      <c r="CJ1011" s="36"/>
      <c r="CK1011" s="34"/>
      <c r="CL1011" s="21"/>
      <c r="CM1011" s="35"/>
      <c r="CN1011" s="82"/>
      <c r="CP1011" s="26"/>
    </row>
    <row r="1012" spans="1:94" ht="15.75">
      <c r="A1012" s="48"/>
      <c r="B1012" s="150"/>
      <c r="C1012" s="17"/>
      <c r="D1012" s="18"/>
      <c r="E1012" s="17"/>
      <c r="F1012" s="17"/>
      <c r="G1012" s="17"/>
      <c r="H1012" s="78"/>
      <c r="I1012" s="74"/>
      <c r="J1012" s="16"/>
      <c r="K1012" s="16"/>
      <c r="L1012" s="20"/>
      <c r="M1012" s="16"/>
      <c r="N1012" s="342"/>
      <c r="O1012" s="342"/>
      <c r="P1012" s="342"/>
      <c r="Q1012" s="23"/>
      <c r="R1012" s="17"/>
      <c r="S1012" s="16"/>
      <c r="T1012" s="16"/>
      <c r="U1012" s="67"/>
      <c r="V1012" s="16"/>
      <c r="W1012" s="224"/>
      <c r="X1012" s="24"/>
      <c r="Y1012" s="24"/>
      <c r="Z1012" s="24"/>
      <c r="AA1012" s="17"/>
      <c r="AB1012" s="23"/>
      <c r="AC1012" s="23"/>
      <c r="AD1012" s="17"/>
      <c r="AE1012" s="17"/>
      <c r="AF1012" s="23"/>
      <c r="AG1012" s="23"/>
      <c r="AH1012" s="17"/>
      <c r="AI1012" s="65"/>
      <c r="AJ1012" s="25"/>
      <c r="AK1012" s="26"/>
      <c r="AL1012" s="26"/>
      <c r="AM1012" s="90"/>
      <c r="AN1012" s="105"/>
      <c r="AO1012" s="91"/>
      <c r="AP1012" s="26"/>
      <c r="AQ1012" s="26"/>
      <c r="AR1012" s="89"/>
      <c r="AS1012" s="27"/>
      <c r="AT1012" s="16"/>
      <c r="AU1012" s="27"/>
      <c r="AV1012" s="86"/>
      <c r="AW1012" s="27"/>
      <c r="AX1012" s="27"/>
      <c r="AY1012" s="27"/>
      <c r="AZ1012" s="27"/>
      <c r="BA1012" s="27"/>
      <c r="BB1012" s="27"/>
      <c r="BC1012" s="97"/>
      <c r="BD1012" s="27"/>
      <c r="BE1012" s="16"/>
      <c r="BF1012" s="28"/>
      <c r="BG1012" s="29"/>
      <c r="BH1012" s="27"/>
      <c r="BI1012" s="30"/>
      <c r="BJ1012" s="31"/>
      <c r="BK1012" s="27"/>
      <c r="BL1012" s="16"/>
      <c r="BM1012" s="27"/>
      <c r="BN1012" s="16"/>
      <c r="BO1012" s="27"/>
      <c r="BP1012" s="16"/>
      <c r="BQ1012" s="27"/>
      <c r="BR1012" s="24"/>
      <c r="BS1012" s="24"/>
      <c r="BT1012" s="32"/>
      <c r="BU1012" s="27"/>
      <c r="BV1012" s="24"/>
      <c r="BW1012" s="24"/>
      <c r="BX1012" s="16"/>
      <c r="BY1012" s="27"/>
      <c r="BZ1012" s="24"/>
      <c r="CA1012" s="24"/>
      <c r="CB1012" s="16"/>
      <c r="CC1012" s="49"/>
      <c r="CD1012" s="24"/>
      <c r="CE1012" s="49"/>
      <c r="CF1012" s="50"/>
      <c r="CG1012" s="49"/>
      <c r="CH1012" s="33"/>
      <c r="CI1012" s="33"/>
      <c r="CJ1012" s="36"/>
      <c r="CK1012" s="34"/>
      <c r="CL1012" s="21"/>
      <c r="CM1012" s="35"/>
      <c r="CN1012" s="82"/>
      <c r="CP1012" s="26"/>
    </row>
    <row r="1013" spans="1:94" ht="15.75">
      <c r="A1013" s="48"/>
      <c r="B1013" s="150"/>
      <c r="C1013" s="17"/>
      <c r="D1013" s="18"/>
      <c r="E1013" s="17"/>
      <c r="F1013" s="17"/>
      <c r="G1013" s="17"/>
      <c r="H1013" s="78"/>
      <c r="I1013" s="74"/>
      <c r="J1013" s="16"/>
      <c r="K1013" s="16"/>
      <c r="L1013" s="20"/>
      <c r="M1013" s="16"/>
      <c r="N1013" s="342"/>
      <c r="O1013" s="342"/>
      <c r="P1013" s="342"/>
      <c r="Q1013" s="23"/>
      <c r="R1013" s="17"/>
      <c r="S1013" s="16"/>
      <c r="T1013" s="16"/>
      <c r="U1013" s="67"/>
      <c r="V1013" s="16"/>
      <c r="W1013" s="224"/>
      <c r="X1013" s="24"/>
      <c r="Y1013" s="24"/>
      <c r="Z1013" s="24"/>
      <c r="AA1013" s="17"/>
      <c r="AB1013" s="23"/>
      <c r="AC1013" s="23"/>
      <c r="AD1013" s="17"/>
      <c r="AE1013" s="17"/>
      <c r="AF1013" s="23"/>
      <c r="AG1013" s="23"/>
      <c r="AH1013" s="17"/>
      <c r="AI1013" s="65"/>
      <c r="AJ1013" s="25"/>
      <c r="AK1013" s="26"/>
      <c r="AL1013" s="26"/>
      <c r="AM1013" s="90"/>
      <c r="AN1013" s="105"/>
      <c r="AO1013" s="91"/>
      <c r="AP1013" s="26"/>
      <c r="AQ1013" s="26"/>
      <c r="AR1013" s="89"/>
      <c r="AS1013" s="27"/>
      <c r="AT1013" s="16"/>
      <c r="AU1013" s="27"/>
      <c r="AV1013" s="86"/>
      <c r="AW1013" s="27"/>
      <c r="AX1013" s="27"/>
      <c r="AY1013" s="27"/>
      <c r="AZ1013" s="27"/>
      <c r="BA1013" s="27"/>
      <c r="BB1013" s="27"/>
      <c r="BC1013" s="97"/>
      <c r="BD1013" s="27"/>
      <c r="BE1013" s="16"/>
      <c r="BF1013" s="28"/>
      <c r="BG1013" s="29"/>
      <c r="BH1013" s="27"/>
      <c r="BI1013" s="30"/>
      <c r="BJ1013" s="31"/>
      <c r="BK1013" s="27"/>
      <c r="BL1013" s="16"/>
      <c r="BM1013" s="27"/>
      <c r="BN1013" s="16"/>
      <c r="BO1013" s="27"/>
      <c r="BP1013" s="16"/>
      <c r="BQ1013" s="27"/>
      <c r="BR1013" s="24"/>
      <c r="BS1013" s="24"/>
      <c r="BT1013" s="32"/>
      <c r="BU1013" s="27"/>
      <c r="BV1013" s="24"/>
      <c r="BW1013" s="24"/>
      <c r="BX1013" s="16"/>
      <c r="BY1013" s="27"/>
      <c r="BZ1013" s="24"/>
      <c r="CA1013" s="24"/>
      <c r="CB1013" s="16"/>
      <c r="CC1013" s="49"/>
      <c r="CD1013" s="24"/>
      <c r="CE1013" s="49"/>
      <c r="CF1013" s="50"/>
      <c r="CG1013" s="49"/>
      <c r="CH1013" s="33"/>
      <c r="CI1013" s="33"/>
      <c r="CJ1013" s="36"/>
      <c r="CK1013" s="34"/>
      <c r="CL1013" s="21"/>
      <c r="CM1013" s="35"/>
      <c r="CN1013" s="82"/>
      <c r="CP1013" s="26"/>
    </row>
    <row r="1014" spans="1:94" ht="15.75">
      <c r="A1014" s="48"/>
      <c r="B1014" s="150"/>
      <c r="C1014" s="17"/>
      <c r="D1014" s="18"/>
      <c r="E1014" s="17"/>
      <c r="F1014" s="17"/>
      <c r="G1014" s="17"/>
      <c r="H1014" s="78"/>
      <c r="I1014" s="74"/>
      <c r="J1014" s="16"/>
      <c r="K1014" s="16"/>
      <c r="L1014" s="20"/>
      <c r="M1014" s="16"/>
      <c r="N1014" s="342"/>
      <c r="O1014" s="342"/>
      <c r="P1014" s="342"/>
      <c r="Q1014" s="23"/>
      <c r="R1014" s="17"/>
      <c r="S1014" s="16"/>
      <c r="T1014" s="16"/>
      <c r="U1014" s="67"/>
      <c r="V1014" s="16"/>
      <c r="W1014" s="224"/>
      <c r="X1014" s="24"/>
      <c r="Y1014" s="24"/>
      <c r="Z1014" s="24"/>
      <c r="AA1014" s="17"/>
      <c r="AB1014" s="23"/>
      <c r="AC1014" s="23"/>
      <c r="AD1014" s="17"/>
      <c r="AE1014" s="17"/>
      <c r="AF1014" s="23"/>
      <c r="AG1014" s="23"/>
      <c r="AH1014" s="17"/>
      <c r="AI1014" s="65"/>
      <c r="AJ1014" s="25"/>
      <c r="AK1014" s="26"/>
      <c r="AL1014" s="26"/>
      <c r="AM1014" s="90"/>
      <c r="AN1014" s="105"/>
      <c r="AO1014" s="91"/>
      <c r="AP1014" s="26"/>
      <c r="AQ1014" s="26"/>
      <c r="AR1014" s="89"/>
      <c r="AS1014" s="27"/>
      <c r="AT1014" s="16"/>
      <c r="AU1014" s="27"/>
      <c r="AV1014" s="86"/>
      <c r="AW1014" s="27"/>
      <c r="AX1014" s="27"/>
      <c r="AY1014" s="27"/>
      <c r="AZ1014" s="27"/>
      <c r="BA1014" s="27"/>
      <c r="BB1014" s="27"/>
      <c r="BC1014" s="97"/>
      <c r="BD1014" s="27"/>
      <c r="BE1014" s="16"/>
      <c r="BF1014" s="28"/>
      <c r="BG1014" s="29"/>
      <c r="BH1014" s="27"/>
      <c r="BI1014" s="30"/>
      <c r="BJ1014" s="31"/>
      <c r="BK1014" s="27"/>
      <c r="BL1014" s="16"/>
      <c r="BM1014" s="27"/>
      <c r="BN1014" s="16"/>
      <c r="BO1014" s="27"/>
      <c r="BP1014" s="16"/>
      <c r="BQ1014" s="27"/>
      <c r="BR1014" s="24"/>
      <c r="BS1014" s="24"/>
      <c r="BT1014" s="32"/>
      <c r="BU1014" s="27"/>
      <c r="BV1014" s="24"/>
      <c r="BW1014" s="24"/>
      <c r="BX1014" s="16"/>
      <c r="BY1014" s="27"/>
      <c r="BZ1014" s="24"/>
      <c r="CA1014" s="24"/>
      <c r="CB1014" s="16"/>
      <c r="CC1014" s="49"/>
      <c r="CD1014" s="24"/>
      <c r="CE1014" s="49"/>
      <c r="CF1014" s="50"/>
      <c r="CG1014" s="49"/>
      <c r="CH1014" s="33"/>
      <c r="CI1014" s="33"/>
      <c r="CJ1014" s="36"/>
      <c r="CK1014" s="34"/>
      <c r="CL1014" s="21"/>
      <c r="CM1014" s="35"/>
      <c r="CN1014" s="82"/>
      <c r="CP1014" s="26"/>
    </row>
    <row r="1016" spans="1:94">
      <c r="P1016" s="344"/>
    </row>
    <row r="1019" spans="1:94">
      <c r="BH1019" s="344"/>
      <c r="BI1019" s="344"/>
    </row>
  </sheetData>
  <autoFilter ref="A1:CR1002" xr:uid="{44371F0F-5D30-4D87-A0B7-3D5DFCAA59E3}"/>
  <phoneticPr fontId="18" type="noConversion"/>
  <conditionalFormatting sqref="H1:H1048576">
    <cfRule type="duplicateValues" dxfId="11" priority="12"/>
  </conditionalFormatting>
  <conditionalFormatting sqref="K906:K907">
    <cfRule type="duplicateValues" dxfId="10" priority="10"/>
  </conditionalFormatting>
  <conditionalFormatting sqref="K909 K915:K916">
    <cfRule type="duplicateValues" dxfId="9" priority="51"/>
  </conditionalFormatting>
  <conditionalFormatting sqref="K911">
    <cfRule type="duplicateValues" dxfId="8" priority="8"/>
  </conditionalFormatting>
  <conditionalFormatting sqref="AT17">
    <cfRule type="duplicateValues" dxfId="7" priority="11"/>
  </conditionalFormatting>
  <conditionalFormatting sqref="CS883:CS884 CS778 CS960:CS979 CS473 CS488 CS515 CS535 CS539 CS542 CS546:CS547 CS582:CS583 CS700 CS242 CS224 CS207:CS208 CS171 A1:A1048576">
    <cfRule type="duplicateValues" dxfId="6" priority="32"/>
  </conditionalFormatting>
  <conditionalFormatting sqref="CT778 CT960:CT979 CT473 CT488 CT515 CT535 CT539 CT542 CT546:CT547 CT582:CT583 CT700 CT242 CT224 CT207:CT208 CT171 B2:B1014">
    <cfRule type="duplicateValues" dxfId="5" priority="47"/>
  </conditionalFormatting>
  <conditionalFormatting sqref="XDI542">
    <cfRule type="duplicateValues" dxfId="4" priority="15"/>
  </conditionalFormatting>
  <conditionalFormatting sqref="XDJ542">
    <cfRule type="duplicateValues" dxfId="3" priority="16"/>
  </conditionalFormatting>
  <dataValidations count="5">
    <dataValidation type="list" allowBlank="1" showInputMessage="1" showErrorMessage="1" sqref="Z282 AD30:AD406 AD408:AD490 AD492:AD573 AD575:AD595 AD597:AD661 AD817 AD820:AD826 AD828 AD663:AD806 AD815 AD830:AD1002" xr:uid="{7C7AE5AA-16EC-4657-976C-7EA1A66C810B}">
      <formula1>AREA_SOLICITANTE</formula1>
    </dataValidation>
    <dataValidation type="date" allowBlank="1" showInputMessage="1" showErrorMessage="1" errorTitle="FECHA" error="SOLO SE PERMITE FECHA" sqref="O207:O211 N207:N224 O502:P502 O416:O435 N153 N242:O242 O222:O224 N342:O342 N358:O358 N367:O367 O492:O501 N405:O407 P141:P152 P514 P161 P215 P229 P236:P237 P240:P241 P276 P313 P323:P326 P373 P396 P408 P410 P435 P441 P492:P493 O374 O487:O490 N374:N375 N413:N490 O437:P438 O440:O468 O472:O484 O326:O327 O413:O414 N321:N327 O321:O322 P1:P139 P708:P709 O503:O795 N492:N795 N795:O1002" xr:uid="{55B1A34A-15A5-4A44-A810-2F018C42F255}">
      <formula1>1</formula1>
      <formula2>402103</formula2>
    </dataValidation>
    <dataValidation allowBlank="1" showInputMessage="1" showErrorMessage="1" sqref="AS432 AS411 AU551:AU558 AU189:AU194 AR368:AR412 AU238:AU248 AR413:AT431 AU18:AU116 AR433:AU444 AR446:AR471 AR492:AR552 AU534:AU549 AS492:AU533 AR554:AR567 AR569:AR573 AR575:AR584 AS534:AT584 AU560:AU584 AR473:AR490 AR586:AR632 AD662:AE662 AW1:BA659 AD407:AE407 AD574:AE574 AD596:AE596 AV19:AV125 AR19:AR339 AS356:AT410 AU356:AU431 AU127:AU129 AV586:AV659 AS586:AU602 AU134:AU187 AU711:AU762 AS134:AT236 AT486:AT490 AV127:AV339 AS283:AS339 AS131:AU132 AS764:AU795 AR635:AR795 AS630:AS691 AS604:AS628 AT604:AT691 AU604:AU628 AU630:AU691 AR341:AR366 AU250:AU339 AS341:AU354 AU872:AU1048576 AS471:AS473 AV485:AV584 AT238:AT339 AS238:AS281 AT446:AU473 AS446:AS469 AV341:AV483 AU125 AU118:AU123 AR2:AR17 AS18:AT129 AV2:AV17 AS2:AU16 AS475:AS490 AU475:AU490 AT475:AT484 AS693:AT762 AU693:AU709 AU196:AU197 AR795:AT1048576 AV660:BA1048576 AU795:AU870 AU199:AU205 AU207:AU236 AQ1:AV1 F1:G1" xr:uid="{EB2C2AFE-DA0B-4EF7-B6E1-5C89D4B10FC0}"/>
    <dataValidation type="list" allowBlank="1" showInputMessage="1" showErrorMessage="1" sqref="AA1:AA490 AD816 AD818:AD819 AD829 AD827 AD795 AD807:AD814 AD1:AD29 AA492:AA1002" xr:uid="{6EE79392-466A-4157-BF82-A94FE670DD2F}">
      <formula1>AREA_ORDENADORA</formula1>
    </dataValidation>
    <dataValidation type="list" allowBlank="1" showInputMessage="1" showErrorMessage="1" sqref="AE408:AE490 AE597:AE661 AE575:AE595 AE492:AE573 AE2:AE406 AE663:AE1003" xr:uid="{709C0BE4-FD69-4B24-8FB0-C781E3ECB6FE}">
      <formula1>INDIRECT(AD2)</formula1>
    </dataValidation>
  </dataValidations>
  <pageMargins left="0.7" right="0.7" top="0.75" bottom="0.75" header="0.3" footer="0.3"/>
  <pageSetup orientation="portrait" verticalDpi="300" r:id="rId1"/>
  <extLst>
    <ext xmlns:x14="http://schemas.microsoft.com/office/spreadsheetml/2009/9/main" uri="{CCE6A557-97BC-4b89-ADB6-D9C93CAAB3DF}">
      <x14:dataValidations xmlns:xm="http://schemas.microsoft.com/office/excel/2006/main" count="11">
        <x14:dataValidation type="list" allowBlank="1" showInputMessage="1" showErrorMessage="1" xr:uid="{9DADEDB0-A14F-4FC6-B783-0A4BB968F056}">
          <x14:formula1>
            <xm:f>Listas!$AS$2:$AS$4</xm:f>
          </x14:formula1>
          <xm:sqref>AK153:AL153 AM1:AM490 AJ1:AJ1002 AM492:AM1002</xm:sqref>
        </x14:dataValidation>
        <x14:dataValidation type="list" allowBlank="1" showInputMessage="1" showErrorMessage="1" xr:uid="{72519C5D-72A2-438C-A83A-01C9D61E7F0F}">
          <x14:formula1>
            <xm:f>Listas!$AT$2:$AT$5</xm:f>
          </x14:formula1>
          <xm:sqref>AK1:AL152 AK154:AL490 AK492:AL1002</xm:sqref>
        </x14:dataValidation>
        <x14:dataValidation type="list" allowBlank="1" showInputMessage="1" showErrorMessage="1" xr:uid="{AF35D7D5-F04A-44C1-88A1-88C7C2D7562F}">
          <x14:formula1>
            <xm:f>Listas!$BD$2:$BD$3</xm:f>
          </x14:formula1>
          <xm:sqref>CP1:CP152 AT445 AS585:AT585 CP154:CP232 CP234:CP283 CP285:CP326 CP328:CP341 CP343:CP357 CP360:CP366 CP368:CP373 CP375:CP404 CP408:CP488 CP490:CP501 CP503:CP516 CP519:CP552 CP556:CP559 CP561:CP567 CP569:CP573 CP575:CP584 CP586:CP593 CP597:CP598 CP601:CP605 CP607:CP612 CP614 CP618:CP632 CP635:CP653 CP656:CP657 CP659 CP661 CP663:CP664 CP668:CP679 CP681:CP684 CP686 CP688 CP690:CP696 CP698 CP705:CP706 CP710:CP711 CP715 CP718 CP720:CP723 CP725 CP727:CP728 CP730 CP734 CP738:CP739 CP742 CP745:CP746 CP749 CP751:CP755 CP757:CP758 CP762:CP765 CP773 CP777:CP781 CP783:CP784 CP790:CP791 CP793:CP794 CP796:CP803 CP805 CP807:CP810 CP816:CP817 CP821 CP823:CP824 CP826:CP827 CP829 CP832 CP834:CP835 CP838:CP859 CP861:CP865 CP867:CP899 CP901 CP904:CP1002</xm:sqref>
        </x14:dataValidation>
        <x14:dataValidation type="list" allowBlank="1" showInputMessage="1" showErrorMessage="1" xr:uid="{942BC1AE-E401-4FA9-ACBD-2CDCD78003D5}">
          <x14:formula1>
            <xm:f>Listas!$AH$2:$AH$7</xm:f>
          </x14:formula1>
          <xm:sqref>C1:C490 C492:C1002</xm:sqref>
        </x14:dataValidation>
        <x14:dataValidation type="list" allowBlank="1" showInputMessage="1" showErrorMessage="1" xr:uid="{EB023690-6D9A-4535-8D2C-5273680EB631}">
          <x14:formula1>
            <xm:f>Listas!$BB$2:$BB$3</xm:f>
          </x14:formula1>
          <xm:sqref>AP1:AP490 AP492:AP1002</xm:sqref>
        </x14:dataValidation>
        <x14:dataValidation type="list" allowBlank="1" showInputMessage="1" showErrorMessage="1" xr:uid="{6B7928F9-8FAE-4BF4-AEAB-14B93CBE4B63}">
          <x14:formula1>
            <xm:f>Listas!$AK$2:$AK$4</xm:f>
          </x14:formula1>
          <xm:sqref>F492:F1002 F2:F490</xm:sqref>
        </x14:dataValidation>
        <x14:dataValidation type="list" allowBlank="1" showInputMessage="1" showErrorMessage="1" xr:uid="{3EEF1CD7-F9C5-4C7E-8AE7-2066D930D195}">
          <x14:formula1>
            <xm:f>Listas!$AL$2:$AL$5</xm:f>
          </x14:formula1>
          <xm:sqref>G492:G1002 G2:G490</xm:sqref>
        </x14:dataValidation>
        <x14:dataValidation type="list" allowBlank="1" showInputMessage="1" showErrorMessage="1" xr:uid="{A663C6DF-2DFC-4170-8DF4-E4C87B5EE11A}">
          <x14:formula1>
            <xm:f>Listas!$AJ$2:$AJ$19</xm:f>
          </x14:formula1>
          <xm:sqref>E1:E490 E492:E1002</xm:sqref>
        </x14:dataValidation>
        <x14:dataValidation type="list" allowBlank="1" showInputMessage="1" showErrorMessage="1" xr:uid="{86AA2AC1-8258-4D18-9D76-C3981F6DCED4}">
          <x14:formula1>
            <xm:f>Listas!$AP$2:$AP$8</xm:f>
          </x14:formula1>
          <xm:sqref>AH1:AH490 AH492:AH1048576</xm:sqref>
        </x14:dataValidation>
        <x14:dataValidation type="list" allowBlank="1" showInputMessage="1" showErrorMessage="1" xr:uid="{78625D75-4065-4A3C-BBE9-7A93B698268E}">
          <x14:formula1>
            <xm:f>Listas!$AN$2:$AN$5</xm:f>
          </x14:formula1>
          <xm:sqref>R1:R490 R492:R1002</xm:sqref>
        </x14:dataValidation>
        <x14:dataValidation type="list" allowBlank="1" showInputMessage="1" showErrorMessage="1" xr:uid="{8D41C51A-686A-4814-8E98-4A6C3E927C0D}">
          <x14:formula1>
            <xm:f>Listas!$AU$2:$AU$24</xm:f>
          </x14:formula1>
          <xm:sqref>AQ2:AQ1002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2A43-A88E-4CED-85F6-93862ECB89AB}">
  <dimension ref="A1:AG1000"/>
  <sheetViews>
    <sheetView workbookViewId="0">
      <pane xSplit="1" ySplit="1" topLeftCell="D957" activePane="bottomRight" state="frozen"/>
      <selection pane="bottomRight" activeCell="D962" sqref="D962"/>
      <selection pane="bottomLeft" activeCell="A2" sqref="A2"/>
      <selection pane="topRight" activeCell="B1" sqref="B1"/>
    </sheetView>
  </sheetViews>
  <sheetFormatPr defaultColWidth="11.42578125" defaultRowHeight="15"/>
  <cols>
    <col min="1" max="1" width="11.28515625" customWidth="1"/>
    <col min="2" max="2" width="11" customWidth="1"/>
    <col min="4" max="4" width="42.42578125" customWidth="1"/>
    <col min="5" max="5" width="54.42578125" customWidth="1"/>
    <col min="6" max="6" width="44.7109375" style="94" customWidth="1"/>
  </cols>
  <sheetData>
    <row r="1" spans="1:6" ht="22.5" customHeight="1">
      <c r="A1" s="2" t="s">
        <v>7629</v>
      </c>
      <c r="B1" s="3"/>
      <c r="C1" s="3"/>
      <c r="D1" s="3" t="s">
        <v>7630</v>
      </c>
      <c r="E1" s="95" t="s">
        <v>7631</v>
      </c>
      <c r="F1" s="92" t="s">
        <v>7632</v>
      </c>
    </row>
    <row r="2" spans="1:6" ht="22.5" customHeight="1">
      <c r="A2" s="53" t="s">
        <v>7633</v>
      </c>
      <c r="B2" s="51" t="s">
        <v>7634</v>
      </c>
      <c r="C2" s="53">
        <v>2024</v>
      </c>
      <c r="D2" s="52" t="str">
        <f t="shared" ref="D2:D65" si="0">CONCATENATE(A2,"-",B2,"-",C2)</f>
        <v>CD-001-2024</v>
      </c>
      <c r="E2" s="20" t="s">
        <v>110</v>
      </c>
      <c r="F2" s="93" t="str">
        <f>UPPER(E2)</f>
        <v xml:space="preserve">13.38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3" spans="1:6" ht="22.5" customHeight="1">
      <c r="A3" s="53" t="s">
        <v>7633</v>
      </c>
      <c r="B3" s="51" t="s">
        <v>7635</v>
      </c>
      <c r="C3" s="53">
        <v>2024</v>
      </c>
      <c r="D3" s="52" t="str">
        <f t="shared" si="0"/>
        <v>CD-002-2024</v>
      </c>
      <c r="E3" s="20" t="s">
        <v>128</v>
      </c>
      <c r="F3" s="93" t="str">
        <f t="shared" ref="F3:F59" si="1">UPPER(E3)</f>
        <v xml:space="preserve">13.25 PRESTACIÓN DE SERVICIOS PROFESIONALES EN DERECHO PARA BRINDAR ASESORÍA JURÍDICA EN LAS DIFERENTES ETAPAS DE LA ACTIVIDAD CONTRACTUAL DE ACUERDO CON LAS POLÍTICAS DE CELEBRACIÓN Y EJECUCIÓN  DE CONTRATOS EN EL MARCO DEL "PROYECTO DE FORTALECIMIENTO ORGANIZACIONAL" DEL ICETEX.
</v>
      </c>
    </row>
    <row r="4" spans="1:6" ht="22.5" customHeight="1">
      <c r="A4" s="53" t="s">
        <v>7633</v>
      </c>
      <c r="B4" s="51" t="s">
        <v>7636</v>
      </c>
      <c r="C4" s="53">
        <v>2024</v>
      </c>
      <c r="D4" s="52" t="str">
        <f t="shared" si="0"/>
        <v>CD-003-2024</v>
      </c>
      <c r="E4" s="20" t="s">
        <v>134</v>
      </c>
      <c r="F4" s="93" t="str">
        <f t="shared" si="1"/>
        <v>13.24 PRESTACIÓN DE SERVICIOS PROFESIONALES EN DERECHO PARA BRINDAR ASESORÍA JURÍDICA EN LAS DIFERENTES ETAPAS DE LA ACTIVIDAD CONTRACTUAL DE ACUERDO CON LAS POLÍTICAS DE CELEBRACIÓN Y EJECUCIÓN  DE CONTRATOS EN EL MARCO DEL "PROYECTO DE FORTALECIMIENTO ORGANIZACIONAL" DEL ICETEX.</v>
      </c>
    </row>
    <row r="5" spans="1:6" ht="22.5" customHeight="1">
      <c r="A5" s="53" t="s">
        <v>7633</v>
      </c>
      <c r="B5" s="51" t="s">
        <v>7637</v>
      </c>
      <c r="C5" s="53">
        <v>2024</v>
      </c>
      <c r="D5" s="52" t="str">
        <f t="shared" si="0"/>
        <v>CD-004-2024</v>
      </c>
      <c r="E5" s="20" t="s">
        <v>140</v>
      </c>
      <c r="F5" s="93" t="str">
        <f t="shared" si="1"/>
        <v>13.43 PRESTACIÓN DE SERVICIOS PROFESIONALES PARA APOYAR EL IMPULSO DE LOS PROCESOS, PROCEDIMIENTOS Y TRÁMITE EN LA GESTIÓN DE LA POLÍTICA DE COMPRAS PÚBLICAS Y DE CONTRATACIÓN EN EL MARCO DEL PROYECTO DE "FORTALECIMIENTO ORGANIZACIONAL" DEL ICETEX</v>
      </c>
    </row>
    <row r="6" spans="1:6" ht="22.5" customHeight="1">
      <c r="A6" s="53" t="s">
        <v>7633</v>
      </c>
      <c r="B6" s="51" t="s">
        <v>7638</v>
      </c>
      <c r="C6" s="53">
        <v>2024</v>
      </c>
      <c r="D6" s="52" t="str">
        <f t="shared" si="0"/>
        <v>CD-005-2024</v>
      </c>
      <c r="E6" s="20" t="s">
        <v>147</v>
      </c>
      <c r="F6" s="93" t="str">
        <f t="shared" si="1"/>
        <v xml:space="preserve">13.33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7" spans="1:6" ht="22.5" customHeight="1">
      <c r="A7" s="53" t="s">
        <v>7633</v>
      </c>
      <c r="B7" s="51" t="s">
        <v>7639</v>
      </c>
      <c r="C7" s="53">
        <v>2024</v>
      </c>
      <c r="D7" s="52" t="str">
        <f t="shared" si="0"/>
        <v>CD-006-2024</v>
      </c>
      <c r="E7" s="20" t="s">
        <v>153</v>
      </c>
      <c r="F7" s="93" t="str">
        <f t="shared" si="1"/>
        <v xml:space="preserve">13.28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8" spans="1:6" ht="22.5" customHeight="1">
      <c r="A8" s="53" t="s">
        <v>7633</v>
      </c>
      <c r="B8" s="51" t="s">
        <v>7640</v>
      </c>
      <c r="C8" s="53">
        <v>2024</v>
      </c>
      <c r="D8" s="52" t="str">
        <f t="shared" si="0"/>
        <v>CD-007-2024</v>
      </c>
      <c r="E8" s="20" t="s">
        <v>159</v>
      </c>
      <c r="F8" s="93" t="str">
        <f t="shared" si="1"/>
        <v xml:space="preserve">13.27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9" spans="1:6" ht="22.5" customHeight="1">
      <c r="A9" s="53" t="s">
        <v>7633</v>
      </c>
      <c r="B9" s="51" t="s">
        <v>7641</v>
      </c>
      <c r="C9" s="53">
        <v>2024</v>
      </c>
      <c r="D9" s="52" t="str">
        <f t="shared" si="0"/>
        <v>CD-008-2024</v>
      </c>
      <c r="E9" s="20" t="s">
        <v>165</v>
      </c>
      <c r="F9" s="93" t="str">
        <f t="shared" si="1"/>
        <v xml:space="preserve">13.29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0" spans="1:6" ht="22.5" customHeight="1">
      <c r="A10" s="53" t="s">
        <v>7633</v>
      </c>
      <c r="B10" s="51" t="s">
        <v>7642</v>
      </c>
      <c r="C10" s="53">
        <v>2024</v>
      </c>
      <c r="D10" s="52" t="str">
        <f t="shared" si="0"/>
        <v>CD-009-2024</v>
      </c>
      <c r="E10" s="20" t="s">
        <v>171</v>
      </c>
      <c r="F10" s="93" t="str">
        <f t="shared" si="1"/>
        <v xml:space="preserve">13.30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1" spans="1:6" ht="22.5" customHeight="1">
      <c r="A11" s="53" t="s">
        <v>7633</v>
      </c>
      <c r="B11" s="51" t="s">
        <v>7643</v>
      </c>
      <c r="C11" s="53">
        <v>2024</v>
      </c>
      <c r="D11" s="52" t="str">
        <f t="shared" si="0"/>
        <v>CD-010-2024</v>
      </c>
      <c r="E11" s="20" t="s">
        <v>177</v>
      </c>
      <c r="F11" s="93" t="str">
        <f t="shared" si="1"/>
        <v xml:space="preserve">13.34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2" spans="1:6" ht="22.5" customHeight="1">
      <c r="A12" s="53" t="s">
        <v>7633</v>
      </c>
      <c r="B12" s="51" t="s">
        <v>7644</v>
      </c>
      <c r="C12" s="53">
        <v>2024</v>
      </c>
      <c r="D12" s="52" t="str">
        <f t="shared" si="0"/>
        <v>CD-011-2024</v>
      </c>
      <c r="E12" s="20" t="s">
        <v>183</v>
      </c>
      <c r="F12" s="93" t="str">
        <f t="shared" si="1"/>
        <v xml:space="preserve">13.35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3" spans="1:6" ht="22.5" customHeight="1">
      <c r="A13" s="53" t="s">
        <v>7633</v>
      </c>
      <c r="B13" s="51" t="s">
        <v>7645</v>
      </c>
      <c r="C13" s="53">
        <v>2024</v>
      </c>
      <c r="D13" s="52" t="str">
        <f t="shared" si="0"/>
        <v>CD-012-2024</v>
      </c>
      <c r="E13" s="20" t="s">
        <v>189</v>
      </c>
      <c r="F13" s="93" t="str">
        <f t="shared" si="1"/>
        <v xml:space="preserve">13.36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4" spans="1:6" ht="22.5" customHeight="1">
      <c r="A14" s="53" t="s">
        <v>7633</v>
      </c>
      <c r="B14" s="51" t="s">
        <v>7646</v>
      </c>
      <c r="C14" s="53">
        <v>2024</v>
      </c>
      <c r="D14" s="52" t="str">
        <f t="shared" si="0"/>
        <v>CD-013-2024</v>
      </c>
      <c r="E14" s="20" t="s">
        <v>195</v>
      </c>
      <c r="F14" s="93" t="str">
        <f t="shared" si="1"/>
        <v xml:space="preserve">13.32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5" spans="1:6" ht="22.5" customHeight="1">
      <c r="A15" s="53" t="s">
        <v>7633</v>
      </c>
      <c r="B15" s="51" t="s">
        <v>7647</v>
      </c>
      <c r="C15" s="53">
        <v>2024</v>
      </c>
      <c r="D15" s="52" t="str">
        <f t="shared" si="0"/>
        <v>CD-014-2024</v>
      </c>
      <c r="E15" s="20" t="s">
        <v>201</v>
      </c>
      <c r="F15" s="93" t="str">
        <f t="shared" si="1"/>
        <v xml:space="preserve">13.31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6" spans="1:6" ht="22.5" customHeight="1">
      <c r="A16" s="53" t="s">
        <v>7633</v>
      </c>
      <c r="B16" s="51" t="s">
        <v>7648</v>
      </c>
      <c r="C16" s="53">
        <v>2024</v>
      </c>
      <c r="D16" s="52" t="str">
        <f t="shared" si="0"/>
        <v>CD-015-2024</v>
      </c>
      <c r="E16" s="20" t="s">
        <v>207</v>
      </c>
      <c r="F16" s="93" t="str">
        <f t="shared" si="1"/>
        <v xml:space="preserve">13.26 PRESTACIÓN DE SERVICIOS PROFESIONALES COMO ABOGADO PARA APOYAR EL DESARROLLO Y SEGUIMIENTO  DE LA ACTIVIDAD CONTRACTUAL EN EL MARCO DEL PROYECTO DE FORTALECIMIENTO ORGANIZACIONAL Y LA IMPLEMENTACIÓN DE LA POLÍTICA DE COMPRAS PÚBLICAS Y DE CONTRATACIÓN DEL ICETEX
</v>
      </c>
    </row>
    <row r="17" spans="1:6" ht="22.5" customHeight="1">
      <c r="A17" s="53" t="s">
        <v>7633</v>
      </c>
      <c r="B17" s="51" t="s">
        <v>7649</v>
      </c>
      <c r="C17" s="53">
        <v>2024</v>
      </c>
      <c r="D17" s="52" t="str">
        <f t="shared" si="0"/>
        <v>CD-016-2024</v>
      </c>
      <c r="E17" s="20" t="s">
        <v>213</v>
      </c>
      <c r="F17" s="93" t="str">
        <f t="shared" si="1"/>
        <v>PRESTAR LOS SERVICIOS PROFESIONALES ESPECIALIZADOS EN LA MEJORA DE LOS PROCESOS PRESUPUESTALES
ENFOCADOS EN LA PLANEACIÓN, DISEÑO Y DESARROLLO DE MECANISMOS QUE PERMITAN LA INTEGRACIÓN Y EL ANÁLISIS DE INFORMACIÓN PRESUPUESTAL EN EL MARCO DEL PROYECTO DE INVERSIÓN DE BANCA ABIERTA Y TRANSPARENTE E INHOUSE BANKING.</v>
      </c>
    </row>
    <row r="18" spans="1:6" ht="22.5" customHeight="1">
      <c r="A18" s="53" t="s">
        <v>7633</v>
      </c>
      <c r="B18" s="51" t="s">
        <v>7650</v>
      </c>
      <c r="C18" s="53">
        <v>2024</v>
      </c>
      <c r="D18" s="52" t="str">
        <f t="shared" si="0"/>
        <v>CD-017-2024</v>
      </c>
      <c r="E18" s="20" t="s">
        <v>226</v>
      </c>
      <c r="F18" s="93" t="str">
        <f t="shared" si="1"/>
        <v>PRESTAR LOS SERVICIOS PROFESIONALES EN LA ESTRUCTURACIÓN DE INICIATIVAS PARA LA OPTIMIZACIÓN DE MECANISMOS DE ADMINISTRACIÓN DE LOS SISTEMAS DE GESTIÓN PRESUPUESTAL Y SUS BASES DE DATOS EN EL MARCO DEL PROYECTO DE INVERSIÓN DE BANCA ABIERTA Y TRANSPARENTE E INHOUSE BANKING.</v>
      </c>
    </row>
    <row r="19" spans="1:6" ht="22.5" customHeight="1">
      <c r="A19" s="53" t="s">
        <v>7633</v>
      </c>
      <c r="B19" s="51" t="s">
        <v>7651</v>
      </c>
      <c r="C19" s="53">
        <v>2024</v>
      </c>
      <c r="D19" s="52" t="str">
        <f t="shared" si="0"/>
        <v>CD-018-2024</v>
      </c>
      <c r="E19" s="20" t="s">
        <v>234</v>
      </c>
      <c r="F19" s="93" t="str">
        <f t="shared" si="1"/>
        <v>PRESTACIÓN DE SERVICIOS DE APOYO TÉCNICO A LA GESTIÓN DE LA POLÍTICA DE COMPRAS PÚBLICAS Y DE CONTRATACIÓN EN EL MARCO DEL PROYECTO DENOMINADO “FORTALECIMIENTO ORGANIZACIONAL" DEL ICETEX</v>
      </c>
    </row>
    <row r="20" spans="1:6" ht="22.5" customHeight="1">
      <c r="A20" s="53" t="s">
        <v>7633</v>
      </c>
      <c r="B20" s="51" t="s">
        <v>7652</v>
      </c>
      <c r="C20" s="53">
        <v>2024</v>
      </c>
      <c r="D20" s="52" t="str">
        <f t="shared" si="0"/>
        <v>CD-019-2024</v>
      </c>
      <c r="E20" s="20" t="s">
        <v>241</v>
      </c>
      <c r="F20" s="93" t="str">
        <f t="shared" si="1"/>
        <v>PRESTAR LOS SERVICIOS PROFESIONALES EN LA ACTUALIZACIÓN DE LOS SISTEMAS DE GESTIÓN PRESUPUESTAL DE LOS RECURSOS DE FONDOS Y PROPIOS Y EN EL PROCESO DE VALIDACIÓN DE LA EJECUCIÓN DEL PRESUPUESTO A PARTIR DEL PROCESAMIENTO Y ANÁLISIS DE LA INFORMACIÓN A CARGO DEL GRUPO DE PRESUPUESTO.</v>
      </c>
    </row>
    <row r="21" spans="1:6" ht="22.5" customHeight="1">
      <c r="A21" s="53" t="s">
        <v>7633</v>
      </c>
      <c r="B21" s="51" t="s">
        <v>7653</v>
      </c>
      <c r="C21" s="53">
        <v>2024</v>
      </c>
      <c r="D21" s="52" t="str">
        <f t="shared" si="0"/>
        <v>CD-020-2024</v>
      </c>
      <c r="E21" s="20" t="s">
        <v>252</v>
      </c>
      <c r="F21" s="93" t="str">
        <f t="shared" si="1"/>
        <v>PRESTAR SERVICIOS TÉCNICOS PARA APOYAR LA MEJORA DE PROCESOS PRESUPUESTALES, GESTIONANDO LA EN LA IMPLEMENTACIÓN DE LOS SISTEMAS DE GESTIÓN PRESUPUESTAL REALIZANDO EL DEBIDO ACOMPAÑAMIENTO PARA LA APROPIACIÓN DE LOS MISMOS EN EL MARCO DEL PROYECTO DE INVERSIÓN DE BANCA ABIERTA Y TRANSPARENTE E INHOUSE BANKING.</v>
      </c>
    </row>
    <row r="22" spans="1:6" ht="22.5" customHeight="1">
      <c r="A22" s="53" t="s">
        <v>7633</v>
      </c>
      <c r="B22" s="51" t="s">
        <v>7654</v>
      </c>
      <c r="C22" s="53">
        <v>2024</v>
      </c>
      <c r="D22" s="52" t="str">
        <f t="shared" si="0"/>
        <v>CD-021-2024</v>
      </c>
      <c r="E22" s="20" t="s">
        <v>7655</v>
      </c>
      <c r="F22" s="93" t="str">
        <f t="shared" si="1"/>
        <v>PRESTAR LOS SERVICIOS PROFESIONALES ESPECIALIZADOS PARA LA ESTRUCTURACIÓN, SEGUIMIENTO Y CONTROL TÉCNICO Y PRESUPUESTAL DE INICIATIVAS RELACIONADAS CON LA EJECUCIÓN DE PROYECTOS ESTRATÉGICOS Y
DE INVERSIÓN A CARGO DE LA VICEPRESIDENCIA FINANCIERA, BASADOS EN LA OPTIMIZACIÓN DE PROCEDIMIENTOS PARA LA GENERACIÓN DE SOLUCIONES FINANCIERAS ACORDES A LAS NECESIDADES DE LOS GRUPOS DE INCIDENCIA PARA LA OPTIMIZACIÓN DE LA ESTRUCTURA PASIVO Y DIVERSIFICACIÓN DE LAS FUENTES DE FONDEO.</v>
      </c>
    </row>
    <row r="23" spans="1:6" ht="22.5" customHeight="1">
      <c r="A23" s="53" t="s">
        <v>7633</v>
      </c>
      <c r="B23" s="51" t="s">
        <v>7656</v>
      </c>
      <c r="C23" s="53">
        <v>2024</v>
      </c>
      <c r="D23" s="52" t="str">
        <f t="shared" si="0"/>
        <v>CD-022-2024</v>
      </c>
      <c r="E23" s="20" t="s">
        <v>7657</v>
      </c>
      <c r="F23" s="93" t="str">
        <f t="shared" si="1"/>
        <v>PRESTACIÓN DE SERVICIOS DE APOYO TÉCNICO A LA GESTIÓN DE LA POLÍTICA DE COMPRAS PÚBLICAS Y DE CONTRATACIÓN EN EL MARCO DEL PROYECTO DENOMINADOFORTALECIMIENTO ORGANIZACIONAL DEL ICETEX</v>
      </c>
    </row>
    <row r="24" spans="1:6" ht="22.5" customHeight="1">
      <c r="A24" s="53" t="s">
        <v>7633</v>
      </c>
      <c r="B24" s="51" t="s">
        <v>7658</v>
      </c>
      <c r="C24" s="53">
        <v>2024</v>
      </c>
      <c r="D24" s="52" t="str">
        <f t="shared" si="0"/>
        <v>CD-023-2024</v>
      </c>
      <c r="E24" s="20" t="s">
        <v>7659</v>
      </c>
      <c r="F24" s="93" t="str">
        <f>UPPER(E24)</f>
        <v>PRESTAR LOS SERVICIOS PROFESIONALES; PARA LA CONSTRUCCIÓN DE BASES HISTÓRICAS QUE PERMITAN LA EVALUACIÓN, SEGUIMIENTO Y ANÁLISIS DE LOS DIFERENTES COMPONENTES DE LOS MODELOS DE LOS SISTEMAS DE RIESGOS QUE SE ADMINISTRAN EN EL
ICETEX.</v>
      </c>
    </row>
    <row r="25" spans="1:6" ht="22.5" customHeight="1">
      <c r="A25" s="53" t="s">
        <v>7633</v>
      </c>
      <c r="B25" s="51" t="s">
        <v>7660</v>
      </c>
      <c r="C25" s="53">
        <v>2024</v>
      </c>
      <c r="D25" s="52" t="str">
        <f t="shared" si="0"/>
        <v>CD-024-2024</v>
      </c>
      <c r="E25" s="20" t="s">
        <v>291</v>
      </c>
      <c r="F25" s="93" t="str">
        <f t="shared" si="1"/>
        <v>PRESTAR SERVICIOS PROFESIONALES COMO OFICIAL DE SEGURIDAD DE LA INFORMACIÓN Y PRIVACIDAD, PARA ADMINISTRAR EL SISTEMA DE GESTIÓN DE SEGURIDAD DE LA INFORMACIÓN Y DE LA PROTECCIÓN DE DATOS, CUMPLIENDO LOS LINEAMIENTOS EN EL MARCO NORMATIVO INTERNO Y EXTERNO EN LA MATERIA.</v>
      </c>
    </row>
    <row r="26" spans="1:6" ht="22.5" customHeight="1">
      <c r="A26" s="53" t="s">
        <v>7633</v>
      </c>
      <c r="B26" s="51" t="s">
        <v>7661</v>
      </c>
      <c r="C26" s="53">
        <v>2024</v>
      </c>
      <c r="D26" s="52" t="str">
        <f t="shared" si="0"/>
        <v>CD-025-2024</v>
      </c>
      <c r="E26" s="20" t="s">
        <v>300</v>
      </c>
      <c r="F26" s="93" t="str">
        <f t="shared" si="1"/>
        <v>PRESTAR SERVICIOS DE APOYO TÉCNICO AL DESARROLLO DE LOS PROCESOS Y ACTIVIDADES RELACIONADOS CON LAS GESTIONES ADMINISTRATIVAS DE LA PRESIDENCIA DEL ICETEX</v>
      </c>
    </row>
    <row r="27" spans="1:6" ht="22.5" customHeight="1">
      <c r="A27" s="53" t="s">
        <v>7633</v>
      </c>
      <c r="B27" s="51" t="s">
        <v>7662</v>
      </c>
      <c r="C27" s="53">
        <v>2024</v>
      </c>
      <c r="D27" s="52" t="str">
        <f t="shared" si="0"/>
        <v>CD-026-2024</v>
      </c>
      <c r="E27" s="20" t="s">
        <v>312</v>
      </c>
      <c r="F27" s="93" t="str">
        <f t="shared" si="1"/>
        <v>PRESTAR LOS SERVICIOS PROFESIONALES ESPECIALIZADOS EN LA ARTICULACIÓN CON DIFERENTES ACTORES Y ACOMPAÑAMIENTO DE LAS ACTIVIDADES QUE REALIZA EL PRESIDENTE DE LA ENTIDAD, ASÍ COMO LA REVISIÓN DE LOS DOCUMENTOS.</v>
      </c>
    </row>
    <row r="28" spans="1:6" ht="22.5" customHeight="1">
      <c r="A28" s="53" t="s">
        <v>7633</v>
      </c>
      <c r="B28" s="51" t="s">
        <v>7663</v>
      </c>
      <c r="C28" s="53">
        <v>2024</v>
      </c>
      <c r="D28" s="52" t="str">
        <f t="shared" si="0"/>
        <v>CD-027-2024</v>
      </c>
      <c r="E28" s="20" t="s">
        <v>322</v>
      </c>
      <c r="F28" s="93" t="str">
        <f t="shared" si="1"/>
        <v>PRESTAR SERVICIOS TÉCNICOS PARA APOYAR Y GESTIONAR EL DESARROLLO DE ACTIVIDADES Y PROCEDIMIENTOS RELACIONADOS CON LAS GESTIONES ADMINISTRATIVAS Y DOCUMENTALES DEL GRUPO DE ACUERDOS ESTRATÉGICOS QUE SE REQUIERAN EN EL MARCO DEL PROYECTO DE INVERSIÓN DENOMINADO "FORTALECIMIENTO ORGANIZACIONA</v>
      </c>
    </row>
    <row r="29" spans="1:6" ht="22.5" customHeight="1">
      <c r="A29" s="53" t="s">
        <v>7633</v>
      </c>
      <c r="B29" s="51" t="s">
        <v>7664</v>
      </c>
      <c r="C29" s="53">
        <v>2024</v>
      </c>
      <c r="D29" s="52" t="str">
        <f t="shared" si="0"/>
        <v>CD-028-2024</v>
      </c>
      <c r="E29" s="20" t="s">
        <v>333</v>
      </c>
      <c r="F29" s="93" t="str">
        <f t="shared" si="1"/>
        <v>PRESTAR LOS SERVICIOS PROFESIONALES FINANCIEROS ESPECIALIZADOS PARA LA ESTRUCTURACIÓN DE MECANISMOS, ESQUEMAS Y ESTÁNDARES QUE PERMITAN FORTALECER LA SIMPLIFICACIÓN, ESTANDARIZACIÓN Y SISTEMATIZACIÓN DE LOS PROCESOS Y EL FLUJO DE INFORMACIÓN QUE SOPORTA LA ADOPCIÓN DE LOS PROYECTOS DE INVERSIÓN BANCA ABIERTA Y TRANSPARENTE E INHOUSE BANKING, Y DE OPTIMIZACIÓN DE LA ESTRUCTURA PASIVO Y DIVERSIFICACIÓN DE LAS FUENTES DE FONDEO</v>
      </c>
    </row>
    <row r="30" spans="1:6" ht="22.5" customHeight="1">
      <c r="A30" s="53" t="s">
        <v>7633</v>
      </c>
      <c r="B30" s="51" t="s">
        <v>7665</v>
      </c>
      <c r="C30" s="53">
        <v>2024</v>
      </c>
      <c r="D30" s="52" t="str">
        <f t="shared" si="0"/>
        <v>CD-029-2024</v>
      </c>
      <c r="E30" s="20" t="s">
        <v>341</v>
      </c>
      <c r="F30" s="93" t="str">
        <f t="shared" si="1"/>
        <v>PRESTAR LOS SERVICIOS PROFESIONALES ESPECIALIZADOS PARA DIRECCIONAR ESTRATÉGICAMENTE LA ESTRUCTURACIÓN, SEGUIMIENTO Y CONTROL DE LOS PROCESOS, POLÍTICAS PÚBLICAS, GESTIÓN DEL RIESGO, GESTIÓN DEL CRÉDITO Y DEMÁS PLANES DE GESTIÓN Y AUTOCONTROL, DE CONFORMIDAD CON LOS REQUERIMIENTOS ORGANIZACIONALES Y NORMATIVOS DEL ICETEX.</v>
      </c>
    </row>
    <row r="31" spans="1:6" ht="22.5" customHeight="1">
      <c r="A31" s="53" t="s">
        <v>7633</v>
      </c>
      <c r="B31" s="51" t="s">
        <v>7666</v>
      </c>
      <c r="C31" s="53">
        <v>2024</v>
      </c>
      <c r="D31" s="52" t="str">
        <f t="shared" si="0"/>
        <v>CD-030-2024</v>
      </c>
      <c r="E31" s="20" t="s">
        <v>353</v>
      </c>
      <c r="F31" s="93" t="str">
        <f t="shared" si="1"/>
        <v>PRESTAR SERVICIOS PROFESIONALES ESPECIALIZADOS, PARA ADELANTAR LA GESTIÓN JURÍDICA IDÓNEA DE APOYO Y ACOMPAÑAMIENTO QUE SURJAN CON OCASIÓN AL DESARROLLO ADMINISTRATIVO, OPERATIVO Y CONTRACTUAL DE LOS PROCESOS Y PROYECTOS DE LA OFICINA DE COMERCIAL Y DE MERCADEO Y SUS DIFERENTES EQUIPOS DE TRABAJO</v>
      </c>
    </row>
    <row r="32" spans="1:6" ht="22.5" customHeight="1">
      <c r="A32" s="53" t="s">
        <v>7633</v>
      </c>
      <c r="B32" s="51" t="s">
        <v>7667</v>
      </c>
      <c r="C32" s="53">
        <v>2024</v>
      </c>
      <c r="D32" s="52" t="str">
        <f t="shared" si="0"/>
        <v>CD-031-2024</v>
      </c>
      <c r="E32" s="20" t="s">
        <v>361</v>
      </c>
      <c r="F32" s="93" t="str">
        <f t="shared" si="1"/>
        <v>PRESTAR SERVICIOS PROFESIONALES ESPECIALIZADOS PARA ADMINISTRAR Y COORDINAR ACTIVIDADES CONTRACTUALES Y ADMINISTRATIVAS NECESARIAS EN EL CONTEXTO DEL AVANCE DE PROYECTOS RELACIONADOS CON EL DESARROLLO DEL PLAN ESTRATÉGICO DE LA ENTIDAD Y LA "POLÍTICA DE GUÍA, INFORMACIÓN Y ACOMPAÑAMIENTO</v>
      </c>
    </row>
    <row r="33" spans="1:6" ht="22.5" customHeight="1">
      <c r="A33" s="53" t="s">
        <v>7633</v>
      </c>
      <c r="B33" s="51" t="s">
        <v>7668</v>
      </c>
      <c r="C33" s="53">
        <v>2024</v>
      </c>
      <c r="D33" s="52" t="str">
        <f t="shared" si="0"/>
        <v>CD-032-2024</v>
      </c>
      <c r="E33" s="20" t="s">
        <v>372</v>
      </c>
      <c r="F33" s="93" t="str">
        <f t="shared" si="1"/>
        <v>PRESTACIÓN DE SERVICIOS PROFESIONALES ESPECIALIZADOS PARA APOYAR EN EL DESARROLLO Y SEGUIMIENTO DE LOS PLANES Y PROYECTOS DE LA POLÍTICA DE COMPRAS Y CONTRATACIÓN PÚBLICA DE LA ENTIDAD EN EL MARCO DEL PROYECTO DENOMINADO “FORTALECIMIENTO ORGANIZACIONAL" DEL ICETEX.</v>
      </c>
    </row>
    <row r="34" spans="1:6" ht="22.5" customHeight="1">
      <c r="A34" s="53" t="s">
        <v>7633</v>
      </c>
      <c r="B34" s="51" t="s">
        <v>7669</v>
      </c>
      <c r="C34" s="53">
        <v>2024</v>
      </c>
      <c r="D34" s="52" t="str">
        <f t="shared" si="0"/>
        <v>CD-033-2024</v>
      </c>
      <c r="E34" s="20" t="s">
        <v>378</v>
      </c>
      <c r="F34" s="93" t="str">
        <f t="shared" si="1"/>
        <v>PRESTAR LOS SERVICIOS PROFESIONALES ESPECIALIZADOS PARA LA ADOPCIÓN DE LOS ESTÁNDARES, BUENAS PRÁCTICAS Y PROCEDIMIENTOS QUE SOPORTAN LA APROPIACIÓN HERRAMIENTAS TECNOLÓGICAS DISPUESTAS POR LA ENTIDAD PARA LA REGULARIZACIÓN Y SOSTENIBILIDAD DE LA INFORMACIÓN FINANCIERA DE LOS RECURSOS ADMINISTRADOS POR EL ICETEX, EN EL MARCO PROYECTO DE INVERSIÓN BANCA ABIERTA Y TRANSPARENTE E INHOUSE BANKING.</v>
      </c>
    </row>
    <row r="35" spans="1:6" ht="22.5" customHeight="1">
      <c r="A35" s="53" t="s">
        <v>7633</v>
      </c>
      <c r="B35" s="51" t="s">
        <v>7670</v>
      </c>
      <c r="C35" s="53">
        <v>2024</v>
      </c>
      <c r="D35" s="52" t="str">
        <f t="shared" si="0"/>
        <v>CD-034-2024</v>
      </c>
      <c r="E35" s="20" t="s">
        <v>388</v>
      </c>
      <c r="F35" s="93" t="str">
        <f t="shared" si="1"/>
        <v>PRESTACIÓN DE SERVICIOS PROFESIONALES ECONÓMICOS ESPECIALIZADOS PARA APOYAR EL DESARROLLO Y SEGUIMIENTO DE LA ACTIVIDAD CONTRACTUAL EN EL MARCO DEL PROYECTO DE FORTALECIMIENTO ORGANIZACIONAL Y LA IMPLEMENTACIÓN DE LA POLÍTICA DE COMPRAS PÚBLICAS Y DE CONTRATACIÓN DEL ICETEX</v>
      </c>
    </row>
    <row r="36" spans="1:6" ht="22.5" customHeight="1">
      <c r="A36" s="53" t="s">
        <v>7633</v>
      </c>
      <c r="B36" s="51" t="s">
        <v>7671</v>
      </c>
      <c r="C36" s="53">
        <v>2024</v>
      </c>
      <c r="D36" s="52" t="str">
        <f t="shared" si="0"/>
        <v>CD-035-2024</v>
      </c>
      <c r="E36" s="20" t="s">
        <v>395</v>
      </c>
      <c r="F36" s="93" t="str">
        <f t="shared" si="1"/>
        <v>PRESTAR SERVICIOS PROFESIONALES JURIDICOS EN LAS ACTIVIDADES PROPIAS DEL GRUPO DE CONTRATACIÓN</v>
      </c>
    </row>
    <row r="37" spans="1:6" ht="22.5" customHeight="1">
      <c r="A37" s="53" t="s">
        <v>7633</v>
      </c>
      <c r="B37" s="51" t="s">
        <v>7672</v>
      </c>
      <c r="C37" s="53">
        <v>2024</v>
      </c>
      <c r="D37" s="52" t="str">
        <f t="shared" si="0"/>
        <v>CD-036-2024</v>
      </c>
      <c r="E37" s="20" t="s">
        <v>402</v>
      </c>
      <c r="F37" s="93" t="str">
        <f t="shared" si="1"/>
        <v>PRESTAR LOS SERVICIOS PROFESIONALES ESPECIALIZADOS PARA LA REPRESENTACIÓN EN PROCESOS DE INSOLVENCIA ECONOMICA DE PERSONA NATURAL NO COMERCIANTE,QUE SE NOTIFIQUEN AL ICETEX Y ORIENTAR Y TRAMITAR LOS PROCESOS QUE EN MATERIA DE CONTRATACIÓN DESARROLLE LA VICEPRESIDENCIA DE CRÉDITO Y COBRANZA, HACIENDO SEGUIMIENTO PRE CONTRACTUAL, CONTRACTUAL Y POSCONTRACTUAL REQUERIDO POR EL AREA.</v>
      </c>
    </row>
    <row r="38" spans="1:6" ht="22.5" customHeight="1">
      <c r="A38" s="53" t="s">
        <v>7633</v>
      </c>
      <c r="B38" s="51" t="s">
        <v>7673</v>
      </c>
      <c r="C38" s="53">
        <v>2024</v>
      </c>
      <c r="D38" s="52" t="str">
        <f t="shared" si="0"/>
        <v>CD-037-2024</v>
      </c>
      <c r="E38" s="20" t="s">
        <v>415</v>
      </c>
      <c r="F38" s="93" t="str">
        <f t="shared" si="1"/>
        <v>PRESTAR LOS SERVICIOS PROFESIONALES PARA EL APOYO A LAS DIFERENTES ACTIVIDADES REQUERIDAS EN EL DESARROLLO DE LA GESTIÓN JUDICIAL Y EFECTUAR LA REPRESENTACIÓN EN PROCESOS DE INSOLVENCIA ECONÓMICA DE PERSONA NATURAL NO COMERCIANTE, QUE SE NOTIFIQUEN AL ICETEX, ASÍ COMO TAMBIEN APOYAR LOS PROCESOS QUE EN MATERIA CONTRACTUAL DESARROLLE LA DIRECCIÓN DE COBRANZA..</v>
      </c>
    </row>
    <row r="39" spans="1:6" ht="22.5" customHeight="1">
      <c r="A39" s="53" t="s">
        <v>7633</v>
      </c>
      <c r="B39" s="51" t="s">
        <v>7674</v>
      </c>
      <c r="C39" s="53">
        <v>2024</v>
      </c>
      <c r="D39" s="52" t="str">
        <f t="shared" si="0"/>
        <v>CD-038-2024</v>
      </c>
      <c r="E39" s="20" t="s">
        <v>423</v>
      </c>
      <c r="F39" s="93" t="str">
        <f>UPPER(E39)</f>
        <v>PRESTAR SUS SERVICIOS PROFESIONALES LIDERANDO LA GESTIÓN JURIDICA DE LOS FONDOS A CARGO DE LA VICEPRESIDENCIA DE FONDOS EN ADMINISTRACIÓN; ASÍ COMO LOS TEMAS RELACIONADOS CON LOS PROCESOS DE CONTRATACIÓN A CARGO DE DICHA DEPENDENCIA.</v>
      </c>
    </row>
    <row r="40" spans="1:6" ht="22.5" customHeight="1">
      <c r="A40" s="53" t="s">
        <v>7633</v>
      </c>
      <c r="B40" s="51" t="s">
        <v>7675</v>
      </c>
      <c r="C40" s="53">
        <v>2024</v>
      </c>
      <c r="D40" s="52" t="str">
        <f t="shared" si="0"/>
        <v>CD-039-2024</v>
      </c>
      <c r="E40" s="20" t="s">
        <v>7676</v>
      </c>
      <c r="F40" s="93" t="str">
        <f>UPPER(E40)</f>
        <v>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v>
      </c>
    </row>
    <row r="41" spans="1:6" ht="22.5" customHeight="1">
      <c r="A41" s="53" t="s">
        <v>7633</v>
      </c>
      <c r="B41" s="51" t="s">
        <v>7677</v>
      </c>
      <c r="C41" s="53">
        <v>2024</v>
      </c>
      <c r="D41" s="52" t="str">
        <f t="shared" si="0"/>
        <v>CD-040-2024</v>
      </c>
      <c r="E41" s="20" t="s">
        <v>444</v>
      </c>
      <c r="F41" s="93" t="str">
        <f t="shared" si="1"/>
        <v>PRESTAR LOS SERVICIOS PROFESIONALES ESPECIALIZADOS PARA CONTROL Y CUMPLIMIENTO DE LOS PROGRAMAS, PROCESOS, TAREAS, OPERACIONES Y ACTIVIDADES RELACIONADOS CON LOS PROCESOS, AUDITORÍAS, POLÍTICAS PÚBLICAS, GESTIÓN DEL RIESGO, GESTIÓN DEL CRÉDITO Y DEMÁS PLANES DE GESTIÓN Y AUTOCONTROL, DE CONFORMIDAD CON LOS REQUERIMIENTOS ORGANIZACIONALES Y NORMATIVOS DEL ICETEX”,</v>
      </c>
    </row>
    <row r="42" spans="1:6" ht="22.5" customHeight="1">
      <c r="A42" s="53" t="s">
        <v>7633</v>
      </c>
      <c r="B42" s="51" t="s">
        <v>7678</v>
      </c>
      <c r="C42" s="53">
        <v>2024</v>
      </c>
      <c r="D42" s="52" t="str">
        <f t="shared" si="0"/>
        <v>CD-041-2024</v>
      </c>
      <c r="E42" s="20" t="s">
        <v>452</v>
      </c>
      <c r="F42" s="93" t="str">
        <f t="shared" si="1"/>
        <v>PRESTAR SERVICIOS PROFESIONALES ESPECIALIZADOS PARA GARANTIZAR LA MEJORA CONTINUA, DESARROLLOS, AUTOMATIZACIONES Y EFICIENCIAS EN EL MARCO DE LOS PROCESOS DE LA OFICINA COMERCIAL Y DE MERCADEO Y SUS DIFERENTES EQUIPOS DE TRABAJO.</v>
      </c>
    </row>
    <row r="43" spans="1:6" ht="22.5" customHeight="1">
      <c r="A43" s="53" t="s">
        <v>7633</v>
      </c>
      <c r="B43" s="51" t="s">
        <v>7679</v>
      </c>
      <c r="C43" s="53">
        <v>2024</v>
      </c>
      <c r="D43" s="52" t="str">
        <f t="shared" si="0"/>
        <v>CD-042-2024</v>
      </c>
      <c r="E43" s="20" t="s">
        <v>460</v>
      </c>
      <c r="F43" s="93" t="str">
        <f t="shared" si="1"/>
        <v>PRESTAR SERVICIOS PROFESIONALES ESPECIALIZADOS PARA LIDERAR EL DESARROLLO, ADMINISTRACIÓN Y GENERACIÓN DE DATA, EN EL MARCO DEL DESARROLLO DE LA GESTIÓN DEL GOBIERNO DE DATOS DE LA OFICINA COMERCIAL Y DE MERCADEO, ASÍ COMO LA ADMINISTRACIÓN FUNCIONAL DEL CRM DE LA ENTIDAD</v>
      </c>
    </row>
    <row r="44" spans="1:6" ht="22.5" customHeight="1">
      <c r="A44" s="53" t="s">
        <v>7633</v>
      </c>
      <c r="B44" s="51" t="s">
        <v>7680</v>
      </c>
      <c r="C44" s="53">
        <v>2024</v>
      </c>
      <c r="D44" s="52" t="str">
        <f t="shared" si="0"/>
        <v>CD-043-2024</v>
      </c>
      <c r="E44" s="20" t="s">
        <v>467</v>
      </c>
      <c r="F44" s="93" t="str">
        <f t="shared" si="1"/>
        <v>APOYAR LA GESTIÓN ADMINISTRATIVA, COMERCIAL Y OPERATIVA DE LA TERRITORIAL NOROCCIDENTE EN ARTICULACIÓN CON LA OFICINA COMERCIAL Y DE MERCADEO Y LAS DEMÁS DEPENDENCIAS DEL NIVEL  CENTRAL</v>
      </c>
    </row>
    <row r="45" spans="1:6" ht="22.5" customHeight="1">
      <c r="A45" s="53" t="s">
        <v>7633</v>
      </c>
      <c r="B45" s="51" t="s">
        <v>7681</v>
      </c>
      <c r="C45" s="53">
        <v>2024</v>
      </c>
      <c r="D45" s="52" t="str">
        <f t="shared" si="0"/>
        <v>CD-044-2024</v>
      </c>
      <c r="E45" s="20" t="s">
        <v>480</v>
      </c>
      <c r="F45" s="93" t="str">
        <f t="shared" si="1"/>
        <v>PRESTAR SERVICIOS PROFESIONALES AL GRUPO DE DESARROLLO Y TRANSFORMACIÓN ORGANIZACIONAL DE LA SECRETARÍA GENERAL PARA LA IMPLEMENTACIÓN DEL PLAN INSTITUCIONAL DE CAPACITACIÓN DEL ICETEX, ASÍ COMO LA EJECUCIÓN DE LAS ESTRATEGIAS, PLANES, PROGRAMAS Y PROYECTOS EN QUE PARTICIPE EL ÁREA EN EL MARCO DEL PROCESO DE TRANSFORMACIÓN DE LA CULTURA ORGANIZACIONAL QUE ADELANTA LA ENTIDAD</v>
      </c>
    </row>
    <row r="46" spans="1:6" ht="22.5" customHeight="1">
      <c r="A46" s="53" t="s">
        <v>7633</v>
      </c>
      <c r="B46" s="51" t="s">
        <v>7682</v>
      </c>
      <c r="C46" s="53">
        <v>2024</v>
      </c>
      <c r="D46" s="52" t="str">
        <f t="shared" si="0"/>
        <v>CD-045-2024</v>
      </c>
      <c r="E46" s="20" t="s">
        <v>492</v>
      </c>
      <c r="F46" s="93" t="str">
        <f t="shared" si="1"/>
        <v>IMPLEMENTAR ESTRATEGIAS PARA LA EJECUCIÓN DEL PLAN COMERCIAL DE LA TERRITORIAL NOROCCIDENTE ASOCIADAS AL PORTAFOLIO DE SERVICIOS DE ICETEX EN LA REGIÓN, EN ARTICULACIÓN CON LA OFICINA COMERCIAL Y DE MERCADEO DEL NIVEL CENTRAL</v>
      </c>
    </row>
    <row r="47" spans="1:6" ht="22.5" customHeight="1">
      <c r="A47" s="53" t="s">
        <v>7633</v>
      </c>
      <c r="B47" s="51" t="s">
        <v>7683</v>
      </c>
      <c r="C47" s="53">
        <v>2024</v>
      </c>
      <c r="D47" s="52" t="str">
        <f t="shared" si="0"/>
        <v>CD-046-2024</v>
      </c>
      <c r="E47" s="20" t="s">
        <v>7684</v>
      </c>
      <c r="F47" s="93" t="str">
        <f t="shared" si="1"/>
        <v>PRESTAR LOS SERVICIOS PROFESIONALES ESPECIALIZADOS
PARA ORIENTAR Y TRAMITAR LOS PROCESOS QUE EN MATERIA
DE CONTRATACIÓN POR PRESTACIÓN DE SERVICIOS REQUIERE
EL GRUPO DE CRÉDITO, ASÍ COMO REALIZAR SEGUIMIENTO Y
CONTROL DE LOS PROCESOS DEL SISTEMA DE GESTIÓN DE
CALIDAD.</v>
      </c>
    </row>
    <row r="48" spans="1:6" ht="22.5" customHeight="1">
      <c r="A48" s="53" t="s">
        <v>7633</v>
      </c>
      <c r="B48" s="51" t="s">
        <v>7685</v>
      </c>
      <c r="C48" s="53">
        <v>2024</v>
      </c>
      <c r="D48" s="52" t="str">
        <f t="shared" si="0"/>
        <v>CD-047-2024</v>
      </c>
      <c r="E48" s="20" t="s">
        <v>7686</v>
      </c>
      <c r="F48" s="93" t="str">
        <f t="shared" si="1"/>
        <v xml:space="preserve">PRESTAR SUS SERVICIOS PROFESIONALES ESPECIALIZADOS, APOYANDO LA GESTIÓN JURÍDICA DE LOS FONDOS A CARGO DE LA VICEPRESIDENCIA DE FONDOS EN ADMINISTRACIÓN; ASÍ COMO LOS TEMAS RELACIONADOS CON LOS PROCESOS DE CONTRATACIÓN A SU CARGO. 
</v>
      </c>
    </row>
    <row r="49" spans="1:6" ht="22.5" customHeight="1">
      <c r="A49" s="53" t="s">
        <v>7633</v>
      </c>
      <c r="B49" s="51" t="s">
        <v>7687</v>
      </c>
      <c r="C49" s="53">
        <v>2024</v>
      </c>
      <c r="D49" s="52" t="str">
        <f t="shared" si="0"/>
        <v>CD-048-2024</v>
      </c>
      <c r="E49" s="20" t="s">
        <v>521</v>
      </c>
      <c r="F49" s="93" t="str">
        <f t="shared" si="1"/>
        <v>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v>
      </c>
    </row>
    <row r="50" spans="1:6" ht="22.5" customHeight="1">
      <c r="A50" s="53" t="s">
        <v>7633</v>
      </c>
      <c r="B50" s="51" t="s">
        <v>7688</v>
      </c>
      <c r="C50" s="53">
        <v>2024</v>
      </c>
      <c r="D50" s="52" t="str">
        <f t="shared" si="0"/>
        <v>CD-049-2024</v>
      </c>
      <c r="E50" s="20" t="s">
        <v>521</v>
      </c>
      <c r="F50" s="93" t="str">
        <f t="shared" si="1"/>
        <v>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v>
      </c>
    </row>
    <row r="51" spans="1:6" ht="22.5" customHeight="1">
      <c r="A51" s="53" t="s">
        <v>7633</v>
      </c>
      <c r="B51" s="51" t="s">
        <v>7689</v>
      </c>
      <c r="C51" s="53">
        <v>2024</v>
      </c>
      <c r="D51" s="52" t="str">
        <f t="shared" si="0"/>
        <v>CD-050-2024</v>
      </c>
      <c r="E51" s="20" t="s">
        <v>536</v>
      </c>
      <c r="F51" s="93" t="str">
        <f t="shared" si="1"/>
        <v>PRESTAR LOS SERVICIOS PROFESIONALES ESPECIALIZADOS PARA FORTALECIMIENTO Y OPTIMIZACIÓN DE LOS PROCESOS Y MECANISMOS QUE RESPALDAN LA ADMINISTRACIÓN DE LOS RECURSOS DE LA LEY 1777 DE 2016 MANEJADOS POR EL INSTITUTO, EN EL MARCO DE LA MODERNIZACIÓN DE LAS FUNCIONES FINANCIERAS DEL ICETEX Y EL PROYECTO DE INVERSIÓN DE BANCA ABIERTA Y TRANSPARENTE E INHOUSE BANKING</v>
      </c>
    </row>
    <row r="52" spans="1:6" ht="22.5" customHeight="1">
      <c r="A52" s="53" t="s">
        <v>7633</v>
      </c>
      <c r="B52" s="51" t="s">
        <v>7690</v>
      </c>
      <c r="C52" s="53">
        <v>2024</v>
      </c>
      <c r="D52" s="52" t="str">
        <f t="shared" si="0"/>
        <v>CD-051-2024</v>
      </c>
      <c r="E52" s="20" t="s">
        <v>548</v>
      </c>
      <c r="F52" s="93" t="str">
        <f>UPPER(E52)</f>
        <v>PRESTAR LOS SERVICIOS PROFESIONALES ESPECIALIZADOS PARA EL SEGUIMIENTO Y CONTROL DE LOS PROGRAMAS, PROCESOS Y ACTIVIDADES RELACIONADOS CON LA GESTIÓN DEL RIESGO, GESTIÓN DEL CRÉDITO Y DEMÁS PLANES DE GESTIÓN Y AUTOCONTROL, DE CONFORMIDAD CON LOS REQUERIMIENTOS ORGANIZACIONALES Y NORMATIVOS DEL ICETEX</v>
      </c>
    </row>
    <row r="53" spans="1:6" ht="22.5" customHeight="1">
      <c r="A53" s="53" t="s">
        <v>7691</v>
      </c>
      <c r="B53" s="51" t="s">
        <v>7692</v>
      </c>
      <c r="C53" s="53">
        <v>2024</v>
      </c>
      <c r="D53" s="52" t="str">
        <f>CONCATENATE(A53,"-",B53,"-",C53)</f>
        <v>IMC-052-2024</v>
      </c>
      <c r="E53" s="20" t="s">
        <v>7693</v>
      </c>
      <c r="F53" s="93" t="str">
        <f t="shared" si="1"/>
        <v>SELECCIONAR UNA COMPAÑÍA DE SEGUROS PARA LA CONTRATACIÓN DE UN SEGURO QUE AMPARE A LOS EXTRANJEROS BENEFICIAROS DEL ICETEX EN TODO EL TERRITORIO NACIONAL, DESDE EL MOMENTO EN QUE INGRESAN AL PAÍS Y HASTA LA FECHA DE SALIDA HACIA SU PAÍS DE ORIGEN, FRENTE A TODOS LOS RIESGOS Y EVENTOS CUBIERTOS EN LA PÓLIZA</v>
      </c>
    </row>
    <row r="54" spans="1:6" ht="22.5" customHeight="1">
      <c r="A54" s="53" t="s">
        <v>7633</v>
      </c>
      <c r="B54" s="51" t="s">
        <v>7694</v>
      </c>
      <c r="C54" s="53">
        <v>2024</v>
      </c>
      <c r="D54" s="52" t="str">
        <f t="shared" si="0"/>
        <v>CD-053-2024</v>
      </c>
      <c r="E54" s="20" t="s">
        <v>556</v>
      </c>
      <c r="F54" s="93" t="str">
        <f t="shared" si="1"/>
        <v>PRESTAR SERVICIOS PROFESIONALES ESPECIALIZADOS PARA LA COORDINACIÓN, DESARROLLO Y EJECUCIÓN DEL PLAN COMERCIAL DE LA TERRITORIAL SUROCCIDENTE QUE FOMENTE LA REGIONALIZACIÓN DEL PORTAFOLIO DE SERVICIOS DE LCETEX, EN ARTICULACIÓN CON LA OFICINA COMERCIAL Y DE MERCADEO DEL NIVEL CENTRAL.</v>
      </c>
    </row>
    <row r="55" spans="1:6" ht="22.5" customHeight="1">
      <c r="A55" s="53" t="s">
        <v>7633</v>
      </c>
      <c r="B55" s="51" t="s">
        <v>7695</v>
      </c>
      <c r="C55" s="53">
        <v>2024</v>
      </c>
      <c r="D55" s="52" t="str">
        <f t="shared" si="0"/>
        <v>CD-054-2024</v>
      </c>
      <c r="E55" s="20" t="s">
        <v>567</v>
      </c>
      <c r="F55" s="93" t="str">
        <f t="shared" si="1"/>
        <v>PRESTACIÓN DE SERVICIOS PARA APOYAR LAS ACTIVIDADES INTERINSTITUCIONALES DE COOPERACIÓN TÉCNICA, REVISIÓN Y GESTIÓN DE ASUNTOS PROPIOS DEL GRUPO DE CONTRATACIÓN DEL ICETEX</v>
      </c>
    </row>
    <row r="56" spans="1:6" ht="22.5" customHeight="1">
      <c r="A56" s="53" t="s">
        <v>7633</v>
      </c>
      <c r="B56" s="51" t="s">
        <v>7696</v>
      </c>
      <c r="C56" s="53">
        <v>2024</v>
      </c>
      <c r="D56" s="52" t="str">
        <f t="shared" si="0"/>
        <v>CD-055-2024</v>
      </c>
      <c r="E56" s="20" t="s">
        <v>574</v>
      </c>
      <c r="F56" s="93" t="str">
        <f t="shared" si="1"/>
        <v>PRESTAR LOS SERVICIOS PROFESIONALES ESPECIALIZADOS COMO LÍDER DEL EQUIPO DE INNOVACIÓN DEL ICETEX, IDENTIFICANDO OPORTUNIDADES PARA LA GENERACIÓN DE CAPACIDADES DE INNOVACIÓN, ASÍ COMO GUIAR LA MEJORA Y CREACIÓN DE PROCESOS, PRODUCTOS Y SERVICIOS EN LA ENTIDAD.</v>
      </c>
    </row>
    <row r="57" spans="1:6" ht="22.5" customHeight="1">
      <c r="A57" s="53" t="s">
        <v>7633</v>
      </c>
      <c r="B57" s="51" t="s">
        <v>7697</v>
      </c>
      <c r="C57" s="53">
        <v>2024</v>
      </c>
      <c r="D57" s="52" t="str">
        <f t="shared" si="0"/>
        <v>CD-056-2024</v>
      </c>
      <c r="E57" s="20" t="s">
        <v>585</v>
      </c>
      <c r="F57" s="93" t="str">
        <f t="shared" si="1"/>
        <v>PRESTAR LOS SERVICIOS TÉCNICOS A LA OFICINA ASESORA JURÍDICA EN CUANTO AL DESARROLLO DE LAS ACTIVIDADES REQUERIDAS PARA LA GESTIÓN DE LAS COMUNICACIONES RECIBIDAS Y GENERADAS A TRAVÉS DEL SISTEMA DE GESTIÓN DOCUMENTAL Y DEL CANAL DIGITAL DE LA ENTIDAD</v>
      </c>
    </row>
    <row r="58" spans="1:6" ht="22.5" customHeight="1">
      <c r="A58" s="53" t="s">
        <v>7633</v>
      </c>
      <c r="B58" s="51" t="s">
        <v>7698</v>
      </c>
      <c r="C58" s="53">
        <v>2024</v>
      </c>
      <c r="D58" s="52" t="str">
        <f t="shared" si="0"/>
        <v>CD-057-2024</v>
      </c>
      <c r="E58" s="20" t="s">
        <v>585</v>
      </c>
      <c r="F58" s="93" t="str">
        <f>UPPER(E57)</f>
        <v>PRESTAR LOS SERVICIOS TÉCNICOS A LA OFICINA ASESORA JURÍDICA EN CUANTO AL DESARROLLO DE LAS ACTIVIDADES REQUERIDAS PARA LA GESTIÓN DE LAS COMUNICACIONES RECIBIDAS Y GENERADAS A TRAVÉS DEL SISTEMA DE GESTIÓN DOCUMENTAL Y DEL CANAL DIGITAL DE LA ENTIDAD</v>
      </c>
    </row>
    <row r="59" spans="1:6" ht="22.5" customHeight="1">
      <c r="A59" s="53" t="s">
        <v>7633</v>
      </c>
      <c r="B59" s="51" t="s">
        <v>7699</v>
      </c>
      <c r="C59" s="53">
        <v>2024</v>
      </c>
      <c r="D59" s="52" t="str">
        <f t="shared" si="0"/>
        <v>CD-058-2024</v>
      </c>
      <c r="E59" s="20" t="s">
        <v>603</v>
      </c>
      <c r="F59" s="93" t="str">
        <f t="shared" si="1"/>
        <v>PRESTAR SERVICIOS PROFESIONALES ESPECIALIZADOS PARA ASESORAR JURÍDICAMENTE A LA OFICINA DE RELACIONES INTERNACIONALES EN TODOS LOS ASUNTOS INHERENTES A LA EJECUCIÓN DE LA POLÍTICA DE COOPERACIÓN ACADÉMICA INTERNACIONAL E INTERINSTITUCIONAL DEL ICETEX Y SU PORTAFOLIO DE SERVICIOS</v>
      </c>
    </row>
    <row r="60" spans="1:6" ht="22.5" customHeight="1">
      <c r="A60" s="53" t="s">
        <v>7633</v>
      </c>
      <c r="B60" s="51" t="s">
        <v>7700</v>
      </c>
      <c r="C60" s="53">
        <v>2024</v>
      </c>
      <c r="D60" s="52" t="str">
        <f t="shared" si="0"/>
        <v>CD-059-2024</v>
      </c>
      <c r="E60" s="20" t="s">
        <v>615</v>
      </c>
      <c r="F60" s="93" t="str">
        <f>UPPER(E60)</f>
        <v>PRESTAR LOS SERVICIOS PROFESIONALES PARA APOYAR Y GESTIONAR LOS REQUERIMIENTOS INTERNOS Y EXTERNOS AL FORTALECIMIENTO, MEJORA Y DIVULGACIÓN DE LOS PROGRAMAS DEL PORTAFOLIO INTERNACIONAL EN EL MARCO DE LA POLÍTICA DE COOPERACIÓN ACADÉMICA INTERNACIONAL E INTERINSTITUCIONAL DEL ICETEX.</v>
      </c>
    </row>
    <row r="61" spans="1:6" ht="22.5" customHeight="1">
      <c r="A61" s="53" t="s">
        <v>7633</v>
      </c>
      <c r="B61" s="51" t="s">
        <v>7701</v>
      </c>
      <c r="C61" s="53">
        <v>2024</v>
      </c>
      <c r="D61" s="52" t="str">
        <f t="shared" si="0"/>
        <v>CD-060-2024</v>
      </c>
      <c r="E61" s="20" t="s">
        <v>622</v>
      </c>
      <c r="F61" s="93" t="str">
        <f>UPPER(E61)</f>
        <v>PRESTAR SERVICIOS PROFESIONALES PARA APOYAR LA ARTICULACIÓN Y EL SEGUIMIENTO A LA GESTIÓN MISIONAL Y ADMINISTRATIVA DE LA OFICINA DE RELACIONES INTERNACIONALES DEL ICETEX.</v>
      </c>
    </row>
    <row r="62" spans="1:6" ht="22.5" customHeight="1">
      <c r="A62" s="53" t="s">
        <v>7633</v>
      </c>
      <c r="B62" s="51" t="s">
        <v>7702</v>
      </c>
      <c r="C62" s="53">
        <v>2024</v>
      </c>
      <c r="D62" s="52" t="str">
        <f t="shared" si="0"/>
        <v>CD-061-2024</v>
      </c>
      <c r="E62" s="20" t="s">
        <v>630</v>
      </c>
      <c r="F62" s="93" t="str">
        <f>UPPER(E62)</f>
        <v>PRESTAR LOS SERVICIOS PROFESIONALES ESPECIALIZADOS PARA EL DISEÑO, IMPLEMENTACIÓN, EJECUCIÓN, SUPERVISIÓN, CONTROL Y MEJORA CONTINUA DE LAS ESTRATEGIAS DE MERCADEO DIGITAL QUE CONTRIBUYAN A LA PROMOCIÓN Y OTORGAMIENTO DEL PORTAFOLIO DE PRODUCTOS DEL ICETEX.</v>
      </c>
    </row>
    <row r="63" spans="1:6" ht="22.5" customHeight="1">
      <c r="A63" s="53" t="s">
        <v>7633</v>
      </c>
      <c r="B63" s="51" t="s">
        <v>7703</v>
      </c>
      <c r="C63" s="53">
        <v>2024</v>
      </c>
      <c r="D63" s="52" t="str">
        <f t="shared" si="0"/>
        <v>CD-062-2024</v>
      </c>
      <c r="E63" s="20" t="s">
        <v>639</v>
      </c>
      <c r="F63" s="93" t="str">
        <f t="shared" ref="F63:F68" si="2">UPPER(E62)</f>
        <v>PRESTAR LOS SERVICIOS PROFESIONALES ESPECIALIZADOS PARA EL DISEÑO, IMPLEMENTACIÓN, EJECUCIÓN, SUPERVISIÓN, CONTROL Y MEJORA CONTINUA DE LAS ESTRATEGIAS DE MERCADEO DIGITAL QUE CONTRIBUYAN A LA PROMOCIÓN Y OTORGAMIENTO DEL PORTAFOLIO DE PRODUCTOS DEL ICETEX.</v>
      </c>
    </row>
    <row r="64" spans="1:6" ht="22.5" customHeight="1">
      <c r="A64" s="53" t="s">
        <v>7633</v>
      </c>
      <c r="B64" s="51" t="s">
        <v>7704</v>
      </c>
      <c r="C64" s="53">
        <v>2024</v>
      </c>
      <c r="D64" s="52" t="str">
        <f t="shared" si="0"/>
        <v>CD-063-2024</v>
      </c>
      <c r="E64" s="20" t="s">
        <v>647</v>
      </c>
      <c r="F64" s="93" t="str">
        <f t="shared" si="2"/>
        <v>PRESTAR LOS SERVICIOS PROFESIONALES ESPECIALIZADOS, LIDERANDO EL MONTAJE, DESARROLLO, SEGUIMIENTO, CONTROL Y MEJORA CONTINUA DE LOS CANALES COMERCIALES DEL ICETEX DESTINADOS A LA PROMOCIÓN Y OTORGAMIENTO DEL PORTAFOLIO DE PRODUCTOS DEL ICETEX.</v>
      </c>
    </row>
    <row r="65" spans="1:6" ht="22.5" customHeight="1">
      <c r="A65" s="53" t="s">
        <v>7633</v>
      </c>
      <c r="B65" s="51" t="s">
        <v>7705</v>
      </c>
      <c r="C65" s="53">
        <v>2024</v>
      </c>
      <c r="D65" s="52" t="str">
        <f t="shared" si="0"/>
        <v>CD-064-2024</v>
      </c>
      <c r="E65" s="20" t="s">
        <v>655</v>
      </c>
      <c r="F65" s="93" t="str">
        <f t="shared" si="2"/>
        <v>IMPLEMENTAR ESTRATEGIAS PARA LA EJECUCIÓN DEL PLAN COMERCIAL DE LA TERRITORIAL SUROCCIDENTE ASOCIADAS AL PORTAFOLIO DE SERVICIOS DE LCETEX EN LA REGIÓN, EN ARTICULACIÓN CON LA OFICINA COMERCIAL Y DE MERCADEO DEL NIVEL CENTRAL</v>
      </c>
    </row>
    <row r="66" spans="1:6" ht="22.5" customHeight="1">
      <c r="A66" s="53" t="s">
        <v>7633</v>
      </c>
      <c r="B66" s="51" t="s">
        <v>7706</v>
      </c>
      <c r="C66" s="53">
        <v>2024</v>
      </c>
      <c r="D66" s="52" t="str">
        <f t="shared" ref="D66:D129" si="3">CONCATENATE(A66,"-",B66,"-",C66)</f>
        <v>CD-065-2024</v>
      </c>
      <c r="E66" s="20" t="s">
        <v>666</v>
      </c>
      <c r="F66" s="93" t="str">
        <f t="shared" si="2"/>
        <v>PRESTAR LOS SERVICIOS PROFESIONALES EN EL GRUPO DE ADMINISTRACIÓN DE RECURSOS FÍSICOS DE LA SECRETARÍA GENERAL, APOYANDO LA IDENTIFICACIÓN, REALIZACIÓN, SEGUIMIENTO Y EJECUCIÓN DE LOS PROCESOS ADMINISTRATIVOS DEL ICETEX</v>
      </c>
    </row>
    <row r="67" spans="1:6" ht="22.5" customHeight="1">
      <c r="A67" s="53" t="s">
        <v>7633</v>
      </c>
      <c r="B67" s="51" t="s">
        <v>7707</v>
      </c>
      <c r="C67" s="53">
        <v>2024</v>
      </c>
      <c r="D67" s="52" t="str">
        <f t="shared" si="3"/>
        <v>CD-066-2024</v>
      </c>
      <c r="E67" s="20" t="s">
        <v>676</v>
      </c>
      <c r="F67" s="93" t="str">
        <f t="shared" si="2"/>
        <v>PRESTAR SERVICIOS PROFESIONALES PARA APOYAR EL SISTEMA DE GESTIÓN DE SEGURIDAD DIGITAL BASADOS EN LA NORMA ISO 27001, LEY 1581 Y TODO EL MARCO NORMATIVO INTERNO Y EXTERNO DE LA ENTIDAD, HACIENDO ÉNFASIS EN LAS PRUEBAS DE CONTROLES DE SEGURIDAD DE LA INFORMACIÓN DESDE EL DISEÑO Y LA EFICACIA OPERATIVA.</v>
      </c>
    </row>
    <row r="68" spans="1:6" ht="22.5" customHeight="1">
      <c r="A68" s="53" t="s">
        <v>7633</v>
      </c>
      <c r="B68" s="51" t="s">
        <v>7708</v>
      </c>
      <c r="C68" s="53">
        <v>2024</v>
      </c>
      <c r="D68" s="52" t="str">
        <f t="shared" si="3"/>
        <v>CD-067-2024</v>
      </c>
      <c r="E68" s="20" t="s">
        <v>676</v>
      </c>
      <c r="F68" s="93" t="str">
        <f t="shared" si="2"/>
        <v>PRESTAR SUS SERVICIOS PROFESIONALES APOYANDO DESDE EL PUNTO DE VISTA JURÍDICO LOS TEMAS RELACIONADOS CON LOS FONDOS A CARGO LA VICEPRESIDENCIA DE FONDOS EN ADMINISTRACIÓN.</v>
      </c>
    </row>
    <row r="69" spans="1:6" ht="22.5" customHeight="1">
      <c r="A69" s="53" t="s">
        <v>7633</v>
      </c>
      <c r="B69" s="51" t="s">
        <v>7709</v>
      </c>
      <c r="C69" s="53">
        <v>2024</v>
      </c>
      <c r="D69" s="52" t="str">
        <f t="shared" si="3"/>
        <v>CD-068-2024</v>
      </c>
      <c r="E69" s="20" t="s">
        <v>695</v>
      </c>
      <c r="F69" s="93" t="str">
        <f t="shared" ref="F69:F130" si="4">UPPER(E69)</f>
        <v>"PRESTAR LOS SERVICIOS TÉCNICOS EN LA ATENCIÓN DE PQRS Y REQUERIMIENTOS INTERNOS Y EXTERNOS CORRESPONDIENTES AL GRUPO DE CRÉDITO A CARGO DE LA VICEPRESIDENCIA DE CRÉDITO Y COBRANZA."</v>
      </c>
    </row>
    <row r="70" spans="1:6" ht="22.5" customHeight="1">
      <c r="A70" s="53" t="s">
        <v>7633</v>
      </c>
      <c r="B70" s="51" t="s">
        <v>7710</v>
      </c>
      <c r="C70" s="53">
        <v>2024</v>
      </c>
      <c r="D70" s="52" t="str">
        <f t="shared" si="3"/>
        <v>CD-069-2024</v>
      </c>
      <c r="E70" s="20" t="s">
        <v>705</v>
      </c>
      <c r="F70" s="93" t="str">
        <f t="shared" si="4"/>
        <v>PRESTAR LOS SERVICIOS TÉCNICOS EN LA ATENCIÓN DE PQRS Y REQUERIMIENTOS INTERNOS Y EXTERNOS CORRESPONDIENTES AL GRUPO DE CRÉDITO A CARGO DE LA VICEPRESIDENCIA DE CRÉDITO Y COBRANZA.</v>
      </c>
    </row>
    <row r="71" spans="1:6" ht="22.5" customHeight="1">
      <c r="A71" s="53" t="s">
        <v>7633</v>
      </c>
      <c r="B71" s="51" t="s">
        <v>7711</v>
      </c>
      <c r="C71" s="53">
        <v>2024</v>
      </c>
      <c r="D71" s="52" t="str">
        <f t="shared" si="3"/>
        <v>CD-070-2024</v>
      </c>
      <c r="E71" s="20" t="s">
        <v>713</v>
      </c>
      <c r="F71" s="93" t="str">
        <f t="shared" si="4"/>
        <v>PRESTAR LOS SERVICIOS PROFESIONALES PARA EL SEGUIMIENTO, EJECUCIÓN Y GESTIÓN DE LOS SUBFONDOS DE LA VICEPRESIDENCIA DE CRÉDITO Y COBRANZA (VCC) Y LAS LÍNEAS DE CRÉDITO ESPECIALES DEL PORTAFOLIO DE SERVICIOS.</v>
      </c>
    </row>
    <row r="72" spans="1:6" ht="22.5" customHeight="1">
      <c r="A72" s="53" t="s">
        <v>7633</v>
      </c>
      <c r="B72" s="51" t="s">
        <v>7712</v>
      </c>
      <c r="C72" s="53">
        <v>2024</v>
      </c>
      <c r="D72" s="52" t="str">
        <f t="shared" si="3"/>
        <v>CD-071-2024</v>
      </c>
      <c r="E72" s="20" t="s">
        <v>722</v>
      </c>
      <c r="F72" s="93" t="str">
        <f t="shared" si="4"/>
        <v>PRESTAR LOS SERVICIOS DE APOYO TÉCNICO EN EL ANÁLISIS DE SOLICITUDES DE CRÉDITO, MEDIANTE LA GESTIÓN, PROCESAMIENTO DE DATOS Y LA REALIZACIÓN DE ACTIVIDADES PROPIAS DEL PROCESO DE OTORGAMIENTO</v>
      </c>
    </row>
    <row r="73" spans="1:6" ht="22.5" customHeight="1">
      <c r="A73" s="53" t="s">
        <v>7633</v>
      </c>
      <c r="B73" s="51" t="s">
        <v>7713</v>
      </c>
      <c r="C73" s="53">
        <v>2024</v>
      </c>
      <c r="D73" s="52" t="str">
        <f t="shared" si="3"/>
        <v>CD-072-2024</v>
      </c>
      <c r="E73" s="20" t="s">
        <v>730</v>
      </c>
      <c r="F73" s="93" t="str">
        <f t="shared" si="4"/>
        <v>PRESTAR LOS SERVICIOS PROFESIONALES JURÍDICOS ESPECIALIZADOS PARA ATENDER LA ACTIVIDAD JURÍDICA DEL ICETEX, DIRIGIDO A LA IMPLEMENTACIÓN DE LA DEFENSA JURÍDICA DE LA ENTIDAD EN ACCIONES DE TUTELA.”,CON EL FIN DE QUE SE REALICE LA REVISIÓN RESPECTIVA PARA CONTINUAR CON EL TRÁMITE CONTRACTUAL PARA EL AÑO 2024</v>
      </c>
    </row>
    <row r="74" spans="1:6" ht="22.5" customHeight="1">
      <c r="A74" s="53" t="s">
        <v>7633</v>
      </c>
      <c r="B74" s="51" t="s">
        <v>7714</v>
      </c>
      <c r="C74" s="53">
        <v>2024</v>
      </c>
      <c r="D74" s="52" t="str">
        <f t="shared" si="3"/>
        <v>CD-073-2024</v>
      </c>
      <c r="E74" s="20" t="s">
        <v>740</v>
      </c>
      <c r="F74" s="93" t="str">
        <f t="shared" si="4"/>
        <v xml:space="preserve">PRESTAR SERVICIOS DE APOYO A LA GESTIÓN EN LAS ACTIVIDADES ADMINISTRATIVAS Y OPERATIVAS DEL DESPACHO DE LA SECRETARIA GENERAL DEL ICETEX. </v>
      </c>
    </row>
    <row r="75" spans="1:6" ht="22.5" customHeight="1">
      <c r="A75" s="53" t="s">
        <v>7633</v>
      </c>
      <c r="B75" s="51" t="s">
        <v>7715</v>
      </c>
      <c r="C75" s="53">
        <v>2024</v>
      </c>
      <c r="D75" s="52" t="str">
        <f t="shared" si="3"/>
        <v>CD-074-2024</v>
      </c>
      <c r="E75" s="20" t="s">
        <v>750</v>
      </c>
      <c r="F75" s="93" t="str">
        <f t="shared" si="4"/>
        <v>PRESTAR LOS SERVICIOS PROFESIONALES JURÍDICOS ESPECIALIZADOS EN TODOS LOS TEMAS CORRESPONDIENTES A LA VICEPRESIDENCIA DE CRÉDITO Y COBRANZA Y EN LO REFERENTE EN LA LIQUIDACIÓN DE LAS ALIANZAS Y/O CONVENIOS A CARGO DE LA VICEPRESIDENCIA</v>
      </c>
    </row>
    <row r="76" spans="1:6" ht="22.5" customHeight="1">
      <c r="A76" s="53" t="s">
        <v>7633</v>
      </c>
      <c r="B76" s="51" t="s">
        <v>7716</v>
      </c>
      <c r="C76" s="53">
        <v>2024</v>
      </c>
      <c r="D76" s="52" t="str">
        <f t="shared" si="3"/>
        <v>CD-075-2024</v>
      </c>
      <c r="E76" s="20" t="s">
        <v>760</v>
      </c>
      <c r="F76" s="93" t="str">
        <f t="shared" si="4"/>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77" spans="1:6" ht="22.5" customHeight="1">
      <c r="A77" s="53" t="s">
        <v>7633</v>
      </c>
      <c r="B77" s="51" t="s">
        <v>7717</v>
      </c>
      <c r="C77" s="53">
        <v>2024</v>
      </c>
      <c r="D77" s="52" t="str">
        <f t="shared" si="3"/>
        <v>CD-076-2024</v>
      </c>
      <c r="E77" s="20" t="s">
        <v>760</v>
      </c>
      <c r="F77" s="93" t="str">
        <f t="shared" si="4"/>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78" spans="1:6" ht="22.5" customHeight="1">
      <c r="A78" s="53" t="s">
        <v>7633</v>
      </c>
      <c r="B78" s="51" t="s">
        <v>7718</v>
      </c>
      <c r="C78" s="53">
        <v>2024</v>
      </c>
      <c r="D78" s="52" t="str">
        <f t="shared" si="3"/>
        <v>CD-077-2024</v>
      </c>
      <c r="E78" s="20" t="s">
        <v>774</v>
      </c>
      <c r="F78" s="93" t="str">
        <f t="shared" si="4"/>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79" spans="1:6" ht="22.5" customHeight="1">
      <c r="A79" s="53" t="s">
        <v>7633</v>
      </c>
      <c r="B79" s="51" t="s">
        <v>7719</v>
      </c>
      <c r="C79" s="53">
        <v>2024</v>
      </c>
      <c r="D79" s="52" t="str">
        <f t="shared" si="3"/>
        <v>CD-078-2024</v>
      </c>
      <c r="E79" s="20" t="s">
        <v>781</v>
      </c>
      <c r="F79" s="93" t="str">
        <f t="shared" si="4"/>
        <v>PRESTAR SERVICIOS PROFESIONALES AL GRUPO DE DESARROLLO Y TRANSFORMACIÓN ORGANIZACIONAL DE LA SECRETARÍA GENERAL PARA LA IMPLEMENTACIÓN DEL PLAN ESTRATÉGICO DEL TALENTO HUMANO EN LO CONCERNIENTE A BIENESTAR SOCIAL, INCENTIVOS Y MEJORAMIENTO DEL AMBIENTE LABORAL DEL ICETEX</v>
      </c>
    </row>
    <row r="80" spans="1:6" ht="22.5" customHeight="1">
      <c r="A80" s="53" t="s">
        <v>7633</v>
      </c>
      <c r="B80" s="51" t="s">
        <v>7720</v>
      </c>
      <c r="C80" s="53">
        <v>2024</v>
      </c>
      <c r="D80" s="52" t="str">
        <f t="shared" si="3"/>
        <v>CD-079-2024</v>
      </c>
      <c r="E80" s="20" t="s">
        <v>774</v>
      </c>
      <c r="F80" s="93" t="str">
        <f t="shared" si="4"/>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81" spans="1:6" ht="22.5" customHeight="1">
      <c r="A81" s="53" t="s">
        <v>7633</v>
      </c>
      <c r="B81" s="51" t="s">
        <v>7721</v>
      </c>
      <c r="C81" s="53">
        <v>2024</v>
      </c>
      <c r="D81" s="52" t="str">
        <f t="shared" si="3"/>
        <v>CD-080-2024</v>
      </c>
      <c r="E81" s="20" t="s">
        <v>797</v>
      </c>
      <c r="F81" s="93" t="str">
        <f t="shared" si="4"/>
        <v xml:space="preserve">PRESTAR SUS SERVICIOS PROFESIONALES APOYANDO LAS ACTIVIDADES JURÍDICAS A CARGO DE LA VICEPRESIDENCIA DE FONDOS EN ADMINISTRACIÓN.
</v>
      </c>
    </row>
    <row r="82" spans="1:6" ht="22.5" customHeight="1">
      <c r="A82" s="53" t="s">
        <v>7633</v>
      </c>
      <c r="B82" s="51" t="s">
        <v>7722</v>
      </c>
      <c r="C82" s="53">
        <v>2024</v>
      </c>
      <c r="D82" s="52" t="str">
        <f t="shared" si="3"/>
        <v>CD-081-2024</v>
      </c>
      <c r="E82" s="20" t="s">
        <v>803</v>
      </c>
      <c r="F82" s="93" t="str">
        <f t="shared" si="4"/>
        <v>PRESTAR LOS SERVICIOS PROFESIONALES ESPECIALIZADOS EN EL SEGUIMIENTO TÉCNICO Y FINANCIERO DE LOS EMPRÉSTITOS CON EL BANCO MUNDIAL, LAS EMISIONES EN CIRCULACIÓN Y EL ANÁLISIS DE NUEVAS FUENTES DE FONDEO, EN EL MARCO DEL PROYECTO PARA LA OPTIMIZACIÓN DE LA ESTRUCTURA PASIVO Y DIVERSIFICACIÓN DE LAS FUENTES DE FONDEO.</v>
      </c>
    </row>
    <row r="83" spans="1:6" ht="22.5" customHeight="1">
      <c r="A83" s="53" t="s">
        <v>7633</v>
      </c>
      <c r="B83" s="51" t="s">
        <v>7723</v>
      </c>
      <c r="C83" s="53">
        <v>2024</v>
      </c>
      <c r="D83" s="52" t="str">
        <f t="shared" si="3"/>
        <v>CD-082-2024</v>
      </c>
      <c r="E83" s="20" t="s">
        <v>812</v>
      </c>
      <c r="F83" s="93" t="str">
        <f t="shared" si="4"/>
        <v>PRESTACIÓN DE SERVICIOS PROFESIONALES ESPECIALIZADOS PARA LA ARTICULACIÓN ESTRATÉGICA EN LA DEFINICIÓN, DOCUMENTACIÓN Y CONTROL DE LAS AUDITORÍAS INTERNAS Y EXTERNAS, ANALÍTICA DE LOS RIESGOS, ASEGURAMIENTO DEL SISTEMA DE GESTIÓN DE CALIDAD Y CONTRATACIÓN DE BIENES Y SERVICIOS DE LA OPERACIÓN EN EL ICETEX.</v>
      </c>
    </row>
    <row r="84" spans="1:6" ht="22.5" customHeight="1">
      <c r="A84" s="53" t="s">
        <v>7633</v>
      </c>
      <c r="B84" s="51" t="s">
        <v>7724</v>
      </c>
      <c r="C84" s="53">
        <v>2024</v>
      </c>
      <c r="D84" s="52" t="str">
        <f t="shared" si="3"/>
        <v>CD-083-2024</v>
      </c>
      <c r="E84" s="20" t="s">
        <v>825</v>
      </c>
      <c r="F84" s="93" t="str">
        <f t="shared" si="4"/>
        <v>PRESTAR LOS SERVICIOS PROFESIONALES EN LA SECRETARIA GENERAL EN LOS ASUNTOS RELACIONADOS CON EL GOBIERNO CORPORATIVO Y DEMÁS ACTIVIDADES QUE SURJAN EN EL EJERCICIO DE LA SECRETARÍA TÉCNICA DE LA JUNTA DIRECTIVA DEL ICETEX</v>
      </c>
    </row>
    <row r="85" spans="1:6" ht="22.5" customHeight="1">
      <c r="A85" s="53" t="s">
        <v>7633</v>
      </c>
      <c r="B85" s="51" t="s">
        <v>7725</v>
      </c>
      <c r="C85" s="53">
        <v>2024</v>
      </c>
      <c r="D85" s="52" t="str">
        <f t="shared" si="3"/>
        <v>CD-084-2024</v>
      </c>
      <c r="E85" s="20" t="s">
        <v>760</v>
      </c>
      <c r="F85" s="93" t="str">
        <f t="shared" si="4"/>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86" spans="1:6" ht="22.5" customHeight="1">
      <c r="A86" s="53" t="s">
        <v>7633</v>
      </c>
      <c r="B86" s="51" t="s">
        <v>7726</v>
      </c>
      <c r="C86" s="53">
        <v>2024</v>
      </c>
      <c r="D86" s="52" t="str">
        <f t="shared" si="3"/>
        <v>CD-085-2024</v>
      </c>
      <c r="E86" s="20" t="s">
        <v>839</v>
      </c>
      <c r="F86" s="93" t="str">
        <f t="shared" si="4"/>
        <v xml:space="preserve">PRESTACIÓN DE SERVICIOS PROFESIONALES ESPECIALIZADOS PARA ARTICULAR ESTRATÉGICAMENTE EL CIERRE MENSUAL DE LA CARTERA, DEFINICIÓN Y DOCUMENTACIÓN DE REQUERIMIENTOS FUNCIONALES Y NO FUNCIONALES, ASÍ COMO METODOLOGÍAS PARA LA GESTIÓN DEL CONOCIMIENTO DEL ICETEX.  </v>
      </c>
    </row>
    <row r="87" spans="1:6" ht="22.5" customHeight="1">
      <c r="A87" s="53" t="s">
        <v>7633</v>
      </c>
      <c r="B87" s="51" t="s">
        <v>7727</v>
      </c>
      <c r="C87" s="53">
        <v>2024</v>
      </c>
      <c r="D87" s="52" t="str">
        <f t="shared" si="3"/>
        <v>CD-086-2024</v>
      </c>
      <c r="E87" s="20" t="s">
        <v>676</v>
      </c>
      <c r="F87" s="93" t="str">
        <f t="shared" si="4"/>
        <v>PRESTAR SUS SERVICIOS PROFESIONALES APOYANDO DESDE EL PUNTO DE VISTA JURÍDICO LOS TEMAS RELACIONADOS CON LOS FONDOS A CARGO LA VICEPRESIDENCIA DE FONDOS EN ADMINISTRACIÓN.</v>
      </c>
    </row>
    <row r="88" spans="1:6" ht="22.5" customHeight="1">
      <c r="A88" s="53" t="s">
        <v>7633</v>
      </c>
      <c r="B88" s="51" t="s">
        <v>7728</v>
      </c>
      <c r="C88" s="53">
        <v>2024</v>
      </c>
      <c r="D88" s="52" t="str">
        <f t="shared" si="3"/>
        <v>CD-087-2024</v>
      </c>
      <c r="E88" s="20" t="s">
        <v>855</v>
      </c>
      <c r="F88" s="93" t="str">
        <f t="shared" si="4"/>
        <v>PRESTAR SUS SERVICIOS PROFESIONALES APOYANDO LA GESTIÓN FINANCIERA Y PRESUPUESTAL A CARGO DE LA VICEPRESIDENCIA DE FONDOS EN ADMINISTRACIÓN, ASÍ COMO LAS ACTIVIDADES ADMINISTRATIVAS RELACIONADAS CON LAS MISMAS</v>
      </c>
    </row>
    <row r="89" spans="1:6" ht="22.5" customHeight="1">
      <c r="A89" s="53" t="s">
        <v>7633</v>
      </c>
      <c r="B89" s="51" t="s">
        <v>7729</v>
      </c>
      <c r="C89" s="53">
        <v>2024</v>
      </c>
      <c r="D89" s="52" t="str">
        <f t="shared" si="3"/>
        <v>CD-088-2024</v>
      </c>
      <c r="E89" s="20" t="s">
        <v>863</v>
      </c>
      <c r="F89" s="93" t="str">
        <f t="shared" si="4"/>
        <v xml:space="preserve">PRESTACIÓN DE SERVICIOS TÉCNICOS DE APOYO PARA EL TRÁMITE DE ACTIVIDADES ADMINISTRATIVAS PROPIAS DEL ICETEX. </v>
      </c>
    </row>
    <row r="90" spans="1:6" ht="22.5" customHeight="1">
      <c r="A90" s="53" t="s">
        <v>7633</v>
      </c>
      <c r="B90" s="51" t="s">
        <v>7730</v>
      </c>
      <c r="C90" s="53">
        <v>2024</v>
      </c>
      <c r="D90" s="52" t="str">
        <f t="shared" si="3"/>
        <v>CD-089-2024</v>
      </c>
      <c r="E90" s="20" t="s">
        <v>874</v>
      </c>
      <c r="F90" s="93" t="str">
        <f t="shared" si="4"/>
        <v>PRESTACIÓN DE SERVICIOS PROFESIONALES ESPECIALIZADOS PARA EL DESARROLLO DE LAS ACTIVIDADES DE CONCILIACIÓN DE LA CARTERA Y/O CONTABLES RELACIONADAS CON LA GESTIÓN DE OPERACIONES DEL ICETEX</v>
      </c>
    </row>
    <row r="91" spans="1:6" ht="22.5" customHeight="1">
      <c r="A91" s="53" t="s">
        <v>7633</v>
      </c>
      <c r="B91" s="51" t="s">
        <v>7731</v>
      </c>
      <c r="C91" s="53">
        <v>2024</v>
      </c>
      <c r="D91" s="52" t="str">
        <f t="shared" si="3"/>
        <v>CD-090-2024</v>
      </c>
      <c r="E91" s="20" t="s">
        <v>882</v>
      </c>
      <c r="F91" s="93" t="str">
        <f t="shared" si="4"/>
        <v>PRESTAR SERVICIOS PROFESIONALES ESPECIALIZADOS PARA IDEAR Y EJECUTAR ALTERNATIVAS DE APOYO FINANCIERO, DE ESTUDIO Y POLÍTICAS DE CRÉDITO EDUCATIVO Y/O DESARROLLO DE NUEVOS PRODUCTOS, SERVIR DE ARTICULADORA EN LOS PROYECTOS DE TRANSFORMACIÓN E INNOVACIÓN CON IMPACTO EN EL ÁREA</v>
      </c>
    </row>
    <row r="92" spans="1:6" ht="22.5" customHeight="1">
      <c r="A92" s="53" t="s">
        <v>7633</v>
      </c>
      <c r="B92" s="51" t="s">
        <v>7732</v>
      </c>
      <c r="C92" s="53">
        <v>2024</v>
      </c>
      <c r="D92" s="52" t="str">
        <f t="shared" si="3"/>
        <v>CD-091-2024</v>
      </c>
      <c r="E92" s="20" t="s">
        <v>892</v>
      </c>
      <c r="F92" s="93" t="str">
        <f t="shared" si="4"/>
        <v>PRESTAR LOS SERVICIOS PROFESIONALES JURÍDICOS ESPECIALIZADOS PARA ATENDER LA ACTIVIDAD JURÍDICA DEL ICETEX, DIRIGIDO A LA IMPLEMENTACIÓN DE LA DEFENSA JURÍDICA DE LA ENTIDAD EN ACCIONES DE TUTELA.</v>
      </c>
    </row>
    <row r="93" spans="1:6" ht="22.5" customHeight="1">
      <c r="A93" s="53" t="s">
        <v>7633</v>
      </c>
      <c r="B93" s="51" t="s">
        <v>7733</v>
      </c>
      <c r="C93" s="53">
        <v>2024</v>
      </c>
      <c r="D93" s="52" t="str">
        <f t="shared" si="3"/>
        <v>CD-092-2024</v>
      </c>
      <c r="E93" s="20" t="s">
        <v>900</v>
      </c>
      <c r="F93" s="93" t="str">
        <f t="shared" si="4"/>
        <v>PRESTAR SERVICIOS PROFESIONALES ESPECIALIZADOS PARA LA COORDINACIÓN, DESARROLLO Y EJECUCIÓN DEL PLAN COMERCIAL DE LA TERRITORIAL NORTE QUE FOMENTE LA REGIONALIZACIÓN DEL PORTAFOLIO DE SERVICIOS DE LCETEX, EN ARTICULACIÓN CON LA OFICINA COMERCIAL Y DE MERCADEO DEL NIVEL CENTRAL</v>
      </c>
    </row>
    <row r="94" spans="1:6" ht="22.5" customHeight="1">
      <c r="A94" s="53" t="s">
        <v>7633</v>
      </c>
      <c r="B94" s="51" t="s">
        <v>7734</v>
      </c>
      <c r="C94" s="53">
        <v>2024</v>
      </c>
      <c r="D94" s="52" t="str">
        <f t="shared" si="3"/>
        <v>CD-093-2024</v>
      </c>
      <c r="E94" s="20" t="s">
        <v>911</v>
      </c>
      <c r="F94" s="93" t="str">
        <f t="shared" si="4"/>
        <v>PRESTAR SERVICIOS PROFESIONALES ESPECIALIZADOS PARA LA COORDINACIÓN, DESARROLLO Y EJECUCIÓN DEL PLAN COMERCIAL DE LA TERRITORIAL NOROCCIDENTE QUE FOMENTE LA REGIONALIZACIÓN DEL PORTAFOLIO DE SERVICIOS DE ICETEX, EN ARTICULACIÓN CON LA OFICINA COMERCIAL Y DE MERCADEO DEL NIVEL CENTRAL.</v>
      </c>
    </row>
    <row r="95" spans="1:6" ht="22.5" customHeight="1">
      <c r="A95" s="53" t="s">
        <v>7633</v>
      </c>
      <c r="B95" s="51" t="s">
        <v>7735</v>
      </c>
      <c r="C95" s="53">
        <v>2024</v>
      </c>
      <c r="D95" s="52" t="str">
        <f t="shared" si="3"/>
        <v>CD-094-2024</v>
      </c>
      <c r="E95" s="20" t="s">
        <v>919</v>
      </c>
      <c r="F95" s="93" t="str">
        <f t="shared" si="4"/>
        <v>PRESTAR SERVICIOS PROFESIONALES ESPECIALIZADOS PARA REALIZAR SEGUIMIENTO , DESARROLLO Y EJECUCIÓN DE LA SUPERVISIÓN TÉCNICA AL CONTRATO 2023 - 0704; UT INTERVENTORÍA BOP 2023</v>
      </c>
    </row>
    <row r="96" spans="1:6" ht="22.5" customHeight="1">
      <c r="A96" s="53" t="s">
        <v>7633</v>
      </c>
      <c r="B96" s="51" t="s">
        <v>7736</v>
      </c>
      <c r="C96" s="53">
        <v>2024</v>
      </c>
      <c r="D96" s="52" t="str">
        <f t="shared" si="3"/>
        <v>CD-095-2024</v>
      </c>
      <c r="E96" s="20" t="s">
        <v>928</v>
      </c>
      <c r="F96" s="93" t="str">
        <f t="shared" si="4"/>
        <v>PRESTAR SERVICIOS PROFESIONALES ESPECIALIZADOS PARA DIRIGIR Y PROPONER LA EJECUCIÓN DE ACTIVIDADES ASOCIADAS AL DESARROLLO, SEGUIMIENTO, CONTROL Y ASEGURAMIENTO DE LOS PROYECTOS DE MEJORA CONTINUA QUE LE SEAN ASIGNADOS EN EL MARCO DE LOS PROCESOS DE LA OFICINA COMERCIAL Y DE MERCADEO Y SUS DIFERENTES EQUIPOS DE TRABAJO</v>
      </c>
    </row>
    <row r="97" spans="1:6" ht="22.5" customHeight="1">
      <c r="A97" s="53" t="s">
        <v>7633</v>
      </c>
      <c r="B97" s="51" t="s">
        <v>7737</v>
      </c>
      <c r="C97" s="53">
        <v>2024</v>
      </c>
      <c r="D97" s="52" t="str">
        <f t="shared" si="3"/>
        <v>CD-096-2024</v>
      </c>
      <c r="E97" s="20" t="s">
        <v>936</v>
      </c>
      <c r="F97" s="93" t="str">
        <f t="shared" si="4"/>
        <v>PRESTAR SERVICIOS PROFESIONALES ESPECIALIZADOS EN EL DESARROLLO Y SEGUIMIENTO DE LOS PLANES Y PROYECTOS DE LA POLÍTICA DE GESTIÓN DOCUMENTAL, ASÍ COMO EL APOYO A LA SUPERVISIÓN DE LOS PROCESOS CONTRACTUALES DE GESTIÓN DOCUMENTAL QUE ADELANTE LA ENTIDAD</v>
      </c>
    </row>
    <row r="98" spans="1:6" ht="22.5" customHeight="1">
      <c r="A98" s="53" t="s">
        <v>7633</v>
      </c>
      <c r="B98" s="51" t="s">
        <v>7738</v>
      </c>
      <c r="C98" s="53">
        <v>2024</v>
      </c>
      <c r="D98" s="52" t="str">
        <f t="shared" si="3"/>
        <v>CD-097-2024</v>
      </c>
      <c r="E98" s="20" t="s">
        <v>947</v>
      </c>
      <c r="F98" s="93" t="str">
        <f t="shared" si="4"/>
        <v>PRESTAR LOS SERVICIOS PROFESIONALES PARA APOYAR JURÍDICAMENTE LOS ASPECTOS CONTRACTUAL Y LEGALES DE LA OFICINA ASESORA DE COMUNICACIONES.</v>
      </c>
    </row>
    <row r="99" spans="1:6" ht="22.5" customHeight="1">
      <c r="A99" s="53" t="s">
        <v>7691</v>
      </c>
      <c r="B99" s="51" t="s">
        <v>7739</v>
      </c>
      <c r="C99" s="53">
        <v>2024</v>
      </c>
      <c r="D99" s="52" t="str">
        <f>CONCATENATE(A99,"-",B99,"-",C99)</f>
        <v>IMC-098-2024</v>
      </c>
      <c r="E99" s="20" t="s">
        <v>7740</v>
      </c>
      <c r="F99" s="93" t="str">
        <f t="shared" si="4"/>
        <v xml:space="preserve">SUMINISTRO DE TIQUETES AÉREOS EN RUTAS NACIONALES E INTERNACIONALES PARA LOS FUNCIONARIOS Y CONTRATISTAS DEL ICETEX, CUANDO EL EJERCICIO DE SUS FUNCIONES U OBLIGACIONES ASÍ LO EXIJA Y SUMINISTRO DE TIQUETES AÉREOS EN RUTAS NACIONALES E INTERNACIONALES PARA LOS BENEFICIARIOS DE LOS PROGRAMAS DEL PORTAFOLIO INTERNACIONAL DEL ICETEX
</v>
      </c>
    </row>
    <row r="100" spans="1:6" ht="22.5" customHeight="1">
      <c r="A100" s="53" t="s">
        <v>7633</v>
      </c>
      <c r="B100" s="51" t="s">
        <v>7741</v>
      </c>
      <c r="C100" s="53">
        <v>2024</v>
      </c>
      <c r="D100" s="52" t="str">
        <f t="shared" si="3"/>
        <v>CD-099-2024</v>
      </c>
      <c r="E100" s="20" t="s">
        <v>959</v>
      </c>
      <c r="F100" s="93" t="str">
        <f t="shared" si="4"/>
        <v>PRESTAR LOS SERVICIOS DE APOYO TÉCNICO EN EL ANÁLISIS DE SOLICITUDES DE CRÉDITO, PARA REALIZAR LAS VALIDACIONES PROPIAS DEL PROCESO DE OTORGAMIENTO CON LAS DIFERENTES ÁREAS DE LA ENTIDAD.</v>
      </c>
    </row>
    <row r="101" spans="1:6" ht="22.5" customHeight="1">
      <c r="A101" s="53" t="s">
        <v>7633</v>
      </c>
      <c r="B101" s="51" t="s">
        <v>7742</v>
      </c>
      <c r="C101" s="53">
        <v>2024</v>
      </c>
      <c r="D101" s="52" t="str">
        <f t="shared" si="3"/>
        <v>CD-100-2024</v>
      </c>
      <c r="E101" s="20" t="s">
        <v>968</v>
      </c>
      <c r="F101" s="93" t="str">
        <f t="shared" si="4"/>
        <v>PRESTAR SERVICIOS DE APOYO A LA GESTIÓN EN LAS ACTIVIDADES PROPIAS DEL PROCESO DE GESTIÓN DE CORRESPONDENCIA, RELACIONADAS CON LA RADICACIÓN, ALISTAMIENTO PARA ENTREGA Y DISTRIBUCIÓN, DIGITALIZACIÓN, ORGANIZACIÓN Y ARCHIVO DE LAS COMUNICACIONES OFICIALES RECIBIDAS EN EL ICETEX Y ENVIADAS A TRAVÉS DEL SERVICIO POSTAL, EN EL MARCO DE LAS POLÍTICAS DE SERVICIO AL CIUDADANO Y GESTIÓN DOCUMENTAL DEL MIPG.</v>
      </c>
    </row>
    <row r="102" spans="1:6" ht="22.5" customHeight="1">
      <c r="A102" s="53" t="s">
        <v>7633</v>
      </c>
      <c r="B102" s="51" t="s">
        <v>7743</v>
      </c>
      <c r="C102" s="53">
        <v>2024</v>
      </c>
      <c r="D102" s="52" t="str">
        <f t="shared" si="3"/>
        <v>CD-101-2024</v>
      </c>
      <c r="E102" s="20" t="s">
        <v>979</v>
      </c>
      <c r="F102" s="93" t="str">
        <f t="shared" si="4"/>
        <v>PRESTAR LOS SERVICIOS PROFESIONALES ESPECIALIZADOS EN COMUNICACIONES PARA GESTIONAR EL DESARROLLO Y EL SEGUIMIENTO DE LAS ESTRATEGIAS DE COMUNICACIONES</v>
      </c>
    </row>
    <row r="103" spans="1:6" ht="22.5" customHeight="1">
      <c r="A103" s="53" t="s">
        <v>7633</v>
      </c>
      <c r="B103" s="51" t="s">
        <v>7744</v>
      </c>
      <c r="C103" s="53">
        <v>2024</v>
      </c>
      <c r="D103" s="52" t="str">
        <f t="shared" si="3"/>
        <v>CD-102-2024</v>
      </c>
      <c r="E103" s="20" t="s">
        <v>988</v>
      </c>
      <c r="F103" s="93" t="str">
        <f t="shared" si="4"/>
        <v>PRESTAR LOS SERVICIOS PROFESIONALES A LA SECRETARIA GENERAL EN LAS ACTIVIDADES RELACIONADAS CON EL CONTROL Y SEGUIMIENTO A LA EJECUCIÓN PRESUPUESTAL, ASÍ COMO EN LA GESTIÓN CONTRACTUAL DEL ICETEX.</v>
      </c>
    </row>
    <row r="104" spans="1:6" ht="22.5" customHeight="1">
      <c r="A104" s="53" t="s">
        <v>7633</v>
      </c>
      <c r="B104" s="51" t="s">
        <v>7745</v>
      </c>
      <c r="C104" s="53">
        <v>2024</v>
      </c>
      <c r="D104" s="52" t="str">
        <f t="shared" si="3"/>
        <v>CD-103-2024</v>
      </c>
      <c r="E104" s="20" t="s">
        <v>995</v>
      </c>
      <c r="F104" s="93" t="str">
        <f t="shared" si="4"/>
        <v xml:space="preserve"> PRESTACIÓN DE SERVICIOS PROFESIONALES ESPECIALIZADOS PARA LA GESTIÓN DEL CIERRE MENSUAL DE LA CARTERA Y CONCILIACIÓN DE CUENTAS DE LOS PRODUCTOS DEL PORTAFOLIO DEL ICETEX</v>
      </c>
    </row>
    <row r="105" spans="1:6" ht="22.5" customHeight="1">
      <c r="A105" s="53" t="s">
        <v>7633</v>
      </c>
      <c r="B105" s="51" t="s">
        <v>7746</v>
      </c>
      <c r="C105" s="53">
        <v>2024</v>
      </c>
      <c r="D105" s="52" t="str">
        <f t="shared" si="3"/>
        <v>CD-104-2024</v>
      </c>
      <c r="E105" s="20" t="s">
        <v>1004</v>
      </c>
      <c r="F105" s="93" t="str">
        <f t="shared" si="4"/>
        <v>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v>
      </c>
    </row>
    <row r="106" spans="1:6" ht="22.5" customHeight="1">
      <c r="A106" s="53" t="s">
        <v>7633</v>
      </c>
      <c r="B106" s="51" t="s">
        <v>7747</v>
      </c>
      <c r="C106" s="53">
        <v>2024</v>
      </c>
      <c r="D106" s="52" t="str">
        <f t="shared" si="3"/>
        <v>CD-105-2024</v>
      </c>
      <c r="E106" s="20" t="s">
        <v>1012</v>
      </c>
      <c r="F106" s="93" t="str">
        <f t="shared" si="4"/>
        <v>PRESTAR LOS SERVICIOS PROFESIONALES PARA LA REALIZACIÓN DE PRODUCCIÓN AUDIOVISUAL PARA LA DIVULGACIÓN DE LA GESTIÓN E INFORMACIÓN DE LA ENTIDAD, DE ACUERDO A LOS LINEAMIENTOS DE LA OFICINA ASESORA DE COMUNICACIONES.</v>
      </c>
    </row>
    <row r="107" spans="1:6" ht="22.5" customHeight="1">
      <c r="A107" s="53" t="s">
        <v>7633</v>
      </c>
      <c r="B107" s="51" t="s">
        <v>7748</v>
      </c>
      <c r="C107" s="53">
        <v>2024</v>
      </c>
      <c r="D107" s="52" t="str">
        <f t="shared" si="3"/>
        <v>CD-106-2024</v>
      </c>
      <c r="E107" s="20" t="s">
        <v>1021</v>
      </c>
      <c r="F107" s="93" t="str">
        <f t="shared" si="4"/>
        <v>APOYAR LA GESTIÓN ADMINISTRATIVA, COMERCIAL Y OPERATIVA DE LA TERRITORIAL SUROCCIDENTE EN ARTICULACIÓN CON LA OFICINA COMERCIAL Y DE MERCADEO Y, LAS DEMÁS DEPENDENCIAS DEL NIVEL CENTRAL..</v>
      </c>
    </row>
    <row r="108" spans="1:6" ht="22.5" customHeight="1">
      <c r="A108" s="53" t="s">
        <v>7633</v>
      </c>
      <c r="B108" s="51" t="s">
        <v>7749</v>
      </c>
      <c r="C108" s="53">
        <v>2024</v>
      </c>
      <c r="D108" s="52" t="str">
        <f t="shared" si="3"/>
        <v>CD-107-2024</v>
      </c>
      <c r="E108" s="20" t="s">
        <v>7750</v>
      </c>
      <c r="F108" s="93" t="str">
        <f t="shared" si="4"/>
        <v>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v>
      </c>
    </row>
    <row r="109" spans="1:6" ht="22.5" customHeight="1">
      <c r="A109" s="53" t="s">
        <v>7633</v>
      </c>
      <c r="B109" s="51" t="s">
        <v>7751</v>
      </c>
      <c r="C109" s="53">
        <v>2024</v>
      </c>
      <c r="D109" s="52" t="str">
        <f t="shared" si="3"/>
        <v>CD-108-2024</v>
      </c>
      <c r="E109" s="20" t="s">
        <v>1037</v>
      </c>
      <c r="F109" s="93" t="str">
        <f t="shared" si="4"/>
        <v xml:space="preserve">PRESTAR SUS SERVICIOS PROFESIONALES EN LA ELABORACIÓN Y REVISIÓN DE DOCUMENTOS, INFORMES, ÓRDENES DE PAGO, COMISIONES Y LAS DEMÁS ACTIVIDADES DE LA GESTIÓN FINANCIERA Y PRESUPUESTAL A CARGO DE LA VICEPRESIDENCIA DE FONDOS EN ADMINISTRACIÓN. </v>
      </c>
    </row>
    <row r="110" spans="1:6" ht="22.5" customHeight="1">
      <c r="A110" s="53" t="s">
        <v>7633</v>
      </c>
      <c r="B110" s="51" t="s">
        <v>7752</v>
      </c>
      <c r="C110" s="53">
        <v>2024</v>
      </c>
      <c r="D110" s="52" t="str">
        <f t="shared" si="3"/>
        <v>CD-109-2024</v>
      </c>
      <c r="E110" s="20" t="s">
        <v>1045</v>
      </c>
      <c r="F110" s="93" t="str">
        <f t="shared" si="4"/>
        <v>PRESTAR SERVICIOS PROFESIONALES ESPECIALIZADOS PARA LA IDENTIFICACIÓN DE OPORTUNIDADES DE MEJORA EN LOS PROCESOS Y PROCEDIMIENTOS DE LA ENTIDAD, ASÍ COMO IMPLEMENTAR ESTRATEGIAS QUE PERMITAN AUMENTAR LA EXPERIENCIA Y SATISFACCIÓN DE LOS BENEFICIARIOS, CIUDADANOS E IES EN LOS CANALES DE ATENCIÓN Y GESTIÓN</v>
      </c>
    </row>
    <row r="111" spans="1:6" ht="22.5" customHeight="1">
      <c r="A111" s="53" t="s">
        <v>7633</v>
      </c>
      <c r="B111" s="51" t="s">
        <v>7753</v>
      </c>
      <c r="C111" s="53">
        <v>2024</v>
      </c>
      <c r="D111" s="52" t="str">
        <f t="shared" si="3"/>
        <v>CD-110-2024</v>
      </c>
      <c r="E111" s="20" t="s">
        <v>1045</v>
      </c>
      <c r="F111" s="93" t="str">
        <f t="shared" si="4"/>
        <v>PRESTAR SERVICIOS PROFESIONALES ESPECIALIZADOS PARA LA IDENTIFICACIÓN DE OPORTUNIDADES DE MEJORA EN LOS PROCESOS Y PROCEDIMIENTOS DE LA ENTIDAD, ASÍ COMO IMPLEMENTAR ESTRATEGIAS QUE PERMITAN AUMENTAR LA EXPERIENCIA Y SATISFACCIÓN DE LOS BENEFICIARIOS, CIUDADANOS E IES EN LOS CANALES DE ATENCIÓN Y GESTIÓN</v>
      </c>
    </row>
    <row r="112" spans="1:6" ht="22.5" customHeight="1">
      <c r="A112" s="53" t="s">
        <v>7633</v>
      </c>
      <c r="B112" s="51" t="s">
        <v>7754</v>
      </c>
      <c r="C112" s="53">
        <v>2024</v>
      </c>
      <c r="D112" s="52" t="str">
        <f t="shared" si="3"/>
        <v>CD-111-2024</v>
      </c>
      <c r="E112" s="20" t="s">
        <v>1060</v>
      </c>
      <c r="F112" s="93" t="str">
        <f t="shared" si="4"/>
        <v>PRESTAR SERVICIOS PROFESIONALES ESPECIALIZADOS CON EL FIN DE EJECUTAR ESTRATEGIAS PARA EL MEJORAMIENTO DE LA SATISFACCIÓN DE LOS GRUPOS DE INTERÉS ICETEX (BENEFICIARIOS, CIUDADANOS, IES) EN SUS INTERACCIONES CON LA ENTIDAD.</v>
      </c>
    </row>
    <row r="113" spans="1:6" ht="22.5" customHeight="1">
      <c r="A113" s="53" t="s">
        <v>7633</v>
      </c>
      <c r="B113" s="51" t="s">
        <v>7755</v>
      </c>
      <c r="C113" s="53">
        <v>2024</v>
      </c>
      <c r="D113" s="52" t="str">
        <f t="shared" si="3"/>
        <v>CD-112-2024</v>
      </c>
      <c r="E113" s="20" t="s">
        <v>1069</v>
      </c>
      <c r="F113" s="93" t="str">
        <f t="shared" si="4"/>
        <v>PRESTAR LOS SERVICIOS PROFESIONALES PARA GESTIONAR ACTIVIDADES ADMINISTRATIVAS Y OPERATIVAS QUE SE REQUIERAN LA OFICINA ASESORA DE COMUNICACIONES</v>
      </c>
    </row>
    <row r="114" spans="1:6" ht="22.5" customHeight="1">
      <c r="A114" s="53" t="s">
        <v>7633</v>
      </c>
      <c r="B114" s="51" t="s">
        <v>7756</v>
      </c>
      <c r="C114" s="53">
        <v>2024</v>
      </c>
      <c r="D114" s="52" t="str">
        <f t="shared" si="3"/>
        <v>CD-113-2024</v>
      </c>
      <c r="E114" s="20" t="s">
        <v>1078</v>
      </c>
      <c r="F114" s="93" t="str">
        <f t="shared" si="4"/>
        <v>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v>
      </c>
    </row>
    <row r="115" spans="1:6" ht="22.5" customHeight="1">
      <c r="A115" s="53" t="s">
        <v>7633</v>
      </c>
      <c r="B115" s="51" t="s">
        <v>7757</v>
      </c>
      <c r="C115" s="53">
        <v>2024</v>
      </c>
      <c r="D115" s="52" t="str">
        <f t="shared" si="3"/>
        <v>CD-114-2024</v>
      </c>
      <c r="E115" s="20" t="s">
        <v>1086</v>
      </c>
      <c r="F115" s="93" t="str">
        <f t="shared" si="4"/>
        <v>PRESTAR SERVICIOS PROFESIONALES PARA LA EXTRACCION, REVISION, DEPURACION, GENERACION Y MANTENIMIENTO DE INFORMES, PARA EFECTOS DEL SEGUIMIENTO OPERATIVO, GENERACION Y MEDICION DE KPI, EN EL AMRCO DE LAS ACTIVIDADES DE SERVICIO DE ATENCION AL USUARIO Y ACTIVIDADES DE GESTION COMERCIAL, EN EL MARCO DE DESARROLLO DE GESTION DEL GOBIERNO DE DATOS DE LA OFICINA COMERCIAL Y DE MERCADEO</v>
      </c>
    </row>
    <row r="116" spans="1:6" ht="22.5" customHeight="1">
      <c r="A116" s="53" t="s">
        <v>7633</v>
      </c>
      <c r="B116" s="51" t="s">
        <v>7758</v>
      </c>
      <c r="C116" s="53">
        <v>2024</v>
      </c>
      <c r="D116" s="52" t="str">
        <f t="shared" si="3"/>
        <v>CD-115-2024</v>
      </c>
      <c r="E116" s="20" t="s">
        <v>1094</v>
      </c>
      <c r="F116" s="93" t="str">
        <f t="shared" si="4"/>
        <v>PRESTAR SERVICIOS PROFESIONALES ESPECIALIZADOS PARA ADMINISTRAR, ESTABLECER Y MONITOREAR LA EVOLUCIÓN DE INICIATIVAS BAJO ESTÁNDARES DE INNOVACIÓN SOCIAL Y EDUCATIVA, COORDINÁNDOSE CON LAS ÁREAS RELEVANTES Y SIGUIENDO EL PLAN ESTRATÉGICO DE LA ENTIDAD Y LA "POLÍTICA DE GUÍA, INFORMACIÓN Y ACOMPAÑAMIENTO</v>
      </c>
    </row>
    <row r="117" spans="1:6" ht="22.5" customHeight="1">
      <c r="A117" s="53" t="s">
        <v>7633</v>
      </c>
      <c r="B117" s="51" t="s">
        <v>7759</v>
      </c>
      <c r="C117" s="53">
        <v>2024</v>
      </c>
      <c r="D117" s="52" t="str">
        <f t="shared" si="3"/>
        <v>CD-116-2024</v>
      </c>
      <c r="E117" s="20" t="s">
        <v>1102</v>
      </c>
      <c r="F117" s="93" t="e">
        <f>UPPER(#REF!)</f>
        <v>#REF!</v>
      </c>
    </row>
    <row r="118" spans="1:6" ht="22.5" customHeight="1">
      <c r="A118" s="53" t="s">
        <v>7633</v>
      </c>
      <c r="B118" s="51" t="s">
        <v>7760</v>
      </c>
      <c r="C118" s="53">
        <v>2024</v>
      </c>
      <c r="D118" s="52" t="str">
        <f t="shared" si="3"/>
        <v>CD-117-2024</v>
      </c>
      <c r="E118" s="20" t="s">
        <v>1109</v>
      </c>
      <c r="F118" s="93" t="str">
        <f>UPPER(E117)</f>
        <v>PRESTAR SERVICIOS PROFESIONALES PARA LA GESTIÓN, MEDICIÓN DE RESULTADOS Y ACOMPAÑAMIENTO A LA ESTRATEGIA DE FORMACIÓN Y DE ENTRENAMIENTO DE LOS EQUIPOS DE SERVICIO Y COMERCIAL DE LA OFICINA COMERCIAL Y DE MERCADEO”,</v>
      </c>
    </row>
    <row r="119" spans="1:6" ht="22.5" customHeight="1">
      <c r="A119" s="53" t="s">
        <v>7633</v>
      </c>
      <c r="B119" s="51" t="s">
        <v>7761</v>
      </c>
      <c r="C119" s="53">
        <v>2024</v>
      </c>
      <c r="D119" s="52" t="str">
        <f t="shared" si="3"/>
        <v>CD-118-2024</v>
      </c>
      <c r="E119" s="20" t="s">
        <v>1109</v>
      </c>
      <c r="F119" s="93" t="str">
        <f>UPPER(E118)</f>
        <v>PRESTAR SERVICIOS PROFESIONALES ESPECIALIZADOS EN ANALÍTICA DE DATOS A TRAVÉS DE LA RECOPILACIÓN, ANÁLISIS E LA INTERPRETACIÓN DE LOS MISMOS QUE PERMITAN LA ESTRUCTURACIÓN DE MODELOS Y ESCENARIOS CON EL FIN DE OPTIMIZAR LA ASIGNACIÓN DE RECURSOS PARA LA IMPLEMENTACIÓN DEL PROYECTO PARA LA OPTIMIZACIÓN DE LA ESTRUCTURA PASIVO Y DIVERSIFICACIÓN DE LAS FUENTES DE FONDEO</v>
      </c>
    </row>
    <row r="120" spans="1:6" ht="22.5" customHeight="1">
      <c r="A120" s="53" t="s">
        <v>7633</v>
      </c>
      <c r="B120" s="51" t="s">
        <v>7762</v>
      </c>
      <c r="C120" s="53">
        <v>2024</v>
      </c>
      <c r="D120" s="52" t="str">
        <f t="shared" si="3"/>
        <v>CD-119-2024</v>
      </c>
      <c r="E120" s="20" t="s">
        <v>1126</v>
      </c>
      <c r="F120" s="93" t="str">
        <f t="shared" si="4"/>
        <v>PRESTACIÓN DE SERVICIOS PROFESIONALES ESPECIALIZADOS PARA LA ARTICULACIÓN ESTRATÉGICA EN LA CONCILIACIÓN, DEPURACIÓN, INTEGRACIÓN DE INFORMACIÓN Y CIERRE DE LA CARTERA DE ALIADOS ESTRATÉGICOS, DE ACUERDO CON LAS NORMAS Y REGULACIONES CONTABLES EN EL ICETEX</v>
      </c>
    </row>
    <row r="121" spans="1:6" ht="22.5" customHeight="1">
      <c r="A121" s="53" t="s">
        <v>7633</v>
      </c>
      <c r="B121" s="51" t="s">
        <v>7763</v>
      </c>
      <c r="C121" s="53">
        <v>2024</v>
      </c>
      <c r="D121" s="52" t="str">
        <f t="shared" si="3"/>
        <v>CD-120-2024</v>
      </c>
      <c r="E121" s="20" t="s">
        <v>1134</v>
      </c>
      <c r="F121" s="93" t="str">
        <f t="shared" si="4"/>
        <v>PRESTACIÓN DE SERVICIOS PROFESIONALES EN LAS ACTIVIDADES RELACIONADAS CON GESTIÓN DE PETICIONES, QUEJAS, RECLAMOS; ASÍ COMO LA ENTREGA DE INSUMOS DE INFORMACIÒN PARA LA ATENCIÓN DE TUTELAS Y FALLOS JUDICIALES DEL ICETEX</v>
      </c>
    </row>
    <row r="122" spans="1:6" ht="22.5" customHeight="1">
      <c r="A122" s="53" t="s">
        <v>7633</v>
      </c>
      <c r="B122" s="51" t="s">
        <v>7764</v>
      </c>
      <c r="C122" s="53">
        <v>2024</v>
      </c>
      <c r="D122" s="52" t="str">
        <f t="shared" si="3"/>
        <v>CD-121-2024</v>
      </c>
      <c r="E122" s="20" t="s">
        <v>7765</v>
      </c>
      <c r="F122" s="93" t="str">
        <f t="shared" si="4"/>
        <v xml:space="preserve">PRESTAR SUS SERVICIOS PROFESIONALES APOYANDO LAS ACTIVIDADES ADMINISTRATIVAS Y EL SEGUIMIENTO A LA EJECUCIÓN DE LAS METAS A CARGO LA VICEPRESIDENCIA DE FONDOS EN ADMINISTRACIÓN. 
</v>
      </c>
    </row>
    <row r="123" spans="1:6" ht="22.5" customHeight="1">
      <c r="A123" s="53" t="s">
        <v>7633</v>
      </c>
      <c r="B123" s="51" t="s">
        <v>7766</v>
      </c>
      <c r="C123" s="53">
        <v>2024</v>
      </c>
      <c r="D123" s="52" t="str">
        <f t="shared" si="3"/>
        <v>CD-122-2024</v>
      </c>
      <c r="E123" s="20" t="s">
        <v>1152</v>
      </c>
      <c r="F123" s="93" t="str">
        <f t="shared" si="4"/>
        <v>PRESTAR LOS SERVICIOS PROFESIONALES ESPECIALIZADOS PARA LLEVAR A CABO LA GESTIÓN ESTRATÉGICA, TÉCNICA, FINANCIERA Y OPERATIVA DEL SUBCOMPONENTE PASAPORTE A LA CIENCIA DEL PROYECTO COLOMBIA CIENTÍFICA, EN EL MARCO DE LA POLÍTICA DE COOPERACIÓN ACADÉMICA INTERNACIONAL E INTERINSTITUCIONAL DEL ICETEX.</v>
      </c>
    </row>
    <row r="124" spans="1:6" ht="22.5" customHeight="1">
      <c r="A124" s="53" t="s">
        <v>7633</v>
      </c>
      <c r="B124" s="51" t="s">
        <v>7767</v>
      </c>
      <c r="C124" s="53">
        <v>2024</v>
      </c>
      <c r="D124" s="52" t="str">
        <f t="shared" si="3"/>
        <v>CD-123-2024</v>
      </c>
      <c r="E124" s="20" t="s">
        <v>1162</v>
      </c>
      <c r="F124" s="93" t="str">
        <f t="shared" si="4"/>
        <v>PRESTAR LOS SERVICIOS PROFESIONALES PARA APOYAR A LA OFICINA DE CONTROL INTERNO EN LAS ACTIVIDADES ASOCIADAS A LA GENERACIÓN DE REPORTES, ANÁLISIS DE BASES DE DATOS, Y TRABAJOS DE AUDITORÍA CON BASE EN EL SOFTWARE DE AUDITORÍA Y DEMÁS APLICATIVOS INSTITUCIONALES, ASÍ COMO EL SEGUIMIENTO DE PLANES DE MEJORAMIENTO DE CONFORMIDAD CON EL PLAN ANUAL DE AUDITORÍAS DE LA OFICINA DE CONTROL INTERNO PARA LA VIGENCIA 2024.</v>
      </c>
    </row>
    <row r="125" spans="1:6" ht="22.5" customHeight="1">
      <c r="A125" s="53" t="s">
        <v>7633</v>
      </c>
      <c r="B125" s="51" t="s">
        <v>7768</v>
      </c>
      <c r="C125" s="53">
        <v>2024</v>
      </c>
      <c r="D125" s="52" t="str">
        <f t="shared" si="3"/>
        <v>CD-124-2024</v>
      </c>
      <c r="E125" s="20" t="s">
        <v>1174</v>
      </c>
      <c r="F125" s="93" t="str">
        <f t="shared" si="4"/>
        <v>PRESTAR SERVICIOS TÉCNICOS PARA APOYAR EN LA EJECUCIÓN DE LOS PROCEDIMIENTOS DE ADMINISTRACIÓN DE ARCHIVO DE GESTIÓN, TRANSFERENCIAS DOCUMENTALES, CONSULTAS Y DIGITALIZACIÓN DE EXPEDIENTES, ASÍ COMO CONTRIBUIR A MEJORAR LA OPORTUNIDAD DE LOS SERVICIOS QUE PRESTA LA ENTIDAD</v>
      </c>
    </row>
    <row r="126" spans="1:6" ht="22.5" customHeight="1">
      <c r="A126" s="53" t="s">
        <v>7633</v>
      </c>
      <c r="B126" s="51" t="s">
        <v>7769</v>
      </c>
      <c r="C126" s="53">
        <v>2024</v>
      </c>
      <c r="D126" s="52" t="str">
        <f t="shared" si="3"/>
        <v>CD-125-2024</v>
      </c>
      <c r="E126" s="20" t="s">
        <v>7770</v>
      </c>
      <c r="F126" s="93" t="str">
        <f t="shared" si="4"/>
        <v xml:space="preserve">PRESTAR SERVICIOS PROFESIONALES PARA EL SEGUIMIENTO, CONTROL Y MITIGACIÓN DE LA RADICACIÓN DE PQRSD Y REQUERIMIENTOS DE ENTES DE CONTROL Y CANAL SIC FACILITA: ANÁLISIS CAUSA RAÍZ. APOYO GESTIÓN DOCUMENTAL DEL CONTRATO 2023 - 0704; UT INTERVENTORÍA BOP 2023."
</v>
      </c>
    </row>
    <row r="127" spans="1:6" ht="22.5" customHeight="1">
      <c r="A127" s="53" t="s">
        <v>7633</v>
      </c>
      <c r="B127" s="51" t="s">
        <v>7771</v>
      </c>
      <c r="C127" s="53">
        <v>2024</v>
      </c>
      <c r="D127" s="52" t="str">
        <f t="shared" si="3"/>
        <v>CD-126-2024</v>
      </c>
      <c r="E127" s="20" t="s">
        <v>1191</v>
      </c>
      <c r="F127" s="93" t="str">
        <f t="shared" si="4"/>
        <v>PRESTAR SERVICIOS PROFESIONALES PARA EL SEGUIMIENTO Y CONTROL DEL PROCESO CALIDAD OPERATIVA Y MEJORA CONTINUA EN LOS DISTINTOS CANALES DE ATENCIÓN Y GESTIÓN DE LA ENTIDAD CON EL FIN DE MEJORAR LA EXPERIENCIA Y SATISFACCIÓN DE LOS GRUPOS DE INTERÉS (BENEFICIARIOS, CIUDADANOS E IES)</v>
      </c>
    </row>
    <row r="128" spans="1:6" ht="22.5" customHeight="1">
      <c r="A128" s="53" t="s">
        <v>7633</v>
      </c>
      <c r="B128" s="51" t="s">
        <v>7772</v>
      </c>
      <c r="C128" s="53">
        <v>2024</v>
      </c>
      <c r="D128" s="52" t="str">
        <f t="shared" si="3"/>
        <v>CD-127-2024</v>
      </c>
      <c r="E128" s="20" t="s">
        <v>1199</v>
      </c>
      <c r="F128" s="93" t="str">
        <f t="shared" si="4"/>
        <v xml:space="preserve">PRESTAR SUS SERVICIOS DE APOYO EN LA ASISTENCIA INTEGRAL DE LAS ACTIVIDADES ADMINISTRATIVAS QUE DEBAN ADELANTARSE EN LA VICEPRESIDENCIA DE FONDOS EN ADMINISTRACIÓN. 
</v>
      </c>
    </row>
    <row r="129" spans="1:6" ht="22.5" customHeight="1">
      <c r="A129" s="53" t="s">
        <v>7633</v>
      </c>
      <c r="B129" s="51" t="s">
        <v>7773</v>
      </c>
      <c r="C129" s="53">
        <v>2024</v>
      </c>
      <c r="D129" s="52" t="str">
        <f t="shared" si="3"/>
        <v>CD-128-2024</v>
      </c>
      <c r="E129" s="20" t="s">
        <v>1219</v>
      </c>
      <c r="F129" s="93" t="str">
        <f t="shared" si="4"/>
        <v xml:space="preserve">PRESTAR LOS SERVICIOS TÉCNICOS EN LA ATENCIÓN DE PQRS Y REQUERIMIENTOS INTERNOS Y EXTERNOS CORRESPONDIENTES AL GRUPO DE CRÉDITO A CARGO DE LA
VICEPRESIDENCIA DE CRÉDITO Y COBRANZA </v>
      </c>
    </row>
    <row r="130" spans="1:6" ht="22.5" customHeight="1">
      <c r="A130" s="53" t="s">
        <v>7633</v>
      </c>
      <c r="B130" s="51" t="s">
        <v>7774</v>
      </c>
      <c r="C130" s="53">
        <v>2024</v>
      </c>
      <c r="D130" s="52" t="str">
        <f t="shared" ref="D130:D193" si="5">CONCATENATE(A130,"-",B130,"-",C130)</f>
        <v>CD-129-2024</v>
      </c>
      <c r="E130" s="20" t="s">
        <v>1229</v>
      </c>
      <c r="F130" s="93" t="str">
        <f t="shared" si="4"/>
        <v>PRESTAR SERVICIOS PROFESIONALES CON EL FIN DE ANALIZAR, EVALUAR Y MEDIR ESTRATEGIAS, ENFOCADAS AL MEJORAMIENTO DE LA EXPERIENCIA DE LOS GRUPOS DE INTERÉS ICETEX (BENEFICIARIOS CIUDADANOS, IES) EN SUS INTERACCIONES CON LA ENTIDAD</v>
      </c>
    </row>
    <row r="131" spans="1:6" ht="22.5" customHeight="1">
      <c r="A131" s="53" t="s">
        <v>7633</v>
      </c>
      <c r="B131" s="51" t="s">
        <v>7775</v>
      </c>
      <c r="C131" s="53">
        <v>2024</v>
      </c>
      <c r="D131" s="52" t="str">
        <f t="shared" si="5"/>
        <v>CD-130-2024</v>
      </c>
      <c r="E131" s="20" t="s">
        <v>1237</v>
      </c>
      <c r="F131" s="93" t="str">
        <f t="shared" ref="F131:F194" si="6">UPPER(E131)</f>
        <v>PRESTACIÓN DE SERVICIOS PROFESIONALES ESPECIALIZADOS PARA LA ARTICULACIÓN ESTRATÉGICA DE DEPURACIÓN, AJUSTE DE LOS CRÉDITOS Y ASEGURANDO LA APLICACIÓN CORRECTA DE LAS NOVEDADES EN LA CARTERA, SEGÚN EL REGLAMENTO VIGENTE DEL ICETEX.</v>
      </c>
    </row>
    <row r="132" spans="1:6" ht="22.5" customHeight="1">
      <c r="A132" s="53" t="s">
        <v>7633</v>
      </c>
      <c r="B132" s="51" t="s">
        <v>7776</v>
      </c>
      <c r="C132" s="53">
        <v>2024</v>
      </c>
      <c r="D132" s="52" t="str">
        <f t="shared" si="5"/>
        <v>CD-131-2024</v>
      </c>
      <c r="E132" s="20" t="s">
        <v>1247</v>
      </c>
      <c r="F132" s="93" t="str">
        <f t="shared" si="6"/>
        <v>PRESTAR SERVICIOS PROFESIONALES ESPECIALIZADOS EN LA GESTIÓN Y CONTROL DE PROYECTOS DE INNOVACIÓN DE LA ENTIDAD, GARANTIZANDO LA ALINEACIÓN CON EL PLAN ESTRATÉGICO, LA GESTIÓN EFICIENTE Y LA ENTREGA DE RESULTADOS.</v>
      </c>
    </row>
    <row r="133" spans="1:6" ht="22.5" customHeight="1">
      <c r="A133" s="53" t="s">
        <v>7633</v>
      </c>
      <c r="B133" s="51" t="s">
        <v>7777</v>
      </c>
      <c r="C133" s="53">
        <v>2024</v>
      </c>
      <c r="D133" s="52" t="str">
        <f t="shared" si="5"/>
        <v>CD-132-2024</v>
      </c>
      <c r="E133" s="20" t="s">
        <v>1256</v>
      </c>
      <c r="F133" s="93" t="str">
        <f t="shared" si="6"/>
        <v>PRESTAR LOS SERVICIOS PROFESIONALES JURÍDICOS ESPECIALIZADOS EN EL DESARROLLO Y REPRESENTACIÓN DEL ICETEX, DIRIGIDO A LA IMPLEMENTACIÓN DE LA DEFENSA JURÍDICA DE LA ENTIDAD EN MATERIA CIVIL, LIQUIDACIONES PATRIMONIALES Y ASUNTOS RELACIONADOS CON EL COBRO COACTIVO DE LA ENTIDAD</v>
      </c>
    </row>
    <row r="134" spans="1:6" ht="22.5" customHeight="1">
      <c r="A134" s="53" t="s">
        <v>7633</v>
      </c>
      <c r="B134" s="51" t="s">
        <v>7778</v>
      </c>
      <c r="C134" s="53">
        <v>2024</v>
      </c>
      <c r="D134" s="52" t="str">
        <f t="shared" si="5"/>
        <v>CD-133-2024</v>
      </c>
      <c r="E134" s="20" t="s">
        <v>1263</v>
      </c>
      <c r="F134" s="93" t="str">
        <f t="shared" si="6"/>
        <v>PRESTAR SERVICIOS PROFESIONALES ESPECIALIZADOS COMO ABOGADO PARA EL APOYO, GESTIÓN Y ACOMPAÑAMIENTO DE ASUNTOS LEGALES QUE SE ENCUENTREN A CARGO O EN LOS QUE SE ENCUENTRE BRINDANDO APOYO EL EQUIPO DE INNOVACIÓN DE LA ENTIDAD.</v>
      </c>
    </row>
    <row r="135" spans="1:6" ht="22.5" customHeight="1">
      <c r="A135" s="53" t="s">
        <v>7633</v>
      </c>
      <c r="B135" s="51" t="s">
        <v>7779</v>
      </c>
      <c r="C135" s="53">
        <v>2024</v>
      </c>
      <c r="D135" s="52" t="str">
        <f t="shared" si="5"/>
        <v>CD-134-2024</v>
      </c>
      <c r="E135" s="20" t="s">
        <v>1263</v>
      </c>
      <c r="F135" s="93" t="str">
        <f t="shared" si="6"/>
        <v>PRESTAR SERVICIOS PROFESIONALES ESPECIALIZADOS COMO ABOGADO PARA EL APOYO, GESTIÓN Y ACOMPAÑAMIENTO DE ASUNTOS LEGALES QUE SE ENCUENTREN A CARGO O EN LOS QUE SE ENCUENTRE BRINDANDO APOYO EL EQUIPO DE INNOVACIÓN DE LA ENTIDAD.</v>
      </c>
    </row>
    <row r="136" spans="1:6" ht="22.5" customHeight="1">
      <c r="A136" s="53" t="s">
        <v>7633</v>
      </c>
      <c r="B136" s="51" t="s">
        <v>7780</v>
      </c>
      <c r="C136" s="53">
        <v>2024</v>
      </c>
      <c r="D136" s="52" t="str">
        <f t="shared" si="5"/>
        <v>CD-135-2024</v>
      </c>
      <c r="E136" s="20" t="s">
        <v>1270</v>
      </c>
      <c r="F136" s="93" t="str">
        <f t="shared" si="6"/>
        <v>PRESTAR SUS SERVICIOS PROFESIONALES ORIENTANDO LAS ACTIVIDADES RELACIONADAS CON LA ATENCIÓN OPORTUNA Y EFICIENTE DE LAS PETICIONES QUE DEBAN SER ATENDIDAS EN LA VICEPRESIDENCIA DE FONDOS EN ADMINISTRACIÓN; ASÍ COMO EN LA GESTIÓN DE CONDONACIONES DERIVADAS DE LOS FONDOS ADMINISTRADOS POR LA VICEPRESIDENCIA.</v>
      </c>
    </row>
    <row r="137" spans="1:6" ht="22.5" customHeight="1">
      <c r="A137" s="53" t="s">
        <v>7633</v>
      </c>
      <c r="B137" s="51" t="s">
        <v>7781</v>
      </c>
      <c r="C137" s="53">
        <v>2024</v>
      </c>
      <c r="D137" s="52" t="str">
        <f t="shared" si="5"/>
        <v>CD-136-2024</v>
      </c>
      <c r="E137" s="20" t="s">
        <v>1277</v>
      </c>
      <c r="F137" s="93" t="str">
        <f t="shared" si="6"/>
        <v>PRESTAR SERVICIOS PROFESIONALES PARA EL SEGUIMIENTO, CONTROL Y MITIGACIÓN DE LA RADICACIÓN DE PQRSD Y REQUERIMIENTOS DE TUTELAS Y/O ENTES DE CONTROL: ANÁLISIS CAUSA RAÍZ.</v>
      </c>
    </row>
    <row r="138" spans="1:6" ht="22.5" customHeight="1">
      <c r="A138" s="53" t="s">
        <v>7633</v>
      </c>
      <c r="B138" s="51" t="s">
        <v>7782</v>
      </c>
      <c r="C138" s="53">
        <v>2024</v>
      </c>
      <c r="D138" s="52" t="str">
        <f t="shared" si="5"/>
        <v>CD-137-2024</v>
      </c>
      <c r="E138" s="20" t="s">
        <v>1285</v>
      </c>
      <c r="F138" s="93" t="str">
        <f>UPPER(E138)</f>
        <v>PRESTAR SERVICIOS TÉCNICOS PARA EL APOYO EN LA GESTIÓN DE MEJORA EN LOS PROCESOS Y PROCEDIMIENTO DE LOS CANALES DE ATENCIÓN IMPLEMENTADO POR LA ENTIDAD</v>
      </c>
    </row>
    <row r="139" spans="1:6" ht="22.5" customHeight="1">
      <c r="A139" s="53" t="s">
        <v>7633</v>
      </c>
      <c r="B139" s="51" t="s">
        <v>7783</v>
      </c>
      <c r="C139" s="53">
        <v>2024</v>
      </c>
      <c r="D139" s="52" t="str">
        <f t="shared" si="5"/>
        <v>CD-138-2024</v>
      </c>
      <c r="E139" s="20" t="s">
        <v>1293</v>
      </c>
      <c r="F139" s="93" t="str">
        <f t="shared" si="6"/>
        <v>PRESTACIÓN DE SERVICIOS PROFESIONALES ESPECIALIZADOS PARA LA ARTICULACIÓN ESTRATÉGICA EN LA OPTIMIZACIÓN Y SISTEMATIZACIÓN DE PROCEDIMIENTOS, PROCESAMIENTO DE INFORMACIÓN PARA INNOVACIÓN Y ANALÍTICA DE DATOS PARA LA GESTIÓN DEL ICETEX</v>
      </c>
    </row>
    <row r="140" spans="1:6" ht="22.5" customHeight="1">
      <c r="A140" s="53" t="s">
        <v>7633</v>
      </c>
      <c r="B140" s="51" t="s">
        <v>7784</v>
      </c>
      <c r="C140" s="53">
        <v>2024</v>
      </c>
      <c r="D140" s="52" t="str">
        <f t="shared" si="5"/>
        <v>CD-139-2024</v>
      </c>
      <c r="E140" s="20" t="s">
        <v>892</v>
      </c>
      <c r="F140" s="93" t="str">
        <f t="shared" si="6"/>
        <v>PRESTAR LOS SERVICIOS PROFESIONALES JURÍDICOS ESPECIALIZADOS PARA ATENDER LA ACTIVIDAD JURÍDICA DEL ICETEX, DIRIGIDO A LA IMPLEMENTACIÓN DE LA DEFENSA JURÍDICA DE LA ENTIDAD EN ACCIONES DE TUTELA.</v>
      </c>
    </row>
    <row r="141" spans="1:6" ht="22.5" customHeight="1">
      <c r="A141" s="53" t="s">
        <v>7633</v>
      </c>
      <c r="B141" s="51" t="s">
        <v>7785</v>
      </c>
      <c r="C141" s="53">
        <v>2024</v>
      </c>
      <c r="D141" s="52" t="str">
        <f t="shared" si="5"/>
        <v>CD-140-2024</v>
      </c>
      <c r="E141" s="20" t="s">
        <v>1307</v>
      </c>
      <c r="F141" s="93" t="str">
        <f t="shared" si="6"/>
        <v>PRESTAR SERVICIOS PROFESIONALES ESPECIALIZADOS PARA EJECUTAR ACTIVIDADES ASOCIADAS AL DESARROLLO,SEGUIMIENTO, CONTROL Y ASEGURAMIENTO DE LOS PROYECTOS DE MEJORA CONTINUA QUE LE SEAN ASIGNADOSEN EL MARCO DE LOS PROCESOS DE LA OFICINA COMERCIAL Y DE MERCADEO Y SUS DIFERENTES EQUIPOS DE TRABAJO</v>
      </c>
    </row>
    <row r="142" spans="1:6" ht="22.5" customHeight="1">
      <c r="A142" s="53" t="s">
        <v>7633</v>
      </c>
      <c r="B142" s="51" t="s">
        <v>7786</v>
      </c>
      <c r="C142" s="53">
        <v>2024</v>
      </c>
      <c r="D142" s="52" t="str">
        <f t="shared" si="5"/>
        <v>CD-141-2024</v>
      </c>
      <c r="E142" s="20" t="s">
        <v>1315</v>
      </c>
      <c r="F142" s="93" t="str">
        <f t="shared" si="6"/>
        <v>PRESTAR LOS SERVICIOS PROFESIONALES PARA GESTIONAR Y APOYAR TÉCNICAMENTE LA GESTIÓN DEL GRUPO DE ADMINISTRACIÓN DE RECURSOS FÍSICOS EN EL MARCO DEL PROYECTO DE INVERSIÓN DENOMINADO "MEJORAMIENTO DE SEDES", ASÍ COMO CONTRIBUIR Y MEJORAR LA OPORTUNIDAD DE LOS SERVICIOS QUE PRESTA LA ENTIDAD</v>
      </c>
    </row>
    <row r="143" spans="1:6" ht="22.5" customHeight="1">
      <c r="A143" s="53" t="s">
        <v>7633</v>
      </c>
      <c r="B143" s="51" t="s">
        <v>7787</v>
      </c>
      <c r="C143" s="53">
        <v>2024</v>
      </c>
      <c r="D143" s="52" t="str">
        <f t="shared" si="5"/>
        <v>CD-142-2024</v>
      </c>
      <c r="E143" s="20" t="s">
        <v>1326</v>
      </c>
      <c r="F143" s="93" t="str">
        <f t="shared" si="6"/>
        <v>PRESTACIÓN DE SERVICIOS PROFESIONALES ESPECIALIZADOS PARA LA REALIZACIÓN DE AUDITORÍAS INTERNAS A PROCESOS DEL ICETEX EN MATERIA JURÍDICA Y JUDICIAL, ASESORÍA EN LA VERIFICACIÓN Y APLICACIÓN NORMATIVA EN LOS PROCESOS, FUNCIONES Y GESTIÓN DE LA OFICINA DE CONTROL INTERNO, ASÍ COMO EN LA OBSERVANCIA Y APLICACIÓN DE LAS NORMAS JURÍDICAS RELACIONADAS CON LAS FUNCIONES LEGALES Y ADMINISTRATIVAS DE LA ENTIDAD, LA REVISIÓN Y PROYECCIÓN DE DOCUMENTOS, ACTOS ADMINISTRATIVOS E INFORMES RELACIONADOS EN EL PLAN DE AUDITORÍAS PARA LA VIGENCIA 2024.</v>
      </c>
    </row>
    <row r="144" spans="1:6" ht="22.5" customHeight="1">
      <c r="A144" s="53" t="s">
        <v>7633</v>
      </c>
      <c r="B144" s="51" t="s">
        <v>7788</v>
      </c>
      <c r="C144" s="53">
        <v>2024</v>
      </c>
      <c r="D144" s="52" t="str">
        <f t="shared" si="5"/>
        <v>CD-143-2024</v>
      </c>
      <c r="E144" s="20" t="s">
        <v>1334</v>
      </c>
      <c r="F144" s="93" t="str">
        <f t="shared" si="6"/>
        <v>PRESTAR LOS SERVICIOS PROFESIONALES ESPECIALIZADOS PARA LA ESTRUCTURACIÓN DE MECANISMOS PARA EL SEGUIMIENTO Y CONTROL DE LA GESTIÓN FINANCIERA DE INICIATIVAS DE NUEVAS FUENTES DE FONDEO, FORTALECIENDO PROCESOS DE INNOVACIÓN EN EL MARCO DEL PROYECTO DE INVERSIÓN DE BANCA ABIERTA Y TRANSPARENTE E INHOUSE BANKING</v>
      </c>
    </row>
    <row r="145" spans="1:6" ht="22.5" customHeight="1">
      <c r="A145" s="53" t="s">
        <v>7633</v>
      </c>
      <c r="B145" s="51" t="s">
        <v>7789</v>
      </c>
      <c r="C145" s="53">
        <v>2024</v>
      </c>
      <c r="D145" s="52" t="str">
        <f t="shared" si="5"/>
        <v>CD-144-2024</v>
      </c>
      <c r="E145" s="20" t="s">
        <v>492</v>
      </c>
      <c r="F145" s="93" t="str">
        <f t="shared" si="6"/>
        <v>IMPLEMENTAR ESTRATEGIAS PARA LA EJECUCIÓN DEL PLAN COMERCIAL DE LA TERRITORIAL NOROCCIDENTE ASOCIADAS AL PORTAFOLIO DE SERVICIOS DE ICETEX EN LA REGIÓN, EN ARTICULACIÓN CON LA OFICINA COMERCIAL Y DE MERCADEO DEL NIVEL CENTRAL</v>
      </c>
    </row>
    <row r="146" spans="1:6" ht="22.5" customHeight="1">
      <c r="A146" s="53" t="s">
        <v>7633</v>
      </c>
      <c r="B146" s="51" t="s">
        <v>7790</v>
      </c>
      <c r="C146" s="53">
        <v>2024</v>
      </c>
      <c r="D146" s="52" t="str">
        <f t="shared" si="5"/>
        <v>CD-145-2024</v>
      </c>
      <c r="E146" s="20" t="s">
        <v>492</v>
      </c>
      <c r="F146" s="93" t="str">
        <f>UPPER(E146)</f>
        <v>IMPLEMENTAR ESTRATEGIAS PARA LA EJECUCIÓN DEL PLAN COMERCIAL DE LA TERRITORIAL NOROCCIDENTE ASOCIADAS AL PORTAFOLIO DE SERVICIOS DE ICETEX EN LA REGIÓN, EN ARTICULACIÓN CON LA OFICINA COMERCIAL Y DE MERCADEO DEL NIVEL CENTRAL</v>
      </c>
    </row>
    <row r="147" spans="1:6" ht="22.5" customHeight="1">
      <c r="A147" s="53" t="s">
        <v>7633</v>
      </c>
      <c r="B147" s="51" t="s">
        <v>7791</v>
      </c>
      <c r="C147" s="53">
        <v>2024</v>
      </c>
      <c r="D147" s="52" t="str">
        <f t="shared" si="5"/>
        <v>CD-146-2024</v>
      </c>
      <c r="E147" s="20" t="s">
        <v>492</v>
      </c>
      <c r="F147" s="93" t="str">
        <f t="shared" si="6"/>
        <v>IMPLEMENTAR ESTRATEGIAS PARA LA EJECUCIÓN DEL PLAN COMERCIAL DE LA TERRITORIAL NOROCCIDENTE ASOCIADAS AL PORTAFOLIO DE SERVICIOS DE ICETEX EN LA REGIÓN, EN ARTICULACIÓN CON LA OFICINA COMERCIAL Y DE MERCADEO DEL NIVEL CENTRAL</v>
      </c>
    </row>
    <row r="148" spans="1:6" ht="22.5" customHeight="1">
      <c r="A148" s="53" t="s">
        <v>7633</v>
      </c>
      <c r="B148" s="51" t="s">
        <v>7792</v>
      </c>
      <c r="C148" s="53">
        <v>2024</v>
      </c>
      <c r="D148" s="52" t="str">
        <f t="shared" si="5"/>
        <v>CD-147-2024</v>
      </c>
      <c r="E148" s="20" t="s">
        <v>492</v>
      </c>
      <c r="F148" s="93" t="str">
        <f t="shared" si="6"/>
        <v>IMPLEMENTAR ESTRATEGIAS PARA LA EJECUCIÓN DEL PLAN COMERCIAL DE LA TERRITORIAL NOROCCIDENTE ASOCIADAS AL PORTAFOLIO DE SERVICIOS DE ICETEX EN LA REGIÓN, EN ARTICULACIÓN CON LA OFICINA COMERCIAL Y DE MERCADEO DEL NIVEL CENTRAL</v>
      </c>
    </row>
    <row r="149" spans="1:6" ht="22.5" customHeight="1">
      <c r="A149" s="53" t="s">
        <v>7633</v>
      </c>
      <c r="B149" s="51" t="s">
        <v>7793</v>
      </c>
      <c r="C149" s="53">
        <v>2024</v>
      </c>
      <c r="D149" s="52" t="str">
        <f t="shared" si="5"/>
        <v>CD-148-2024</v>
      </c>
      <c r="E149" s="20" t="s">
        <v>492</v>
      </c>
      <c r="F149" s="93" t="str">
        <f t="shared" si="6"/>
        <v>IMPLEMENTAR ESTRATEGIAS PARA LA EJECUCIÓN DEL PLAN COMERCIAL DE LA TERRITORIAL NOROCCIDENTE ASOCIADAS AL PORTAFOLIO DE SERVICIOS DE ICETEX EN LA REGIÓN, EN ARTICULACIÓN CON LA OFICINA COMERCIAL Y DE MERCADEO DEL NIVEL CENTRAL</v>
      </c>
    </row>
    <row r="150" spans="1:6" ht="22.5" customHeight="1">
      <c r="A150" s="53" t="s">
        <v>7633</v>
      </c>
      <c r="B150" s="51" t="s">
        <v>7794</v>
      </c>
      <c r="C150" s="53">
        <v>2024</v>
      </c>
      <c r="D150" s="52" t="str">
        <f t="shared" si="5"/>
        <v>CD-149-2024</v>
      </c>
      <c r="E150" s="20" t="s">
        <v>492</v>
      </c>
      <c r="F150" s="93" t="str">
        <f t="shared" si="6"/>
        <v>IMPLEMENTAR ESTRATEGIAS PARA LA EJECUCIÓN DEL PLAN COMERCIAL DE LA TERRITORIAL NOROCCIDENTE ASOCIADAS AL PORTAFOLIO DE SERVICIOS DE ICETEX EN LA REGIÓN, EN ARTICULACIÓN CON LA OFICINA COMERCIAL Y DE MERCADEO DEL NIVEL CENTRAL</v>
      </c>
    </row>
    <row r="151" spans="1:6" ht="22.5" customHeight="1">
      <c r="A151" s="53" t="s">
        <v>7633</v>
      </c>
      <c r="B151" s="51" t="s">
        <v>7795</v>
      </c>
      <c r="C151" s="53">
        <v>2024</v>
      </c>
      <c r="D151" s="52" t="str">
        <f t="shared" si="5"/>
        <v>CD-150-2024</v>
      </c>
      <c r="E151" s="20" t="s">
        <v>1387</v>
      </c>
      <c r="F151" s="93" t="str">
        <f t="shared" si="6"/>
        <v>PRESTAR SUS SERVICIOS PROFESIONALES PARA LA ATENCIÓN DE PQRSD, ACCIONES JUDICIALES Y DEMÁS TRÁMITES A CARGO DE LA VICEPRESIDENCIA DE FONDOS EN ADMINISTRACIÓN</v>
      </c>
    </row>
    <row r="152" spans="1:6" ht="22.5" customHeight="1">
      <c r="A152" s="53" t="s">
        <v>7633</v>
      </c>
      <c r="B152" s="51" t="s">
        <v>7796</v>
      </c>
      <c r="C152" s="53">
        <v>2024</v>
      </c>
      <c r="D152" s="52" t="str">
        <f t="shared" si="5"/>
        <v>CD-151-2024</v>
      </c>
      <c r="E152" s="20" t="s">
        <v>1397</v>
      </c>
      <c r="F152" s="93" t="str">
        <f t="shared" si="6"/>
        <v>PRESTAR LOS SERVICIOS PROFESIONALES PARA LA ADOPCIÓN DE LOS ESTÁNDARES, BUENAS PRÁCTICAS Y PROCEDIMIENTOS QUE SOPORTAN LA APROPIACIÓN DE LOS PROCESOS CONTABLES EN TÉRMINOS DE TIEMPO, RECURSOS Y PROCEDIMIENTOS, PARA LA REGULARIZACIÓN DE LOS FONDOS Y ALIANZAS EN ADMINISTRACIÓN, A PARTIR DE LAS HERRAMIENTAS PROPORCIONADAS POR EL ICETEX, EN EL MARCO DEL PROYECTO DE BANCA ABIERTA Y TRANSPARENTE E INHOUSE BANKING</v>
      </c>
    </row>
    <row r="153" spans="1:6" ht="22.5" customHeight="1">
      <c r="A153" s="53" t="s">
        <v>7633</v>
      </c>
      <c r="B153" s="51" t="s">
        <v>7797</v>
      </c>
      <c r="C153" s="53">
        <v>2024</v>
      </c>
      <c r="D153" s="52" t="str">
        <f t="shared" si="5"/>
        <v>CD-152-2024</v>
      </c>
      <c r="E153" s="20" t="s">
        <v>1406</v>
      </c>
      <c r="F153" s="93" t="str">
        <f t="shared" si="6"/>
        <v>PRESTAR LOS SERVICIOS PROFESIONALES ESPECIALIZADOS PARA LA REPRESENTACIÓN JUDICIAL EN PROCESOS EJECUTIVOS PARA LA RECUPERACIÓN DE CARTERA CONFORME A LAS POLÍTICAS ESTABLECIDAS EN LOS REGLAMENTOS DE LA ENTIDAD DE CONFORMIDAD CON LA NORMATIVIDAD APLICABLE, ORIENTAR AL GRUPO DE ABOGADOS CONTRATADOS PARA EJECUTAR LOS PROCESOS DE GESTIÓN JUDICIAL Y BRINDAR SOPORTE JURÍDICO AL ÁREA FRENTE A TEMAS RELACIONADOS CON LA RECUPERACIÓN DE CARTERA</v>
      </c>
    </row>
    <row r="154" spans="1:6" ht="22.5" customHeight="1">
      <c r="A154" s="53" t="s">
        <v>7633</v>
      </c>
      <c r="B154" s="51" t="s">
        <v>7798</v>
      </c>
      <c r="C154" s="53">
        <v>2024</v>
      </c>
      <c r="D154" s="52" t="str">
        <f t="shared" si="5"/>
        <v>CD-153-2024</v>
      </c>
      <c r="E154" s="20" t="s">
        <v>1415</v>
      </c>
      <c r="F154" s="93" t="str">
        <f t="shared" si="6"/>
        <v>PRESTAR LOS SERVICIOS DE APOYO A LA GESTIÓN AL GRUPO DE DESARROLLO Y TRANSFORMACIÓN ORGANIZACIONAL DE LA SECRETARÍA GENERAL EN LAS ACTIVIDADES DOCUMENTALES, GESTIÓN ADMINISTRATIVA Y LAS RELACIONADAS CON LA PLANEACIÓN, IMPLEMENTACIÓN, EJECUCIÓN Y SEGUIMIENTO A LOS PROCESOS DE TRANSFORMACIÓN Y DESARROLLO DE LA CULTURA ORGANIZACIONAL DE LA ENTIDAD, EN EL MARCO DE LAS ESTRATEGIAS, PLANES, PROGRAMAS Y PROYECTOS QUE SE DESARROLLEN PARA TAL FIN, FACILITANDO EL CUMPLIMIENTO A LAS METAS Y OBJETIVOS DEL ÁREA.</v>
      </c>
    </row>
    <row r="155" spans="1:6" ht="22.5" customHeight="1">
      <c r="A155" s="53" t="s">
        <v>7633</v>
      </c>
      <c r="B155" s="51" t="s">
        <v>7799</v>
      </c>
      <c r="C155" s="53">
        <v>2024</v>
      </c>
      <c r="D155" s="52" t="str">
        <f t="shared" si="5"/>
        <v>CD-154-2024</v>
      </c>
      <c r="E155" s="20" t="s">
        <v>1440</v>
      </c>
      <c r="F155" s="93" t="str">
        <f t="shared" si="6"/>
        <v>PRESTACIÓN DE SERVICIOS PROFESIONALES ESPECIALIZADOS PARA EL ANÁLISIS Y APLICACIÓN DE NOVEDADES EN LA CARTERA, DE ACUERDO CON LA NORMATIVIDAD VIGENTE EN EL ICETEX.</v>
      </c>
    </row>
    <row r="156" spans="1:6" ht="22.5" customHeight="1">
      <c r="A156" s="53" t="s">
        <v>7633</v>
      </c>
      <c r="B156" s="51" t="s">
        <v>7800</v>
      </c>
      <c r="C156" s="53">
        <v>2024</v>
      </c>
      <c r="D156" s="52" t="str">
        <f t="shared" si="5"/>
        <v>CD-155-2024</v>
      </c>
      <c r="E156" s="20" t="s">
        <v>1448</v>
      </c>
      <c r="F156" s="93" t="str">
        <f t="shared" si="6"/>
        <v>PRESTACIÓN DE SERVICIOS PROFESIONALES ESPECIALIZADOS COMO ASESORA DE ESTRATEGIA Y ARTICULACIÓN DE INICIATIVAS Y PROYECTOS DE TRANSFORMACIÓN DIGITAL DE LA VICEPRESIDENCIA DE OPERACIONES Y TECNOLOGÍA DEL ICETEX</v>
      </c>
    </row>
    <row r="157" spans="1:6" ht="22.5" customHeight="1">
      <c r="A157" s="53" t="s">
        <v>7633</v>
      </c>
      <c r="B157" s="51" t="s">
        <v>7801</v>
      </c>
      <c r="C157" s="53">
        <v>2024</v>
      </c>
      <c r="D157" s="52" t="str">
        <f t="shared" si="5"/>
        <v>CD-156-2024</v>
      </c>
      <c r="E157" s="20" t="s">
        <v>1458</v>
      </c>
      <c r="F157" s="93" t="str">
        <f t="shared" si="6"/>
        <v>PRESTAR LOS SERVICIOS PROFESIONALES ESPECIALIZADOS PARA ASESORAR LA GESTIÓN JURÍDICA Y CONTRACTUAL DE LA OFICINA DE RELACIONES INTERNACIONALES DEL ICETEX.</v>
      </c>
    </row>
    <row r="158" spans="1:6" ht="22.5" customHeight="1">
      <c r="A158" s="53" t="s">
        <v>7633</v>
      </c>
      <c r="B158" s="51" t="s">
        <v>7802</v>
      </c>
      <c r="C158" s="53">
        <v>2024</v>
      </c>
      <c r="D158" s="52" t="str">
        <f t="shared" si="5"/>
        <v>CD-157-2024</v>
      </c>
      <c r="E158" s="20" t="s">
        <v>1468</v>
      </c>
      <c r="F158" s="93" t="str">
        <f t="shared" si="6"/>
        <v>PRESTAR LOS SERVICIOS PROFESIONALES ESPECIALIZADOS PARA REALIZAR LAS ACTIVIDADES DERIVADAS DE LOS LINEAMIENTOS DEL PROCESO ESTADÍSTICO DEL SISTEMA ESTADÍSTICO NACIONAL, ASÍ COMO EN EL PROCESAMIENTO DE LAS BASES DE DATOS Y EN LA CONSTRUCCIÓN Y MANTENIMIENTO DE TABLEROS DE LA OPERACIÓN ESTADÍSTICA DE FONDOS EN ADMINISTRACIÓN.</v>
      </c>
    </row>
    <row r="159" spans="1:6" ht="22.5" customHeight="1">
      <c r="A159" s="53" t="s">
        <v>7633</v>
      </c>
      <c r="B159" s="51" t="s">
        <v>7803</v>
      </c>
      <c r="C159" s="53">
        <v>2024</v>
      </c>
      <c r="D159" s="52" t="str">
        <f t="shared" si="5"/>
        <v>CD-158-2024</v>
      </c>
      <c r="E159" s="20" t="s">
        <v>1477</v>
      </c>
      <c r="F159" s="93" t="str">
        <f t="shared" si="6"/>
        <v>PRESTAR SERVICIOS PROFESIONALES ESPECIALIZADOS PARA LA CREACIÓN DE ESTRATEGIAS Y METODOLOGÍAS QUE GENEREN CAPACIDADES EN EL EQUIPO DE INNOVACIÓN Y CONTRIBUYAN CON LA POLÍTICA DE GESTIÓN DEL CONOCIMIENTO E INNOVACIÓN DE LA ENTIDAD</v>
      </c>
    </row>
    <row r="160" spans="1:6" ht="22.5" customHeight="1">
      <c r="A160" s="53" t="s">
        <v>7633</v>
      </c>
      <c r="B160" s="51" t="s">
        <v>7804</v>
      </c>
      <c r="C160" s="53">
        <v>2024</v>
      </c>
      <c r="D160" s="52" t="str">
        <f t="shared" si="5"/>
        <v>CD-159-2024</v>
      </c>
      <c r="E160" s="20" t="s">
        <v>1484</v>
      </c>
      <c r="F160" s="93" t="str">
        <f t="shared" si="6"/>
        <v xml:space="preserve">PRESTAR LOS SERVICIOS PROFESIONALES ESPECIALIZADOS PARA EL DISEÑO, IMPLEMENTACIÓN, EJECUCIÓN, SUPERVISIÓN, CONTROL Y MEJORA CONTINUA DE ESTRATEGIAS COMERCIALES ORIENTADAS A LA PROMOCIÓN Y OTORGAMIENTO DE LOS CRÉDITOS EDUCATIVOS DELICETEX A TRAVÉS DE FONDOS EN ADMINISTRACIÓN, CON EL FIN DE FOMENTAR EL ACCESO A LA EDUCACIÓN MEDIANTE EL FINANCIAMIENTO ADECUADO PARA LOS ESTUDIANTES.
</v>
      </c>
    </row>
    <row r="161" spans="1:6" ht="22.5" customHeight="1">
      <c r="A161" s="53" t="s">
        <v>7633</v>
      </c>
      <c r="B161" s="51" t="s">
        <v>7805</v>
      </c>
      <c r="C161" s="53">
        <v>2024</v>
      </c>
      <c r="D161" s="52" t="str">
        <f t="shared" si="5"/>
        <v>CD-160-2024</v>
      </c>
      <c r="E161" s="20" t="s">
        <v>1493</v>
      </c>
      <c r="F161" s="93" t="str">
        <f t="shared" si="6"/>
        <v>PRESTAR SERVICIOS PROFESIONALES AL GRUPO DE DESARROLLO Y TRANSFORMACIÓN ORGANIZACIONAL DE LA SECRETARÍA GENERAL EN LA FACILITACIÓN DE HERRAMIENTAS, ESTRATEGIAS Y ACTIVIDADES QUE CONTRIBUYAN AL MODELO DE TRANSFORMACIÓN Y EL MODELO DE CULTURA ORGANIZACIONAL DE LA ENTIDAD, APORTANDO AL CUMPLIMIENTO DE SU PROPÓSITO SUPERIOR</v>
      </c>
    </row>
    <row r="162" spans="1:6" ht="22.5" customHeight="1">
      <c r="A162" s="53" t="s">
        <v>7633</v>
      </c>
      <c r="B162" s="51" t="s">
        <v>7806</v>
      </c>
      <c r="C162" s="53">
        <v>2024</v>
      </c>
      <c r="D162" s="52" t="str">
        <f t="shared" si="5"/>
        <v>CD-161-2024</v>
      </c>
      <c r="E162" s="20" t="s">
        <v>1502</v>
      </c>
      <c r="F162" s="93" t="str">
        <f t="shared" si="6"/>
        <v>PRESTAR LOS SERVICIOS PROFESIONALES ESPECIALIZADOS PARA LA APROPIACIÓN DE INICIATIVAS BASADAS EN TECNOLOGÍAS DE INFORMACIÓN DE LA VICEPRESIDENCIA FINANCIERA A PARTIR DE LA DEFINICIÓN Y ESTRUCTURACIÓN DE LOS REQUERIMIENTOS, ESTÁNDARES Y PROCESOS QUE SOPORTEN LA IMPLEMENTACIÓN DEL PROYECTO DE INVERSIÓN DE BANCA ABIERTA Y TRANSPARENTE E INHOUSE BANKING</v>
      </c>
    </row>
    <row r="163" spans="1:6" ht="22.5" customHeight="1">
      <c r="A163" s="53" t="s">
        <v>7633</v>
      </c>
      <c r="B163" s="51" t="s">
        <v>7807</v>
      </c>
      <c r="C163" s="53">
        <v>2024</v>
      </c>
      <c r="D163" s="52" t="str">
        <f t="shared" si="5"/>
        <v>CD-162-2024</v>
      </c>
      <c r="E163" s="20" t="s">
        <v>492</v>
      </c>
      <c r="F163" s="93" t="str">
        <f t="shared" si="6"/>
        <v>IMPLEMENTAR ESTRATEGIAS PARA LA EJECUCIÓN DEL PLAN COMERCIAL DE LA TERRITORIAL NOROCCIDENTE ASOCIADAS AL PORTAFOLIO DE SERVICIOS DE ICETEX EN LA REGIÓN, EN ARTICULACIÓN CON LA OFICINA COMERCIAL Y DE MERCADEO DEL NIVEL CENTRAL</v>
      </c>
    </row>
    <row r="164" spans="1:6" ht="22.5" customHeight="1">
      <c r="A164" s="53" t="s">
        <v>7633</v>
      </c>
      <c r="B164" s="51" t="s">
        <v>7808</v>
      </c>
      <c r="C164" s="53">
        <v>2024</v>
      </c>
      <c r="D164" s="52" t="str">
        <f t="shared" si="5"/>
        <v>CD-163-2024</v>
      </c>
      <c r="E164" s="20" t="s">
        <v>1518</v>
      </c>
      <c r="F164" s="93" t="str">
        <f t="shared" si="6"/>
        <v>APOYAR LA GESTIÓN ADMINISTRATIVA, COMERCIAL Y OPERATIVA DE LA TERRITORIAL ORIENTE EN ARTICULACIÓN CON LA OFICINA COMERCIAL Y DE MERCADEO Y, LAS DEMÁS DEPENDENCIAS DEL NIVEL CENTRAL.</v>
      </c>
    </row>
    <row r="165" spans="1:6" ht="22.5" customHeight="1">
      <c r="A165" s="53" t="s">
        <v>7633</v>
      </c>
      <c r="B165" s="51" t="s">
        <v>7809</v>
      </c>
      <c r="C165" s="53">
        <v>2024</v>
      </c>
      <c r="D165" s="52" t="str">
        <f t="shared" si="5"/>
        <v>CD-164-2024</v>
      </c>
      <c r="E165" s="20" t="s">
        <v>1531</v>
      </c>
      <c r="F165" s="93" t="str">
        <f t="shared" si="6"/>
        <v>APOYAR LA GESTIÓN ADMINISTRATIVA, COMERCIAL Y OPERATIVA DE LA TERRITORIAL CENTRO EN ARTICULACIÓN CON LA OFICINA COMERCIAL Y DE MERCADEO Y, LAS DEMÁS DEPENDENCIAS DEL NIVEL CENTRAL</v>
      </c>
    </row>
    <row r="166" spans="1:6" ht="22.5" customHeight="1">
      <c r="A166" s="53" t="s">
        <v>7633</v>
      </c>
      <c r="B166" s="51" t="s">
        <v>7810</v>
      </c>
      <c r="C166" s="53">
        <v>2024</v>
      </c>
      <c r="D166" s="52" t="str">
        <f t="shared" si="5"/>
        <v>CD-165-2024</v>
      </c>
      <c r="E166" s="20" t="s">
        <v>1285</v>
      </c>
      <c r="F166" s="93" t="str">
        <f t="shared" si="6"/>
        <v>PRESTAR SERVICIOS TÉCNICOS PARA EL APOYO EN LA GESTIÓN DE MEJORA EN LOS PROCESOS Y PROCEDIMIENTO DE LOS CANALES DE ATENCIÓN IMPLEMENTADO POR LA ENTIDAD</v>
      </c>
    </row>
    <row r="167" spans="1:6" ht="22.5" customHeight="1">
      <c r="A167" s="53" t="s">
        <v>7633</v>
      </c>
      <c r="B167" s="51" t="s">
        <v>7811</v>
      </c>
      <c r="C167" s="53">
        <v>2024</v>
      </c>
      <c r="D167" s="52" t="str">
        <f t="shared" si="5"/>
        <v>CD-166-2024</v>
      </c>
      <c r="E167" s="20" t="s">
        <v>1548</v>
      </c>
      <c r="F167" s="93" t="str">
        <f t="shared" si="6"/>
        <v>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v>
      </c>
    </row>
    <row r="168" spans="1:6" ht="22.5" customHeight="1">
      <c r="A168" s="53" t="s">
        <v>7633</v>
      </c>
      <c r="B168" s="51" t="s">
        <v>7812</v>
      </c>
      <c r="C168" s="53">
        <v>2024</v>
      </c>
      <c r="D168" s="52" t="str">
        <f t="shared" si="5"/>
        <v>CD-167-2024</v>
      </c>
      <c r="E168" s="20" t="s">
        <v>1557</v>
      </c>
      <c r="F168" s="93" t="str">
        <f t="shared" si="6"/>
        <v>PRESTAR LOS SERVICIOS PROFESIONALES PARA LA EJECUCIÓN DE LAS ACTIVIDADES ASOCIADAS A LAS ALIANZAS ESTRATÉGICAS, ASÍ COMO TAMBIÉN BRINDAR APOYO TÉCNICO EN TEMAS RELACIONADOS CON LAS PLATAFORMAS DIGITALES O HERRAMIENTAS DEL PROCESO DE ALIANZAS ESTRATÉGICAS.</v>
      </c>
    </row>
    <row r="169" spans="1:6" ht="22.5" customHeight="1">
      <c r="A169" s="53" t="s">
        <v>7633</v>
      </c>
      <c r="B169" s="51" t="s">
        <v>7813</v>
      </c>
      <c r="C169" s="53">
        <v>2024</v>
      </c>
      <c r="D169" s="52" t="str">
        <f t="shared" si="5"/>
        <v>CD-168-2024</v>
      </c>
      <c r="E169" s="20" t="s">
        <v>1563</v>
      </c>
      <c r="F169" s="93" t="str">
        <f t="shared" si="6"/>
        <v>PRESTAR LOS SERVICIOS PROFESIONALES JURÍDICOS ESPECIALIZADOS PARA ATENDER LA ACTIVIDAD JURÍDICA DEL ICETEX, DIRIGIDO A LA IMPLEMENTACIÓN DE LA DEFENSA JURÍDICA DE LA ENTIDAD EN ACCIONES DE TUTELA</v>
      </c>
    </row>
    <row r="170" spans="1:6" ht="22.5" customHeight="1">
      <c r="A170" s="53" t="s">
        <v>7633</v>
      </c>
      <c r="B170" s="51" t="s">
        <v>7814</v>
      </c>
      <c r="C170" s="53">
        <v>2024</v>
      </c>
      <c r="D170" s="52" t="str">
        <f t="shared" si="5"/>
        <v>CD-169-2024</v>
      </c>
      <c r="E170" s="20" t="s">
        <v>1570</v>
      </c>
      <c r="F170" s="93" t="str">
        <f t="shared" si="6"/>
        <v>PRESTAR SUS SERVICIOS PROFESIONALES ASESORANDO A LA VICEPRESIDENCIA DE FONDOS EN ADMINISTRACIÓN, EN EL ANÁLISIS Y ESTRUCTURACIÓN DE POLÍTICAS, PROGRAMAS Y PROYECTOS ENCAMINADOS A LOGRAR LA GESTIÓN Y ADMINISTRACIÓN DE RECURSOS DE TERCEROS, PARA EL FOMENTO EDUCATIVO.</v>
      </c>
    </row>
    <row r="171" spans="1:6" ht="22.5" customHeight="1">
      <c r="A171" s="53" t="s">
        <v>7633</v>
      </c>
      <c r="B171" s="51" t="s">
        <v>7815</v>
      </c>
      <c r="C171" s="53">
        <v>2024</v>
      </c>
      <c r="D171" s="52" t="str">
        <f t="shared" si="5"/>
        <v>CD-170-2024</v>
      </c>
      <c r="E171" s="20" t="s">
        <v>7816</v>
      </c>
      <c r="F171" s="93" t="str">
        <f t="shared" si="6"/>
        <v xml:space="preserve">PRESTAR SUS SERVICIOS PROFESIONALES EN LA FORMULACIÓN, SEGUIMIENTO Y ACTUALIZACIÓN DE LAS ESTRATEGIAS QUE PERMITAN EL ÓPTIMO DESARROLLO DE LA OPERACIÓN, ASEGURANDO EL CUMPLIMIENTO DE LOS RESULTADOS ESPERADOS EN LOS PROCESOS A CARGO DE LA VICEPRESIDENCIA DE FONDOS EN ADMINISTRACIÓN, ALINEADOS CON EL SISTEMA INTEGRADO DE GESTIÓN Y CALIDAD DE LA ENTIDAD. 
</v>
      </c>
    </row>
    <row r="172" spans="1:6" ht="22.5" customHeight="1">
      <c r="A172" s="53" t="s">
        <v>7633</v>
      </c>
      <c r="B172" s="51" t="s">
        <v>7817</v>
      </c>
      <c r="C172" s="53">
        <v>2024</v>
      </c>
      <c r="D172" s="52" t="str">
        <f t="shared" si="5"/>
        <v>CD-171-2024</v>
      </c>
      <c r="E172" s="20" t="s">
        <v>7818</v>
      </c>
      <c r="F172" s="93" t="str">
        <f t="shared" si="6"/>
        <v>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v>
      </c>
    </row>
    <row r="173" spans="1:6" ht="22.5" customHeight="1">
      <c r="A173" s="53" t="s">
        <v>7633</v>
      </c>
      <c r="B173" s="51" t="s">
        <v>7819</v>
      </c>
      <c r="C173" s="53">
        <v>2024</v>
      </c>
      <c r="D173" s="52" t="str">
        <f t="shared" si="5"/>
        <v>CD-172-2024</v>
      </c>
      <c r="E173" s="20" t="s">
        <v>1588</v>
      </c>
      <c r="F173" s="93" t="str">
        <f t="shared" si="6"/>
        <v>PRESTAR SERVICIOS PROFESIONALES PARA OFRECER SOPORTE TÉCNICO, RESPALDAR EN METODOLOGÍAS Y BRINDAR APOYO LOGÍSTICO PARA LA GESTIÓN DE ALIANZAS DENTRO DEL DESARROLLO DEL PLAN ESTRATÉGICO DE LA ENTIDAD Y LA "POLÍTICA DE GUÍA, INFORMACIÓN Y ACOMPAÑAMIENTO</v>
      </c>
    </row>
    <row r="174" spans="1:6" ht="22.5" customHeight="1">
      <c r="A174" s="53" t="s">
        <v>7633</v>
      </c>
      <c r="B174" s="51" t="s">
        <v>7820</v>
      </c>
      <c r="C174" s="53">
        <v>2024</v>
      </c>
      <c r="D174" s="52" t="str">
        <f t="shared" si="5"/>
        <v>CD-173-2024</v>
      </c>
      <c r="E174" s="20" t="s">
        <v>1597</v>
      </c>
      <c r="F174" s="93" t="str">
        <f>UPPER(E174)</f>
        <v>PRESTAR LOS SERVICIOS PROFESIONALES ESPECIALIZADOS PARA EL SEGUIMIENTO A LA GESTIÓN A TRAVÉS DE LOS DIFERENTES INSTRUMENTOS O HERRAMIENTAS DE LA ENTIDAD EN EL MARCO DEL SISTEMA INTEGRADO DE GESTIÓN</v>
      </c>
    </row>
    <row r="175" spans="1:6" ht="22.5" customHeight="1">
      <c r="A175" s="53" t="s">
        <v>7633</v>
      </c>
      <c r="B175" s="51" t="s">
        <v>7821</v>
      </c>
      <c r="C175" s="53">
        <v>2024</v>
      </c>
      <c r="D175" s="52" t="str">
        <f t="shared" si="5"/>
        <v>CD-174-2024</v>
      </c>
      <c r="E175" s="20" t="s">
        <v>521</v>
      </c>
      <c r="F175" s="93" t="str">
        <f t="shared" si="6"/>
        <v>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v>
      </c>
    </row>
    <row r="176" spans="1:6" ht="22.5" customHeight="1">
      <c r="A176" s="53" t="s">
        <v>7633</v>
      </c>
      <c r="B176" s="51" t="s">
        <v>7822</v>
      </c>
      <c r="C176" s="53">
        <v>2024</v>
      </c>
      <c r="D176" s="52" t="str">
        <f t="shared" si="5"/>
        <v>CD-175-2024</v>
      </c>
      <c r="E176" s="20" t="s">
        <v>1613</v>
      </c>
      <c r="F176" s="93" t="str">
        <f t="shared" si="6"/>
        <v>PRESTAR SERVICIOS DE APOYO TÉCNICO, PARA LA EXTRACCIÓN, REVISIÓN, DEPURACIÓN, GENERACIÓN Y MANTENIMIENTO DE INFORMES, PARA EFECTOS DEL SEGUIMIENTO OPERATIVO, GENERACIÓN Y MEDICIÓN DE KPI, EN EL MARCO DE LAS ACTIVIDADES DEL SERVICIO DE ATENCIÓN AL USUARIO Y ACTIVIDADES DE GESTIÓN COMERCIAL, EN EL MARCO DE LAS ACTIVIDADES DEL EQUIPO DE GOBIERNO DE DATOS DE LA OFICINA COMERCIAL Y DE MERCADEO.</v>
      </c>
    </row>
    <row r="177" spans="1:6" ht="22.5" customHeight="1">
      <c r="A177" s="53" t="s">
        <v>7633</v>
      </c>
      <c r="B177" s="51" t="s">
        <v>7823</v>
      </c>
      <c r="C177" s="53">
        <v>2024</v>
      </c>
      <c r="D177" s="52" t="str">
        <f t="shared" si="5"/>
        <v>CD-176-2024</v>
      </c>
      <c r="E177" s="20" t="s">
        <v>1622</v>
      </c>
      <c r="F177" s="93" t="str">
        <f>UPPER(E177)</f>
        <v>PRESTAR LOS SERVICIOS PROFESIONALES ESPECIALIZADOS EN EL DESARROLLO Y SEGUIMIENTO DE LOS ACUERDOS ESTRATÉGICOS EN EL MARCO DEL PROYECTO DE FORTALECIMIENTO ORGANIZACIONAL, CON MIRAS AL CUMPLIMIENTO DEL PLAN ESTRATÉGICO 2020-2024.</v>
      </c>
    </row>
    <row r="178" spans="1:6" ht="22.5" customHeight="1">
      <c r="A178" s="53" t="s">
        <v>7633</v>
      </c>
      <c r="B178" s="51" t="s">
        <v>7824</v>
      </c>
      <c r="C178" s="53">
        <v>2024</v>
      </c>
      <c r="D178" s="52" t="str">
        <f t="shared" si="5"/>
        <v>CD-177-2024</v>
      </c>
      <c r="E178" s="20" t="s">
        <v>1630</v>
      </c>
      <c r="F178" s="93" t="str">
        <f t="shared" si="6"/>
        <v>PRESTAR SERVICIOS PROFESIONALES ESPECIALIZADOS PARA GESTIONAR ALIANZAS ESTRATÉGICAS QUE PERMITAN EL DESARROLLO U OPTIMIZACIÓN DE LAS CAPACIDADES E INICIATIVAS QUE DESDE EL EQUIPO DE INNOVACIÓN SE LIDEREN O CUANDO SE APOYE TRANSVERSALMENTE PROYECTOS CON COMPONENTES DE INNOVACIÓN</v>
      </c>
    </row>
    <row r="179" spans="1:6" ht="22.5" customHeight="1">
      <c r="A179" s="53" t="s">
        <v>7633</v>
      </c>
      <c r="B179" s="51" t="s">
        <v>7825</v>
      </c>
      <c r="C179" s="53">
        <v>2024</v>
      </c>
      <c r="D179" s="52" t="str">
        <f t="shared" si="5"/>
        <v>CD-178-2024</v>
      </c>
      <c r="E179" s="20" t="s">
        <v>1638</v>
      </c>
      <c r="F179" s="93" t="str">
        <f t="shared" si="6"/>
        <v>PRESTACIÓN DE SERVICIOS PROFESIONALES JURÍDICOS ESPECIALIZADOS EN LA ATENCIÓN A ASUNTOS PROPIOS DEL RELACIONAMIENTO JURÍDICO, ADMINISTRATIVO Y CONTRACTUAL EN ASUNTOS TI DEL ICETEX</v>
      </c>
    </row>
    <row r="180" spans="1:6" ht="22.5" customHeight="1">
      <c r="A180" s="53" t="s">
        <v>7633</v>
      </c>
      <c r="B180" s="51" t="s">
        <v>7826</v>
      </c>
      <c r="C180" s="53">
        <v>2024</v>
      </c>
      <c r="D180" s="52" t="str">
        <f t="shared" si="5"/>
        <v>CD-179-2024</v>
      </c>
      <c r="E180" s="20" t="s">
        <v>1647</v>
      </c>
      <c r="F180" s="93" t="str">
        <f t="shared" si="6"/>
        <v>PRESTAR SERVICIOS PROFESIONALES PARA APOYAR EL SISTEMA DE GESTIÓN DE SEGURIDAD DIGITAL TODAS LAS ETAPAS DE LOS SISTEMAS Y LINEAMIENTOS DE ADMINISTRACIÓN DE RIESGOS DE SEGURIDAD DE LA INFORMACIÓN BASADOS EN ISO 27001 E IMPLEMENTACIÓN Y MANTENIMIENTO DE LA LEY DE PROTECCIÓN DE DATOS Y TODO EL MARCO NORMATIVO APLICABLE</v>
      </c>
    </row>
    <row r="181" spans="1:6" ht="22.5" customHeight="1">
      <c r="A181" s="53" t="s">
        <v>7633</v>
      </c>
      <c r="B181" s="51" t="s">
        <v>7827</v>
      </c>
      <c r="C181" s="53">
        <v>2024</v>
      </c>
      <c r="D181" s="52" t="str">
        <f t="shared" si="5"/>
        <v>CD-180-2024</v>
      </c>
      <c r="E181" s="20" t="s">
        <v>1655</v>
      </c>
      <c r="F181" s="93" t="str">
        <f t="shared" si="6"/>
        <v>IMPLEMENTAR ESTRATEGIAS PARA LA EJECUCIÓN DEL PLAN COMERCIAL DE LA TERRITORIAL SUROCCIDENTE ASOCIADAS AL PORTAFOLIO DE SERVICIOS DE LCETEX EN LA REGIÓN, EN ARTICULACIÓN CON LA OFICINA COMERCIAL Y DE MERCADEO DEL NIVEL CENTRAL.</v>
      </c>
    </row>
    <row r="182" spans="1:6" ht="22.5" customHeight="1">
      <c r="A182" s="53" t="s">
        <v>7633</v>
      </c>
      <c r="B182" s="51" t="s">
        <v>7828</v>
      </c>
      <c r="C182" s="53">
        <v>2024</v>
      </c>
      <c r="D182" s="52" t="str">
        <f t="shared" si="5"/>
        <v>CD-181-2024</v>
      </c>
      <c r="E182" s="20" t="s">
        <v>1563</v>
      </c>
      <c r="F182" s="93" t="str">
        <f t="shared" si="6"/>
        <v>PRESTAR LOS SERVICIOS PROFESIONALES JURÍDICOS ESPECIALIZADOS PARA ATENDER LA ACTIVIDAD JURÍDICA DEL ICETEX, DIRIGIDO A LA IMPLEMENTACIÓN DE LA DEFENSA JURÍDICA DE LA ENTIDAD EN ACCIONES DE TUTELA</v>
      </c>
    </row>
    <row r="183" spans="1:6" ht="22.5" customHeight="1">
      <c r="A183" s="53" t="s">
        <v>7633</v>
      </c>
      <c r="B183" s="51" t="s">
        <v>7829</v>
      </c>
      <c r="C183" s="53">
        <v>2024</v>
      </c>
      <c r="D183" s="52" t="str">
        <f t="shared" si="5"/>
        <v>CD-182-2024</v>
      </c>
      <c r="E183" s="20" t="s">
        <v>1669</v>
      </c>
      <c r="F183" s="93" t="str">
        <f t="shared" si="6"/>
        <v xml:space="preserve">PRESTACIÓN DE SERVICIOS PROFESIONALES ESPECIALIZADOS PARA LA PLANEACIÓN ADMINISTRATIVA Y FINANCIERA DE LAS INICIATIVAS TECNOLÓGICAS DE LA VICEPRESIDENCIA DE OPERACIONES Y TECNOLOGÍA DEL ICETEX </v>
      </c>
    </row>
    <row r="184" spans="1:6" ht="22.5" customHeight="1">
      <c r="A184" s="53" t="s">
        <v>7633</v>
      </c>
      <c r="B184" s="51" t="s">
        <v>7830</v>
      </c>
      <c r="C184" s="53">
        <v>2024</v>
      </c>
      <c r="D184" s="52" t="str">
        <f t="shared" si="5"/>
        <v>CD-183-2024</v>
      </c>
      <c r="E184" s="20" t="s">
        <v>1677</v>
      </c>
      <c r="F184" s="93" t="str">
        <f t="shared" si="6"/>
        <v>PRESTAR LOS SERVICIOS PROFESIONALES ESPECIALIZADOS PARA EL DISEÑO, IMPLEMENTACIÓN, EJECUCIÓN, SUPERVISIÓN, CONTROL Y MEJORA CONTINUA DE ESTRATEGIAS ORIENTADAS A OPTIMIZAR EL EMBUDO DE CONVERSIÓN, EN EL MARCO DEL PROCESO DE OTORGAMIENTO DE PRODUCTOS DEL PORTAFOLIO ICETEX</v>
      </c>
    </row>
    <row r="185" spans="1:6" ht="22.5" customHeight="1">
      <c r="A185" s="53" t="s">
        <v>7633</v>
      </c>
      <c r="B185" s="51" t="s">
        <v>7831</v>
      </c>
      <c r="C185" s="53">
        <v>2024</v>
      </c>
      <c r="D185" s="52" t="str">
        <f t="shared" si="5"/>
        <v>CD-184-2024</v>
      </c>
      <c r="E185" s="20" t="s">
        <v>1685</v>
      </c>
      <c r="F185" s="93" t="str">
        <f t="shared" si="6"/>
        <v xml:space="preserve">PRESTAR SUS SERVICIOS PROFESIONALES APOYANDO EL SEGUIMIENTO DE LOS PROCESOS Y PROCEDIMIENTOS A CARGO DE LA VICEPRESIDENCIA DE FONDOS EN ADMINISTRACIÓN. </v>
      </c>
    </row>
    <row r="186" spans="1:6" ht="22.5" customHeight="1">
      <c r="A186" s="53" t="s">
        <v>7633</v>
      </c>
      <c r="B186" s="51" t="s">
        <v>7832</v>
      </c>
      <c r="C186" s="53">
        <v>2024</v>
      </c>
      <c r="D186" s="52" t="str">
        <f t="shared" si="5"/>
        <v>CD-185-2024</v>
      </c>
      <c r="E186" s="20" t="s">
        <v>1693</v>
      </c>
      <c r="F186" s="93" t="str">
        <f t="shared" si="6"/>
        <v>PRESTAR SERVICIOS PROFESIONALES PARA EL DESARROLLO DE LAS ACTIVIDADES QUE PERMITAN FORTALECER EL RELACIONAMIENTO INSTITUCIONAL DEL DESPACHO DE PRESIDENCIA CON PÚBLICOS INTERNOS Y EXTERNOS DE LA ENTIDAD</v>
      </c>
    </row>
    <row r="187" spans="1:6" ht="22.5" customHeight="1">
      <c r="A187" s="53" t="s">
        <v>7633</v>
      </c>
      <c r="B187" s="51" t="s">
        <v>7833</v>
      </c>
      <c r="C187" s="53">
        <v>2024</v>
      </c>
      <c r="D187" s="52" t="str">
        <f t="shared" si="5"/>
        <v>CD-186-2024</v>
      </c>
      <c r="E187" s="96" t="s">
        <v>1702</v>
      </c>
      <c r="F187" s="93" t="str">
        <f t="shared" si="6"/>
        <v>PRESTAR LOS SERVICIOS PROFESIONALES ESPECIALIZADOS PARA REALIZAR EL SEGUIMIENTO DE LA EJECUCIÓN DE LOS EMPRÉSTITOS BIRF 8701-CO Y BIRF 8836, ASÍ COMO LA GENERACIÓN DE INFORMES.</v>
      </c>
    </row>
    <row r="188" spans="1:6" ht="22.5" customHeight="1">
      <c r="A188" s="53" t="s">
        <v>7633</v>
      </c>
      <c r="B188" s="51" t="s">
        <v>7834</v>
      </c>
      <c r="C188" s="53">
        <v>2024</v>
      </c>
      <c r="D188" s="52" t="str">
        <f t="shared" si="5"/>
        <v>CD-187-2024</v>
      </c>
      <c r="E188" s="96" t="s">
        <v>1710</v>
      </c>
      <c r="F188" s="93" t="str">
        <f t="shared" si="6"/>
        <v>PRESTAR LOS SERVICIOS PROFESIONALES ESPECIALIZADOS PARA EJECUTAR Y DESARROLLAR LOS PROCESOS RELACIONADOS CON EL OTORGAMIENTO DE LOS DIFERENTES PRODUCTOS DE CRÉDITO Y ALIANZAS DE LA ENTIDAD Y LA GESTIÓN OPERATIVA DE LOS CONVENIOS DE ALIANZAS ESTRATÉGICAS</v>
      </c>
    </row>
    <row r="189" spans="1:6" ht="22.5" customHeight="1">
      <c r="A189" s="53" t="s">
        <v>7633</v>
      </c>
      <c r="B189" s="51" t="s">
        <v>7835</v>
      </c>
      <c r="C189" s="53">
        <v>2024</v>
      </c>
      <c r="D189" s="52" t="str">
        <f t="shared" si="5"/>
        <v>CD-188-2024</v>
      </c>
      <c r="E189" s="96" t="s">
        <v>1719</v>
      </c>
      <c r="F189" s="93" t="str">
        <f t="shared" si="6"/>
        <v>PRESTAR SUS SERVICIOS DE APOYO EN LA GESTIÓN ADMINISTRATIVA Y DOCUMENTAL A CARGO DE LA VICEPRESIDENCIA DE FONDOS EN ADMINISTRACIÓN</v>
      </c>
    </row>
    <row r="190" spans="1:6" ht="22.5" customHeight="1">
      <c r="A190" s="53" t="s">
        <v>7633</v>
      </c>
      <c r="B190" s="51" t="s">
        <v>7836</v>
      </c>
      <c r="C190" s="53">
        <v>2024</v>
      </c>
      <c r="D190" s="52" t="str">
        <f t="shared" si="5"/>
        <v>CD-189-2024</v>
      </c>
      <c r="E190" s="96" t="s">
        <v>1729</v>
      </c>
      <c r="F190" s="93" t="str">
        <f t="shared" si="6"/>
        <v>PRESTAR SERVICIOS PROFESIONALES ESPECIALIZADOS, PARA DESARROLLAR ACTIVIDADES DE EXTRACCIÓN, TRANSFORMACIÓN Y DEPURACIÓN DE DATA, A PARTIR DE AUTOMATIZACIONES, EN EL MARCO DEL DESARROLLO DE LA GESTIÓN DEL GOBIERNO DE DATOS DE LA OFICINA COMERCIAL Y DE MERCADEO</v>
      </c>
    </row>
    <row r="191" spans="1:6" ht="22.5" customHeight="1">
      <c r="A191" s="53" t="s">
        <v>7633</v>
      </c>
      <c r="B191" s="51" t="s">
        <v>7837</v>
      </c>
      <c r="C191" s="53">
        <v>2024</v>
      </c>
      <c r="D191" s="52" t="str">
        <f t="shared" si="5"/>
        <v>CD-190-2024</v>
      </c>
      <c r="E191" s="96" t="s">
        <v>1737</v>
      </c>
      <c r="F191" s="93" t="str">
        <f t="shared" si="6"/>
        <v>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v>
      </c>
    </row>
    <row r="192" spans="1:6" ht="22.5" customHeight="1">
      <c r="A192" s="53" t="s">
        <v>7633</v>
      </c>
      <c r="B192" s="51" t="s">
        <v>7838</v>
      </c>
      <c r="C192" s="53">
        <v>2024</v>
      </c>
      <c r="D192" s="52" t="str">
        <f t="shared" si="5"/>
        <v>CD-191-2024</v>
      </c>
      <c r="E192" s="96" t="s">
        <v>1745</v>
      </c>
      <c r="F192" s="93" t="str">
        <f t="shared" si="6"/>
        <v>PRESTAR LOS SERVICIOS DE APOYO TÉCNICO PARA LA GESTIÓN DE PROCESOS, TAREAS, OPERACIONES Y ACTIVIDADES RELACIONADOS CON LAS AUDITORÍAS, POLÍTICAS PÚBLICAS, GESTIÓN DEL RIESGO, GESTIÓN DEL CRÉDITO Y DEMÁS PLANES DE GESTIÓN Y AUTOCONTROL, DE CONFORMIDAD CON LOS REQUERIMIENTOS ORGANIZACIONALES Y NORMATIVOS DEL ICETEX,</v>
      </c>
    </row>
    <row r="193" spans="1:6" ht="22.5" customHeight="1">
      <c r="A193" s="53" t="s">
        <v>7633</v>
      </c>
      <c r="B193" s="51" t="s">
        <v>7839</v>
      </c>
      <c r="C193" s="53">
        <v>2024</v>
      </c>
      <c r="D193" s="52" t="str">
        <f t="shared" si="5"/>
        <v>CD-192-2024</v>
      </c>
      <c r="E193" s="96" t="s">
        <v>1752</v>
      </c>
      <c r="F193" s="93" t="str">
        <f t="shared" si="6"/>
        <v>PRESTAR SERVICIOS PROFESIONALES ESPECIALIZADOS CON EL FIN DE ANALIZAR, EVALUAR Y EJECUTAR ESTRATEGIAS, ENFOCADAS AL MEJORAMIENTO DE LA EXPERIENCIA Y SATISFACCIÓN DE LOS GRUPOS DE INTERÉS ICETEX (BENEFICIARIOS, CIUDADANOS, IES) EN SUS INTERACCIONES CON LA ENTIDAD.</v>
      </c>
    </row>
    <row r="194" spans="1:6" ht="22.5" customHeight="1">
      <c r="A194" s="53" t="s">
        <v>7633</v>
      </c>
      <c r="B194" s="51" t="s">
        <v>7840</v>
      </c>
      <c r="C194" s="53">
        <v>2024</v>
      </c>
      <c r="D194" s="52" t="str">
        <f t="shared" ref="D194:D257" si="7">CONCATENATE(A194,"-",B194,"-",C194)</f>
        <v>CD-193-2024</v>
      </c>
      <c r="E194" s="96" t="s">
        <v>1760</v>
      </c>
      <c r="F194" s="93" t="str">
        <f t="shared" si="6"/>
        <v xml:space="preserve">APOYAR A LA VICEPRESIDENCIA DE FONDOS EN ADMINISTRACIÓN EN LA ESTRUCTURACIÓN Y DESARROLLO DE ESTRATEGIAS PARA OPTIMIZAR LA EJECUCIÓN DE RECURSOS DE TERCEROS, ORIENTADOS AL FOMENTO EDUCATIVO. </v>
      </c>
    </row>
    <row r="195" spans="1:6" ht="22.5" customHeight="1">
      <c r="A195" s="53" t="s">
        <v>7633</v>
      </c>
      <c r="B195" s="51" t="s">
        <v>7841</v>
      </c>
      <c r="C195" s="53">
        <v>2024</v>
      </c>
      <c r="D195" s="52" t="str">
        <f t="shared" si="7"/>
        <v>CD-194-2024</v>
      </c>
      <c r="E195" s="74" t="s">
        <v>1768</v>
      </c>
      <c r="F195" s="93" t="str">
        <f t="shared" ref="F195:F198" si="8">UPPER(E195)</f>
        <v>PRESTAR SERVICIOS PROFESIONALES ESPECIALIZADOS PARA EJECUTAR  CTIVIDADES ASOCIADAS AL DESARROLLO, SEGUIMIENTO, CONTROL Y ASEGURAMIENTO DE LOS PROYECTOS DE MEJORA CONTINUA QUE LE SEAN ASIGNADOS EN EL MARCO DE LOS PROCESOS DE LA OFICINA COMERCIAL Y DE MERCADEO Y SUS DIFERENTES EQUIPOS DE TRABAJO.</v>
      </c>
    </row>
    <row r="196" spans="1:6" ht="22.5" customHeight="1">
      <c r="A196" s="53" t="s">
        <v>7633</v>
      </c>
      <c r="B196" s="51" t="s">
        <v>7842</v>
      </c>
      <c r="C196" s="53">
        <v>2024</v>
      </c>
      <c r="D196" s="52" t="str">
        <f t="shared" si="7"/>
        <v>CD-195-2024</v>
      </c>
      <c r="E196" s="96" t="s">
        <v>1776</v>
      </c>
      <c r="F196" s="93" t="str">
        <f t="shared" si="8"/>
        <v>PRESTAR SUS SERVICIOS PROFESIONALES ESPECIALIZADOS A LA VICEPRESIDENCIA DE FONDOS EN ADMINISTRACIÓN, PARA LA VALIDACIÓN, ELABORACIÓN E IMPLEMENTACIÓN DE INSTRUMENTOS QUE OPTIMICEN LOS PROCESOS Y PROCEDIMIENTOS A CARGO DE LA VICEPRESIDENCIA.</v>
      </c>
    </row>
    <row r="197" spans="1:6" ht="22.5" customHeight="1">
      <c r="A197" s="53" t="s">
        <v>7633</v>
      </c>
      <c r="B197" s="51" t="s">
        <v>7843</v>
      </c>
      <c r="C197" s="53">
        <v>2024</v>
      </c>
      <c r="D197" s="52" t="str">
        <f t="shared" si="7"/>
        <v>CD-196-2024</v>
      </c>
      <c r="E197" s="96" t="s">
        <v>1784</v>
      </c>
      <c r="F197" s="93" t="str">
        <f t="shared" si="8"/>
        <v xml:space="preserve">PRESTAR SUS SERVICIOS PROFESIONALES ESPECIALIZADOS A LA VICEPRESIDENCIA DE FONDOS EN ADMINISTRACIÓN, APOYANDO ACTIVIDADES RELACIONADAS CON LA DEPURACIÓN, CONSOLIDACIÓN Y ANÁLISIS DE INFORMACIÓN ESTADÍSTICA DERIVADA DE LOS PROCESOS A CARGO DE LA VICEPRESIDENCIA. </v>
      </c>
    </row>
    <row r="198" spans="1:6" ht="22.5" customHeight="1">
      <c r="A198" s="53" t="s">
        <v>7633</v>
      </c>
      <c r="B198" s="51" t="s">
        <v>7844</v>
      </c>
      <c r="C198" s="53">
        <v>2024</v>
      </c>
      <c r="D198" s="52" t="str">
        <f t="shared" si="7"/>
        <v>CD-197-2024</v>
      </c>
      <c r="E198" s="96" t="s">
        <v>1792</v>
      </c>
      <c r="F198" s="93" t="str">
        <f t="shared" si="8"/>
        <v>PRESTAR LOS SERVICIOS PROFESIONALES PARA EL SEGUIMIENTO, CONTROL DE LA INFORMACIÓN Y CAMPAÑAS DE LOS PROCESOS DE OTORGAMIENTO, LEGALIZACIÓN Y RENOVACIÓN PUBLICADOS EN PÁGINA WEB.</v>
      </c>
    </row>
    <row r="199" spans="1:6" ht="22.5" customHeight="1">
      <c r="A199" s="53" t="s">
        <v>7633</v>
      </c>
      <c r="B199" s="51" t="s">
        <v>7845</v>
      </c>
      <c r="C199" s="53">
        <v>2024</v>
      </c>
      <c r="D199" s="52" t="str">
        <f t="shared" si="7"/>
        <v>CD-198-2024</v>
      </c>
      <c r="E199" s="20" t="s">
        <v>1800</v>
      </c>
      <c r="F199" s="93" t="str">
        <f t="shared" ref="F199:F258" si="9">UPPER(E199)</f>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00" spans="1:6" ht="22.5" customHeight="1">
      <c r="A200" s="53" t="s">
        <v>7633</v>
      </c>
      <c r="B200" s="51" t="s">
        <v>7846</v>
      </c>
      <c r="C200" s="53">
        <v>2024</v>
      </c>
      <c r="D200" s="52" t="str">
        <f t="shared" si="7"/>
        <v>CD-199-2024</v>
      </c>
      <c r="E200" s="96" t="s">
        <v>1810</v>
      </c>
      <c r="F200" s="93" t="str">
        <f t="shared" si="9"/>
        <v>PRESTAR LOS SERVICIOS PROFESIONALES EN EL DESARROLLO DE LOS DIFERENTES PROCESOS DE LA PRESIDENCIA Y APOYO CON EL RELACIONAMIENTO PÚBLICO DE DIFERENTES ACTORES</v>
      </c>
    </row>
    <row r="201" spans="1:6" ht="22.5" customHeight="1">
      <c r="A201" s="53" t="s">
        <v>7633</v>
      </c>
      <c r="B201" s="51" t="s">
        <v>7847</v>
      </c>
      <c r="C201" s="53">
        <v>2024</v>
      </c>
      <c r="D201" s="52" t="str">
        <f t="shared" si="7"/>
        <v>CD-200-2024</v>
      </c>
      <c r="E201" s="96" t="s">
        <v>1818</v>
      </c>
      <c r="F201" s="93" t="str">
        <f t="shared" si="9"/>
        <v>PRESTAR LOS SERVICIOS PROFESIONALES ESPECIALIZADOS PARA EL DISEÑO, IMPLEMENTACIÓN, EJECUCIÓN, SUPERVISIÓN, CONTROL Y MEJORA CONTINUA DE ESTRATEGIAS COMERCIALES ORIENTADAS A LA PROMOCIÓN Y OTORGAMIENTO DEL PORTAFOLIO DE PRODUCTOS DEL ICETEX Y LIDERANDO EL EQUIPO COMERCIAL DE LA ENTIDAD</v>
      </c>
    </row>
    <row r="202" spans="1:6" ht="22.5" customHeight="1">
      <c r="A202" s="53" t="s">
        <v>7633</v>
      </c>
      <c r="B202" s="51" t="s">
        <v>7848</v>
      </c>
      <c r="C202" s="53">
        <v>2024</v>
      </c>
      <c r="D202" s="52" t="str">
        <f t="shared" si="7"/>
        <v>CD-201-2024</v>
      </c>
      <c r="E202" s="96" t="s">
        <v>1825</v>
      </c>
      <c r="F202" s="93" t="str">
        <f>UPPER(E202)</f>
        <v>PRESTAR LOS SERVICIOS TÉCNICOS EN LA ATENCIÓN DE PQRS Y REQUERIMIENTOS INTERNOS Y EXTERNOS CORRESPONDIENTES AL GRUPO DE CREDITO A CARGO DE LA
VICEPRESIDENCIA DE CRÉDITO Y COBRANZA</v>
      </c>
    </row>
    <row r="203" spans="1:6" ht="22.5" customHeight="1">
      <c r="A203" s="53" t="s">
        <v>7633</v>
      </c>
      <c r="B203" s="51" t="s">
        <v>7849</v>
      </c>
      <c r="C203" s="53">
        <v>2024</v>
      </c>
      <c r="D203" s="52" t="str">
        <f t="shared" si="7"/>
        <v>CD-202-2024</v>
      </c>
      <c r="E203" s="96" t="s">
        <v>1834</v>
      </c>
      <c r="F203" s="93" t="str">
        <f t="shared" si="9"/>
        <v>PRESTAR LOS SERVICIOS PROFESIONALES PARA GESTIONAR LA ADMINISTRACIÓN, IMPLEMENTACIÓN Y SEGUIMIENTO DE ESTRATEGIAS DE COMUNICACIÓN DIGITAL, ASÍ COMO LA ATENCIÓN DE SERVICIO A TRAVÉS DE LAS PLATAFORMAS DIGITALES CON LOS QUE CUENTA LA ENTIDAD Y MANEJA LA OFICINA ASESORA DE COMUNICACIONES.</v>
      </c>
    </row>
    <row r="204" spans="1:6" ht="22.5" customHeight="1">
      <c r="A204" s="53" t="s">
        <v>7633</v>
      </c>
      <c r="B204" s="51" t="s">
        <v>7850</v>
      </c>
      <c r="C204" s="53">
        <v>2024</v>
      </c>
      <c r="D204" s="52" t="str">
        <f t="shared" si="7"/>
        <v>CD-203-2024</v>
      </c>
      <c r="E204" s="96" t="s">
        <v>7851</v>
      </c>
      <c r="F204" s="93" t="str">
        <f t="shared" si="9"/>
        <v>PRESTAR SERVICIOS PROFESIONALES ESPECIALIZADOS COMO ANALISTA TECNOLÓGICO PARA LA CONSTRUCCIÓN DE REQUERIMIENTOS, PROTOTIPOS, REALIZACIÓN DE PRUEBAS, SOPORTE FUNCIONAL Y TÉCNICO DE ACUERDO CON LO
REQUERIDO EN LAS ACTIVIDADES Y PROYECTOS QUE DESARROLLE O APOYE EL EQUIPO DE INNOVACIÓN DE LA ENTIDAD.</v>
      </c>
    </row>
    <row r="205" spans="1:6" ht="22.5" customHeight="1">
      <c r="A205" s="53" t="s">
        <v>7633</v>
      </c>
      <c r="B205" s="51" t="s">
        <v>7852</v>
      </c>
      <c r="C205" s="53">
        <v>2024</v>
      </c>
      <c r="D205" s="52" t="str">
        <f t="shared" si="7"/>
        <v>CD-204-2024</v>
      </c>
      <c r="E205" s="96" t="s">
        <v>1850</v>
      </c>
      <c r="F205" s="93" t="str">
        <f t="shared" si="9"/>
        <v>PRESTAR LOS SERVICIOS PROFESIONALES ESPECIALIZADOS PARA LLEVAR A CABO ESTUDIOS E INVESTIGACIONES CON RELACIÓN A LA FINANCIACIÓN DE LA EDUCACIÓN SUPERIOR, ASÍ COMO PROVEER ASISTENCIA TÉCNICA PARA LA REGLAMENTACIÓN Y OPERATIVIZACIÓN DEL MODELO DE SEGUIMIENTO Y RECAUDO DEL MECANISMO DE PAGO CONTINGENTE AL INGRESO</v>
      </c>
    </row>
    <row r="206" spans="1:6" ht="22.5" customHeight="1">
      <c r="A206" s="53" t="s">
        <v>7633</v>
      </c>
      <c r="B206" s="51" t="s">
        <v>7853</v>
      </c>
      <c r="C206" s="53">
        <v>2024</v>
      </c>
      <c r="D206" s="52" t="str">
        <f t="shared" si="7"/>
        <v>CD-205-2024</v>
      </c>
      <c r="E206" s="96" t="s">
        <v>1858</v>
      </c>
      <c r="F206" s="93" t="str">
        <f t="shared" si="9"/>
        <v>PRESTACIÓN DE SERVICIOS PROFESIONALES EN LAS ACTIVIDADES RELACIONADAS CON EL PROCESO DE TERMINACIÓN Y CUMPLIMIENTO DE LAS OBLIGACIONES CREDITICIAS EN LA DEPURACIÓN, AJUSTE, APLICACIÓN Y ATENCIÓN DE LOS REQUERIMIENTOS DEL ICETEX</v>
      </c>
    </row>
    <row r="207" spans="1:6" ht="22.5" customHeight="1">
      <c r="A207" s="53" t="s">
        <v>7633</v>
      </c>
      <c r="B207" s="51" t="s">
        <v>7854</v>
      </c>
      <c r="C207" s="53">
        <v>2024</v>
      </c>
      <c r="D207" s="52" t="str">
        <f t="shared" si="7"/>
        <v>CD-206-2024</v>
      </c>
      <c r="E207" s="96" t="s">
        <v>1866</v>
      </c>
      <c r="F207" s="93" t="str">
        <f t="shared" si="9"/>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08" spans="1:6" ht="22.5" customHeight="1">
      <c r="A208" s="53" t="s">
        <v>7633</v>
      </c>
      <c r="B208" s="51" t="s">
        <v>7855</v>
      </c>
      <c r="C208" s="53">
        <v>2024</v>
      </c>
      <c r="D208" s="52" t="str">
        <f t="shared" si="7"/>
        <v>CD-207-2024</v>
      </c>
      <c r="E208" s="96" t="s">
        <v>7856</v>
      </c>
      <c r="F208" s="93" t="str">
        <f t="shared" si="9"/>
        <v>PRESTAR LOS SERVICIOS PROFESIONALES PARA LA DOCUMENTACIÓN DE PROCESOS, TAREAS,OPERACIONES Y ACTIVIDADES RELACIONADOS CON LAS AUDITORÍAS, POLÍTICAS PÚBLICAS, GESTIÓN DEL RIESGO,GESTIÓN DEL CRÉDITO Y DEMÁS PLANES DE GESTIÓN Y AUTOCONTROL, DE CONFORMIDAD CON LOS REQUERIMIENTOS ORGANIZACIONALES Y NORMATIVOS DEL ICETEX</v>
      </c>
    </row>
    <row r="209" spans="1:6" ht="22.5" customHeight="1">
      <c r="A209" s="53" t="s">
        <v>7633</v>
      </c>
      <c r="B209" s="51" t="s">
        <v>7857</v>
      </c>
      <c r="C209" s="53">
        <v>2024</v>
      </c>
      <c r="D209" s="52" t="str">
        <f t="shared" si="7"/>
        <v>CD-208-2024</v>
      </c>
      <c r="E209" s="96" t="s">
        <v>7858</v>
      </c>
      <c r="F209" s="93" t="str">
        <f t="shared" si="9"/>
        <v xml:space="preserve">PRESTACIÓN DE SERVICIOS TÉCNICOS DE APOYO PARA EL TRÁMITE DE ACTIVIDADES ADMINISTRATIVAS PROPIAS DEL ICETEX </v>
      </c>
    </row>
    <row r="210" spans="1:6" ht="22.5" customHeight="1">
      <c r="A210" s="53" t="s">
        <v>7633</v>
      </c>
      <c r="B210" s="51" t="s">
        <v>7859</v>
      </c>
      <c r="C210" s="53">
        <v>2024</v>
      </c>
      <c r="D210" s="52" t="str">
        <f t="shared" si="7"/>
        <v>CD-209-2024</v>
      </c>
      <c r="E210" s="96" t="s">
        <v>1440</v>
      </c>
      <c r="F210" s="93" t="str">
        <f t="shared" si="9"/>
        <v>PRESTACIÓN DE SERVICIOS PROFESIONALES ESPECIALIZADOS PARA EL ANÁLISIS Y APLICACIÓN DE NOVEDADES EN LA CARTERA, DE ACUERDO CON LA NORMATIVIDAD VIGENTE EN EL ICETEX.</v>
      </c>
    </row>
    <row r="211" spans="1:6" ht="22.5" customHeight="1">
      <c r="A211" s="53" t="s">
        <v>7633</v>
      </c>
      <c r="B211" s="51" t="s">
        <v>7860</v>
      </c>
      <c r="C211" s="53">
        <v>2024</v>
      </c>
      <c r="D211" s="52" t="str">
        <f t="shared" si="7"/>
        <v>CD-210-2024</v>
      </c>
      <c r="E211" s="96" t="s">
        <v>1884</v>
      </c>
      <c r="F211" s="93" t="str">
        <f t="shared" si="9"/>
        <v>PRESTACIÓN DE SERVICIOS PROFESIONALES ESPECIALIZADOS PARA EL ANÁLISIS Y APLICACIÓN DE NOVEDADES EN LA CARTERA, DE ACUERDO CON LA NORMATIVIDAD VIGENTE EN EL ICETEX</v>
      </c>
    </row>
    <row r="212" spans="1:6" ht="22.5" customHeight="1">
      <c r="A212" s="53" t="s">
        <v>7633</v>
      </c>
      <c r="B212" s="51" t="s">
        <v>7861</v>
      </c>
      <c r="C212" s="53">
        <v>2024</v>
      </c>
      <c r="D212" s="52" t="str">
        <f t="shared" si="7"/>
        <v>CD-211-2024</v>
      </c>
      <c r="E212" s="96" t="s">
        <v>1892</v>
      </c>
      <c r="F212" s="93" t="str">
        <f t="shared" si="9"/>
        <v>PRESTAR LOS SERVICIOS PROFESIONALES ESPECIALIZADOS PARA ESTRUCTURACIÓN Y APROPIACIÓN DE INSTRUMENTOS Y/O MECANISMOS FINANCIEROS QUE PERMITAN LA GENERACIÓN DE EFICIENCIAS FINANCIERAS EN EL MARCO DE OPTIMIZACIÓN DE LA ESTRUCTURA PASIVO Y DIVERSIFICACIÓN DE LAS FUENTES DE FONDEO</v>
      </c>
    </row>
    <row r="213" spans="1:6" ht="22.5" customHeight="1">
      <c r="A213" s="53" t="s">
        <v>7633</v>
      </c>
      <c r="B213" s="51" t="s">
        <v>7862</v>
      </c>
      <c r="C213" s="53">
        <v>2024</v>
      </c>
      <c r="D213" s="52" t="str">
        <f t="shared" si="7"/>
        <v>CD-212-2024</v>
      </c>
      <c r="E213" s="96" t="s">
        <v>1901</v>
      </c>
      <c r="F213" s="93" t="str">
        <f t="shared" si="9"/>
        <v>PRESTAR SERVICIOS PROFESIONALES ESPECIALIZADOS CON EL FIN DE ANALIZAR, EVALUAR Y EJECUTAR ESTRATEGIAS, ENFOCADAS AL ASEGURAMIENTO DE LA EXPERIENCIA Y SATISFACCIÓN DE LOS GRUPOS DE INTERÉS DE COMUNIDAD ICETEX.</v>
      </c>
    </row>
    <row r="214" spans="1:6" ht="22.5" customHeight="1">
      <c r="A214" s="53" t="s">
        <v>7633</v>
      </c>
      <c r="B214" s="51" t="s">
        <v>7863</v>
      </c>
      <c r="C214" s="53">
        <v>2024</v>
      </c>
      <c r="D214" s="52" t="str">
        <f t="shared" si="7"/>
        <v>CD-213-2024</v>
      </c>
      <c r="E214" s="96" t="s">
        <v>1910</v>
      </c>
      <c r="F214" s="93" t="str">
        <f t="shared" si="9"/>
        <v>PRESTAR SERVICIOS TÉCNICOS DE APOYO A LA MEJORA EN LOS PROCESOS Y PROCEDIMIENTOS EN LOS CANALES DE ATENCIÓN Y GESTIÓN DE LA ENTIDAD.</v>
      </c>
    </row>
    <row r="215" spans="1:6" ht="22.5" customHeight="1">
      <c r="A215" s="53" t="s">
        <v>7633</v>
      </c>
      <c r="B215" s="51" t="s">
        <v>7864</v>
      </c>
      <c r="C215" s="53">
        <v>2024</v>
      </c>
      <c r="D215" s="52" t="str">
        <f t="shared" si="7"/>
        <v>CD-214-2024</v>
      </c>
      <c r="E215" s="96" t="s">
        <v>1918</v>
      </c>
      <c r="F215" s="93" t="str">
        <f t="shared" si="9"/>
        <v>PRESTAR SERVICIOS PROFESIONALES ESPECIALIZADOS PARA OFRECER ACOMPAÑAMIENTO TÉCNICO, RESPALDAR EN MATERIA DE METODOLOGÍAS DE INVESTIGACIÓN Y BRINDAR SOPORTE LOGÍSTICO A LA "UNIDAD DE ENTENDIMIENTO Y DISEÑO DE EXPERIENCIAS" EN EL CONTEXTO DEL DESARROLLO DEL PLAN ESTRATÉGICO DE LA ENTIDAD Y LA "POLÍTICA DE GUÍA, INFORMACIÓN Y ACOMPAÑAMIENTO</v>
      </c>
    </row>
    <row r="216" spans="1:6" ht="22.5" customHeight="1">
      <c r="A216" s="53" t="s">
        <v>7633</v>
      </c>
      <c r="B216" s="51" t="s">
        <v>7865</v>
      </c>
      <c r="C216" s="53">
        <v>2024</v>
      </c>
      <c r="D216" s="52" t="str">
        <f t="shared" si="7"/>
        <v>CD-215-2024</v>
      </c>
      <c r="E216" s="96" t="s">
        <v>1926</v>
      </c>
      <c r="F216" s="93" t="str">
        <f t="shared" si="9"/>
        <v>PRESTAR LOS SERVICIOS PROFESIONALES PARA LA REALIZACIÓN DE AUDITORÍAS INTERNAS A LOS SISTEMAS DE GESTIÓN DE LA ENTIDAD Y AL SISTEMA DE CONTROL INTERNO, ASÍ COMO SEGUIMIENTO A LOS PLANES Y ACCIONES DE MEJORA, ACTIVIDADES DE FOMENTO DE AUTOCONTROL, ACOMPAÑAMIENTO FUNCIONAL EN LA MASIFICACIÓN, PARAMETRIZACIÓN Y MEJORAS DEL SOFTWARE DE AUDITORÍA Y LAS ASESORÍAS REQUERIDAS POR LOS DIFERENTES PROCESOS DE CONFORMIDAD CON EL PLAN ANUAL DE AUDITORÍAS DE LA OFICINA DE CONTROL INTERNO PARA LA VIGENCIA 2024</v>
      </c>
    </row>
    <row r="217" spans="1:6" ht="22.5" customHeight="1">
      <c r="A217" s="53" t="s">
        <v>7633</v>
      </c>
      <c r="B217" s="51" t="s">
        <v>7866</v>
      </c>
      <c r="C217" s="53">
        <v>2024</v>
      </c>
      <c r="D217" s="52" t="str">
        <f t="shared" si="7"/>
        <v>CD-216-2024</v>
      </c>
      <c r="E217" s="96" t="s">
        <v>1935</v>
      </c>
      <c r="F217" s="93" t="str">
        <f t="shared" si="9"/>
        <v>PRESTAR LOS SERVICIOS PROFESIONALES JURÍDICOS ESPECIALIZADOS PARA ORIENTAR Y ACOMPAÑAR EN LA ARTICULACIÓN Y OPTIMIZACIÓN DE LOS SERVICIOS Y ASUNTOS A CARGO DE LA SECRETARIA GENERAL</v>
      </c>
    </row>
    <row r="218" spans="1:6" ht="22.5" customHeight="1">
      <c r="A218" s="53" t="s">
        <v>7633</v>
      </c>
      <c r="B218" s="51" t="s">
        <v>7867</v>
      </c>
      <c r="C218" s="53">
        <v>2024</v>
      </c>
      <c r="D218" s="52" t="str">
        <f t="shared" si="7"/>
        <v>CD-217-2024</v>
      </c>
      <c r="E218" s="96" t="s">
        <v>1945</v>
      </c>
      <c r="F218" s="93" t="str">
        <f t="shared" si="9"/>
        <v>PRESTAR LOS SERVICIOS PROFESIONALES ESPECIALIZADOS EN LA ARTICULACIÓN DESDE LA PRESIDENCIA CON LA OFICINA ASESORA DE COMUNICACIONES PARA LA EJECUCIÓN DE DIFERENTES ESTRATEGIAS Y ACTIVIDADES</v>
      </c>
    </row>
    <row r="219" spans="1:6" ht="22.5" customHeight="1">
      <c r="A219" s="53" t="s">
        <v>7633</v>
      </c>
      <c r="B219" s="51" t="s">
        <v>7868</v>
      </c>
      <c r="C219" s="53">
        <v>2024</v>
      </c>
      <c r="D219" s="52" t="str">
        <f t="shared" si="7"/>
        <v>CD-218-2024</v>
      </c>
      <c r="E219" s="96" t="s">
        <v>1954</v>
      </c>
      <c r="F219" s="93" t="str">
        <f t="shared" si="9"/>
        <v>PRESTAR SUS SERVICIOS PROFESIONALES A LA SECRETARIA GENERAL EN LA ORIENTACIÓN, ARTICULACIÓN Y OPTIMIZACIÓN DE LOS ASUNTOS RELACIONADOS CON LAS FUNCIONES ASIGNADAS A LA SECRETARIA GENERAL.</v>
      </c>
    </row>
    <row r="220" spans="1:6" ht="22.5" customHeight="1">
      <c r="A220" s="53" t="s">
        <v>7633</v>
      </c>
      <c r="B220" s="51" t="s">
        <v>7869</v>
      </c>
      <c r="C220" s="53">
        <v>2024</v>
      </c>
      <c r="D220" s="52" t="str">
        <f t="shared" si="7"/>
        <v>CD-219-2024</v>
      </c>
      <c r="E220" s="96" t="s">
        <v>1962</v>
      </c>
      <c r="F220" s="93" t="str">
        <f t="shared" si="9"/>
        <v xml:space="preserve">PRESTACIÓN DE SERVICIOS DE APOYO A LA GESTIÓN ADMINISTRATIVA DE LA VICEPRESIDENCIA DE OPERACIONES Y TECNOLOGÍA DEL ICETEX </v>
      </c>
    </row>
    <row r="221" spans="1:6" ht="22.5" customHeight="1">
      <c r="A221" s="53" t="s">
        <v>7633</v>
      </c>
      <c r="B221" s="51" t="s">
        <v>7870</v>
      </c>
      <c r="C221" s="53">
        <v>2024</v>
      </c>
      <c r="D221" s="52" t="str">
        <f t="shared" si="7"/>
        <v>CD-220-2024</v>
      </c>
      <c r="E221" s="96" t="s">
        <v>1971</v>
      </c>
      <c r="F221" s="93" t="str">
        <f t="shared" si="9"/>
        <v>PRESTAR SUS SERVICIOS PROFESIONALES APOYANDO LAS ACTIVIDADES DE SEGUIMIENTO Y CONTROL QUE PERMITAN EL ÓPTIMO DESARROLLO DE LA OPERACIÓN, IDENTIFICANDO OPORTUNIDADES QUE LLEVEN A LA IMPLEMENTACIÓN DE EFICIENCIAS EN LOS PROCESOS A CARGO DE LA VICEPRESIDENCIA DE FONDOS EN ADMINISTRACIÓN; ASÍ COMO EN LA MITIGACIÓN DE RIESGOS</v>
      </c>
    </row>
    <row r="222" spans="1:6" ht="22.5" customHeight="1">
      <c r="A222" s="53" t="s">
        <v>7633</v>
      </c>
      <c r="B222" s="51" t="s">
        <v>7871</v>
      </c>
      <c r="C222" s="53">
        <v>2024</v>
      </c>
      <c r="D222" s="52" t="str">
        <f t="shared" si="7"/>
        <v>CD-221-2024</v>
      </c>
      <c r="E222" s="96" t="s">
        <v>1979</v>
      </c>
      <c r="F222" s="93" t="str">
        <f t="shared" si="9"/>
        <v xml:space="preserve">PRESTACIÓN DE SERVICIOS PROFESIONALES DE ASESORÍA ESPECIALIZADA EN INGENIERÍA ESTRATÉGICA PARA LA DEFINICIÓN, DISEÑO Y APOYO EN LA GESTIÓN DE IMPLEMENTACIÓN Y CONTROL DE PROYECTOS E INICIATIVAS DE LA VICEPRESIDENCIA DE OPERACIONES Y TECNOLOGÍA DEL ICETEX. </v>
      </c>
    </row>
    <row r="223" spans="1:6" ht="22.5" customHeight="1">
      <c r="A223" s="53" t="s">
        <v>7633</v>
      </c>
      <c r="B223" s="51" t="s">
        <v>7872</v>
      </c>
      <c r="C223" s="53">
        <v>2024</v>
      </c>
      <c r="D223" s="52" t="str">
        <f t="shared" si="7"/>
        <v>CD-222-2024</v>
      </c>
      <c r="E223" s="96" t="s">
        <v>1884</v>
      </c>
      <c r="F223" s="93" t="str">
        <f t="shared" si="9"/>
        <v>PRESTACIÓN DE SERVICIOS PROFESIONALES ESPECIALIZADOS PARA EL ANÁLISIS Y APLICACIÓN DE NOVEDADES EN LA CARTERA, DE ACUERDO CON LA NORMATIVIDAD VIGENTE EN EL ICETEX</v>
      </c>
    </row>
    <row r="224" spans="1:6" ht="22.5" customHeight="1">
      <c r="A224" s="53" t="s">
        <v>7633</v>
      </c>
      <c r="B224" s="51" t="s">
        <v>7873</v>
      </c>
      <c r="C224" s="53">
        <v>2024</v>
      </c>
      <c r="D224" s="52" t="str">
        <f t="shared" si="7"/>
        <v>CD-223-2024</v>
      </c>
      <c r="E224" s="96" t="s">
        <v>1884</v>
      </c>
      <c r="F224" s="93" t="str">
        <f t="shared" si="9"/>
        <v>PRESTACIÓN DE SERVICIOS PROFESIONALES ESPECIALIZADOS PARA EL ANÁLISIS Y APLICACIÓN DE NOVEDADES EN LA CARTERA, DE ACUERDO CON LA NORMATIVIDAD VIGENTE EN EL ICETEX</v>
      </c>
    </row>
    <row r="225" spans="1:6" ht="22.5" customHeight="1">
      <c r="A225" s="53" t="s">
        <v>7633</v>
      </c>
      <c r="B225" s="51" t="s">
        <v>7874</v>
      </c>
      <c r="C225" s="53">
        <v>2024</v>
      </c>
      <c r="D225" s="52" t="str">
        <f t="shared" si="7"/>
        <v>CD-224-2024</v>
      </c>
      <c r="E225" s="96" t="s">
        <v>1737</v>
      </c>
      <c r="F225" s="93" t="str">
        <f t="shared" si="9"/>
        <v>PRESTAR LOS SERVICIOS PROFESIONALES PARA LA DOCUMENTACIÓN DE PROCESOS, TAREAS, OPERACIONES Y ACTIVIDADES RELACIONADOS CON LAS AUDITORÍAS, POLÍTICAS PÚBLICAS, GESTIÓN DEL RIESGO, GESTIÓN DEL CRÉDITO Y DEMÁS PLANES DE GESTIÓN Y AUTOCONTROL, DE CONFORMIDAD CON LOS REQUERIMIENTOS ORGANIZACIONALES Y NORMATIVOS DEL ICETEX</v>
      </c>
    </row>
    <row r="226" spans="1:6" ht="22.5" customHeight="1">
      <c r="A226" s="53" t="s">
        <v>7633</v>
      </c>
      <c r="B226" s="51" t="s">
        <v>7875</v>
      </c>
      <c r="C226" s="53">
        <v>2024</v>
      </c>
      <c r="D226" s="52" t="str">
        <f t="shared" si="7"/>
        <v>CD-225-2024</v>
      </c>
      <c r="E226" s="96" t="s">
        <v>2000</v>
      </c>
      <c r="F226" s="93" t="str">
        <f t="shared" si="9"/>
        <v>PRESTAR LOS SERVICIOS PROFESIONALES ESPECIALIZADOS PARA ADELANTAR LAS ACTIVIDADES QUE PERMITAN EL CUMPLIMIENTO DE LOS PROCESOS Y REQUERIMIENTOS DEL DESARROLLO DEL SUBCOMPONENTE PASAPORTE A LA CIENCIA Y PROGRAMAS ESPECIALES EN EL MARCO DE LA POLÍTICA DE COOPERACIÓN ACADÉMICA INTERNACIONAL E INTERINSTITUCIONAL DEL ICETEX.</v>
      </c>
    </row>
    <row r="227" spans="1:6" ht="22.5" customHeight="1">
      <c r="A227" s="53" t="s">
        <v>7633</v>
      </c>
      <c r="B227" s="51" t="s">
        <v>7876</v>
      </c>
      <c r="C227" s="53">
        <v>2024</v>
      </c>
      <c r="D227" s="52" t="str">
        <f t="shared" si="7"/>
        <v>CD-226-2024</v>
      </c>
      <c r="E227" s="96" t="s">
        <v>2007</v>
      </c>
      <c r="F227" s="93" t="str">
        <f t="shared" si="9"/>
        <v>PRESTACIÓN DE SERVICIOS PROFESIONALES ESPECIALIZADOS PARA ATENCIÓN A LA GESTIÓN PRESUPUESTAL Y ADMINISTRATIVA DE ASUNTOS DEL ICETEX.</v>
      </c>
    </row>
    <row r="228" spans="1:6" ht="22.5" customHeight="1">
      <c r="A228" s="53" t="s">
        <v>7633</v>
      </c>
      <c r="B228" s="51" t="s">
        <v>7877</v>
      </c>
      <c r="C228" s="53">
        <v>2024</v>
      </c>
      <c r="D228" s="52" t="str">
        <f t="shared" si="7"/>
        <v>CD-227-2024</v>
      </c>
      <c r="E228" s="96" t="s">
        <v>2015</v>
      </c>
      <c r="F228" s="93" t="str">
        <f t="shared" si="9"/>
        <v>PRESTAR LOS SERVICIOS PROFESIONALES ESPECIALIZADOS PARA ADELANTAR Y DESARROLLAR LAS GESTIONES QUE FORTALEZCAN LOS PROGRAMAS PARA COLOMBIANOS DE LA POLÍTICA DE COOPERACIÓN ACADÉMICA INTERNACIONAL E INTERINSTITUCIONAL DEL ICETEX</v>
      </c>
    </row>
    <row r="229" spans="1:6" ht="22.5" customHeight="1">
      <c r="A229" s="53" t="s">
        <v>7633</v>
      </c>
      <c r="B229" s="51" t="s">
        <v>7878</v>
      </c>
      <c r="C229" s="53">
        <v>2024</v>
      </c>
      <c r="D229" s="52" t="str">
        <f t="shared" si="7"/>
        <v>CD-228-2024</v>
      </c>
      <c r="E229" s="96" t="s">
        <v>2023</v>
      </c>
      <c r="F229" s="93" t="str">
        <f t="shared" si="9"/>
        <v>PRESTACIÓN DE SERVICIOS PROFESIONALES AL GRUPO DE DESARROLLO Y TRANSFORMACIÓN ORGANIZACIONAL DE LA SECRETARÍA GENERAL EN EL DESARROLLO DE ESTRATEGIAS DE COMUNICACIÓN E INNOVACIÓN ORGANIZACIONAL QUE FACILITEN Y PROMUEVAN LA APROPIACIÓN DE LA CULTURA
ORGANIZACIONAL DE LA ENTIDAD POR PARTE DE SUS COLABORADORES Y FACILITEN EL MEJORAMIENTO DE SU CLIMA ORGANIZACIONAL, EN PRO DEL CUMPLIMIENTO DE LOS OBJETIVOS ESTRATÉGICOS TRAZADOS POR ÉSTA EN EL MARCO DE SU PLAN DE ACCIÓN</v>
      </c>
    </row>
    <row r="230" spans="1:6" ht="22.5" customHeight="1">
      <c r="A230" s="53" t="s">
        <v>7633</v>
      </c>
      <c r="B230" s="51" t="s">
        <v>7879</v>
      </c>
      <c r="C230" s="53">
        <v>2024</v>
      </c>
      <c r="D230" s="52" t="str">
        <f t="shared" si="7"/>
        <v>CD-229-2024</v>
      </c>
      <c r="E230" s="96" t="s">
        <v>2032</v>
      </c>
      <c r="F230" s="93" t="str">
        <f>UPPER(E230)</f>
        <v>PRESTAR LOS SERVICIOS PROFESIONALES ESPECIALIZADOS EN LAS ACTIVIDADES RELACIONADAS CON LA CONSOLIDACIÓN DE INFORMACIÓN Y LA OPTIMIZACIÓN DEL PROCEDIMIENTO PARA EL CUMPLIMIENTO DE LAS OBLIGACIONES TRIBUTARIAS Y LAS OPERACIONES RELACIONADAS CON EL REGISTRO CONTABLE A CARGO DE LA DIRECCIÓN DE CONTABILIDAD, EN EL MARCO DE LA MEJORA CONTINUA DE LOS PROCESOS CONTABLES Y FISCALES DEL ICETEX.</v>
      </c>
    </row>
    <row r="231" spans="1:6" ht="22.5" customHeight="1">
      <c r="A231" s="53" t="s">
        <v>7633</v>
      </c>
      <c r="B231" s="51" t="s">
        <v>7880</v>
      </c>
      <c r="C231" s="53">
        <v>2024</v>
      </c>
      <c r="D231" s="52" t="str">
        <f t="shared" si="7"/>
        <v>CD-230-2024</v>
      </c>
      <c r="E231" s="96" t="s">
        <v>2041</v>
      </c>
      <c r="F231" s="93" t="str">
        <f t="shared" si="9"/>
        <v xml:space="preserve">PRESTACIÓN DE SERVICIOS PROFESIONALES ESPECIALIZADOS EN ASESORÍA LEGAL Y DE GESTIÓN PÚBLICA A LAS INICIATIVAS DE LA VICEPRESIDENCIA DE OPERACIONES Y TECNOLOGÍA DEL ICETEX </v>
      </c>
    </row>
    <row r="232" spans="1:6" ht="22.5" customHeight="1">
      <c r="A232" s="53" t="s">
        <v>7633</v>
      </c>
      <c r="B232" s="51" t="s">
        <v>7881</v>
      </c>
      <c r="C232" s="53">
        <v>2024</v>
      </c>
      <c r="D232" s="52" t="str">
        <f t="shared" si="7"/>
        <v>CD-231-2024</v>
      </c>
      <c r="E232" s="96" t="s">
        <v>2049</v>
      </c>
      <c r="F232" s="93" t="str">
        <f t="shared" si="9"/>
        <v>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v>
      </c>
    </row>
    <row r="233" spans="1:6" ht="22.5" customHeight="1">
      <c r="A233" s="53" t="s">
        <v>7633</v>
      </c>
      <c r="B233" s="51" t="s">
        <v>7882</v>
      </c>
      <c r="C233" s="53">
        <v>2024</v>
      </c>
      <c r="D233" s="52" t="str">
        <f t="shared" si="7"/>
        <v>CD-232-2024</v>
      </c>
      <c r="E233" s="96" t="s">
        <v>2049</v>
      </c>
      <c r="F233" s="93" t="str">
        <f t="shared" si="9"/>
        <v>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v>
      </c>
    </row>
    <row r="234" spans="1:6" ht="22.5" customHeight="1">
      <c r="A234" s="53" t="s">
        <v>7633</v>
      </c>
      <c r="B234" s="51" t="s">
        <v>7883</v>
      </c>
      <c r="C234" s="53">
        <v>2024</v>
      </c>
      <c r="D234" s="52" t="str">
        <f t="shared" si="7"/>
        <v>CD-233-2024</v>
      </c>
      <c r="E234" s="96" t="s">
        <v>2067</v>
      </c>
      <c r="F234" s="93" t="str">
        <f t="shared" si="9"/>
        <v>CONTRATAR EL ARRENDAMIENTO DE UN INMUEBLE PARA EL FUNCIONAMIENTO DE LAS OFICINAS DE LA ASOCIACIÓN PANAMERICANA DE INSTITUCIONES DE CRÉDITO EDUCATIVO APICE</v>
      </c>
    </row>
    <row r="235" spans="1:6" ht="22.5" customHeight="1">
      <c r="A235" s="53" t="s">
        <v>7633</v>
      </c>
      <c r="B235" s="51" t="s">
        <v>7884</v>
      </c>
      <c r="C235" s="53">
        <v>2024</v>
      </c>
      <c r="D235" s="52" t="str">
        <f t="shared" si="7"/>
        <v>CD-234-2024</v>
      </c>
      <c r="E235" s="96" t="s">
        <v>2077</v>
      </c>
      <c r="F235" s="93" t="str">
        <f t="shared" si="9"/>
        <v>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v>
      </c>
    </row>
    <row r="236" spans="1:6" ht="22.5" customHeight="1">
      <c r="A236" s="53" t="s">
        <v>7633</v>
      </c>
      <c r="B236" s="51" t="s">
        <v>7885</v>
      </c>
      <c r="C236" s="53">
        <v>2024</v>
      </c>
      <c r="D236" s="52" t="str">
        <f t="shared" si="7"/>
        <v>CD-235-2024</v>
      </c>
      <c r="E236" s="96" t="s">
        <v>2049</v>
      </c>
      <c r="F236" s="93" t="str">
        <f t="shared" si="9"/>
        <v>PRESTAR LOS SERVICIOS PROFESIONALES ESPECIALIZADOS EN LA ETAPA DE GESTIÓN JUDICIAL, CORRESPONDIENTES AL DESARROLLO DE PROCESOS EJECUTIVOS PARA LA RECUPERACIÓN DE CARTERA CONFORME A LA ASIGNACIÓN EFECTUADA POR LA DIRECCIÓN DE COBRANZA DE CONFORMIDAD CON LA NORMATIVIDAD APLICABLE Y ORIENTAR A LA ENTIDAD FRENTE A TEMAS RELACIONADOS CON LA JUDICIALIZACION DE SUS DEUDORES</v>
      </c>
    </row>
    <row r="237" spans="1:6" ht="22.5" customHeight="1">
      <c r="A237" s="53" t="s">
        <v>7633</v>
      </c>
      <c r="B237" s="51" t="s">
        <v>7886</v>
      </c>
      <c r="C237" s="53">
        <v>2024</v>
      </c>
      <c r="D237" s="52" t="str">
        <f t="shared" si="7"/>
        <v>CD-236-2024</v>
      </c>
      <c r="E237" s="96" t="s">
        <v>2091</v>
      </c>
      <c r="F237" s="93" t="str">
        <f t="shared" si="9"/>
        <v>PRESTAR LOS SERVICIOS PROFESIONALES PARA LA OPTIMIZACIÓN Y SISTEMATIZACIÓN DE PROCEDIMIENTOS PARA ADMINISTRAR DE MANERA ÓPTIMA LOS RECURSOS DE CUENTAS INACTIVAS Y NUEVAS FUENTES DE FONDEO, EN EL MARCO DEL PROYECTO DE INVERSIÓN DE BANCA ABIERTA Y TRANSPARENTE E INHOUSE BANKING</v>
      </c>
    </row>
    <row r="238" spans="1:6" ht="22.5" customHeight="1">
      <c r="A238" s="53" t="s">
        <v>7633</v>
      </c>
      <c r="B238" s="51" t="s">
        <v>7887</v>
      </c>
      <c r="C238" s="53">
        <v>2024</v>
      </c>
      <c r="D238" s="52" t="str">
        <f t="shared" si="7"/>
        <v>CD-237-2024</v>
      </c>
      <c r="E238" s="114" t="s">
        <v>2099</v>
      </c>
      <c r="F238" s="93" t="str">
        <f t="shared" si="9"/>
        <v>PRESTAR LOS SERVICIOS PROFESIONALES ESPECIALIZADOS PARA LA ADOPCIÓN DE ESTÁNDARES QUE PERMITAN FORTALECER LA IMPLEMENTACIÓN DE INICIATIVAS QUE PERMITAN LOGRAR LA SIMPLIFICACIÓN, ESTANDARIZACIÓN Y SISTEMATIZACIÓN DE LOS PROCESOS QUE SOPORTAN EL FLUJO DE INFORMACIÓN DE LA VICEPRESIDENCIA FINANCIERA Y EL PROYECTO DE INVERSIÓN BANCA ABIERTA Y TRANSPARENTE E INHOUSE BANKING</v>
      </c>
    </row>
    <row r="239" spans="1:6" ht="22.5" customHeight="1">
      <c r="A239" s="53" t="s">
        <v>7633</v>
      </c>
      <c r="B239" s="51" t="s">
        <v>7888</v>
      </c>
      <c r="C239" s="53">
        <v>2024</v>
      </c>
      <c r="D239" s="52" t="str">
        <f t="shared" si="7"/>
        <v>CD-238-2024</v>
      </c>
      <c r="E239" s="96" t="s">
        <v>1440</v>
      </c>
      <c r="F239" s="93" t="str">
        <f t="shared" si="9"/>
        <v>PRESTACIÓN DE SERVICIOS PROFESIONALES ESPECIALIZADOS PARA EL ANÁLISIS Y APLICACIÓN DE NOVEDADES EN LA CARTERA, DE ACUERDO CON LA NORMATIVIDAD VIGENTE EN EL ICETEX.</v>
      </c>
    </row>
    <row r="240" spans="1:6" ht="22.5" customHeight="1">
      <c r="A240" s="53" t="s">
        <v>7633</v>
      </c>
      <c r="B240" s="51" t="s">
        <v>7889</v>
      </c>
      <c r="C240" s="53">
        <v>2024</v>
      </c>
      <c r="D240" s="52" t="str">
        <f t="shared" si="7"/>
        <v>CD-239-2024</v>
      </c>
      <c r="E240" s="96" t="s">
        <v>1134</v>
      </c>
      <c r="F240" s="93" t="str">
        <f t="shared" si="9"/>
        <v>PRESTACIÓN DE SERVICIOS PROFESIONALES EN LAS ACTIVIDADES RELACIONADAS CON GESTIÓN DE PETICIONES, QUEJAS, RECLAMOS; ASÍ COMO LA ENTREGA DE INSUMOS DE INFORMACIÒN PARA LA ATENCIÓN DE TUTELAS Y FALLOS JUDICIALES DEL ICETEX</v>
      </c>
    </row>
    <row r="241" spans="1:6" ht="22.5" customHeight="1">
      <c r="A241" s="53" t="s">
        <v>7633</v>
      </c>
      <c r="B241" s="51" t="s">
        <v>7890</v>
      </c>
      <c r="C241" s="53">
        <v>2024</v>
      </c>
      <c r="D241" s="52" t="str">
        <f t="shared" si="7"/>
        <v>CD-240-2024</v>
      </c>
      <c r="E241" s="20" t="s">
        <v>2122</v>
      </c>
      <c r="F241" s="93" t="str">
        <f t="shared" si="9"/>
        <v>PRESTAR SERVICIOS PROFESIONALES PARA LA SIMPLIFICACIÓN Y SISTEMATIZACIÓN DE LOS PROCESOS QUE SOPORTAN LA GESTIÓN CONTABLE, A PARTIR DE LA CONSOLIDACIÓN, Y ANÁLISIS DE LA INFORMACIÓN QUE FORTALEZCA EL PROCESO DE CIERRE CONTABLE Y OPERATIVO DEL INSTITUTO EN EL MARCO DEL PROYECTO DE INVERSIÓN BANCA ABIERTA Y TRANSPARENTE E INHOUSE BANKING.”,</v>
      </c>
    </row>
    <row r="242" spans="1:6" ht="22.5" customHeight="1">
      <c r="A242" s="53" t="s">
        <v>7633</v>
      </c>
      <c r="B242" s="51" t="s">
        <v>7891</v>
      </c>
      <c r="C242" s="53">
        <v>2024</v>
      </c>
      <c r="D242" s="52" t="str">
        <f t="shared" si="7"/>
        <v>CD-241-2024</v>
      </c>
      <c r="E242" s="96" t="s">
        <v>2130</v>
      </c>
      <c r="F242" s="93" t="str">
        <f t="shared" si="9"/>
        <v>PRESTAR LOS SERVICIOS PROFESIONALES ESPECIALIZADOS PARA LA CONSOLIDACIÓN Y ANÁLISIS DE INFORMACIÓN FINANCIERA QUE PERMITA GARANTIZAR LA CALIDAD DE LA DATA Y OPTIMIZAR EL PROCESO DE CIERRE CONTABLE Y OPERATIVO DEL INSTITUTO EN EL MARCO DE LA MEJORA CONTINUA DE LOS PROCESOS CONTABLES Y FISCALES, Y LA ACTUALIZACIÓN DE LA NORMATIVA</v>
      </c>
    </row>
    <row r="243" spans="1:6" ht="22.5" customHeight="1">
      <c r="A243" s="53" t="s">
        <v>7633</v>
      </c>
      <c r="B243" s="51" t="s">
        <v>7892</v>
      </c>
      <c r="C243" s="53">
        <v>2024</v>
      </c>
      <c r="D243" s="52" t="str">
        <f t="shared" si="7"/>
        <v>CD-242-2024</v>
      </c>
      <c r="E243" s="96" t="s">
        <v>7893</v>
      </c>
      <c r="F243" s="93" t="str">
        <f t="shared" si="9"/>
        <v>PRESTAR LOS SERVICIOS PROFESIONALES ESPECIALIZADOS GENERAR CONTENIDOS GRÁFICOS PARA LA DIVULGACIÓN DE LA GESTIÓN E INFORMACIÓN DE LA ENTIDAD, DE ACUERDO A LOS LINEAMIENTOS DE LA OFICINA ASESORA DE COMUNICACIONES.</v>
      </c>
    </row>
    <row r="244" spans="1:6" ht="22.5" customHeight="1">
      <c r="A244" s="53" t="s">
        <v>7633</v>
      </c>
      <c r="B244" s="51" t="s">
        <v>7894</v>
      </c>
      <c r="C244" s="53">
        <v>2024</v>
      </c>
      <c r="D244" s="52" t="str">
        <f t="shared" si="7"/>
        <v>CD-243-2024</v>
      </c>
      <c r="E244" s="96" t="s">
        <v>2139</v>
      </c>
      <c r="F244" s="93" t="str">
        <f t="shared" si="9"/>
        <v>PRESTAR SERVICIOS PROFESIONALES ESPECIALIZADOS PARA GESTIONAR EL RELACIONAMIENTO CON MEDIOS DE COMUNICACIÓN Y LA CIUDADANÍA Y GENERACIÓN DE PRODUCTOS PERIODÍSTICOS EN ARTICULACIÓN CON LAS ÁREAS INVOLUCRADAS, DE ACUERDO A LOS LINEAMIENTOS DE LA OFICINA ASESORA DE COMUNICACIONES</v>
      </c>
    </row>
    <row r="245" spans="1:6" ht="22.5" customHeight="1">
      <c r="A245" s="53" t="s">
        <v>7633</v>
      </c>
      <c r="B245" s="51" t="s">
        <v>7895</v>
      </c>
      <c r="C245" s="53">
        <v>2024</v>
      </c>
      <c r="D245" s="52" t="str">
        <f t="shared" si="7"/>
        <v>CD-244-2024</v>
      </c>
      <c r="E245" s="96" t="s">
        <v>2147</v>
      </c>
      <c r="F245" s="93" t="str">
        <f t="shared" si="9"/>
        <v>PRESTAR SERVICIOS PROFESIONALES ESPECIALIZADOS PARA LA COORDINACIÓN, DESARROLLO Y EJECUCIÓN DEL PLAN COMERCIAL DE LA TERRITORIAL ORIENTE QUE FOMENTE LA REGIONALIZACIÓN DEL PORTAFOLIO DE SERVICIOS DE ICETEX, EN ARTICULACIÓN CON LA OFICINA COMERCIAL Y DE MERCADEO DEL NIVEL CENTRAL.</v>
      </c>
    </row>
    <row r="246" spans="1:6" ht="22.5" customHeight="1">
      <c r="A246" s="53" t="s">
        <v>7633</v>
      </c>
      <c r="B246" s="51" t="s">
        <v>7896</v>
      </c>
      <c r="C246" s="53">
        <v>2024</v>
      </c>
      <c r="D246" s="52" t="str">
        <f t="shared" si="7"/>
        <v>CD-245-2024</v>
      </c>
      <c r="E246" s="96" t="s">
        <v>2156</v>
      </c>
      <c r="F246" s="93" t="str">
        <f t="shared" si="9"/>
        <v>IMPLEMENTAR ESTRATEGIAS PARA LA EJECUCIÓN DEL PLAN COMERCIAL DE LA TERRITORIAL CENTRO ASOCIADAS AL PORTAFOLIO DE SERVICIOS DE ICETEX EN LA REGIÓN, EN ARTICULACIÓN CON LA OFICINA COMERCIAL Y DE MERCADEO DEL NIVEL CENTRAL</v>
      </c>
    </row>
    <row r="247" spans="1:6" ht="22.5" customHeight="1">
      <c r="A247" s="53" t="s">
        <v>7633</v>
      </c>
      <c r="B247" s="51" t="s">
        <v>7897</v>
      </c>
      <c r="C247" s="53">
        <v>2024</v>
      </c>
      <c r="D247" s="52" t="str">
        <f t="shared" si="7"/>
        <v>CD-246-2024</v>
      </c>
      <c r="E247" s="96" t="s">
        <v>968</v>
      </c>
      <c r="F247" s="93" t="str">
        <f t="shared" si="9"/>
        <v>PRESTAR SERVICIOS DE APOYO A LA GESTIÓN EN LAS ACTIVIDADES PROPIAS DEL PROCESO DE GESTIÓN DE CORRESPONDENCIA, RELACIONADAS CON LA RADICACIÓN, ALISTAMIENTO PARA ENTREGA Y DISTRIBUCIÓN, DIGITALIZACIÓN, ORGANIZACIÓN Y ARCHIVO DE LAS COMUNICACIONES OFICIALES RECIBIDAS EN EL ICETEX Y ENVIADAS A TRAVÉS DEL SERVICIO POSTAL, EN EL MARCO DE LAS POLÍTICAS DE SERVICIO AL CIUDADANO Y GESTIÓN DOCUMENTAL DEL MIPG.</v>
      </c>
    </row>
    <row r="248" spans="1:6" ht="22.5" customHeight="1">
      <c r="A248" s="53" t="s">
        <v>7633</v>
      </c>
      <c r="B248" s="51" t="s">
        <v>7898</v>
      </c>
      <c r="C248" s="53">
        <v>2024</v>
      </c>
      <c r="D248" s="52" t="str">
        <f t="shared" si="7"/>
        <v>CD-247-2024</v>
      </c>
      <c r="E248" s="96" t="s">
        <v>2172</v>
      </c>
      <c r="F248" s="93" t="str">
        <f t="shared" si="9"/>
        <v>PRESTAR SERVICIOS TÉCNICOS PARA APOYAR EN LA EJECUCIÓN DE LOS PROCEDIMIENTOS DE ADMINISTRACIÓN DE ARCHIVO DE GESTIÓN, TRANSFERENCIAS DOCUMENTALES, CONSULTAS Y DIGITALIZACIÓN DE EXPEDIENTES, ASÍ COMO CONTRIBUIR A MEJORAR LA OPORTUNIDAD DE LOS SERVICIOS QUE PRESTA LA ENTIDAD.</v>
      </c>
    </row>
    <row r="249" spans="1:6" ht="22.5" customHeight="1">
      <c r="A249" s="53" t="s">
        <v>7633</v>
      </c>
      <c r="B249" s="51" t="s">
        <v>7899</v>
      </c>
      <c r="C249" s="53">
        <v>2024</v>
      </c>
      <c r="D249" s="52" t="str">
        <f t="shared" si="7"/>
        <v>CD-248-2024</v>
      </c>
      <c r="E249" s="96" t="s">
        <v>2179</v>
      </c>
      <c r="F249" s="93" t="str">
        <f t="shared" si="9"/>
        <v>PRESTAR SUS SERVICIOS PROFESIONALES LIDERANDO Y HACIENDO SEGUIMIENTO Y CONTROL A LA GESTIÓN DE LA LIQUIDACIÓN Y/O CIERRE DE LOS CONTRATOS Y CONVENIOS A CARGO DE LA VICEPRESIDENCIA DE FONDOS EN ADMINISTRACIÓN DE ACUERDO CON LAS POLÍTICAS Y PROCEDIMIENTOS ESTABLECIDAS EN EL ICETEX.</v>
      </c>
    </row>
    <row r="250" spans="1:6" ht="22.5" customHeight="1">
      <c r="A250" s="53" t="s">
        <v>7633</v>
      </c>
      <c r="B250" s="51" t="s">
        <v>7900</v>
      </c>
      <c r="C250" s="53">
        <v>2024</v>
      </c>
      <c r="D250" s="52" t="str">
        <f t="shared" si="7"/>
        <v>CD-249-2024</v>
      </c>
      <c r="E250" s="96" t="s">
        <v>2187</v>
      </c>
      <c r="F250" s="93" t="str">
        <f>UPPER(E250)</f>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51" spans="1:6" ht="22.5" customHeight="1">
      <c r="A251" s="53" t="s">
        <v>7633</v>
      </c>
      <c r="B251" s="51" t="s">
        <v>7901</v>
      </c>
      <c r="C251" s="53">
        <v>2024</v>
      </c>
      <c r="D251" s="52" t="str">
        <f t="shared" si="7"/>
        <v>CD-250-2024</v>
      </c>
      <c r="E251" s="96" t="s">
        <v>2187</v>
      </c>
      <c r="F251" s="93" t="str">
        <f t="shared" si="9"/>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52" spans="1:6" ht="22.5" customHeight="1">
      <c r="A252" s="53" t="s">
        <v>7633</v>
      </c>
      <c r="B252" s="51" t="s">
        <v>7902</v>
      </c>
      <c r="C252" s="53">
        <v>2024</v>
      </c>
      <c r="D252" s="52" t="str">
        <f t="shared" si="7"/>
        <v>CD-251-2024</v>
      </c>
      <c r="E252" s="96" t="s">
        <v>2205</v>
      </c>
      <c r="F252" s="93" t="str">
        <f t="shared" si="9"/>
        <v>PRESTAR SERVICIOS PROFESIONALES DE APOYO AL SEGUIMIENTO Y MEDICIÓN DE LA EXPERIENCIA LABORAL DE LOS COLABORADORES RELACIONADOS CON LOS PROCESOS DE ATENCIÓN AL USUARIO EN LOS DIFERENTES CANALES DE ATENCIÓN Y GESTIÓN.</v>
      </c>
    </row>
    <row r="253" spans="1:6" ht="22.5" customHeight="1">
      <c r="A253" s="53" t="s">
        <v>7633</v>
      </c>
      <c r="B253" s="51" t="s">
        <v>7903</v>
      </c>
      <c r="C253" s="53">
        <v>2024</v>
      </c>
      <c r="D253" s="52" t="str">
        <f t="shared" si="7"/>
        <v>CD-252-2024</v>
      </c>
      <c r="E253" s="96" t="s">
        <v>2172</v>
      </c>
      <c r="F253" s="93" t="str">
        <f t="shared" si="9"/>
        <v>PRESTAR SERVICIOS TÉCNICOS PARA APOYAR EN LA EJECUCIÓN DE LOS PROCEDIMIENTOS DE ADMINISTRACIÓN DE ARCHIVO DE GESTIÓN, TRANSFERENCIAS DOCUMENTALES, CONSULTAS Y DIGITALIZACIÓN DE EXPEDIENTES, ASÍ COMO CONTRIBUIR A MEJORAR LA OPORTUNIDAD DE LOS SERVICIOS QUE PRESTA LA ENTIDAD.</v>
      </c>
    </row>
    <row r="254" spans="1:6" ht="22.5" customHeight="1">
      <c r="A254" s="53" t="s">
        <v>7633</v>
      </c>
      <c r="B254" s="51" t="s">
        <v>7904</v>
      </c>
      <c r="C254" s="53">
        <v>2024</v>
      </c>
      <c r="D254" s="52" t="str">
        <f t="shared" si="7"/>
        <v>CD-253-2024</v>
      </c>
      <c r="E254" s="96" t="s">
        <v>1012</v>
      </c>
      <c r="F254" s="93" t="str">
        <f t="shared" si="9"/>
        <v>PRESTAR LOS SERVICIOS PROFESIONALES PARA LA REALIZACIÓN DE PRODUCCIÓN AUDIOVISUAL PARA LA DIVULGACIÓN DE LA GESTIÓN E INFORMACIÓN DE LA ENTIDAD, DE ACUERDO A LOS LINEAMIENTOS DE LA OFICINA ASESORA DE COMUNICACIONES.</v>
      </c>
    </row>
    <row r="255" spans="1:6" ht="22.5" customHeight="1">
      <c r="A255" s="53" t="s">
        <v>7633</v>
      </c>
      <c r="B255" s="51" t="s">
        <v>7905</v>
      </c>
      <c r="C255" s="53">
        <v>2024</v>
      </c>
      <c r="D255" s="52" t="str">
        <f t="shared" si="7"/>
        <v>CD-254-2024</v>
      </c>
      <c r="E255" s="96" t="s">
        <v>2227</v>
      </c>
      <c r="F255" s="93" t="str">
        <f t="shared" si="9"/>
        <v>PRESTAR SERVICIOS PROFESIONALES PARA SOPORTAR LA ESTRUCTURACIÓN Y ANÁLISIS, PROYECCIONES Y MODELOS FINANCIEROS REQUERIDOS PARA RESPALDAR LAS INICIATIVAS QUE DESDE EL EQUIPO DE INNOVACIÓN SE LIDEREN O CUANDO SE APOYE TRANSVERSALMENTE PROYECTOS CON COMPONENTES DE INNOVACIÓN.</v>
      </c>
    </row>
    <row r="256" spans="1:6" ht="22.5" customHeight="1">
      <c r="A256" s="53" t="s">
        <v>7633</v>
      </c>
      <c r="B256" s="51" t="s">
        <v>7906</v>
      </c>
      <c r="C256" s="53">
        <v>2024</v>
      </c>
      <c r="D256" s="52" t="str">
        <f t="shared" si="7"/>
        <v>CD-255-2024</v>
      </c>
      <c r="E256" s="96" t="s">
        <v>2235</v>
      </c>
      <c r="F256" s="93" t="str">
        <f t="shared" si="9"/>
        <v>PRESTAR LOS SERVICIOS PROFESIONALES PARA EL DESARROLLO DE LOS CONTENIDOS ESCRITOS Y PERIODÍSTICOS PARA LA DIVULGACIÓN DE LA GESTIÓN E INFORMACIÓN DE LA ENTIDAD, DE ACUERDO A LOS LINEAMIENTOS DE LA OFICINA ASESORA DE COMUNICACIONES.</v>
      </c>
    </row>
    <row r="257" spans="1:6" ht="22.5" customHeight="1">
      <c r="A257" s="53" t="s">
        <v>7633</v>
      </c>
      <c r="B257" s="51" t="s">
        <v>7907</v>
      </c>
      <c r="C257" s="53">
        <v>2024</v>
      </c>
      <c r="D257" s="52" t="str">
        <f t="shared" si="7"/>
        <v>CD-256-2024</v>
      </c>
      <c r="E257" s="96" t="s">
        <v>2243</v>
      </c>
      <c r="F257" s="93" t="str">
        <f t="shared" si="9"/>
        <v>PRESTAR SUS SERVICIOS PROFESIONALES ESPECIALIZADOS APOYANDO LA GESTIÓN, ADMINISTRACIÓN, SEGUIMIENTO Y CONTROL DE LOS CONVENIOS, CONTRATOS, FONDOS, ALIANZAS Y/O PROYECTOS A CARGO DE LA VICEPRESIDENCIA DE FONDOS EN ADMINISTRACIÓN CONFORME LOS PROCEDIMIENTOS ESTABLECIDOS POR EL ICETEX.</v>
      </c>
    </row>
    <row r="258" spans="1:6" ht="22.5" customHeight="1">
      <c r="A258" s="53" t="s">
        <v>7633</v>
      </c>
      <c r="B258" s="51" t="s">
        <v>7908</v>
      </c>
      <c r="C258" s="53">
        <v>2024</v>
      </c>
      <c r="D258" s="52" t="str">
        <f t="shared" ref="D258:D321" si="10">CONCATENATE(A258,"-",B258,"-",C258)</f>
        <v>CD-257-2024</v>
      </c>
      <c r="E258" s="96" t="s">
        <v>1387</v>
      </c>
      <c r="F258" s="93" t="str">
        <f t="shared" si="9"/>
        <v>PRESTAR SUS SERVICIOS PROFESIONALES PARA LA ATENCIÓN DE PQRSD, ACCIONES JUDICIALES Y DEMÁS TRÁMITES A CARGO DE LA VICEPRESIDENCIA DE FONDOS EN ADMINISTRACIÓN</v>
      </c>
    </row>
    <row r="259" spans="1:6" ht="22.5" customHeight="1">
      <c r="A259" s="53" t="s">
        <v>7633</v>
      </c>
      <c r="B259" s="51" t="s">
        <v>7909</v>
      </c>
      <c r="C259" s="53">
        <v>2024</v>
      </c>
      <c r="D259" s="52" t="str">
        <f t="shared" si="10"/>
        <v>CD-258-2024</v>
      </c>
      <c r="E259" s="96" t="s">
        <v>1866</v>
      </c>
      <c r="F259" s="93" t="str">
        <f t="shared" ref="F259:F322" si="11">UPPER(E259)</f>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60" spans="1:6" ht="22.5" customHeight="1">
      <c r="A260" s="53" t="s">
        <v>7633</v>
      </c>
      <c r="B260" s="51" t="s">
        <v>7910</v>
      </c>
      <c r="C260" s="53">
        <v>2024</v>
      </c>
      <c r="D260" s="52" t="str">
        <f t="shared" si="10"/>
        <v>CD-259-2024</v>
      </c>
      <c r="E260" s="96" t="s">
        <v>2266</v>
      </c>
      <c r="F260" s="93" t="str">
        <f t="shared" si="11"/>
        <v>PRESTAR LOS SERVICIOS PROFESIONALES JURÍDICOS ESPECIALIZADOS EN EL DESARROLLO Y REPRESENTACIÓN DEL ICETEX, DIRIGIDO A LA IMPLEMENTACIÓN DE LA DEFENSA JURÍDICA DE LA ENTIDAD ANTE LA SUPERINTENDENCIA DE INDUSTRIA Y COMERCIO Y SUPERINTENDENCIA FINANCIERA Y DESARROLLO DE ACTIVIDADES ADICIONALES RELACIONADAS CON LAS MISMAS ENTIDADES O CUALQUIER ENTE DE CONTROL DE SIMILAR NATURALEZA</v>
      </c>
    </row>
    <row r="261" spans="1:6" ht="22.5" customHeight="1">
      <c r="A261" s="53" t="s">
        <v>7633</v>
      </c>
      <c r="B261" s="51" t="s">
        <v>7911</v>
      </c>
      <c r="C261" s="53">
        <v>2024</v>
      </c>
      <c r="D261" s="52" t="str">
        <f t="shared" si="10"/>
        <v>CD-260-2024</v>
      </c>
      <c r="E261" s="96" t="s">
        <v>1884</v>
      </c>
      <c r="F261" s="93" t="str">
        <f t="shared" si="11"/>
        <v>PRESTACIÓN DE SERVICIOS PROFESIONALES ESPECIALIZADOS PARA EL ANÁLISIS Y APLICACIÓN DE NOVEDADES EN LA CARTERA, DE ACUERDO CON LA NORMATIVIDAD VIGENTE EN EL ICETEX</v>
      </c>
    </row>
    <row r="262" spans="1:6" ht="22.5" customHeight="1">
      <c r="A262" s="53" t="s">
        <v>7633</v>
      </c>
      <c r="B262" s="51" t="s">
        <v>7912</v>
      </c>
      <c r="C262" s="53">
        <v>2024</v>
      </c>
      <c r="D262" s="52" t="str">
        <f t="shared" si="10"/>
        <v>CD-261-2024</v>
      </c>
      <c r="E262" s="96" t="s">
        <v>2280</v>
      </c>
      <c r="F262" s="93" t="str">
        <f t="shared" si="11"/>
        <v>PRESTAR SERVICIOS PROFESIONALES PARA RESPALDAR LA EJECUCIÓN DE LA ESTRATEGIA DE COMUNICACIÓN, MARCA Y CULTURA DENTRO DEL DESARROLLO DEL PLAN ESTRATÉGICO DE LA ENTIDAD Y LA "POLÍTICA DE GUÍA, INFORMACIÓN Y ACOMPAÑAMIENTO" DE LA OFICINA COMERCIAL Y DE MERCADEO</v>
      </c>
    </row>
    <row r="263" spans="1:6" ht="22.5" customHeight="1">
      <c r="A263" s="53" t="s">
        <v>7633</v>
      </c>
      <c r="B263" s="51" t="s">
        <v>7913</v>
      </c>
      <c r="C263" s="53">
        <v>2024</v>
      </c>
      <c r="D263" s="52" t="str">
        <f t="shared" si="10"/>
        <v>CD-262-2024</v>
      </c>
      <c r="E263" s="96" t="s">
        <v>2289</v>
      </c>
      <c r="F263" s="93" t="str">
        <f t="shared" si="11"/>
        <v>PRESTAR SERVICIOS PROFESIONALES EN LAS ACTIVIDADES PRESUPUESTALES, ECONÓMICAS Y FINANCIERAS DE LA GESTIÓN CONTRACTUAL DEL ICETEX, Y LAS RELACIONADAS CON EL PLAN DE COMPRAS DE CONFORMIDAD CON LOS LINEAMIENTOS INTERNOS, NORMAS DE AUSTERIDAD DEL GASTO Y DEMÁS CONCORDANTES</v>
      </c>
    </row>
    <row r="264" spans="1:6" ht="22.5" customHeight="1">
      <c r="A264" s="53" t="s">
        <v>7633</v>
      </c>
      <c r="B264" s="51" t="s">
        <v>7914</v>
      </c>
      <c r="C264" s="53">
        <v>2024</v>
      </c>
      <c r="D264" s="52" t="str">
        <f t="shared" si="10"/>
        <v>CD-263-2024</v>
      </c>
      <c r="E264" s="96" t="s">
        <v>2297</v>
      </c>
      <c r="F264" s="93" t="str">
        <f t="shared" si="11"/>
        <v>PRESTAR LOS SERVICIOS PROFESIONALES PARA ORIENTAR Y ACOMPAÑAR EN MATERIA PRESUPUESTAL, ECONÓMICA Y FINANCIERA LAS ACTIVIDADES RELACIONADAS CON EL SEGUIMIENTO PRESUPUESTAL Y LA ACTIVIDAD CONTRACTUAL DE LA SECRETARÍA GENERAL</v>
      </c>
    </row>
    <row r="265" spans="1:6" ht="22.5" customHeight="1">
      <c r="A265" s="53" t="s">
        <v>7633</v>
      </c>
      <c r="B265" s="51" t="s">
        <v>7915</v>
      </c>
      <c r="C265" s="53">
        <v>2024</v>
      </c>
      <c r="D265" s="52" t="str">
        <f t="shared" si="10"/>
        <v>CD-264-2024</v>
      </c>
      <c r="E265" s="96" t="s">
        <v>2305</v>
      </c>
      <c r="F265" s="93" t="str">
        <f t="shared" si="11"/>
        <v>PRESTAR SERVICIOS PROFESIONALES ESPECIALIZADOS PARA LA IMPLEMENTACIÓN, DESARROLLO Y SEGUIMIENTO DEL SISTEMA DE GESTIÓN DE SEGURIDAD Y SALUD DEL TRABAJO EN EL MARCO DE LA POLÍTICA DE “GESTIÓN DEL TALENTO HUMANO”, ASÍ COMO CONTRIBUIR A MEJORAR LA OPORTUNIDAD DE LOS SERVICIOS QUE PRESTA LA ENTIDAD.</v>
      </c>
    </row>
    <row r="266" spans="1:6" ht="22.5" customHeight="1">
      <c r="A266" s="53" t="s">
        <v>7633</v>
      </c>
      <c r="B266" s="51" t="s">
        <v>7916</v>
      </c>
      <c r="C266" s="53">
        <v>2024</v>
      </c>
      <c r="D266" s="52" t="str">
        <f t="shared" si="10"/>
        <v>CD-265-2024</v>
      </c>
      <c r="E266" s="96" t="s">
        <v>2316</v>
      </c>
      <c r="F266" s="93" t="str">
        <f t="shared" si="11"/>
        <v>PRESTAR SERVICIOS PROFESIONALES PARA APOYAR TÉCNICAMENTE LOS PROCEDIMIENTOS INHERENTES A LA ADMINISTRACIÓN DE PERSONAL, EN ESPECIAL EJERCIENDO EL CONTROL DUAL EN LA LIQUIDACIÓN DE LA NÓMINA, CESANTÍAS, SEGURIDAD SOCIAL, PARAFISCALES Y REALIZAR EL SEGUIMIENTO AL PAGO DE INCAPACIDADES</v>
      </c>
    </row>
    <row r="267" spans="1:6" ht="22.5" customHeight="1">
      <c r="A267" s="53" t="s">
        <v>7633</v>
      </c>
      <c r="B267" s="51" t="s">
        <v>7917</v>
      </c>
      <c r="C267" s="53">
        <v>2024</v>
      </c>
      <c r="D267" s="52" t="str">
        <f t="shared" si="10"/>
        <v>CD-266-2024</v>
      </c>
      <c r="E267" s="96" t="s">
        <v>2187</v>
      </c>
      <c r="F267"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68" spans="1:6" ht="22.5" customHeight="1">
      <c r="A268" s="53" t="s">
        <v>7633</v>
      </c>
      <c r="B268" s="51" t="s">
        <v>7918</v>
      </c>
      <c r="C268" s="53">
        <v>2024</v>
      </c>
      <c r="D268" s="52" t="str">
        <f t="shared" si="10"/>
        <v>CD-267-2024</v>
      </c>
      <c r="E268" s="96" t="s">
        <v>2332</v>
      </c>
      <c r="F268" s="93" t="str">
        <f t="shared" si="11"/>
        <v>PRESTAR SUS SERVICIOS DE APOYO TÉCNICO EN LOS TEMAS OPERATIVOS PARA LA ATENCIÓN DE PQRSD Y DEMÁS TRÁMITES RELACIONADOS A CARGO DE LA VICEPRESIDENCIA DE FONDOS EN ADMINISTRACIÓN</v>
      </c>
    </row>
    <row r="269" spans="1:6" ht="22.5" customHeight="1">
      <c r="A269" s="53" t="s">
        <v>7633</v>
      </c>
      <c r="B269" s="51" t="s">
        <v>7919</v>
      </c>
      <c r="C269" s="53">
        <v>2024</v>
      </c>
      <c r="D269" s="52" t="str">
        <f t="shared" si="10"/>
        <v>CD-268-2024</v>
      </c>
      <c r="E269" s="96" t="s">
        <v>1866</v>
      </c>
      <c r="F269"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70" spans="1:6" ht="22.5" customHeight="1">
      <c r="A270" s="53" t="s">
        <v>7633</v>
      </c>
      <c r="B270" s="51" t="s">
        <v>7920</v>
      </c>
      <c r="C270" s="53">
        <v>2024</v>
      </c>
      <c r="D270" s="52" t="str">
        <f t="shared" si="10"/>
        <v>CD-269-2024</v>
      </c>
      <c r="E270" s="96" t="s">
        <v>2347</v>
      </c>
      <c r="F270" s="93" t="str">
        <f t="shared" si="11"/>
        <v>PRESTAR SERVICIOS PROFESIONALES ESPECIALIZADOS CON EL FIN DE ANALIZAR, EVALUAR Y EJECUTAR ESTRATEGIAS, ENFOCADAS AL MEJORAMIENTO COMERCIAL DE LOS GRUPOS DE INTERÉS ICETEX (BENEFICIARIOS, CIUDADANOS IES) EN SUS INTERACCIONES CON LA ENTIDAD</v>
      </c>
    </row>
    <row r="271" spans="1:6" ht="22.5" customHeight="1">
      <c r="A271" s="53" t="s">
        <v>7633</v>
      </c>
      <c r="B271" s="51" t="s">
        <v>7921</v>
      </c>
      <c r="C271" s="53">
        <v>2024</v>
      </c>
      <c r="D271" s="52" t="str">
        <f t="shared" si="10"/>
        <v>CD-270-2024</v>
      </c>
      <c r="E271" s="96" t="s">
        <v>2355</v>
      </c>
      <c r="F271" s="93" t="str">
        <f t="shared" si="11"/>
        <v>PRESTAR LOS SERVICIOS PROFESIONALES PARA APOYAR EL MONTAJE, DESARROLLO, SEGUIMIENTO, CONTROL Y MEJORA CONTINUA DE LOS CANALES COMERCIALES DESTINADOS A LA PROMOCIÓN Y OTORGAMIENTO DEL PORTAFOLIO DE PRODUCTOS DEL ICETEX</v>
      </c>
    </row>
    <row r="272" spans="1:6" ht="22.5" customHeight="1">
      <c r="A272" s="53" t="s">
        <v>7633</v>
      </c>
      <c r="B272" s="51" t="s">
        <v>7922</v>
      </c>
      <c r="C272" s="53">
        <v>2024</v>
      </c>
      <c r="D272" s="52" t="str">
        <f t="shared" si="10"/>
        <v>CD-271-2024</v>
      </c>
      <c r="E272" s="96" t="s">
        <v>2355</v>
      </c>
      <c r="F272" s="93" t="str">
        <f t="shared" si="11"/>
        <v>PRESTAR LOS SERVICIOS PROFESIONALES PARA APOYAR EL MONTAJE, DESARROLLO, SEGUIMIENTO, CONTROL Y MEJORA CONTINUA DE LOS CANALES COMERCIALES DESTINADOS A LA PROMOCIÓN Y OTORGAMIENTO DEL PORTAFOLIO DE PRODUCTOS DEL ICETEX</v>
      </c>
    </row>
    <row r="273" spans="1:6" ht="22.5" customHeight="1">
      <c r="A273" s="53" t="s">
        <v>7633</v>
      </c>
      <c r="B273" s="51" t="s">
        <v>7923</v>
      </c>
      <c r="C273" s="53">
        <v>2024</v>
      </c>
      <c r="D273" s="52" t="str">
        <f t="shared" si="10"/>
        <v>CD-272-2024</v>
      </c>
      <c r="E273" s="96" t="s">
        <v>2370</v>
      </c>
      <c r="F273" s="93" t="str">
        <f t="shared" si="11"/>
        <v>PRESTAR LOS SERVICIOS TÉCNICOS A LA OFICINA ASESORA JURÍDICA EN CUANTO AL DESARROLLO DE LAS ACTIVIDADES REQUERIDAS PARA LA GESTIÓN DE LAS COMUNICACIONES RECIBIDAS Y GENERADAS A TRAVÉS DEL SISTEMA DE GESTIÓN DOCUMENTAL Y DEL CANAL DIGITAL DE LA ENTIDAD.</v>
      </c>
    </row>
    <row r="274" spans="1:6" ht="22.5" customHeight="1">
      <c r="A274" s="53" t="s">
        <v>7633</v>
      </c>
      <c r="B274" s="51" t="s">
        <v>7924</v>
      </c>
      <c r="C274" s="53">
        <v>2024</v>
      </c>
      <c r="D274" s="52" t="str">
        <f t="shared" si="10"/>
        <v>CD-273-2024</v>
      </c>
      <c r="E274" s="96" t="s">
        <v>2380</v>
      </c>
      <c r="F274" s="93" t="str">
        <f t="shared" si="11"/>
        <v>PRESTAR SERVICIOS PROFESIONALES ESPECIALIZADOS PARA LA COORDINACIÓN, DESARROLLO Y EJECUCIÓN DEL PLAN COMERCIAL DE LA TERRITORIAL CENTRO QUE FOMENTE LA REGIONALIZACIÓN DEL PORTAFOLIO DE SERVICIOS DE LCETEX, EN ARTICULACIÓN CON LA OFICINA COMERCIAL Y DE MERCADEO DEL NIVEL CENTRAL</v>
      </c>
    </row>
    <row r="275" spans="1:6" ht="22.5" customHeight="1">
      <c r="A275" s="53" t="s">
        <v>7633</v>
      </c>
      <c r="B275" s="51" t="s">
        <v>7925</v>
      </c>
      <c r="C275" s="53">
        <v>2024</v>
      </c>
      <c r="D275" s="52" t="str">
        <f t="shared" si="10"/>
        <v>CD-274-2024</v>
      </c>
      <c r="E275" s="96" t="s">
        <v>2389</v>
      </c>
      <c r="F275" s="93" t="str">
        <f t="shared" si="11"/>
        <v>PRESTACIÓN DE SERVICIOS PROFESIONALES ESPECIALIZADOS EN INGENIERÍA PARA LA ALINEACIÓN METODOLÓGICA, DEFINICIÓN, DISEÑO Y EVOLUCIÓN DE LA ARQUITECTURA EMPRESARIAL PARA EL ICETEX</v>
      </c>
    </row>
    <row r="276" spans="1:6" ht="22.5" customHeight="1">
      <c r="A276" s="53" t="s">
        <v>7633</v>
      </c>
      <c r="B276" s="51" t="s">
        <v>7926</v>
      </c>
      <c r="C276" s="53">
        <v>2024</v>
      </c>
      <c r="D276" s="52" t="str">
        <f t="shared" si="10"/>
        <v>CD-275-2024</v>
      </c>
      <c r="E276" s="96" t="s">
        <v>2397</v>
      </c>
      <c r="F276" s="93" t="str">
        <f t="shared" si="11"/>
        <v>PRESTAR LOS SERVICIOS PROFESIONALES ESPECIALIZADOS PARA LA PLANIFICACIÓN, DESARROLLO Y REALIZACIÓN DE PRODUCCIÓN AUDIOVISUAL PARA LA DIVULGACIÓN DE LA GESTIÓN E INFORMACIÓN DE LA ENTIDAD, DE ACUERDO A LOS LINEAMIENTOS DE LA OFICINA ASESORA DE COMUNICACIONES</v>
      </c>
    </row>
    <row r="277" spans="1:6" ht="22.5" customHeight="1">
      <c r="A277" s="53" t="s">
        <v>7633</v>
      </c>
      <c r="B277" s="51" t="s">
        <v>7927</v>
      </c>
      <c r="C277" s="53">
        <v>2024</v>
      </c>
      <c r="D277" s="52" t="str">
        <f t="shared" si="10"/>
        <v>CD-276-2024</v>
      </c>
      <c r="E277" s="96" t="s">
        <v>2404</v>
      </c>
      <c r="F277" s="93" t="str">
        <f t="shared" si="11"/>
        <v>PRESTAR LOS SERVICIOS PROFESIONALES PARA LA ADOPCIÓN DE LOS PROCESOS QUE SOPORTAN LA IMPLEMENTACIÓN DE HERRAMIENTAS AGILIZADORAS (BOT) PARA IMPULSAR EL PROCESO DE REGULARIZACIÓN DE LOS FONDOS Y ALIANZAS EN ADMINISTRACIÓN EN EL MARCO DEL PROYECTO DE BANCA ABIERTA Y TRANSPARENTE E INHOUSE BANKING</v>
      </c>
    </row>
    <row r="278" spans="1:6" ht="22.5" customHeight="1">
      <c r="A278" s="53" t="s">
        <v>7633</v>
      </c>
      <c r="B278" s="51" t="s">
        <v>7928</v>
      </c>
      <c r="C278" s="53">
        <v>2024</v>
      </c>
      <c r="D278" s="52" t="str">
        <f t="shared" si="10"/>
        <v>CD-277-2024</v>
      </c>
      <c r="E278" s="96" t="s">
        <v>2412</v>
      </c>
      <c r="F278" s="93" t="str">
        <f>UPPER(E278)</f>
        <v>PRESTAR SERVICIOS PROFESIONALES ESPECIALIZADOS PARA APOYAR AL EQUIPO DE INNOVACIÓN DE LA ENTIDAD EN LA PROMOCIÓN Y DIVULGACIÓN DE LOS AVANCES, RESULTADOS Y LOGROS ALCANZADOS EN LAS INICIATIVAS QUE DESDE EL EQUIPO DE INNOVACIÓN SE LIDEREN O CUANDO SE APOYE TRANSVERSALMENTE PROYECTOS CON COMPONENTES DE INNOVACIÓN</v>
      </c>
    </row>
    <row r="279" spans="1:6" ht="22.5" customHeight="1">
      <c r="A279" s="53" t="s">
        <v>7633</v>
      </c>
      <c r="B279" s="51" t="s">
        <v>7929</v>
      </c>
      <c r="C279" s="53">
        <v>2024</v>
      </c>
      <c r="D279" s="52" t="str">
        <f t="shared" si="10"/>
        <v>CD-278-2024</v>
      </c>
      <c r="E279" s="96" t="s">
        <v>2419</v>
      </c>
      <c r="F279" s="93" t="str">
        <f t="shared" si="11"/>
        <v>PRESTAR LOS SERVISIOS PROFESIONALES PARA LA EJECUCION DE LAS ACTIVIDADES ASOCIADAS CON LA ADMINISTRACION DE LAS ALIANZAS ESTRATEGICAS ACARGO DE LA VICEPRESIDENCIA DE CREDITO Y COBRANZA CONFORME LA ASIGNACION DEL AREA, ASI COMO EL MANEJO Y CONSOLIDACION  DE LA INFORMACION DE LAS ALIANZAS</v>
      </c>
    </row>
    <row r="280" spans="1:6" ht="22.5" customHeight="1">
      <c r="A280" s="53" t="s">
        <v>7633</v>
      </c>
      <c r="B280" s="51" t="s">
        <v>7930</v>
      </c>
      <c r="C280" s="53">
        <v>2024</v>
      </c>
      <c r="D280" s="52" t="str">
        <f t="shared" si="10"/>
        <v>CD-279-2024</v>
      </c>
      <c r="E280" s="96" t="s">
        <v>1548</v>
      </c>
      <c r="F280" s="93" t="str">
        <f>UPPER(E280)</f>
        <v>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v>
      </c>
    </row>
    <row r="281" spans="1:6" ht="22.5" customHeight="1">
      <c r="A281" s="53" t="s">
        <v>7633</v>
      </c>
      <c r="B281" s="51" t="s">
        <v>7931</v>
      </c>
      <c r="C281" s="53">
        <v>2024</v>
      </c>
      <c r="D281" s="52" t="str">
        <f t="shared" si="10"/>
        <v>CD-280-2024</v>
      </c>
      <c r="E281" s="96" t="s">
        <v>874</v>
      </c>
      <c r="F281" s="93" t="str">
        <f t="shared" si="11"/>
        <v>PRESTACIÓN DE SERVICIOS PROFESIONALES ESPECIALIZADOS PARA EL DESARROLLO DE LAS ACTIVIDADES DE CONCILIACIÓN DE LA CARTERA Y/O CONTABLES RELACIONADAS CON LA GESTIÓN DE OPERACIONES DEL ICETEX</v>
      </c>
    </row>
    <row r="282" spans="1:6" ht="22.5" customHeight="1">
      <c r="A282" s="53" t="s">
        <v>7633</v>
      </c>
      <c r="B282" s="51" t="s">
        <v>7932</v>
      </c>
      <c r="C282" s="53">
        <v>2024</v>
      </c>
      <c r="D282" s="52" t="str">
        <f t="shared" si="10"/>
        <v>CD-281-2024</v>
      </c>
      <c r="E282" s="96" t="s">
        <v>2439</v>
      </c>
      <c r="F282" s="93" t="str">
        <f t="shared" si="11"/>
        <v>PRESTACIÓN DE SERVICIOS PROFESIONALES ESPECIALIZADOS PARA LA ESTRUCTURACIÓN E IMPLEMENTACIÓN DE MEJORAS Y ARTICULACIÓN ESTRATÉGICA DEL SEGUIMIENTO A LA GESTIÓN DE REQUERIMIENTOS INTERNOS Y EXTERNOS EN EL ICETEX</v>
      </c>
    </row>
    <row r="283" spans="1:6" ht="22.5" customHeight="1">
      <c r="A283" s="53" t="s">
        <v>7633</v>
      </c>
      <c r="B283" s="51" t="s">
        <v>7933</v>
      </c>
      <c r="C283" s="53">
        <v>2024</v>
      </c>
      <c r="D283" s="52" t="str">
        <f t="shared" si="10"/>
        <v>CD-282-2024</v>
      </c>
      <c r="E283" s="96" t="s">
        <v>2447</v>
      </c>
      <c r="F283" s="93" t="str">
        <f t="shared" si="11"/>
        <v>PRESTACIÓN DE SERVICIOS DE APOYO A LA GESTIÓN EN LA ATENCIÓN DE LAS ACTIVIDADES ADMINISTRATIVAS TECNOLÓGICAS DEL ICETEX</v>
      </c>
    </row>
    <row r="284" spans="1:6" ht="22.5" customHeight="1">
      <c r="A284" s="53" t="s">
        <v>7633</v>
      </c>
      <c r="B284" s="51" t="s">
        <v>7934</v>
      </c>
      <c r="C284" s="53">
        <v>2024</v>
      </c>
      <c r="D284" s="52" t="str">
        <f t="shared" si="10"/>
        <v>CD-283-2024</v>
      </c>
      <c r="E284" s="114" t="s">
        <v>7935</v>
      </c>
      <c r="F284" s="93" t="str">
        <f t="shared" si="11"/>
        <v xml:space="preserve">
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v>
      </c>
    </row>
    <row r="285" spans="1:6" ht="22.5" customHeight="1">
      <c r="A285" s="53" t="s">
        <v>7633</v>
      </c>
      <c r="B285" s="51" t="s">
        <v>7936</v>
      </c>
      <c r="C285" s="53">
        <v>2024</v>
      </c>
      <c r="D285" s="52" t="str">
        <f t="shared" si="10"/>
        <v>CD-284-2024</v>
      </c>
      <c r="E285" s="96" t="s">
        <v>2467</v>
      </c>
      <c r="F285" s="93" t="str">
        <f t="shared" si="11"/>
        <v xml:space="preserve">CONTRATAR EL MANTENIMIENTO PREVENTIVO Y CORRECTIVO PARA LOS ASCENSORES DE LA ENTIDAD. </v>
      </c>
    </row>
    <row r="286" spans="1:6" ht="22.5" customHeight="1">
      <c r="A286" s="53" t="s">
        <v>7633</v>
      </c>
      <c r="B286" s="51" t="s">
        <v>7937</v>
      </c>
      <c r="C286" s="53">
        <v>2024</v>
      </c>
      <c r="D286" s="52" t="str">
        <f t="shared" si="10"/>
        <v>CD-285-2024</v>
      </c>
      <c r="E286" s="96" t="s">
        <v>2479</v>
      </c>
      <c r="F286" s="93" t="str">
        <f t="shared" si="11"/>
        <v>PRESTAR SERVICIOS PROFESIONALES CON EL FIN DE ANALIZAR, EVALUAR Y MEDIR ESTRATEGIAS, ENFOCADAS AL MEJORAMIENTO DE LA EXPERIENCIA DE LOS GRUPOS DE INTERÉS ICETEX (BENEFICIARIOS, CIUDADANOS, IES) EN SUS INTERACCIONES CON LA ENTIDAD</v>
      </c>
    </row>
    <row r="287" spans="1:6" ht="22.5" customHeight="1">
      <c r="A287" s="53" t="s">
        <v>7633</v>
      </c>
      <c r="B287" s="51" t="s">
        <v>7938</v>
      </c>
      <c r="C287" s="53">
        <v>2024</v>
      </c>
      <c r="D287" s="52" t="str">
        <f t="shared" si="10"/>
        <v>CD-286-2024</v>
      </c>
      <c r="E287" s="96" t="s">
        <v>2487</v>
      </c>
      <c r="F287" s="93" t="str">
        <f t="shared" si="11"/>
        <v>PRESTAR SERVICIOS PROFESIONALES ESPECIALIZADOS PARA EL SEGUIMIENTO Y CONTROL DE LOS PROCESOS, PROCEDIMIENTOS Y ESTRATEGIAS DE MEJORA EN LOS CANALES DE ATENCIÓN Y GESTIÓN IMPLEMENTADOS POR LA ENTIDAD CON EL FIN DE MEJORAR EL FIN DE MEJORAR LA EXPERIENCIA Y SATISFACCIÓN DE LOS GRUPOS DE INTERÉS (BENEFICIARIOS, CIUDADANOS E IES</v>
      </c>
    </row>
    <row r="288" spans="1:6" ht="22.5" customHeight="1">
      <c r="A288" s="53" t="s">
        <v>7633</v>
      </c>
      <c r="B288" s="51" t="s">
        <v>7939</v>
      </c>
      <c r="C288" s="53">
        <v>2024</v>
      </c>
      <c r="D288" s="52" t="str">
        <f t="shared" si="10"/>
        <v>CD-287-2024</v>
      </c>
      <c r="E288" s="96" t="s">
        <v>2495</v>
      </c>
      <c r="F288" s="93" t="str">
        <f t="shared" si="11"/>
        <v>PRESTAR SERVICIOS PROFESIONALES ESPECIALIZADOS CON EL FIN DE ANALIZAR, EVALUAR Y EJECUTAR ESTRATEGIAS, ENFOCADAS AL MEJORAMIENTO DE LA EXPERIENCIA Y SATISFACCIÓN DE LOS GRUPOS DE INTERÉS ICETEX (BENEFICIARIOS, CIUDADANOS, IES) EN SUS INTERACCIONES CON LA ENTIDAD</v>
      </c>
    </row>
    <row r="289" spans="1:6" ht="22.5" customHeight="1">
      <c r="A289" s="53" t="s">
        <v>7633</v>
      </c>
      <c r="B289" s="51" t="s">
        <v>7940</v>
      </c>
      <c r="C289" s="53">
        <v>2024</v>
      </c>
      <c r="D289" s="52" t="str">
        <f t="shared" si="10"/>
        <v>CD-288-2024</v>
      </c>
      <c r="E289" s="96" t="s">
        <v>2503</v>
      </c>
      <c r="F289" s="93" t="str">
        <f>UPPER(E289)</f>
        <v>PRESTAR SERVICIOS PROFESIONALES ESPECIALIZADOS PARA APOYAR LA SUPERVISIÓN DEL CONTRATO NO. 2022-0770 DE ATENCIÓN AL USUARIO, EN LA GESTIÓN INTEGRAL REQUERIDA PARA EL CUMPLIMENTO Y EL ADECUADO DESARROLLO DEL OBJETO CONTRACTUAL</v>
      </c>
    </row>
    <row r="290" spans="1:6" ht="22.5" customHeight="1">
      <c r="A290" s="53" t="s">
        <v>7633</v>
      </c>
      <c r="B290" s="51" t="s">
        <v>7941</v>
      </c>
      <c r="C290" s="53">
        <v>2024</v>
      </c>
      <c r="D290" s="52" t="str">
        <f t="shared" si="10"/>
        <v>CD-289-2024</v>
      </c>
      <c r="E290" s="96" t="s">
        <v>2511</v>
      </c>
      <c r="F290" s="93" t="str">
        <f>UPPER(E290)</f>
        <v>PRESTAR LOS SERVICIOS PROFESIONALES PARA APOYAR LA GESTIÓN DEL RIESGO DE LAVADO DE ACTIVOS Y FINANCIACIÓN DEL TERRORISMO Y LA CONSOLIDACIÓN DE LA INFORMACIÓN EXTRAÍDA DE LAS BASES DE DATOS INTERNAS PARA LA ACTUALIZACIÓN, AJUSTES Y CALIBRACIÓN DEL MODELO DE SEGMENTACIÓN DE LOS FACTORES DE RIESGO LAFT, ASÍ COMO EL DESARROLLO Y SEGUIMIENTO DE INDICADORES Y ALERTAS TEMPRANAS, QUE MITIGUEN Y CONTROLEN LA MATERIALIZACIÓN DE ESTE RIESGO</v>
      </c>
    </row>
    <row r="291" spans="1:6" ht="22.5" customHeight="1">
      <c r="A291" s="53" t="s">
        <v>7633</v>
      </c>
      <c r="B291" s="51" t="s">
        <v>7942</v>
      </c>
      <c r="C291" s="53">
        <v>2024</v>
      </c>
      <c r="D291" s="52" t="str">
        <f t="shared" si="10"/>
        <v>CD-290-2024</v>
      </c>
      <c r="E291" s="96" t="s">
        <v>2520</v>
      </c>
      <c r="F291" s="93" t="str">
        <f t="shared" si="11"/>
        <v>PRESTAR SERVICIOS PROFESIONALES AL GRUPO DE DESARROLLO Y TRASFORMACIÓN ORGANIZACIONAL DE LA SECRETARÍA GENERAL DEL ICETEX, PARA LOS ASUNTOS RELACIONADOS CON LA GESTIÓN JURÍDICA Y ADMINISTRATIVA DE LA DEPENDENCIA.</v>
      </c>
    </row>
    <row r="292" spans="1:6" ht="22.5" customHeight="1">
      <c r="A292" s="53" t="s">
        <v>7633</v>
      </c>
      <c r="B292" s="51" t="s">
        <v>7943</v>
      </c>
      <c r="C292" s="53">
        <v>2024</v>
      </c>
      <c r="D292" s="52" t="str">
        <f t="shared" si="10"/>
        <v>CD-291-2024</v>
      </c>
      <c r="E292" s="96" t="s">
        <v>2529</v>
      </c>
      <c r="F292" s="93" t="str">
        <f>UPPER(E292)</f>
        <v>PRESTAR SERVICIOS PROFESIONALES AL GRUPO DE DESARROLLO Y TRANSFORMACIÓN ORGANIZACIONAL DE LA SECRETARÍA GENERAL EN LA IMPLEMENTACIÓN DE LOS COMPONENTES DE CÓDIGO DE INTEGRIDAD Y GESTIÓN DEL CONOCIMIENTO DEL PLAN ESTRATÉGICO DE TALENTO HUMANO</v>
      </c>
    </row>
    <row r="293" spans="1:6" ht="22.5" customHeight="1">
      <c r="A293" s="53" t="s">
        <v>7633</v>
      </c>
      <c r="B293" s="51" t="s">
        <v>7944</v>
      </c>
      <c r="C293" s="53">
        <v>2024</v>
      </c>
      <c r="D293" s="52" t="str">
        <f t="shared" si="10"/>
        <v>CD-292-2024</v>
      </c>
      <c r="E293" s="96" t="s">
        <v>2537</v>
      </c>
      <c r="F293" s="93" t="str">
        <f>UPPER(E293)</f>
        <v>PRESTAR LOS SERVICIOS PROFESIONALES A LA SECRETARIA GENERAL PARA ORGANIZAR Y EJECUTAR EN TODAS SUS FASES LAS ACTIVIDADES Y EVENTOS INSTITUCIONALES CON GRUPOS DE INTERÉS EN EL MARCO DEL PROYECTO DE INVERSIÓN DENOMINADO “TRANSFORMACIÓN ARQUITECTURA ORGANIZACIÓN"</v>
      </c>
    </row>
    <row r="294" spans="1:6" ht="22.5" customHeight="1">
      <c r="A294" s="53" t="s">
        <v>7633</v>
      </c>
      <c r="B294" s="51" t="s">
        <v>7945</v>
      </c>
      <c r="C294" s="53">
        <v>2024</v>
      </c>
      <c r="D294" s="52" t="str">
        <f t="shared" si="10"/>
        <v>CD-293-2024</v>
      </c>
      <c r="E294" s="96" t="s">
        <v>1866</v>
      </c>
      <c r="F294"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95" spans="1:6" ht="22.5" customHeight="1">
      <c r="A295" s="53" t="s">
        <v>7633</v>
      </c>
      <c r="B295" s="51" t="s">
        <v>7946</v>
      </c>
      <c r="C295" s="53">
        <v>2024</v>
      </c>
      <c r="D295" s="52" t="str">
        <f t="shared" si="10"/>
        <v>CD-294-2024</v>
      </c>
      <c r="E295" s="96" t="s">
        <v>2187</v>
      </c>
      <c r="F295"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96" spans="1:6" ht="22.5" customHeight="1">
      <c r="A296" s="53" t="s">
        <v>7633</v>
      </c>
      <c r="B296" s="51" t="s">
        <v>7947</v>
      </c>
      <c r="C296" s="53">
        <v>2024</v>
      </c>
      <c r="D296" s="52" t="str">
        <f t="shared" si="10"/>
        <v>CD-295-2024</v>
      </c>
      <c r="E296" s="96" t="s">
        <v>2187</v>
      </c>
      <c r="F296"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297" spans="1:6" ht="22.5" customHeight="1">
      <c r="A297" s="53" t="s">
        <v>7633</v>
      </c>
      <c r="B297" s="51" t="s">
        <v>7948</v>
      </c>
      <c r="C297" s="53">
        <v>2024</v>
      </c>
      <c r="D297" s="52" t="str">
        <f t="shared" si="10"/>
        <v>CD-296-2024</v>
      </c>
      <c r="E297" s="96" t="s">
        <v>2567</v>
      </c>
      <c r="F297" s="93" t="str">
        <f t="shared" si="11"/>
        <v>PRESTAR LOS SERVICIOS PROFESIONALES PARA LIDERAR Y ADMINISTRAR TODAS LAS FASES DEL PLAN DE CONTINUIDAD DE NEGOCIO DE LA ENTIDAD (TENIENDO EN CUENTA LOS TERCEROS CRÍTICOS) BAJO EL MARCO NORMATIVO VIGENTE Y/O BUENAS PRÁCTICAS.</v>
      </c>
    </row>
    <row r="298" spans="1:6" ht="22.5" customHeight="1">
      <c r="A298" s="53" t="s">
        <v>7633</v>
      </c>
      <c r="B298" s="51" t="s">
        <v>7949</v>
      </c>
      <c r="C298" s="53">
        <v>2024</v>
      </c>
      <c r="D298" s="52" t="str">
        <f t="shared" si="10"/>
        <v>CD-297-2024</v>
      </c>
      <c r="E298" s="96" t="s">
        <v>2447</v>
      </c>
      <c r="F298" s="93" t="str">
        <f>UPPER(E298)</f>
        <v>PRESTACIÓN DE SERVICIOS DE APOYO A LA GESTIÓN EN LA ATENCIÓN DE LAS ACTIVIDADES ADMINISTRATIVAS TECNOLÓGICAS DEL ICETEX</v>
      </c>
    </row>
    <row r="299" spans="1:6" ht="22.5" customHeight="1">
      <c r="A299" s="53" t="s">
        <v>7633</v>
      </c>
      <c r="B299" s="51" t="s">
        <v>7950</v>
      </c>
      <c r="C299" s="53">
        <v>2024</v>
      </c>
      <c r="D299" s="52" t="str">
        <f t="shared" si="10"/>
        <v>CD-298-2024</v>
      </c>
      <c r="E299" s="96" t="s">
        <v>2584</v>
      </c>
      <c r="F299" s="93" t="str">
        <f t="shared" si="11"/>
        <v>PRESTACIÓN DE SERVICIOS PROFESIONALES ESPECIALIZADOS PARA LA ARTICULACIÓN ESTRATÉGICA EN LA GESTIÓN DE LOS DESEMBOLSOS DE LOS CRÉDITOS EDUCATIVOS OTORGADOS POR LA ENTIDAD, CON RECURSOS PROPIOS O CON RECURSOS DE TERCEROS ADMINISTRADOS POR EL ICETEX.</v>
      </c>
    </row>
    <row r="300" spans="1:6" ht="22.5" customHeight="1">
      <c r="A300" s="53" t="s">
        <v>7633</v>
      </c>
      <c r="B300" s="51" t="s">
        <v>7951</v>
      </c>
      <c r="C300" s="53">
        <v>2024</v>
      </c>
      <c r="D300" s="52" t="str">
        <f t="shared" si="10"/>
        <v>CD-299-2024</v>
      </c>
      <c r="E300" s="96" t="s">
        <v>1884</v>
      </c>
      <c r="F300" s="93" t="str">
        <f t="shared" si="11"/>
        <v>PRESTACIÓN DE SERVICIOS PROFESIONALES ESPECIALIZADOS PARA EL ANÁLISIS Y APLICACIÓN DE NOVEDADES EN LA CARTERA, DE ACUERDO CON LA NORMATIVIDAD VIGENTE EN EL ICETEX</v>
      </c>
    </row>
    <row r="301" spans="1:6" ht="22.5" customHeight="1">
      <c r="A301" s="53" t="s">
        <v>7633</v>
      </c>
      <c r="B301" s="51" t="s">
        <v>7952</v>
      </c>
      <c r="C301" s="53">
        <v>2024</v>
      </c>
      <c r="D301" s="52" t="str">
        <f t="shared" si="10"/>
        <v>CD-300-2024</v>
      </c>
      <c r="E301" s="96" t="s">
        <v>1191</v>
      </c>
      <c r="F301" s="93" t="str">
        <f t="shared" si="11"/>
        <v>PRESTAR SERVICIOS PROFESIONALES PARA EL SEGUIMIENTO Y CONTROL DEL PROCESO CALIDAD OPERATIVA Y MEJORA CONTINUA EN LOS DISTINTOS CANALES DE ATENCIÓN Y GESTIÓN DE LA ENTIDAD CON EL FIN DE MEJORAR LA EXPERIENCIA Y SATISFACCIÓN DE LOS GRUPOS DE INTERÉS (BENEFICIARIOS, CIUDADANOS E IES)</v>
      </c>
    </row>
    <row r="302" spans="1:6" ht="22.5" customHeight="1">
      <c r="A302" s="53" t="s">
        <v>7633</v>
      </c>
      <c r="B302" s="51" t="s">
        <v>7953</v>
      </c>
      <c r="C302" s="53">
        <v>2024</v>
      </c>
      <c r="D302" s="52" t="str">
        <f t="shared" si="10"/>
        <v>CD-301-2024</v>
      </c>
      <c r="E302" s="96" t="s">
        <v>7954</v>
      </c>
      <c r="F302" s="93" t="str">
        <f t="shared" si="11"/>
        <v xml:space="preserve">PRESTAR SUS SERVICIOS DE APOYO TÉCNICO EN LOS TEMAS OPERATIVOS RELACIONADOS CON LA ADMINISTRACIÓN DE CONVENIOS, CONTRATOS, FONDOS, ALIANZAS Y/O PROYECTOS A CARGO LA VICEPRESIDENCIA DE FONDOS EN ADMINISTRACIÓN.
</v>
      </c>
    </row>
    <row r="303" spans="1:6" ht="22.5" customHeight="1">
      <c r="A303" s="53" t="s">
        <v>7633</v>
      </c>
      <c r="B303" s="51" t="s">
        <v>7955</v>
      </c>
      <c r="C303" s="53">
        <v>2024</v>
      </c>
      <c r="D303" s="52" t="str">
        <f t="shared" si="10"/>
        <v>CD-302-2024</v>
      </c>
      <c r="E303" s="96" t="s">
        <v>7956</v>
      </c>
      <c r="F303" s="93" t="str">
        <f t="shared" si="11"/>
        <v xml:space="preserve">PRESTAR LOS SERVICIOS TÉCNICOS EN LA ATENCIÓN DE PQRS Y REQUERIMIENTOS INTERNOS Y EXTERNOS CORRESPONDIENTES AL GRUPO DE CRÉDITO A CARGO DE LA VICEPRESIDENCIA DE CRÉDITO Y COBRANZA. 
</v>
      </c>
    </row>
    <row r="304" spans="1:6" ht="22.5" customHeight="1">
      <c r="A304" s="53" t="s">
        <v>7633</v>
      </c>
      <c r="B304" s="51" t="s">
        <v>7957</v>
      </c>
      <c r="C304" s="53">
        <v>2024</v>
      </c>
      <c r="D304" s="52" t="str">
        <f t="shared" si="10"/>
        <v>CD-303-2024</v>
      </c>
      <c r="E304" s="96" t="s">
        <v>2622</v>
      </c>
      <c r="F304" s="93" t="str">
        <f t="shared" si="11"/>
        <v>PRESTAR SUS SERVICIOS DE APOYO TÉCNICO EN LOS TEMAS OPERATIVOS RELACIONADOS CON LA ADMINISTRACIÓN DE CONVENIOS, CONTRATOS, FONDOS, ALIANZAS Y/O PROYECTOS A CARGO LA VICEPRESIDENCIA DE FONDOS EN ADMINISTRACIÓN</v>
      </c>
    </row>
    <row r="305" spans="1:6" ht="22.5" customHeight="1">
      <c r="A305" s="53" t="s">
        <v>7633</v>
      </c>
      <c r="B305" s="51" t="s">
        <v>7958</v>
      </c>
      <c r="C305" s="53">
        <v>2024</v>
      </c>
      <c r="D305" s="52" t="str">
        <f t="shared" si="10"/>
        <v>CD-304-2024</v>
      </c>
      <c r="E305" s="96" t="s">
        <v>2629</v>
      </c>
      <c r="F305" s="93" t="str">
        <f t="shared" si="11"/>
        <v>PRESTAR SUS SERVICIOS PROFESIONALES ESPECIALIZADOS PARA PROMOVER LA CONSECUCIÓN DE RECURSOS DE TERCEROS, ORIENTADOS AL FOMENTO EDUCATIVO CONFORME LAS POLÍTICAS Y PROCEDIMIENTOS DEL ICETEX</v>
      </c>
    </row>
    <row r="306" spans="1:6" ht="22.5" customHeight="1">
      <c r="A306" s="53" t="s">
        <v>7633</v>
      </c>
      <c r="B306" s="51" t="s">
        <v>7959</v>
      </c>
      <c r="C306" s="53">
        <v>2024</v>
      </c>
      <c r="D306" s="52" t="str">
        <f t="shared" si="10"/>
        <v>CD-305-2024</v>
      </c>
      <c r="E306" s="96" t="s">
        <v>2637</v>
      </c>
      <c r="F306" s="93" t="str">
        <f t="shared" si="11"/>
        <v>IMPLEMENTAR ESTRATEGIAS PARA LA EJECUCIÓN DEL PLAN COMERCIAL DE LA TERRITORIAL  SUROCCIDENTE ASOCIADAS AL PORTAFOLIO DE SERVICIOS DE LCETEX EN LA REGIÓN, EN ARTICULACIÓN CON LA OFICINA COMERCIAL Y DE MERCADEO DEL NIVEL CENTRAL.</v>
      </c>
    </row>
    <row r="307" spans="1:6" ht="22.5" customHeight="1">
      <c r="A307" s="53" t="s">
        <v>7633</v>
      </c>
      <c r="B307" s="51" t="s">
        <v>7960</v>
      </c>
      <c r="C307" s="53">
        <v>2024</v>
      </c>
      <c r="D307" s="52" t="str">
        <f t="shared" si="10"/>
        <v>CD-306-2024</v>
      </c>
      <c r="E307" s="96" t="s">
        <v>2644</v>
      </c>
      <c r="F307" s="93" t="str">
        <f t="shared" si="11"/>
        <v>IMPLEMENTAR ESTRATEGIAS PARA LA EJECUCIÓN DEL PLAN COMERCIAL DE LA TERRITORIAL ORIENTE ASOCIADAS AL PORTAFOLIO DE SERVICIOS DE LCETEX EN LA REGIÓN, EN ARTICULACIÓN CON LA OFICINA COMERCIAL Y DE MERCADEO DEL NIVEL CENTRAL</v>
      </c>
    </row>
    <row r="308" spans="1:6" ht="22.5" customHeight="1">
      <c r="A308" s="53" t="s">
        <v>7633</v>
      </c>
      <c r="B308" s="51" t="s">
        <v>7961</v>
      </c>
      <c r="C308" s="53">
        <v>2024</v>
      </c>
      <c r="D308" s="52" t="str">
        <f t="shared" si="10"/>
        <v>CD-307-2024</v>
      </c>
      <c r="E308" s="96" t="s">
        <v>2652</v>
      </c>
      <c r="F308" s="93" t="str">
        <f>UPPER(E308)</f>
        <v>IMPLEMENTAR ESTRATEGIAS PARA LA EJECUCIÓN DEL PLAN COMERCIAL DE LA TERRITORIAL NORTE ASOCIADAS AL PORTAFOLIO DE SERVICIOS DE LCETEX EN LA REGIÓN, EN ARTICULACIÓN CON LA OFICINA COMERCIAL Y DE MERCADEO DEL NIVEL CENTRAL</v>
      </c>
    </row>
    <row r="309" spans="1:6" ht="22.5" customHeight="1">
      <c r="A309" s="53" t="s">
        <v>7633</v>
      </c>
      <c r="B309" s="51" t="s">
        <v>7962</v>
      </c>
      <c r="C309" s="53">
        <v>2024</v>
      </c>
      <c r="D309" s="52" t="str">
        <f t="shared" si="10"/>
        <v>CD-308-2024</v>
      </c>
      <c r="E309" s="96" t="s">
        <v>2187</v>
      </c>
      <c r="F309" s="93" t="str">
        <f t="shared" si="1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310" spans="1:6" ht="22.5" customHeight="1">
      <c r="A310" s="53" t="s">
        <v>7633</v>
      </c>
      <c r="B310" s="51" t="s">
        <v>7963</v>
      </c>
      <c r="C310" s="53">
        <v>2024</v>
      </c>
      <c r="D310" s="52" t="str">
        <f t="shared" si="10"/>
        <v>CD-309-2024</v>
      </c>
      <c r="E310" s="114" t="s">
        <v>1548</v>
      </c>
      <c r="F310" s="93" t="str">
        <f t="shared" si="11"/>
        <v>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v>
      </c>
    </row>
    <row r="311" spans="1:6" ht="22.5" customHeight="1">
      <c r="A311" s="53" t="s">
        <v>7633</v>
      </c>
      <c r="B311" s="51" t="s">
        <v>7964</v>
      </c>
      <c r="C311" s="53">
        <v>2024</v>
      </c>
      <c r="D311" s="52" t="str">
        <f t="shared" si="10"/>
        <v>CD-310-2024</v>
      </c>
      <c r="E311" s="96" t="s">
        <v>492</v>
      </c>
      <c r="F311" s="93" t="str">
        <f t="shared" si="11"/>
        <v>IMPLEMENTAR ESTRATEGIAS PARA LA EJECUCIÓN DEL PLAN COMERCIAL DE LA TERRITORIAL NOROCCIDENTE ASOCIADAS AL PORTAFOLIO DE SERVICIOS DE ICETEX EN LA REGIÓN, EN ARTICULACIÓN CON LA OFICINA COMERCIAL Y DE MERCADEO DEL NIVEL CENTRAL</v>
      </c>
    </row>
    <row r="312" spans="1:6" ht="22.5" customHeight="1">
      <c r="A312" s="53" t="s">
        <v>7633</v>
      </c>
      <c r="B312" s="51" t="s">
        <v>7965</v>
      </c>
      <c r="C312" s="53">
        <v>2024</v>
      </c>
      <c r="D312" s="52" t="str">
        <f t="shared" si="10"/>
        <v>CD-311-2024</v>
      </c>
      <c r="E312" s="96" t="s">
        <v>2680</v>
      </c>
      <c r="F312" s="93" t="str">
        <f t="shared" si="11"/>
        <v>PRESTAR LOS SERVICIOS PROFESIONALES AL GRUPO DE DESARROLLO Y TRANSFORMACIÓN ORGANIZACIONAL DE LA SECRETARÍA GENERAL PARA LA IMPLEMENTACIÓN DEL PLAN ESTRATÉGICO DE TALENTO HUMANO DE ICETEX EN LA PERSPECTIVA DE BIENESTAR E INCENTIVOS, ASÍ COMO LA DEL PLAN DE GRADUALIDAD DE LAS POLÍTICAS DEL CÓDIGO PARA EL BUEN GOBIERNO.</v>
      </c>
    </row>
    <row r="313" spans="1:6" ht="22.5" customHeight="1">
      <c r="A313" s="53" t="s">
        <v>7633</v>
      </c>
      <c r="B313" s="51" t="s">
        <v>7966</v>
      </c>
      <c r="C313" s="53">
        <v>2024</v>
      </c>
      <c r="D313" s="52" t="str">
        <f t="shared" si="10"/>
        <v>CD-312-2024</v>
      </c>
      <c r="E313" s="96" t="s">
        <v>2687</v>
      </c>
      <c r="F313" s="93" t="str">
        <f t="shared" si="11"/>
        <v>PRESTAR LOS SERVICIOS TÉCNICOS PARA APOYAR LA ELABORACIÓN Y REALIZACIÓN DE PRODUCTOS FOTOGRÁFICOS Y AUDIOVISUALES PARA LA DIFUSIÓN DE INFORMACIÓN INTERNA DE LA OFICINA ASESORA DE COMUNICACIONES DEL ICETEX</v>
      </c>
    </row>
    <row r="314" spans="1:6" ht="22.5" customHeight="1">
      <c r="A314" s="53" t="s">
        <v>7633</v>
      </c>
      <c r="B314" s="51" t="s">
        <v>7967</v>
      </c>
      <c r="C314" s="53">
        <v>2024</v>
      </c>
      <c r="D314" s="52" t="str">
        <f t="shared" si="10"/>
        <v>CD-313-2024</v>
      </c>
      <c r="E314" s="96" t="s">
        <v>2697</v>
      </c>
      <c r="F314" s="93" t="str">
        <f t="shared" si="11"/>
        <v>PRESTAR LOS SERVICIOS PROFESIONALES ESPECIALIZADOS PARA LA MODERNIZACIÓN DE LAS FUNCIONES FINANCIERAS A TRAVÉS DE LA OPTIMIZACIÓN DE LOS PROCESOS DE RECAUDO Y DISPERSIÓN DE RECURSOS EN EL MARCO DEL PROYECTO DE INVERSIÓN DE BANCA ABIERTA Y TRANSPARENTE E INHOUSE BANKING</v>
      </c>
    </row>
    <row r="315" spans="1:6" ht="22.5" customHeight="1">
      <c r="A315" s="53" t="s">
        <v>7633</v>
      </c>
      <c r="B315" s="51" t="s">
        <v>7968</v>
      </c>
      <c r="C315" s="53">
        <v>2024</v>
      </c>
      <c r="D315" s="52" t="str">
        <f t="shared" si="10"/>
        <v>CD-314-2024</v>
      </c>
      <c r="E315" s="96" t="s">
        <v>2706</v>
      </c>
      <c r="F315" s="93" t="str">
        <f t="shared" si="11"/>
        <v>PRESTAR SERVICIOS PROFESIONALES JURÍDICOS PARA LA IMPLEMENTACIÓN Y DESARROLLO DEL PLAN ESTRATÉGICO DEL TALENTO HUMANO Y LA ADMINISTRACIÓN DE PERSONAL, EN EL MARCO DE LA POLÍTICA DE “GESTIÓN DEL TALENTO HUMANO”, ASÍ COMO CONTRIBUIR A MEJORAR LA OPORTUNIDAD DE LOS SERVICIOS QUE PRESTA LA ENTIDAD.</v>
      </c>
    </row>
    <row r="316" spans="1:6" ht="22.5" customHeight="1">
      <c r="A316" s="53" t="s">
        <v>7633</v>
      </c>
      <c r="B316" s="51" t="s">
        <v>7969</v>
      </c>
      <c r="C316" s="53">
        <v>2024</v>
      </c>
      <c r="D316" s="52" t="str">
        <f t="shared" si="10"/>
        <v>CD-315-2024</v>
      </c>
      <c r="E316" s="96" t="s">
        <v>7970</v>
      </c>
      <c r="F316" s="93" t="str">
        <f t="shared" si="11"/>
        <v>PRESTAR SERVICIOS PROFESIONALES ESPECIALIZADOS PARA EFECTUAR ANÁLISIS DE CONTEXTO, MERCADO, Y SOPORTE PARA ELABORACIÓN DE ESTUDIOS TÉCNICOS EN EL PROCESO DE FORMULACIÓN DE INICIATIVAS Y PROYECTOS QUE
DESDE EL EQUIPO DE INNOVACIÓN SE LIDEREN O CUANDO SE APOYE TRANSVERSALMENTE PROYECTOS CON COMPONENTES DE INNOVACIÓN.</v>
      </c>
    </row>
    <row r="317" spans="1:6" ht="22.5" customHeight="1">
      <c r="A317" s="53" t="s">
        <v>7633</v>
      </c>
      <c r="B317" s="51" t="s">
        <v>7971</v>
      </c>
      <c r="C317" s="53">
        <v>2024</v>
      </c>
      <c r="D317" s="52" t="str">
        <f t="shared" si="10"/>
        <v>CD-316-2024</v>
      </c>
      <c r="E317" s="96" t="s">
        <v>2723</v>
      </c>
      <c r="F317" s="93" t="str">
        <f t="shared" si="11"/>
        <v>PRESTAR SERVICIOS PROFESIONALES ESPECIALIZADOS PARA LA ESTRUCTURACIÓN Y DESARROLLO DE LOS LINEAMIENTOS OPERATIVOS Y FUNCIONALES EN LAS INICIATIVAS QUE SE LIDEREN DESDE EL EQUIPO DE INNOVACIÓN O CUANDO SE
APOYE TRANSVERSALMENTE EN ACCIONES O PROYECTOS CON COMPONENTES DE INNOVACIÓN.</v>
      </c>
    </row>
    <row r="318" spans="1:6" ht="22.5" customHeight="1">
      <c r="A318" s="53" t="s">
        <v>7633</v>
      </c>
      <c r="B318" s="51" t="s">
        <v>7972</v>
      </c>
      <c r="C318" s="53">
        <v>2024</v>
      </c>
      <c r="D318" s="52" t="str">
        <f t="shared" si="10"/>
        <v>CD-317-2024</v>
      </c>
      <c r="E318" s="96" t="s">
        <v>2652</v>
      </c>
      <c r="F318" s="93" t="str">
        <f t="shared" si="11"/>
        <v>IMPLEMENTAR ESTRATEGIAS PARA LA EJECUCIÓN DEL PLAN COMERCIAL DE LA TERRITORIAL NORTE ASOCIADAS AL PORTAFOLIO DE SERVICIOS DE LCETEX EN LA REGIÓN, EN ARTICULACIÓN CON LA OFICINA COMERCIAL Y DE MERCADEO DEL NIVEL CENTRAL</v>
      </c>
    </row>
    <row r="319" spans="1:6" ht="22.5" customHeight="1">
      <c r="A319" s="53" t="s">
        <v>7633</v>
      </c>
      <c r="B319" s="51" t="s">
        <v>7973</v>
      </c>
      <c r="C319" s="53">
        <v>2024</v>
      </c>
      <c r="D319" s="52" t="str">
        <f t="shared" si="10"/>
        <v>CD-318-2024</v>
      </c>
      <c r="E319" s="96" t="s">
        <v>2738</v>
      </c>
      <c r="F319" s="93" t="str">
        <f t="shared" si="11"/>
        <v>APOYAR LA EJECUCIÓN DEL PLAN COMERCIAL DE LA TERRITORIAL NORTE ASOCIADA AL PORTAFOLIO DE SERVICIOS DE ICETEX EN LA REGIÓN, EN ARTICULACIÓN CON LA OFICINA COMERCIAL Y DE MERCADEO DEL NIVEL CENTRAL.</v>
      </c>
    </row>
    <row r="320" spans="1:6" ht="22.5" customHeight="1">
      <c r="A320" s="53" t="s">
        <v>7633</v>
      </c>
      <c r="B320" s="51" t="s">
        <v>7974</v>
      </c>
      <c r="C320" s="53">
        <v>2024</v>
      </c>
      <c r="D320" s="52" t="str">
        <f t="shared" si="10"/>
        <v>CD-319-2024</v>
      </c>
      <c r="E320" s="96" t="s">
        <v>647</v>
      </c>
      <c r="F320" s="93" t="str">
        <f t="shared" si="11"/>
        <v>IMPLEMENTAR ESTRATEGIAS PARA LA EJECUCIÓN DEL PLAN COMERCIAL DE LA TERRITORIAL SUROCCIDENTE ASOCIADAS AL PORTAFOLIO DE SERVICIOS DE LCETEX EN LA REGIÓN, EN ARTICULACIÓN CON LA OFICINA COMERCIAL Y DE MERCADEO DEL NIVEL CENTRAL</v>
      </c>
    </row>
    <row r="321" spans="1:6" ht="22.5" customHeight="1">
      <c r="A321" s="53" t="s">
        <v>7633</v>
      </c>
      <c r="B321" s="51" t="s">
        <v>7975</v>
      </c>
      <c r="C321" s="53">
        <v>2024</v>
      </c>
      <c r="D321" s="52" t="str">
        <f t="shared" si="10"/>
        <v>CD-320-2024</v>
      </c>
      <c r="E321" s="96" t="s">
        <v>2749</v>
      </c>
      <c r="F321" s="93" t="str">
        <f t="shared" si="11"/>
        <v>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v>
      </c>
    </row>
    <row r="322" spans="1:6" ht="22.5" customHeight="1">
      <c r="A322" s="53" t="s">
        <v>7633</v>
      </c>
      <c r="B322" s="51" t="s">
        <v>7976</v>
      </c>
      <c r="C322" s="53">
        <v>2024</v>
      </c>
      <c r="D322" s="52" t="str">
        <f t="shared" ref="D322:D385" si="12">CONCATENATE(A322,"-",B322,"-",C322)</f>
        <v>CD-321-2024</v>
      </c>
      <c r="E322" s="96" t="s">
        <v>2758</v>
      </c>
      <c r="F322" s="93" t="str">
        <f t="shared" si="11"/>
        <v>PRESTAR LOS SERVICIOS PROFESIONALES ESPECIALIZADOS PARA ARTICULAR ACTIVIDADES DE RELACIONAMIENTO CON RECTORES DE LAS INSTITUCIONES DE EDUCACIÓN SUPERIOR TANTO PÚBLICAS COMO PRIVADAS ASÍ COMO DE LAS ORGANIZACIONES QUE LAS AGREMIAN</v>
      </c>
    </row>
    <row r="323" spans="1:6" ht="22.5" customHeight="1">
      <c r="A323" s="53" t="s">
        <v>7633</v>
      </c>
      <c r="B323" s="51" t="s">
        <v>7977</v>
      </c>
      <c r="C323" s="53">
        <v>2024</v>
      </c>
      <c r="D323" s="52" t="str">
        <f t="shared" si="12"/>
        <v>CD-322-2024</v>
      </c>
      <c r="E323" s="96" t="s">
        <v>2767</v>
      </c>
      <c r="F323" s="93" t="str">
        <f t="shared" ref="F323:F386" si="13">UPPER(E323)</f>
        <v>PRESTAR SERVICIOS PROFESIONALES, PARA EL DESARROLLO DE ACTIVIDADES DE CONSTRUCCIÓN DE INFORMES DE ANALÍTICA, DIMENSIONAMIENTO, SEGUIMIENTO OPERATIVO, DE PERSONAL Y CONTRACTUAL, EN EL MARCO DE LAS ACTIVIDADES DEL SERVICIO DE ATENCIÓN AL USUARIO, ASÍ COMO DE LA GESTIÓN DEL GOBIERNO DE DATOS DE LA OFICINA COMERCIAL Y DE MERCADEO</v>
      </c>
    </row>
    <row r="324" spans="1:6" ht="22.5" customHeight="1">
      <c r="A324" s="53" t="s">
        <v>7633</v>
      </c>
      <c r="B324" s="51" t="s">
        <v>7978</v>
      </c>
      <c r="C324" s="53">
        <v>2024</v>
      </c>
      <c r="D324" s="52" t="str">
        <f t="shared" si="12"/>
        <v>CD-323-2024</v>
      </c>
      <c r="E324" s="96" t="s">
        <v>2404</v>
      </c>
      <c r="F324" s="93" t="str">
        <f t="shared" si="13"/>
        <v>PRESTAR LOS SERVICIOS PROFESIONALES PARA LA ADOPCIÓN DE LOS PROCESOS QUE SOPORTAN LA IMPLEMENTACIÓN DE HERRAMIENTAS AGILIZADORAS (BOT) PARA IMPULSAR EL PROCESO DE REGULARIZACIÓN DE LOS FONDOS Y ALIANZAS EN ADMINISTRACIÓN EN EL MARCO DEL PROYECTO DE BANCA ABIERTA Y TRANSPARENTE E INHOUSE BANKING</v>
      </c>
    </row>
    <row r="325" spans="1:6" ht="22.5" customHeight="1">
      <c r="A325" s="53" t="s">
        <v>7633</v>
      </c>
      <c r="B325" s="51" t="s">
        <v>7979</v>
      </c>
      <c r="C325" s="53">
        <v>2024</v>
      </c>
      <c r="D325" s="52" t="str">
        <f t="shared" si="12"/>
        <v>CD-324-2024</v>
      </c>
      <c r="E325" s="96" t="s">
        <v>2783</v>
      </c>
      <c r="F325" s="93" t="str">
        <f t="shared" si="13"/>
        <v>PRESTAR LOS SERVICIOS PROFESIONALES PARA SOPORTAR PROCESOS DE OPTIMIZACIÓN DEL SISTEMA DE GESTIÓN DE CALIDAD Y LA GESTIÓN INTEGRAL DE LOS RIESGOS VINCULADOS A LOS PROCESOS EJECUTADOS EN LA DIRECCIÓN DE TESORERÍA PARA EL PROYECTO DE INVERSIÓN DE BANCA ABIERTA Y TRANSPARENTE E INHOUSE BANKING</v>
      </c>
    </row>
    <row r="326" spans="1:6" ht="22.5" customHeight="1">
      <c r="A326" s="53" t="s">
        <v>7633</v>
      </c>
      <c r="B326" s="51" t="s">
        <v>7980</v>
      </c>
      <c r="C326" s="53">
        <v>2024</v>
      </c>
      <c r="D326" s="52" t="str">
        <f t="shared" si="12"/>
        <v>CD-325-2024</v>
      </c>
      <c r="E326" s="96" t="s">
        <v>2791</v>
      </c>
      <c r="F326" s="93" t="str">
        <f t="shared" si="13"/>
        <v>PRESTAR LOS SERVICIOS PROFESIONALES PARA LA IMPLEMENTACIÓN DEL MODELO DE REPORTE, GESTIÓN Y CONTROL DE LAS OBLIGACIONES TRIBUTARIAS A CARGO DEL ICETEX, GARANTIZANDO LA CONSOLIDACIÓN, CLASIFICACIÓN Y CONTABILIZACIÓN DE LA INFORMACIÓN EN MEDIOS DIGITALES DISPUESTOS POR LA ENTIDAD Y EL CUMPLIMIENTO DE PLANES DE MEJORAMIENTO A CARGO DEL ÁREA</v>
      </c>
    </row>
    <row r="327" spans="1:6" ht="22.5" customHeight="1">
      <c r="A327" s="53" t="s">
        <v>7633</v>
      </c>
      <c r="B327" s="51" t="s">
        <v>7981</v>
      </c>
      <c r="C327" s="53">
        <v>2024</v>
      </c>
      <c r="D327" s="52" t="str">
        <f t="shared" si="12"/>
        <v>CD-326-2024</v>
      </c>
      <c r="E327" s="96" t="s">
        <v>2799</v>
      </c>
      <c r="F327" s="93" t="str">
        <f t="shared" si="13"/>
        <v>PRESTAR LOS SERVICIOS PROFESIONALES JURÍDICOS A LA VICEPRESIDENCIA FINANCIERA PARA APOYAR LAS ACTIVIDADES NORMATIVAS Y CONTRACTUALES REQUERIDAS PARA LA ADECUADA EJECUCIÓN DE LAS FUNCIONES, E INICIATIVAS DEL ÁREA QUE PERMITAN LA MODERNIZACIÓN DE LAS FUNCIONES FINANCIERAS DEL ICETEX Y LA APROPIACIÓN DE LAS MEJORES PRÁCTICAS EN EL MARCO DE LOS PROYECTOS DE INVERSIÓN A CARGO DEL ÁREA</v>
      </c>
    </row>
    <row r="328" spans="1:6" ht="22.5" customHeight="1">
      <c r="A328" s="53" t="s">
        <v>7633</v>
      </c>
      <c r="B328" s="51" t="s">
        <v>7982</v>
      </c>
      <c r="C328" s="53">
        <v>2024</v>
      </c>
      <c r="D328" s="52" t="str">
        <f t="shared" si="12"/>
        <v>CD-327-2024</v>
      </c>
      <c r="E328" s="96" t="s">
        <v>1866</v>
      </c>
      <c r="F328" s="93" t="str">
        <f t="shared" si="13"/>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329" spans="1:6" ht="22.5" customHeight="1">
      <c r="A329" s="53" t="s">
        <v>7633</v>
      </c>
      <c r="B329" s="51" t="s">
        <v>7983</v>
      </c>
      <c r="C329" s="53">
        <v>2024</v>
      </c>
      <c r="D329" s="52" t="str">
        <f t="shared" si="12"/>
        <v>CD-328-2024</v>
      </c>
      <c r="E329" s="96" t="s">
        <v>2825</v>
      </c>
      <c r="F329" s="93" t="str">
        <f t="shared" si="13"/>
        <v>PRESTAR SUS SERVICIOS PROFESIONALES ESPECIALIZADOS APOYANDO LA GESTIÓN JURÍDICA DE LOS PROCESOS A CARGO DE LA VICEPRESIDENCIA DE FONDOS EN ADMINISTRACIÓN</v>
      </c>
    </row>
    <row r="330" spans="1:6" ht="22.5" customHeight="1">
      <c r="A330" s="53" t="s">
        <v>7633</v>
      </c>
      <c r="B330" s="51" t="s">
        <v>7984</v>
      </c>
      <c r="C330" s="53">
        <v>2024</v>
      </c>
      <c r="D330" s="52" t="str">
        <f t="shared" si="12"/>
        <v>CD-329-2024</v>
      </c>
      <c r="E330" s="96" t="s">
        <v>2833</v>
      </c>
      <c r="F330" s="93" t="str">
        <f t="shared" si="13"/>
        <v>PRESTACIÓN DE SERVICIOS PROFESIONALES DE ASESORÍA ESPECIALIZADA EN INGENIERÍA PARA LA GESTIÓN, SEGUIMIENTO Y CONTROL DE PROCESOS TI DEL ICETEX</v>
      </c>
    </row>
    <row r="331" spans="1:6" ht="22.5" customHeight="1">
      <c r="A331" s="53" t="s">
        <v>7633</v>
      </c>
      <c r="B331" s="51" t="s">
        <v>7985</v>
      </c>
      <c r="C331" s="53">
        <v>2024</v>
      </c>
      <c r="D331" s="52" t="str">
        <f t="shared" si="12"/>
        <v>CD-330-2024</v>
      </c>
      <c r="E331" s="96" t="s">
        <v>2844</v>
      </c>
      <c r="F331" s="93" t="str">
        <f t="shared" si="13"/>
        <v>PRESTACIÓN DE SERVICIOS PROFESIONALES ESPECIALIZADOS PARA LA DEPURACIÓN, AJUSTE, GENERACIÓN Y VALIDACIÓN DE INFORMACIÓN DE LOS CRÉDITOS DEL ICETEX</v>
      </c>
    </row>
    <row r="332" spans="1:6" ht="22.5" customHeight="1">
      <c r="A332" s="53" t="s">
        <v>7633</v>
      </c>
      <c r="B332" s="51" t="s">
        <v>7986</v>
      </c>
      <c r="C332" s="53">
        <v>2024</v>
      </c>
      <c r="D332" s="52" t="str">
        <f t="shared" si="12"/>
        <v>CD-331-2024</v>
      </c>
      <c r="E332" s="96" t="s">
        <v>2851</v>
      </c>
      <c r="F332" s="93" t="str">
        <f t="shared" si="13"/>
        <v>PRESTACIÓN DE LOS SERVICIOS PROFESIONALES ESPECIALIZADOS PARA LA PREPARACIÓN Y LIQUIDACIÓN DE LOS DESEMBOLSOS EDUCATIVOS OTORGADOS CON RECURSOS PROPIOS O CON RECURSOS DE TERCEROS ADMINISTRADOS POR EL ICETEX</v>
      </c>
    </row>
    <row r="333" spans="1:6" ht="22.5" customHeight="1">
      <c r="A333" s="53" t="s">
        <v>7633</v>
      </c>
      <c r="B333" s="51" t="s">
        <v>7987</v>
      </c>
      <c r="C333" s="53">
        <v>2024</v>
      </c>
      <c r="D333" s="52" t="str">
        <f t="shared" si="12"/>
        <v>CD-332-2024</v>
      </c>
      <c r="E333" s="96" t="s">
        <v>2187</v>
      </c>
      <c r="F333" s="93" t="str">
        <f t="shared" si="13"/>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334" spans="1:6" ht="22.5" customHeight="1">
      <c r="A334" s="53" t="s">
        <v>7633</v>
      </c>
      <c r="B334" s="51" t="s">
        <v>7988</v>
      </c>
      <c r="C334" s="53">
        <v>2024</v>
      </c>
      <c r="D334" s="52" t="str">
        <f t="shared" si="12"/>
        <v>CD-333-2024</v>
      </c>
      <c r="E334" s="96" t="s">
        <v>2865</v>
      </c>
      <c r="F334" s="93" t="str">
        <f t="shared" si="13"/>
        <v>PRESTACIÓN DE SERVICIOS PROFESIONALES ESPECIALIZADOS PARA LA ARTICULACIÓN ESTRATÉGICA EN LA CONCILIACIÓN Y DEPURACIÓN DE LAS CUENTAS PUENTES CONTABLES DE LA CARTERA, DE ACUERDO CON LAS NORMAS Y REGULACIONES CONTABLES EN EL ICETEX</v>
      </c>
    </row>
    <row r="335" spans="1:6" ht="22.5" customHeight="1">
      <c r="A335" s="53" t="s">
        <v>7633</v>
      </c>
      <c r="B335" s="51" t="s">
        <v>7989</v>
      </c>
      <c r="C335" s="53">
        <v>2024</v>
      </c>
      <c r="D335" s="52" t="str">
        <f t="shared" si="12"/>
        <v>CD-334-2024</v>
      </c>
      <c r="E335" s="96" t="s">
        <v>2873</v>
      </c>
      <c r="F335" s="93" t="str">
        <f t="shared" si="13"/>
        <v>PRESTAR LOS SERVICIOS PROFESIONALES JURÍDICOS ESPECIALIZADOS EN EL DESARROLLO Y REPRESENTACIÓN DEL ICETEX, DIRIGIDO A LA IMPLEMENTACIÓN DE LA DEFENSA JURÍDICA DE LA ENTIDAD EN LA JURISDICCIÓN DE LO CONTENCIOSO ADMINISTRATIVO Y EN ASUNTOS CONTRACTUALES</v>
      </c>
    </row>
    <row r="336" spans="1:6" ht="22.5" customHeight="1">
      <c r="A336" s="53" t="s">
        <v>7633</v>
      </c>
      <c r="B336" s="51" t="s">
        <v>7990</v>
      </c>
      <c r="C336" s="53">
        <v>2024</v>
      </c>
      <c r="D336" s="52" t="str">
        <f t="shared" si="12"/>
        <v>CD-335-2024</v>
      </c>
      <c r="E336" s="96" t="s">
        <v>2881</v>
      </c>
      <c r="F336" s="93" t="str">
        <f t="shared" si="13"/>
        <v>PRESTAR SERVICIOS PROFESIONALES AL GRUPO DE DESARROLLO Y TRANSFORMACIÓN ORGANIZACIONAL DE LA SECRETARIA GENERAL EN EL DESARROLLO E IMPLEMENTACIÓN DE ACCIONES QUE, MEDIANTE LA LÚDICA FACILITEN LA TRANSFORMACIÓN CULTURAL DE LA ENTIDAD, PROMUEVAN LA IMPLEMENTACIÓN DE LA ESTRATEGIA DE RESPONSABILIDAD SOCIAL INSTITUCIONAL EN EL MARCO DEL MODELO INTEGRADO DE PLANEACIÓN Y GESTIÓN - MIPG, ASÍ COMO AL PROCESO DE TRANSFORMACIÓN QUE ELLA ADELANTA, FAVORECIENDO AL CUMPLIMIENTO DE LOS OBJETIVOS EN QUE PARTICIPA LA DEPENDENCIA</v>
      </c>
    </row>
    <row r="337" spans="1:6" ht="22.5" customHeight="1">
      <c r="A337" s="53" t="s">
        <v>7633</v>
      </c>
      <c r="B337" s="51" t="s">
        <v>7991</v>
      </c>
      <c r="C337" s="53">
        <v>2024</v>
      </c>
      <c r="D337" s="52" t="str">
        <f t="shared" si="12"/>
        <v>CD-336-2024</v>
      </c>
      <c r="E337" s="96" t="s">
        <v>2889</v>
      </c>
      <c r="F337" s="93" t="str">
        <f>UPPER(E337)</f>
        <v>PRESTACIÓN DE SERVICIOS PROFESIONALES AL GRUPO DE DESARROLLO Y TRANSFORMACIÓN ORGANIZACIONAL DE LA SECRETARIA GENERAL PARA EL DESARROLLO, IMPLEMENTACIÓN, SEGUIMIENTO Y MEJORA CONTINUA DE LA INICIATIVA DE RESPONSABILIDAD SOCIAL Y SOSTENIBILIDAD INSTITUCIONAL CON ENFOQUE ISO 26000, Y SU ARMONIZACIÓN CON EL MODELO INTEGRADO DE PLANEACIÓN Y GESTIÓN - MIPG Y EL SISTEMA INTEGRADO DE GESTIÓN DE LA ENTIDAD, EN EL MARCO DEL PROCESO DE TRANSFORMACIÓN CULTURAL Y ORGANIZACIONAL QUE ÉSTA ADELANTA, CONTRIBUYENDO DE MANERA DIRECTA AL CUMPLIMIENTO DE LOS OBJETIVOS EN QUE PARTICIPA LA DEPENDENCIA Y LOS HITOS PREVISTOS EN SU PLAN DE ACCIÓN</v>
      </c>
    </row>
    <row r="338" spans="1:6" ht="22.5" customHeight="1">
      <c r="A338" s="53" t="s">
        <v>7633</v>
      </c>
      <c r="B338" s="51" t="s">
        <v>7992</v>
      </c>
      <c r="C338" s="53">
        <v>2024</v>
      </c>
      <c r="D338" s="52" t="str">
        <f t="shared" si="12"/>
        <v>CD-337-2024</v>
      </c>
      <c r="E338" s="96" t="s">
        <v>7993</v>
      </c>
      <c r="F338" s="93" t="str">
        <f t="shared" si="13"/>
        <v>PRESTAR LOS SERVICIOS PROFESIONALES PLANIFICAR Y DESARROLLAR CONTENIDOS E INSUMOS PARA LA IMPLEMENTACIÓN DE ESTRATEGIAS DE COMUNICACIÓN INTERNA DE LA ENTIDAD EN ARTICULACIÓN CON LAS DIFERENTES DEPENDENCIAS INVOLUCRADAS, DE ACUERDO A LOS LINEAMIENTOS DE LA OFICINA ASESORA DE
COMUNICACIONES</v>
      </c>
    </row>
    <row r="339" spans="1:6" ht="22.5" customHeight="1">
      <c r="A339" s="53" t="s">
        <v>7633</v>
      </c>
      <c r="B339" s="51" t="s">
        <v>7994</v>
      </c>
      <c r="C339" s="53">
        <v>2024</v>
      </c>
      <c r="D339" s="52" t="str">
        <f t="shared" si="12"/>
        <v>CD-338-2024</v>
      </c>
      <c r="E339" s="96" t="s">
        <v>2905</v>
      </c>
      <c r="F339" s="93" t="str">
        <f t="shared" si="13"/>
        <v>PRESTAR LOS SERVICIOS PROFESIONALES PARA FORTALECER Y CONTRIBUIR A MEJORAR LA OPORTUNIDAD DE LA GESTIÓN ADMINISTRATIVA DE LOS PROCESOS ESTRATÉGICOS, MISIONALES, DE APOYO, CONTROL Y EVALUACIÓN DE LOS PROGRAMAS DEL PORTAFOLIO INTERNACIONAL EN DESARROLLO DE LA POLÍTICA DE COOPERACIÓN ACADÉMICA INTERNACIONAL E INTERINSTITUCIONAL DEL ICETEX.</v>
      </c>
    </row>
    <row r="340" spans="1:6" ht="22.5" customHeight="1">
      <c r="A340" s="53" t="s">
        <v>7633</v>
      </c>
      <c r="B340" s="51" t="s">
        <v>7995</v>
      </c>
      <c r="C340" s="53">
        <v>2024</v>
      </c>
      <c r="D340" s="52" t="str">
        <f t="shared" si="12"/>
        <v>CD-339-2024</v>
      </c>
      <c r="E340" s="96" t="s">
        <v>2915</v>
      </c>
      <c r="F340" s="93" t="str">
        <f>UPPER(E340)</f>
        <v>PRESTAR SERVICIOS PROFESIONALES ESPECIALIZADOS PARA APOYAR LA IMPLEMENTACIÓN Y SEGUIMIENTO DE ESTRATEGIAS DE COMUNICACIÓN DIGITAL PARA LA DIVULGACIÓN DE INFORMACIÓN Y GESTIÓN DE LA ENTIDAD EN LOS ENTORNOS DIGITALES QUE MANEJA LA OFICINA ASESORA DE COMUNICACIÓN.</v>
      </c>
    </row>
    <row r="341" spans="1:6" ht="22.5" customHeight="1">
      <c r="A341" s="53" t="s">
        <v>7633</v>
      </c>
      <c r="B341" s="51" t="s">
        <v>7996</v>
      </c>
      <c r="C341" s="53">
        <v>2024</v>
      </c>
      <c r="D341" s="52" t="str">
        <f t="shared" si="12"/>
        <v>CD-340-2024</v>
      </c>
      <c r="E341" s="96" t="s">
        <v>2923</v>
      </c>
      <c r="F341" s="93" t="str">
        <f t="shared" si="13"/>
        <v>IMPLEMENTAR ESTRATEGIAS PARA LA EJECUCIÓN DEL PLAN COMERCIAL DE LA TERRITORIAL ORIENTE ASOCIADAS AL PORTAFOLIO DE SERVICIOS DE LCETEX EN LA REGIÓN, EN ARTICULACIÓN CON LA OFICINA COMERCIAL Y DE MERCADEO DEL NIVEL CENTRAL”</v>
      </c>
    </row>
    <row r="342" spans="1:6" ht="22.5" customHeight="1">
      <c r="A342" s="53" t="s">
        <v>7633</v>
      </c>
      <c r="B342" s="51" t="s">
        <v>7997</v>
      </c>
      <c r="C342" s="53">
        <v>2024</v>
      </c>
      <c r="D342" s="52" t="str">
        <f t="shared" si="12"/>
        <v>CD-341-2024</v>
      </c>
      <c r="E342" s="96" t="s">
        <v>2933</v>
      </c>
      <c r="F342" s="93" t="str">
        <f t="shared" si="13"/>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343" spans="1:6" ht="22.5" customHeight="1">
      <c r="A343" s="53" t="s">
        <v>7633</v>
      </c>
      <c r="B343" s="51" t="s">
        <v>7998</v>
      </c>
      <c r="C343" s="53">
        <v>2024</v>
      </c>
      <c r="D343" s="52" t="str">
        <f t="shared" si="12"/>
        <v>CD-342-2024</v>
      </c>
      <c r="E343" s="96" t="s">
        <v>2944</v>
      </c>
      <c r="F343" s="93" t="str">
        <f t="shared" si="13"/>
        <v>PRESTACIÓN DE SERVICIOS PROFESIONALES ESPECIALIZADOS PARA LA GESTIÓN DE PROYECTOS EN EL ÁMBITO TECNOLÓGICO CON ALINEACIÓN AL CICLO DE MEJORA CONTINUA PARA EL ICETEX</v>
      </c>
    </row>
    <row r="344" spans="1:6" ht="22.5" customHeight="1">
      <c r="A344" s="53" t="s">
        <v>7633</v>
      </c>
      <c r="B344" s="51" t="s">
        <v>7999</v>
      </c>
      <c r="C344" s="53">
        <v>2024</v>
      </c>
      <c r="D344" s="52" t="str">
        <f t="shared" si="12"/>
        <v>CD-343-2024</v>
      </c>
      <c r="E344" s="96" t="s">
        <v>2952</v>
      </c>
      <c r="F344" s="93" t="str">
        <f t="shared" si="13"/>
        <v>PRESTAR LOS SERVICIOS PARA EL DISEÑO DE CONTENIDO GRÁFICO PARA LA DIVULGACIÓN DE LA GESTIÓN E INFORMACIÓN DE LA ENTIDAD, DE ACUERDO A LOS LINEAMIENTOS DE LA OFICINA ASESORA DE COMUNICACIONES</v>
      </c>
    </row>
    <row r="345" spans="1:6" ht="22.5" customHeight="1">
      <c r="A345" s="53" t="s">
        <v>7633</v>
      </c>
      <c r="B345" s="51" t="s">
        <v>8000</v>
      </c>
      <c r="C345" s="53">
        <v>2024</v>
      </c>
      <c r="D345" s="52" t="str">
        <f t="shared" si="12"/>
        <v>CD-344-2024</v>
      </c>
      <c r="E345" s="96" t="s">
        <v>2960</v>
      </c>
      <c r="F345" s="93" t="str">
        <f t="shared" si="13"/>
        <v>PRESTAR SERVICIOS PROFESIONALES PARA RESPALDAR Y ORIENTAR EN LOS PROCESOS DE IDEACIÓN, PUESTA EN MARCHA Y GESTIÓN DEL DESARROLLO WEB DEL ECOSISTEMA DIGITAL EN EL MARCO DEL DESARROLLO DEL PLAN ESTRATÉGICO DE LA ENTIDAD Y LA "POLÍTICA DE GUÍA, INFORMACIÓN Y ACOMPAÑAMIENTO</v>
      </c>
    </row>
    <row r="346" spans="1:6" ht="22.5" customHeight="1">
      <c r="A346" s="53" t="s">
        <v>7633</v>
      </c>
      <c r="B346" s="51" t="s">
        <v>8001</v>
      </c>
      <c r="C346" s="53">
        <v>2024</v>
      </c>
      <c r="D346" s="52" t="str">
        <f t="shared" si="12"/>
        <v>CD-345-2024</v>
      </c>
      <c r="E346" s="96" t="s">
        <v>2968</v>
      </c>
      <c r="F346" s="93" t="str">
        <f t="shared" si="13"/>
        <v>PRESTAR SERVICIOS PROFESIONALES ESPECIALIZADOS PARA LA EJECUCIÓN DE ESTRATEGIAS ENCAMINADAS AL ASEGURAMIENTO DE LA CALIDAD EN LOS CANALES DE ATENCIÓN Y GESTIÓN, ASÍ COMO A LA MEJORA EN LA EXPERIENCIA Y SATISFACCIÓN DE LOS GRUPOS DE INTERÉS (BENEFICIARIOS, CIUDADANOS</v>
      </c>
    </row>
    <row r="347" spans="1:6" ht="22.5" customHeight="1">
      <c r="A347" s="53" t="s">
        <v>7633</v>
      </c>
      <c r="B347" s="51" t="s">
        <v>8002</v>
      </c>
      <c r="C347" s="53">
        <v>2024</v>
      </c>
      <c r="D347" s="52" t="str">
        <f t="shared" si="12"/>
        <v>CD-346-2024</v>
      </c>
      <c r="E347" s="96" t="s">
        <v>2976</v>
      </c>
      <c r="F347" s="93" t="str">
        <f t="shared" si="13"/>
        <v>PRESTAR SUS SERVICIOS PROFESIONALES ESPECIALIZADOS LIDERANDO LA GESTIÓN, SEGUIMIENTO Y CONTROL DE LA OPERACIÓN DE FONDOS, CONVENIOS, CONTRATOS, ALIANZAS Y/O PROYECTOS ADMINISTRADAS POR VICEPRESIDENCIA DE FONDOS EN ADMINISTRACIÓN</v>
      </c>
    </row>
    <row r="348" spans="1:6" ht="22.5" customHeight="1">
      <c r="A348" s="53" t="s">
        <v>7633</v>
      </c>
      <c r="B348" s="51" t="s">
        <v>8003</v>
      </c>
      <c r="C348" s="53">
        <v>2024</v>
      </c>
      <c r="D348" s="52" t="str">
        <f t="shared" si="12"/>
        <v>CD-347-2024</v>
      </c>
      <c r="E348" s="96" t="s">
        <v>2983</v>
      </c>
      <c r="F348" s="93" t="str">
        <f t="shared" si="13"/>
        <v>PRESTAR LOS SERVICIOS PROFESIONALES PARA CONTRIBUIR Y FORTALECER LOS RESULTADOS DE LA GESTIÓN DE LOS PROGRAMAS DEL PORTAFOLIO INTERNACIONAL Y LA COOPERACIÓN NACIONAL E INTERNACIONAL QUE SE ENCUENTRAN ALINEADOS EN EL MARCO DE LA POLÍTICA DE COOPERACIÓN ACADÉMICA INTERNACIONAL E INTERINSTITUCIONAL DEL ICETEX</v>
      </c>
    </row>
    <row r="349" spans="1:6" ht="22.5" customHeight="1">
      <c r="A349" s="53" t="s">
        <v>7633</v>
      </c>
      <c r="B349" s="51" t="s">
        <v>8004</v>
      </c>
      <c r="C349" s="53">
        <v>2024</v>
      </c>
      <c r="D349" s="52" t="str">
        <f t="shared" si="12"/>
        <v>CD-348-2024</v>
      </c>
      <c r="E349" s="96" t="s">
        <v>2991</v>
      </c>
      <c r="F349" s="93" t="str">
        <f t="shared" si="13"/>
        <v>PRESTACIÓN DE SERVICIOS PROFESIONALES EN LA SECRETARIA GENERAL PARA ACOMPAÑAR Y GESTIONAR LA INSTRUCCIÓN Y SUSTANCIACIÓN DE LOS PROCESOS DISCIPLINARIOS DE CONFORMIDAD CON LA NORMATIVIDAD VIGENTE</v>
      </c>
    </row>
    <row r="350" spans="1:6" ht="22.5" customHeight="1">
      <c r="A350" s="53" t="s">
        <v>7633</v>
      </c>
      <c r="B350" s="51" t="s">
        <v>8005</v>
      </c>
      <c r="C350" s="53">
        <v>2024</v>
      </c>
      <c r="D350" s="52" t="str">
        <f t="shared" si="12"/>
        <v>CD-349-2024</v>
      </c>
      <c r="E350" s="96" t="s">
        <v>2999</v>
      </c>
      <c r="F350" s="93" t="str">
        <f t="shared" si="13"/>
        <v>PRESTAR LOS SERVICIOS PROFESIONALES EN LA SECRETARÍA GENERAL EJECUTANDO ACTIVIDADES DE SUSTANCIACIÓN QUE SE DEBEN SURTIR EN LAS DIFERENTES ETAPAS DE LOS PROCESOS DISCIPLINARIOS QUE ADELANTE LA ENTIDAD, DE CONFORMIDAD CON LA NORMATIVIDAD VIGENTE.</v>
      </c>
    </row>
    <row r="351" spans="1:6" ht="22.5" customHeight="1">
      <c r="A351" s="53" t="s">
        <v>7633</v>
      </c>
      <c r="B351" s="51" t="s">
        <v>8006</v>
      </c>
      <c r="C351" s="53">
        <v>2024</v>
      </c>
      <c r="D351" s="52" t="str">
        <f t="shared" si="12"/>
        <v>CD-350-2024</v>
      </c>
      <c r="E351" s="96" t="s">
        <v>3009</v>
      </c>
      <c r="F351" s="93" t="str">
        <f t="shared" si="13"/>
        <v>"PRESTAR SERVICIOS PROFESIONALES, PARA LA EXTRACCIÓN, REVISIÓN, DEPURACIÓN, GENERACIÓN Y MANTENIMIENTO DE INFORMES, PARA EFECTOS DEL SEGUIMIENTO OPERATIVO, GENERACIÓN Y MEDICIÓN DE KPI, EN EL MARCO DE LAS ACTIVIDADES DEL SERVICIO DE ATENCIÓN AL USUARIO Y ACTIVIDADES DE GESTIÓN COMERCIAL, EN EL MARCO DEL DESARROLLO DE LA GESTIÓN DEL GOBIERNO DE DATOS DE LA OFICINA COMERCIAL Y DE MERCADEO"</v>
      </c>
    </row>
    <row r="352" spans="1:6" ht="22.5" customHeight="1">
      <c r="A352" s="53" t="s">
        <v>7633</v>
      </c>
      <c r="B352" s="51" t="s">
        <v>8007</v>
      </c>
      <c r="C352" s="53">
        <v>2024</v>
      </c>
      <c r="D352" s="52" t="str">
        <f t="shared" si="12"/>
        <v>CD-351-2024</v>
      </c>
      <c r="E352" s="96" t="s">
        <v>3017</v>
      </c>
      <c r="F352" s="93" t="str">
        <f t="shared" si="13"/>
        <v>PRESTACIÓN DE SERVICIOS PROFESIONALES ESPECIALIZADOS COMO APOYO AL SEGUIMIENTO ADMINISTRATIVO DE PROYECTOS E INICIATIVAS CONTRACTUALES DE LA VICEPRESIDENCIA DE OPERACIONES Y TECNOLOGÍA DEL ICETEX.</v>
      </c>
    </row>
    <row r="353" spans="1:6" ht="22.5" customHeight="1">
      <c r="A353" s="53" t="s">
        <v>7633</v>
      </c>
      <c r="B353" s="51" t="s">
        <v>8008</v>
      </c>
      <c r="C353" s="53">
        <v>2024</v>
      </c>
      <c r="D353" s="52" t="str">
        <f t="shared" si="12"/>
        <v>CD-352-2024</v>
      </c>
      <c r="E353" s="96" t="s">
        <v>3025</v>
      </c>
      <c r="F353" s="93" t="str">
        <f>UPPER(E353)</f>
        <v>PRESTAR LOS SERVICIOS PROFESIONALES ESPECIALIZADOS A LA OFICINA DE RELACIONES INTERNACIONALES PARA REALIZAR SEGUIMIENTO, APOYO TÉCNICO Y ESTRATÉGICO AL PROGRAMA BECA COLOMBIA Y LOS DEMÁS PROGRAMAS ESPECIALES DE COOPERACIÓN INTERNACIONAL EN EL MARCO DE LA POLÍTICA DE COOPERACIÓN ACADÉMICA INTERNACIONAL E INTERINSTITUCIONAL DEL ICETEX</v>
      </c>
    </row>
    <row r="354" spans="1:6" ht="22.5" customHeight="1">
      <c r="A354" s="53" t="s">
        <v>7633</v>
      </c>
      <c r="B354" s="51" t="s">
        <v>8009</v>
      </c>
      <c r="C354" s="53">
        <v>2024</v>
      </c>
      <c r="D354" s="52" t="str">
        <f t="shared" si="12"/>
        <v>CD-353-2024</v>
      </c>
      <c r="E354" s="96" t="s">
        <v>2644</v>
      </c>
      <c r="F354" s="93" t="str">
        <f t="shared" si="13"/>
        <v>IMPLEMENTAR ESTRATEGIAS PARA LA EJECUCIÓN DEL PLAN COMERCIAL DE LA TERRITORIAL ORIENTE ASOCIADAS AL PORTAFOLIO DE SERVICIOS DE LCETEX EN LA REGIÓN, EN ARTICULACIÓN CON LA OFICINA COMERCIAL Y DE MERCADEO DEL NIVEL CENTRAL</v>
      </c>
    </row>
    <row r="355" spans="1:6" ht="22.5" customHeight="1">
      <c r="A355" s="53" t="s">
        <v>7633</v>
      </c>
      <c r="B355" s="51" t="s">
        <v>8010</v>
      </c>
      <c r="C355" s="53">
        <v>2024</v>
      </c>
      <c r="D355" s="52" t="str">
        <f t="shared" si="12"/>
        <v>CD-354-2024</v>
      </c>
      <c r="E355" s="96" t="s">
        <v>3040</v>
      </c>
      <c r="F355" s="93" t="str">
        <f t="shared" si="13"/>
        <v>PRESTAR SUS SERVICIOS PROFESIONALES APOYANDO LAS ACTIVIDADES ADMINISTRATIVAS, OPERATIVAS, FINANCIERAS RELACIONADAS CON LOS FONDOS, CONVENIOS, CONTRATOS, ALIANZAS Y/O PROYECTOSADMINISTRADOS POR LA VICEPRESIDENCIA DE FONDOS EN ADMINISTRACIÓN CONFORME LOS PROCEDIMIENTOS ESTABLECIDOS POR EL ICETEX.</v>
      </c>
    </row>
    <row r="356" spans="1:6" ht="22.5" customHeight="1">
      <c r="A356" s="53" t="s">
        <v>7633</v>
      </c>
      <c r="B356" s="51" t="s">
        <v>8011</v>
      </c>
      <c r="C356" s="53">
        <v>2024</v>
      </c>
      <c r="D356" s="52" t="str">
        <f t="shared" si="12"/>
        <v>CD-355-2024</v>
      </c>
      <c r="E356" s="96" t="s">
        <v>1866</v>
      </c>
      <c r="F356" s="93" t="str">
        <f t="shared" si="13"/>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357" spans="1:6" ht="22.5" customHeight="1">
      <c r="A357" s="53" t="s">
        <v>7633</v>
      </c>
      <c r="B357" s="51" t="s">
        <v>8012</v>
      </c>
      <c r="C357" s="53">
        <v>2024</v>
      </c>
      <c r="D357" s="52" t="str">
        <f t="shared" si="12"/>
        <v>CD-356-2024</v>
      </c>
      <c r="E357" s="96" t="s">
        <v>3056</v>
      </c>
      <c r="F357" s="93" t="str">
        <f t="shared" si="13"/>
        <v>PRESTAR SERVICIOS TÉCNICOS DE APOYO PARA LA GESTIÓN DEL MEJORAMIENTO DE LA EXPERIENCIA DE LOS GRUPOS DE INTERÉS ICETEX (BENEFICIARIOS, CIUDADANOS, IES) EN SUS INTERACCIONES CON LA ENTIDAD</v>
      </c>
    </row>
    <row r="358" spans="1:6" s="85" customFormat="1" ht="22.5" customHeight="1">
      <c r="A358" s="121" t="s">
        <v>7633</v>
      </c>
      <c r="B358" s="122" t="s">
        <v>8013</v>
      </c>
      <c r="C358" s="121">
        <v>2024</v>
      </c>
      <c r="D358" s="108" t="str">
        <f t="shared" si="12"/>
        <v>CD-357-2024</v>
      </c>
      <c r="E358" s="112" t="s">
        <v>5291</v>
      </c>
      <c r="F358" s="123" t="str">
        <f>UPPER(E358)</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359" spans="1:6" ht="22.5" customHeight="1">
      <c r="A359" s="53" t="s">
        <v>7633</v>
      </c>
      <c r="B359" s="51" t="s">
        <v>8014</v>
      </c>
      <c r="C359" s="53">
        <v>2024</v>
      </c>
      <c r="D359" s="52" t="str">
        <f t="shared" si="12"/>
        <v>CD-358-2024</v>
      </c>
      <c r="E359" s="96" t="s">
        <v>3074</v>
      </c>
      <c r="F359" s="93" t="str">
        <f t="shared" si="13"/>
        <v>RENOVACIÓN DEL SERVICIO DE SUSCRIPCIÓN A UNA PLATAFORMA PARA LA OPERACIÓN DE FACTURACIÓN ELECTRÓNICA EN LOS TÉRMINOS EXIGIDOS POR LA DIAN</v>
      </c>
    </row>
    <row r="360" spans="1:6" ht="22.5" customHeight="1">
      <c r="A360" s="53" t="s">
        <v>7633</v>
      </c>
      <c r="B360" s="51" t="s">
        <v>8015</v>
      </c>
      <c r="C360" s="53">
        <v>2024</v>
      </c>
      <c r="D360" s="52" t="str">
        <f t="shared" si="12"/>
        <v>CD-359-2024</v>
      </c>
      <c r="E360" s="96" t="s">
        <v>3082</v>
      </c>
      <c r="F360" s="93" t="str">
        <f t="shared" si="13"/>
        <v>PRESTAR LOS SERVICIOS PROFESIONALES PARA EL ANÁLISIS DE LA DOCUMENTACIÓN Y ATENCIÓN DE CASOS CORRESPONDIENTES A CRÉDITO EXTERIOR Y APOYO CONTRACTUAL Y POSCONTRACTUAL DE LOS CONTRATOS CORRESPONDIENTES AL ÁREA.</v>
      </c>
    </row>
    <row r="361" spans="1:6" ht="22.5" customHeight="1">
      <c r="A361" s="53" t="s">
        <v>7633</v>
      </c>
      <c r="B361" s="51" t="s">
        <v>8016</v>
      </c>
      <c r="C361" s="53">
        <v>2024</v>
      </c>
      <c r="D361" s="52" t="str">
        <f t="shared" si="12"/>
        <v>CD-360-2024</v>
      </c>
      <c r="E361" s="96" t="s">
        <v>3090</v>
      </c>
      <c r="F361" s="93" t="str">
        <f t="shared" si="13"/>
        <v>PRESTAR SUS SERVICIOS PARA APOYAR LA GESTIÓN OPERATIVA DE TRÁMITES Y REQUERIMIENTOS RECIBIDOS EN LA VICEPRESIDENCIA DE FONDOS EN ADMINISTRACIÓN, ASÍ COMO EL APOYO A LA GESTIÓN DOCUMENTAL QUE SE DERIVE DEL PROCESO DE ATENCIÓN DE PQRSD.</v>
      </c>
    </row>
    <row r="362" spans="1:6" ht="22.5" customHeight="1">
      <c r="A362" s="53" t="s">
        <v>7633</v>
      </c>
      <c r="B362" s="51" t="s">
        <v>8017</v>
      </c>
      <c r="C362" s="53">
        <v>2024</v>
      </c>
      <c r="D362" s="52" t="str">
        <f t="shared" si="12"/>
        <v>CD-361-2024</v>
      </c>
      <c r="E362" s="96" t="s">
        <v>2944</v>
      </c>
      <c r="F362" s="93" t="str">
        <f t="shared" si="13"/>
        <v>PRESTACIÓN DE SERVICIOS PROFESIONALES ESPECIALIZADOS PARA LA GESTIÓN DE PROYECTOS EN EL ÁMBITO TECNOLÓGICO CON ALINEACIÓN AL CICLO DE MEJORA CONTINUA PARA EL ICETEX</v>
      </c>
    </row>
    <row r="363" spans="1:6" ht="22.5" customHeight="1">
      <c r="A363" s="53" t="s">
        <v>7633</v>
      </c>
      <c r="B363" s="51" t="s">
        <v>8018</v>
      </c>
      <c r="C363" s="53">
        <v>2024</v>
      </c>
      <c r="D363" s="52" t="str">
        <f t="shared" si="12"/>
        <v>CD-362-2024</v>
      </c>
      <c r="E363" s="96" t="s">
        <v>874</v>
      </c>
      <c r="F363" s="93" t="str">
        <f t="shared" si="13"/>
        <v>PRESTACIÓN DE SERVICIOS PROFESIONALES ESPECIALIZADOS PARA EL DESARROLLO DE LAS ACTIVIDADES DE CONCILIACIÓN DE LA CARTERA Y/O CONTABLES RELACIONADAS CON LA GESTIÓN DE OPERACIONES DEL ICETEX</v>
      </c>
    </row>
    <row r="364" spans="1:6" ht="22.5" customHeight="1">
      <c r="A364" s="53" t="s">
        <v>7633</v>
      </c>
      <c r="B364" s="51" t="s">
        <v>8019</v>
      </c>
      <c r="C364" s="53">
        <v>2024</v>
      </c>
      <c r="D364" s="52" t="str">
        <f t="shared" si="12"/>
        <v>CD-363-2024</v>
      </c>
      <c r="E364" s="96" t="s">
        <v>874</v>
      </c>
      <c r="F364" s="93" t="str">
        <f t="shared" si="13"/>
        <v>PRESTACIÓN DE SERVICIOS PROFESIONALES ESPECIALIZADOS PARA EL DESARROLLO DE LAS ACTIVIDADES DE CONCILIACIÓN DE LA CARTERA Y/O CONTABLES RELACIONADAS CON LA GESTIÓN DE OPERACIONES DEL ICETEX</v>
      </c>
    </row>
    <row r="365" spans="1:6" ht="22.5" customHeight="1">
      <c r="A365" s="53" t="s">
        <v>7633</v>
      </c>
      <c r="B365" s="51" t="s">
        <v>8020</v>
      </c>
      <c r="C365" s="53">
        <v>2024</v>
      </c>
      <c r="D365" s="52" t="str">
        <f t="shared" si="12"/>
        <v>CD-364-2024</v>
      </c>
      <c r="E365" s="96" t="s">
        <v>2844</v>
      </c>
      <c r="F365" s="93" t="str">
        <f t="shared" si="13"/>
        <v>PRESTACIÓN DE SERVICIOS PROFESIONALES ESPECIALIZADOS PARA LA DEPURACIÓN, AJUSTE, GENERACIÓN Y VALIDACIÓN DE INFORMACIÓN DE LOS CRÉDITOS DEL ICETEX</v>
      </c>
    </row>
    <row r="366" spans="1:6" ht="22.5" customHeight="1">
      <c r="A366" s="53" t="s">
        <v>7633</v>
      </c>
      <c r="B366" s="51" t="s">
        <v>8021</v>
      </c>
      <c r="C366" s="53">
        <v>2024</v>
      </c>
      <c r="D366" s="52" t="str">
        <f t="shared" si="12"/>
        <v>CD-365-2024</v>
      </c>
      <c r="E366" s="96" t="s">
        <v>2851</v>
      </c>
      <c r="F366" s="93" t="str">
        <f t="shared" si="13"/>
        <v>PRESTACIÓN DE LOS SERVICIOS PROFESIONALES ESPECIALIZADOS PARA LA PREPARACIÓN Y LIQUIDACIÓN DE LOS DESEMBOLSOS EDUCATIVOS OTORGADOS CON RECURSOS PROPIOS O CON RECURSOS DE TERCEROS ADMINISTRADOS POR EL ICETEX</v>
      </c>
    </row>
    <row r="367" spans="1:6" s="85" customFormat="1" ht="22.5" customHeight="1">
      <c r="A367" s="53" t="s">
        <v>7633</v>
      </c>
      <c r="B367" s="51" t="s">
        <v>8022</v>
      </c>
      <c r="C367" s="53">
        <v>2024</v>
      </c>
      <c r="D367" s="52" t="str">
        <f t="shared" si="12"/>
        <v>CD-366-2024</v>
      </c>
      <c r="E367" s="96" t="s">
        <v>5291</v>
      </c>
      <c r="F367" s="93" t="str">
        <f t="shared" si="13"/>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368" spans="1:6" ht="22.5" customHeight="1">
      <c r="A368" s="53" t="s">
        <v>7633</v>
      </c>
      <c r="B368" s="51" t="s">
        <v>8023</v>
      </c>
      <c r="C368" s="53">
        <v>2024</v>
      </c>
      <c r="D368" s="52" t="str">
        <f t="shared" si="12"/>
        <v>CD-367-2024</v>
      </c>
      <c r="E368" s="96" t="s">
        <v>2851</v>
      </c>
      <c r="F368" s="93" t="str">
        <f t="shared" si="13"/>
        <v>PRESTACIÓN DE LOS SERVICIOS PROFESIONALES ESPECIALIZADOS PARA LA PREPARACIÓN Y LIQUIDACIÓN DE LOS DESEMBOLSOS EDUCATIVOS OTORGADOS CON RECURSOS PROPIOS O CON RECURSOS DE TERCEROS ADMINISTRADOS POR EL ICETEX</v>
      </c>
    </row>
    <row r="369" spans="1:6" ht="22.5" customHeight="1">
      <c r="A369" s="53" t="s">
        <v>7633</v>
      </c>
      <c r="B369" s="51" t="s">
        <v>8024</v>
      </c>
      <c r="C369" s="53">
        <v>2024</v>
      </c>
      <c r="D369" s="52" t="str">
        <f t="shared" si="12"/>
        <v>CD-368-2024</v>
      </c>
      <c r="E369" s="96" t="s">
        <v>874</v>
      </c>
      <c r="F369" s="93" t="str">
        <f t="shared" si="13"/>
        <v>PRESTACIÓN DE SERVICIOS PROFESIONALES ESPECIALIZADOS PARA EL DESARROLLO DE LAS ACTIVIDADES DE CONCILIACIÓN DE LA CARTERA Y/O CONTABLES RELACIONADAS CON LA GESTIÓN DE OPERACIONES DEL ICETEX</v>
      </c>
    </row>
    <row r="370" spans="1:6" ht="22.5" customHeight="1">
      <c r="A370" s="53" t="s">
        <v>7633</v>
      </c>
      <c r="B370" s="51" t="s">
        <v>8025</v>
      </c>
      <c r="C370" s="53">
        <v>2024</v>
      </c>
      <c r="D370" s="52" t="str">
        <f t="shared" si="12"/>
        <v>CD-369-2024</v>
      </c>
      <c r="E370" s="96" t="s">
        <v>2851</v>
      </c>
      <c r="F370" s="93" t="str">
        <f t="shared" si="13"/>
        <v>PRESTACIÓN DE LOS SERVICIOS PROFESIONALES ESPECIALIZADOS PARA LA PREPARACIÓN Y LIQUIDACIÓN DE LOS DESEMBOLSOS EDUCATIVOS OTORGADOS CON RECURSOS PROPIOS O CON RECURSOS DE TERCEROS ADMINISTRADOS POR EL ICETEX</v>
      </c>
    </row>
    <row r="371" spans="1:6" ht="22.5" customHeight="1">
      <c r="A371" s="53" t="s">
        <v>7633</v>
      </c>
      <c r="B371" s="51" t="s">
        <v>8026</v>
      </c>
      <c r="C371" s="53">
        <v>2024</v>
      </c>
      <c r="D371" s="52" t="str">
        <f t="shared" si="12"/>
        <v>CD-370-2024</v>
      </c>
      <c r="E371" s="96" t="s">
        <v>2851</v>
      </c>
      <c r="F371" s="93" t="str">
        <f>UPPER(E372)</f>
        <v>PRESTACIÓN DE LOS SERVICIOS PROFESIONALES ESPECIALIZADOS PARA LA PREPARACIÓN Y LIQUIDACIÓN DE LOS DESEMBOLSOS EDUCATIVOS OTORGADOS CON RECURSOS PROPIOS O CON RECURSOS DE TERCEROS ADMINISTRADOS POR EL ICETEX</v>
      </c>
    </row>
    <row r="372" spans="1:6" ht="22.5" customHeight="1">
      <c r="A372" s="53" t="s">
        <v>7633</v>
      </c>
      <c r="B372" s="51" t="s">
        <v>8027</v>
      </c>
      <c r="C372" s="53">
        <v>2024</v>
      </c>
      <c r="D372" s="52" t="str">
        <f t="shared" si="12"/>
        <v>CD-371-2024</v>
      </c>
      <c r="E372" s="96" t="s">
        <v>2851</v>
      </c>
      <c r="F372" s="93" t="e">
        <f>UPPER(#REF!)</f>
        <v>#REF!</v>
      </c>
    </row>
    <row r="373" spans="1:6" ht="22.5" customHeight="1">
      <c r="A373" s="53" t="s">
        <v>7633</v>
      </c>
      <c r="B373" s="51" t="s">
        <v>8028</v>
      </c>
      <c r="C373" s="53">
        <v>2024</v>
      </c>
      <c r="D373" s="52" t="str">
        <f t="shared" si="12"/>
        <v>CD-372-2024</v>
      </c>
      <c r="E373" s="96" t="s">
        <v>3170</v>
      </c>
      <c r="F373" s="93" t="str">
        <f t="shared" si="13"/>
        <v>PRESTAR LOS SERVICIOS PROFESIONALES ESPECIALIZADOS PARA LA APROPIACIÓN DE BUENAS PRÁCTICAS Y ESTÁNDARES QUE PERMITAN FORTALECER EL DESPLIEGUE DE LAS INICIATIVAS ENCAMINADAS A LA OPTIMIZACIÓN DE LA ESTRUCTURA FINANCIERA DEL INSTITUTO Y SUS SERVICIOS FINANCIEROS, EN EL MARCO DE IMPLEMENTACIÓN DEL PROYECTO DE INVERSIÓN PARA LA DIVERSIFICACIÓN DE LAS FUENTES DE FONDEO</v>
      </c>
    </row>
    <row r="374" spans="1:6" ht="22.5" customHeight="1">
      <c r="A374" s="53" t="s">
        <v>7633</v>
      </c>
      <c r="B374" s="51" t="s">
        <v>8029</v>
      </c>
      <c r="C374" s="53">
        <v>2024</v>
      </c>
      <c r="D374" s="52" t="str">
        <f t="shared" si="12"/>
        <v>CD-373-2024</v>
      </c>
      <c r="E374" s="96" t="s">
        <v>3192</v>
      </c>
      <c r="F374" s="93" t="str">
        <f t="shared" si="13"/>
        <v>PRESTAR LOS SERVICIOS PROFESIONALES ESPECIALIZADOS PARA ESTRUCTURAR Y GESTIONAR CONTENIDOS GRÁFICOS, ANIMADOS Y MULTIMEDIA PARA LOS DIVERSOS ENTORNOS DIGITALES QUE MANEJA LA OFICINA ASESORA DE COMUNICACIONES</v>
      </c>
    </row>
    <row r="375" spans="1:6" ht="22.5" customHeight="1">
      <c r="A375" s="53" t="s">
        <v>7633</v>
      </c>
      <c r="B375" s="51" t="s">
        <v>8030</v>
      </c>
      <c r="C375" s="53">
        <v>2024</v>
      </c>
      <c r="D375" s="52" t="str">
        <f t="shared" si="12"/>
        <v>CD-374-2024</v>
      </c>
      <c r="E375" s="96" t="s">
        <v>3200</v>
      </c>
      <c r="F375" s="93" t="str">
        <f t="shared" si="13"/>
        <v>PRESTAR LOS SERVICIOS PROFESIONALES EN LA ATENCIÓN, ANÁLISIS, ESTRUCTURACIÓN DE PLANTILLAS Y GENERACIÓN DE ESTADÍSTICAS DE PQRS DE LOS PROCESOS DE CRÉDITO</v>
      </c>
    </row>
    <row r="376" spans="1:6" ht="22.5" customHeight="1">
      <c r="A376" s="53" t="s">
        <v>7633</v>
      </c>
      <c r="B376" s="51" t="s">
        <v>8031</v>
      </c>
      <c r="C376" s="53">
        <v>2024</v>
      </c>
      <c r="D376" s="52" t="str">
        <f t="shared" si="12"/>
        <v>CD-375-2024</v>
      </c>
      <c r="E376" s="96" t="s">
        <v>3209</v>
      </c>
      <c r="F376" s="93" t="str">
        <f t="shared" si="13"/>
        <v>PRESTAR LOS SERVICIOS PROFESIONALES ESPECIALIZADOS PARA TRAMITAR LOS PROCESOS QUE EN MATERIA DE CONTRATACIÓN Y ACUERDOS ESTRATÉGICOS DESARROLLE EL GRUPO DE CRÉDITO, HACIENDO SEGUIMIENTO PRECONTRACTUAL, CONTRACTUAL Y POSCONTRACTUAL REQUERIDO POR EL ÁREA, ASÍ COMO TAMBIÉN ANALIZAR Y ATENDER LOS REQUERIMIENTOS DE ENTES DE CONTROL CORRESPONDIENTES A LOS PROCESOS DE OTORGAMIENTO, LEGALIZACIÓN Y RENOVACIÓN</v>
      </c>
    </row>
    <row r="377" spans="1:6" ht="22.5" customHeight="1">
      <c r="A377" s="53" t="s">
        <v>7633</v>
      </c>
      <c r="B377" s="51" t="s">
        <v>8032</v>
      </c>
      <c r="C377" s="53">
        <v>2024</v>
      </c>
      <c r="D377" s="52" t="str">
        <f t="shared" si="12"/>
        <v>CD-376-2024</v>
      </c>
      <c r="E377" s="96" t="s">
        <v>3217</v>
      </c>
      <c r="F377" s="93" t="str">
        <f t="shared" si="13"/>
        <v>PRESTAR SERVICIOS PROFESIONALES PARA RESPALDAR Y ORIENTAR EN LOS PROCESOS RELACIONADOS CON EL DESARROLLO UX/UI NECESARIOS PARA LA IMPLEMENTACIÓN DEL PLAN ESTRATÉGICO DE LA ENTIDAD Y LA "POLÍTICA DE GUÍA, INFORMACIÓN Y ACOMPAÑAMIENTO</v>
      </c>
    </row>
    <row r="378" spans="1:6" ht="22.5" customHeight="1">
      <c r="A378" s="53" t="s">
        <v>7633</v>
      </c>
      <c r="B378" s="51" t="s">
        <v>8033</v>
      </c>
      <c r="C378" s="53">
        <v>2024</v>
      </c>
      <c r="D378" s="52" t="str">
        <f t="shared" si="12"/>
        <v>CD-377-2024</v>
      </c>
      <c r="E378" s="96" t="s">
        <v>3226</v>
      </c>
      <c r="F378" s="93" t="str">
        <f t="shared" si="13"/>
        <v>PRESTAR SERVICIOS TÉCNICOS DE APOYO A LA MEJORA EN LOS PROCESOS Y PROCEDIMIENTOS EN LOS CANALES DE ATENCIÓN Y GESTIÓN DE LA ENTIDAD</v>
      </c>
    </row>
    <row r="379" spans="1:6" ht="22.5" customHeight="1">
      <c r="A379" s="53" t="s">
        <v>7633</v>
      </c>
      <c r="B379" s="51" t="s">
        <v>8034</v>
      </c>
      <c r="C379" s="53">
        <v>2024</v>
      </c>
      <c r="D379" s="52" t="str">
        <f t="shared" si="12"/>
        <v>CD-378-2024</v>
      </c>
      <c r="E379" s="96" t="s">
        <v>3234</v>
      </c>
      <c r="F379" s="93" t="str">
        <f t="shared" si="13"/>
        <v>PRESTAR LOS SERVICIOS TÉCNICOS PARA EL DESARROLLO DE LAS ACTIVIDADES ASOCIADAS A LA CREACIÓN, EJECUCIÓN Y/O TERMINACIÓN LAS ALIANZAS ESTRATÉGICAS A CARGO DE LA VICEPRESIDENCIA DE CRÉDITO Y COBRANZA DE ACUERDO CON LA ASIGNACIÓN   DEFINIDA POR EL ÁREA.</v>
      </c>
    </row>
    <row r="380" spans="1:6" ht="22.5" customHeight="1">
      <c r="A380" s="53" t="s">
        <v>7633</v>
      </c>
      <c r="B380" s="51" t="s">
        <v>8035</v>
      </c>
      <c r="C380" s="53">
        <v>2024</v>
      </c>
      <c r="D380" s="52" t="str">
        <f t="shared" si="12"/>
        <v>CD-379-2024</v>
      </c>
      <c r="E380" s="96" t="s">
        <v>3242</v>
      </c>
      <c r="F380" s="93" t="str">
        <f t="shared" si="13"/>
        <v>PRESTAR LOS SERVICIOS PROFESIONALES PARA LA EJECUCIÓN DE LAS ACTIVIDADES ASOCIADAS CON LA ADMINISTRACIÓN A LAS ALIANZAS ESTRATÉGICAS A CARGO DE LA VICEPRESIDENCIA DE CRÉDITO Y COBRANZA CONFORME LA ASIGNACIÓN DEL ÁREA, ASÍ COMO EL MANEJO Y CONSOLIDACIÓN DE LA INFORMACIÓN DE LAS ALIANZAS</v>
      </c>
    </row>
    <row r="381" spans="1:6" ht="22.5" customHeight="1">
      <c r="A381" s="53" t="s">
        <v>7633</v>
      </c>
      <c r="B381" s="51" t="s">
        <v>8036</v>
      </c>
      <c r="C381" s="53">
        <v>2024</v>
      </c>
      <c r="D381" s="52" t="str">
        <f t="shared" si="12"/>
        <v>CD-380-2024</v>
      </c>
      <c r="E381" s="96" t="s">
        <v>3250</v>
      </c>
      <c r="F381" s="93" t="str">
        <f t="shared" si="13"/>
        <v xml:space="preserve">PRESTAR LOS SERVICIOS PROFESIONALES EN EL ANÁLISIS DE SOLICITUDES DE CRÉDITO Y GENERACIÓN DE ESTADÍSTICAS E INFORMES CORRESPONDIENTES AL PROCESO DE OTORGAMIENTO DE CRÉDITO. </v>
      </c>
    </row>
    <row r="382" spans="1:6" ht="22.5" customHeight="1">
      <c r="A382" s="53" t="s">
        <v>7633</v>
      </c>
      <c r="B382" s="51" t="s">
        <v>8037</v>
      </c>
      <c r="C382" s="53">
        <v>2024</v>
      </c>
      <c r="D382" s="52" t="str">
        <f t="shared" si="12"/>
        <v>CD-381-2024</v>
      </c>
      <c r="E382" s="96" t="s">
        <v>3258</v>
      </c>
      <c r="F382" s="93" t="str">
        <f t="shared" si="13"/>
        <v>PRESTAR SUS SERVICIOS PROFESIONALES GESTIONANDO LA LIQUIDACIÓN Y/O CIERRE DE LOS CONTRATOS Y CONVENIOS A CARGO DE LA VICEPRESIDENCIA DE FONDOS EN ADMINISTRACIÓN.</v>
      </c>
    </row>
    <row r="383" spans="1:6" ht="22.5" customHeight="1">
      <c r="A383" s="53" t="s">
        <v>7633</v>
      </c>
      <c r="B383" s="51" t="s">
        <v>8038</v>
      </c>
      <c r="C383" s="53">
        <v>2024</v>
      </c>
      <c r="D383" s="52" t="str">
        <f t="shared" si="12"/>
        <v>CD-382-2024</v>
      </c>
      <c r="E383" s="96" t="s">
        <v>3266</v>
      </c>
      <c r="F383" s="93" t="str">
        <f t="shared" si="13"/>
        <v>PRESTAR LOS SERVICIOS PROFESIONALES PARA LIDERAR EL PLANTEAMIENTO, DESARROLLO Y MEJORA CONTINUA DE LA ESTRATEGIA AUDIOVISUAL APLICADA A LA PROMOCIÓN Y DIVULGACIÓN DEL PORTAFOLIO DE PRODUCTOS ICETEX O PROYECTOS DE LA OFICINA COMERCIAL Y DE MERCADEO.</v>
      </c>
    </row>
    <row r="384" spans="1:6" ht="22.5" customHeight="1">
      <c r="A384" s="53" t="s">
        <v>7633</v>
      </c>
      <c r="B384" s="51" t="s">
        <v>8039</v>
      </c>
      <c r="C384" s="53">
        <v>2024</v>
      </c>
      <c r="D384" s="52" t="str">
        <f t="shared" si="12"/>
        <v>CD-383-2024</v>
      </c>
      <c r="E384" s="96" t="s">
        <v>3274</v>
      </c>
      <c r="F384" s="93" t="str">
        <f t="shared" si="13"/>
        <v xml:space="preserve">PRESTAR LOS SERVICIOS TÉCNICOS EN LA ATENCIÓN DE PQRS Y REQUERIMIENTOS INTERNOS Y EXTERNOS CORRESPONDIENTES AL GRUPO DE CRÉDITO A CARGO DE LA VICEPRESIDENCIA DE CRÉDITO Y COBRANZA. </v>
      </c>
    </row>
    <row r="385" spans="1:6" ht="22.5" customHeight="1">
      <c r="A385" s="53" t="s">
        <v>7633</v>
      </c>
      <c r="B385" s="51" t="s">
        <v>8040</v>
      </c>
      <c r="C385" s="53">
        <v>2024</v>
      </c>
      <c r="D385" s="52" t="str">
        <f t="shared" si="12"/>
        <v>CD-384-2024</v>
      </c>
      <c r="E385" s="96" t="s">
        <v>3282</v>
      </c>
      <c r="F385" s="93" t="str">
        <f t="shared" si="13"/>
        <v>PRESTAR LOS SERVICIOS PROFESIONALES PARA EL PLANTEAMIENTO, DESARROLLO Y MEJORA CONTINUA DE PRODUCCIONES FOTOGRÁFICAS PARA LA PROMOCIÓN Y DIVULGACIÓN DEL PORTAFOLIO DE PRODUCTOS DE ICETEX</v>
      </c>
    </row>
    <row r="386" spans="1:6" ht="22.5" customHeight="1">
      <c r="A386" s="53" t="s">
        <v>7633</v>
      </c>
      <c r="B386" s="51" t="s">
        <v>8041</v>
      </c>
      <c r="C386" s="53">
        <v>2024</v>
      </c>
      <c r="D386" s="52" t="str">
        <f t="shared" ref="D386:D449" si="14">CONCATENATE(A386,"-",B386,"-",C386)</f>
        <v>CD-385-2024</v>
      </c>
      <c r="E386" s="96" t="s">
        <v>3289</v>
      </c>
      <c r="F386" s="93" t="str">
        <f t="shared" si="13"/>
        <v>PRESTAR LOS SERVICIOS PROFESIONALES ESPECIALIZADOS PARA LA INVESTIGACIÓN, ELABORACIÓN, PUESTA EN MARCHA Y VERIFICACIÓN DE LA APLICACIÓN DE POLÍTICAS PÚBLICAS, ECONÓMICAS, PRESUPUESTALES Y LEGISLATIVAS ASOCIADAS A LA MISIÓN INSTITUCIONAL DEL ICETEX</v>
      </c>
    </row>
    <row r="387" spans="1:6" ht="22.5" customHeight="1">
      <c r="A387" s="53" t="s">
        <v>7633</v>
      </c>
      <c r="B387" s="51" t="s">
        <v>8042</v>
      </c>
      <c r="C387" s="53">
        <v>2024</v>
      </c>
      <c r="D387" s="52" t="str">
        <f t="shared" si="14"/>
        <v>CD-386-2024</v>
      </c>
      <c r="E387" s="96" t="s">
        <v>3298</v>
      </c>
      <c r="F387" s="93" t="str">
        <f t="shared" ref="F387:F450" si="15">UPPER(E387)</f>
        <v>PRESTAR SERVICIOS PROFESIONALES PARA EL SEGUIMIENTO Y CONTROL DEL PROCESO CALIDAD OPERATIVA Y MEJORA CONTINUA EN LOS DISTINTOS CANALES DE ATENCIÓN Y GESTIÓN DE LA ENTIDAD CON EL FIN DE MEJORAR LA EXPERIENCIA Y SATISFACCIÓN DE LOS GRUPOS DE INTERÉS (BENEFICIARIOS, CIUDADANOS E IES</v>
      </c>
    </row>
    <row r="388" spans="1:6" ht="22.5" customHeight="1">
      <c r="A388" s="53" t="s">
        <v>7633</v>
      </c>
      <c r="B388" s="51" t="s">
        <v>8043</v>
      </c>
      <c r="C388" s="53">
        <v>2024</v>
      </c>
      <c r="D388" s="52" t="str">
        <f t="shared" si="14"/>
        <v>CD-387-2024</v>
      </c>
      <c r="E388" s="96" t="s">
        <v>3306</v>
      </c>
      <c r="F388" s="93" t="str">
        <f t="shared" si="15"/>
        <v>PRESTAR SERVICIOS PROFESIONALES ESPECIALIZADOS PARA LIDERAR LA "UNIDAD DE OPERACIÓN" EN EL CONTEXTO DEL DESARROLLO DEL PLAN ESTRATÉGICO DE LA ENTIDAD Y LA "POLÍTICA DE GUÍA, INFORMACIÓN Y ACOMPAÑAMIENTO</v>
      </c>
    </row>
    <row r="389" spans="1:6" ht="22.5" customHeight="1">
      <c r="A389" s="53" t="s">
        <v>7633</v>
      </c>
      <c r="B389" s="51" t="s">
        <v>8044</v>
      </c>
      <c r="C389" s="53">
        <v>2024</v>
      </c>
      <c r="D389" s="52" t="str">
        <f t="shared" si="14"/>
        <v>CD-388-2024</v>
      </c>
      <c r="E389" s="96" t="s">
        <v>3315</v>
      </c>
      <c r="F389" s="93" t="str">
        <f t="shared" si="15"/>
        <v>PRESTAR SERVICIOS PROFESIONALES PARA ASESORAR EN MATERIAS JURÍDICAS, ADMINISTRATIVAS Y CONTRACTUALES EN EL CONTEXTO DEL AVANCE DE PROYECTOS RELACIONADOS CON EL DESARROLLO DEL PLAN ESTRATÉGICO DE LA ENTIDAD Y LA "POLÍTICA DE GUÍA, INFORMACIÓN Y ACOMPAÑAMIENTO</v>
      </c>
    </row>
    <row r="390" spans="1:6" ht="22.5" customHeight="1">
      <c r="A390" s="53" t="s">
        <v>7633</v>
      </c>
      <c r="B390" s="51" t="s">
        <v>8045</v>
      </c>
      <c r="C390" s="53">
        <v>2024</v>
      </c>
      <c r="D390" s="52" t="str">
        <f t="shared" si="14"/>
        <v>CD-389-2024</v>
      </c>
      <c r="E390" s="96" t="s">
        <v>3323</v>
      </c>
      <c r="F390" s="93" t="str">
        <f t="shared" si="15"/>
        <v>PRESTAR LOS SERVICIOS PROFESIONALES ESPECIALIZADOS PARA EL DISEÑO, IMPLEMENTACIÓN, EJECUCIÓN, SUPERVISIÓN, CONTROL Y MEJORA CONTINUA DE INVESTIGACIONES Y ESTRATEGIAS QUE CONTRIBUYAN A ENRIQUECER LA PROMOCIÓN Y OTORGAMIENTO DEL PORTAFOLIO DE PRODUCTOS DEL ICETEX.</v>
      </c>
    </row>
    <row r="391" spans="1:6" ht="22.5" customHeight="1">
      <c r="A391" s="53" t="s">
        <v>7633</v>
      </c>
      <c r="B391" s="51" t="s">
        <v>8046</v>
      </c>
      <c r="C391" s="53">
        <v>2024</v>
      </c>
      <c r="D391" s="52" t="str">
        <f t="shared" si="14"/>
        <v>CD-390-2024</v>
      </c>
      <c r="E391" s="96" t="s">
        <v>3332</v>
      </c>
      <c r="F391" s="93" t="str">
        <f t="shared" si="15"/>
        <v>PRESTAR LOS SERVICIOS PROFESIONALES EN LA SECRETARÍA GENERAL DEL ICETEX PARA ORIENTAR Y ACOMPAÑAR LA IMPLEMENTACIÓN, EJECUCIÓN Y SUPERVISIÓN DEL PROCESO DE GESTIÓN DOCUMENTAL</v>
      </c>
    </row>
    <row r="392" spans="1:6" ht="22.5" customHeight="1">
      <c r="A392" s="53" t="s">
        <v>7633</v>
      </c>
      <c r="B392" s="51" t="s">
        <v>8047</v>
      </c>
      <c r="C392" s="53">
        <v>2024</v>
      </c>
      <c r="D392" s="52" t="str">
        <f t="shared" si="14"/>
        <v>CD-391-2024</v>
      </c>
      <c r="E392" s="96" t="s">
        <v>2187</v>
      </c>
      <c r="F392" s="93" t="str">
        <f t="shared" si="15"/>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393" spans="1:6" ht="22.5" customHeight="1">
      <c r="A393" s="53" t="s">
        <v>7633</v>
      </c>
      <c r="B393" s="51" t="s">
        <v>8048</v>
      </c>
      <c r="C393" s="53">
        <v>2024</v>
      </c>
      <c r="D393" s="52" t="str">
        <f t="shared" si="14"/>
        <v>CD-392-2024</v>
      </c>
      <c r="E393" s="96" t="s">
        <v>3341</v>
      </c>
      <c r="F393" s="93" t="str">
        <f>UPPER(E393)</f>
        <v>PRESTACIÓN DE SERVICIOS PROFESIONALES ESPECIALIZADOS EN EL TRÁMITE DE SERVICIOS DE TI ORIENTADOS A LA REVISIÓN, ANÁLISIS, MODELAMIENTO, IMPLEMENTACIÓN, USO Y APROPIACIÓN DE LA ARQUITECTURA DE DATOS REQUERIDA PARA SOLUCIONES INFORMÁTICAS DEL ICETEX</v>
      </c>
    </row>
    <row r="394" spans="1:6" ht="22.5" customHeight="1">
      <c r="A394" s="53" t="s">
        <v>7633</v>
      </c>
      <c r="B394" s="51" t="s">
        <v>8049</v>
      </c>
      <c r="C394" s="53">
        <v>2024</v>
      </c>
      <c r="D394" s="52" t="str">
        <f t="shared" si="14"/>
        <v>CD-393-2024</v>
      </c>
      <c r="E394" s="96" t="s">
        <v>2749</v>
      </c>
      <c r="F394" s="93" t="str">
        <f t="shared" si="15"/>
        <v>PRESTAR SERVICIOS PROFESIONALES ESPECIALIZADOS PARA EJECUTAR ACTIVIDADES ASOCIADAS AL DESARROLLO, SEGUIMIENTO, CONTROL Y ASEGURAMIENTO DE LOS PROYECTOS DE MEJORA CONTINUA QUE LE SEAN ASIGNADOS EN EL MARCO DE LOS PROCESOS DE LA OFICINA COMERCIAL Y DE MERCADEO Y SUS DIFERENTES EQUIPOS DE TRABAJO</v>
      </c>
    </row>
    <row r="395" spans="1:6" ht="22.5" customHeight="1">
      <c r="A395" s="53" t="s">
        <v>7633</v>
      </c>
      <c r="B395" s="51" t="s">
        <v>8050</v>
      </c>
      <c r="C395" s="53">
        <v>2024</v>
      </c>
      <c r="D395" s="52" t="str">
        <f t="shared" si="14"/>
        <v>CD-394-2024</v>
      </c>
      <c r="E395" s="96" t="s">
        <v>8051</v>
      </c>
      <c r="F395" s="93" t="str">
        <f t="shared" si="15"/>
        <v>PRESTAR LOS SERVICIOS PROFESIONALES PARA LA IMPLEMENTACIÓN Y ESTABILIZACIÓN DE LOS SISTEMAS DE INFORMACIÓN CONTABLE Y TRIBUTARIA COMO PARTE DEL MODELO DE GESTIÓN Y DE CONTROL EN EL MARCO DE INICIATIVAS DE SIMPLIFICACIÓN Y AUTOMATIZACIÓN DE PROCESOS DE LA DIRECCIÓN DE CONTABILIDAD Y DEL PROYECTO DE INVERSIÓN BANCA ABIERTA Y
TRANSPARENTE E INHOUSE BANKING</v>
      </c>
    </row>
    <row r="396" spans="1:6" ht="22.5" customHeight="1">
      <c r="A396" s="53" t="s">
        <v>7633</v>
      </c>
      <c r="B396" s="51" t="s">
        <v>8052</v>
      </c>
      <c r="C396" s="53">
        <v>2024</v>
      </c>
      <c r="D396" s="52" t="str">
        <f t="shared" si="14"/>
        <v>CD-395-2024</v>
      </c>
      <c r="E396" s="96" t="s">
        <v>892</v>
      </c>
      <c r="F396" s="93" t="str">
        <f t="shared" si="15"/>
        <v>PRESTAR LOS SERVICIOS PROFESIONALES JURÍDICOS ESPECIALIZADOS PARA ATENDER LA ACTIVIDAD JURÍDICA DEL ICETEX, DIRIGIDO A LA IMPLEMENTACIÓN DE LA DEFENSA JURÍDICA DE LA ENTIDAD EN ACCIONES DE TUTELA.</v>
      </c>
    </row>
    <row r="397" spans="1:6" ht="22.5" customHeight="1">
      <c r="A397" s="53" t="s">
        <v>7633</v>
      </c>
      <c r="B397" s="51" t="s">
        <v>8053</v>
      </c>
      <c r="C397" s="53">
        <v>2024</v>
      </c>
      <c r="D397" s="52" t="str">
        <f t="shared" si="14"/>
        <v>CD-396-2024</v>
      </c>
      <c r="E397" s="96" t="s">
        <v>8054</v>
      </c>
      <c r="F397" s="93" t="str">
        <f t="shared" si="15"/>
        <v>PRESTAR LOS SERVICIOS PROFESIONALES PARA LA OPTIMIZACIÓN
DEL PROCESO DE PARAMETRIZACIÓN DE TERCEROS Y LA SISTEMATIZACIÓN DE DATOS, PARA FORTALECER EL ANÁLISIS Y PROCESAMIENTO DE INFORMACIÓN CONTABLE Y LA ACTUALIZACIÓN NORMATIVA APLICABLE AL INSTITUTO, CON EL FIN DE OPTIMIZAR EL PROCESO DE PRESENTACIÓN DE INFORMACIÓN EXÓGENA,
DECLARACIONES TRIBUTARIAS Y DEMÁS OBLIGACIONES A CARGO DE ICETEX.</v>
      </c>
    </row>
    <row r="398" spans="1:6" ht="22.5" customHeight="1">
      <c r="A398" s="53" t="s">
        <v>7633</v>
      </c>
      <c r="B398" s="51" t="s">
        <v>8055</v>
      </c>
      <c r="C398" s="53">
        <v>2024</v>
      </c>
      <c r="D398" s="52" t="str">
        <f t="shared" si="14"/>
        <v>CD-397-2024</v>
      </c>
      <c r="E398" s="96" t="s">
        <v>8056</v>
      </c>
      <c r="F398" s="93" t="str">
        <f t="shared" si="15"/>
        <v>PRESTAR LOS SERVICIOS PROFESIONALES PARA LA GENERACIÓN DE
CONTENIDO GRÁFICO, ANIMANDO Y MULTIMEDIA RELACIONADO CON LA GESTIÓN E INFORMACIÓN DE LA ENTIDAD DE ACUERDO CON LOS LINEAMIENTOS DE LA OFICINA ASESORA DE COMUNICACIONES</v>
      </c>
    </row>
    <row r="399" spans="1:6" ht="22.5" customHeight="1">
      <c r="A399" s="53" t="s">
        <v>7633</v>
      </c>
      <c r="B399" s="51" t="s">
        <v>8057</v>
      </c>
      <c r="C399" s="53">
        <v>2024</v>
      </c>
      <c r="D399" s="52" t="str">
        <f t="shared" si="14"/>
        <v>CD-398-2024</v>
      </c>
      <c r="E399" s="96" t="s">
        <v>3395</v>
      </c>
      <c r="F399" s="93" t="str">
        <f t="shared" si="15"/>
        <v>PRESTAR LOS SERVICIOS PROFESIONALES JURÍDICOS ESPECIALIZADOS EN EL DESARROLLO Y REPRESENTACIÓN DEL ICETEX, DIRIGIDO A LA IMPLEMENTACIÓN DE LA DEFENSA JURÍDICA DE LA ENTIDAD EN MATERIA PENAL.</v>
      </c>
    </row>
    <row r="400" spans="1:6" ht="22.5" customHeight="1">
      <c r="A400" s="53" t="s">
        <v>7633</v>
      </c>
      <c r="B400" s="51" t="s">
        <v>8058</v>
      </c>
      <c r="C400" s="53">
        <v>2024</v>
      </c>
      <c r="D400" s="52" t="str">
        <f t="shared" si="14"/>
        <v>CD-399-2024</v>
      </c>
      <c r="E400" s="96" t="s">
        <v>3403</v>
      </c>
      <c r="F400" s="93" t="str">
        <f t="shared" si="15"/>
        <v>PRESTAR SERVICIOS PROFESIONALES PARA APOYAR EL PROCESAMIENTO Y ANÁLISIS DE INFORMACIÓN PARA LA ELABORACIÓN DE INFORMES Y DOCUMENTOS TÉCNICOS RELACIONADOS CON PROGRAMAS Y POLÍTICAS DE FINANCIACIÓN DE LA EDUCACIÓN SUPERIOR QUE SOPORTEN LA TOMA DE DECISIONES DE LA ENTIDAD.</v>
      </c>
    </row>
    <row r="401" spans="1:33" ht="22.5" customHeight="1">
      <c r="A401" s="53" t="s">
        <v>7633</v>
      </c>
      <c r="B401" s="51" t="s">
        <v>8059</v>
      </c>
      <c r="C401" s="53">
        <v>2024</v>
      </c>
      <c r="D401" s="52" t="str">
        <f t="shared" si="14"/>
        <v>CD-400-2024</v>
      </c>
      <c r="E401" s="96" t="s">
        <v>3411</v>
      </c>
      <c r="F401" s="93" t="str">
        <f t="shared" si="15"/>
        <v>PRESTAR SERVICIOS PROFESIONALES PARA LA GESTIÓN, MEDICIÓN DE RESULTADOS Y ACOMPAÑAMIENTO A LA ESTRATEGIA DE FORMACIÓN Y DE ENTRENAMIENTO DE LOS EQUIPOS DE SERVICIO Y COMERCIAL DE LA OFICINA COMERCIAL Y DE MERCADEO</v>
      </c>
    </row>
    <row r="402" spans="1:33" ht="22.5" customHeight="1">
      <c r="A402" s="53" t="s">
        <v>7633</v>
      </c>
      <c r="B402" s="51" t="s">
        <v>8060</v>
      </c>
      <c r="C402" s="53">
        <v>2024</v>
      </c>
      <c r="D402" s="52" t="str">
        <f t="shared" si="14"/>
        <v>CD-401-2024</v>
      </c>
      <c r="E402" s="96" t="s">
        <v>3419</v>
      </c>
      <c r="F402" s="93" t="str">
        <f t="shared" si="15"/>
        <v>PRESTACIÓN DE SERVICIOS PROFESIONALES ESPECIALIZADOS EN INGENIERIA PARA LA CONFIGURACIÓN, SOPORTE FUNCIONAL, SOPORTE TÉCNICO Y GESTIONES COMPLEMENTARIAS EN LA HABILITACIÓN DE RECURSOS DE INFRAESTRUCTURA Y TELECOMUNICACIONES DEL ICETEX</v>
      </c>
    </row>
    <row r="403" spans="1:33" ht="22.5" customHeight="1">
      <c r="A403" s="53" t="s">
        <v>7633</v>
      </c>
      <c r="B403" s="51" t="s">
        <v>8061</v>
      </c>
      <c r="C403" s="53">
        <v>2024</v>
      </c>
      <c r="D403" s="52" t="str">
        <f t="shared" si="14"/>
        <v>CD-402-2024</v>
      </c>
      <c r="E403" s="96" t="s">
        <v>3428</v>
      </c>
      <c r="F403" s="93" t="str">
        <f t="shared" si="15"/>
        <v>PRESTAR LOS SERVICIOS PROFESIONALES ESTADÍSTICOS PARA CONSTRUCCIÓN, ANÁLISIS Y MANTENIMIENTO DE LOS DIFERENTES MODELOS REQUERIDOS EN LA OFICINA DE RIESGOS PARA LA ADMINISTRACIÓN DE LOS SISTEMAS DE GESTIÓN DE RIESGOS DEL ICETEX</v>
      </c>
    </row>
    <row r="404" spans="1:33" s="85" customFormat="1" ht="22.5" customHeight="1">
      <c r="A404" s="53" t="s">
        <v>7633</v>
      </c>
      <c r="B404" s="51" t="s">
        <v>8062</v>
      </c>
      <c r="C404" s="53">
        <v>2024</v>
      </c>
      <c r="D404" s="52" t="str">
        <f>CONCATENATE(A404,"-",B404,"-",C404)</f>
        <v>CD-403-2024</v>
      </c>
      <c r="E404" s="96" t="s">
        <v>5291</v>
      </c>
      <c r="F404" s="93" t="str">
        <f t="shared" si="15"/>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05" spans="1:33" s="85" customFormat="1" ht="22.5" customHeight="1">
      <c r="A405" s="53" t="s">
        <v>7633</v>
      </c>
      <c r="B405" s="51" t="s">
        <v>8063</v>
      </c>
      <c r="C405" s="53">
        <v>2024</v>
      </c>
      <c r="D405" s="52" t="str">
        <f t="shared" si="14"/>
        <v>CD-404-2024</v>
      </c>
      <c r="E405" s="96" t="s">
        <v>5291</v>
      </c>
      <c r="F405" s="93" t="str">
        <f t="shared" si="15"/>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405"/>
      <c r="H405"/>
      <c r="I405"/>
      <c r="J405"/>
      <c r="K405"/>
      <c r="L405"/>
      <c r="M405"/>
      <c r="N405"/>
      <c r="O405"/>
      <c r="P405"/>
      <c r="Q405"/>
      <c r="R405"/>
      <c r="S405"/>
      <c r="T405"/>
      <c r="U405"/>
      <c r="V405"/>
      <c r="W405"/>
      <c r="X405"/>
      <c r="Y405"/>
      <c r="Z405"/>
      <c r="AA405"/>
      <c r="AB405"/>
      <c r="AC405"/>
      <c r="AD405"/>
      <c r="AE405"/>
      <c r="AF405"/>
      <c r="AG405"/>
    </row>
    <row r="406" spans="1:33" s="85" customFormat="1" ht="22.5" customHeight="1">
      <c r="A406" s="53" t="s">
        <v>7633</v>
      </c>
      <c r="B406" s="51" t="s">
        <v>8064</v>
      </c>
      <c r="C406" s="53">
        <v>2024</v>
      </c>
      <c r="D406" s="52" t="str">
        <f t="shared" si="14"/>
        <v>CD-405-2024</v>
      </c>
      <c r="E406" s="96" t="s">
        <v>5291</v>
      </c>
      <c r="F406" s="93" t="str">
        <f>UPPER(E406)</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406"/>
      <c r="H406"/>
      <c r="I406"/>
      <c r="J406"/>
      <c r="K406"/>
      <c r="L406"/>
      <c r="M406"/>
      <c r="N406"/>
      <c r="O406"/>
      <c r="P406"/>
      <c r="Q406"/>
      <c r="R406"/>
      <c r="S406"/>
      <c r="T406"/>
      <c r="U406"/>
      <c r="V406"/>
      <c r="W406"/>
      <c r="X406"/>
      <c r="Y406"/>
      <c r="Z406"/>
      <c r="AA406"/>
      <c r="AB406"/>
      <c r="AC406"/>
      <c r="AD406"/>
      <c r="AE406"/>
      <c r="AF406"/>
      <c r="AG406"/>
    </row>
    <row r="407" spans="1:33" ht="22.5" customHeight="1">
      <c r="A407" s="53" t="s">
        <v>7633</v>
      </c>
      <c r="B407" s="51" t="s">
        <v>8065</v>
      </c>
      <c r="C407" s="53">
        <v>2024</v>
      </c>
      <c r="D407" s="52" t="str">
        <f t="shared" si="14"/>
        <v>CD-406-2024</v>
      </c>
      <c r="E407" s="96" t="s">
        <v>3459</v>
      </c>
      <c r="F407" s="93" t="str">
        <f t="shared" si="15"/>
        <v>PRESTAR LOS SERVICIOS PROFESIONALES LA ADOPCIÓN DE LOS ESTÁNDARES, BUENAS PRÁCTICAS Y PROCEDIMIENTOS QUE PERMITAN GARANTIZAR EL CONTROL E IMPLEMENTACIÓN DE ACCIONES PARA LA REGULARIZACIÓN DE LAS PARTIDAS A CONCILIAR DE LOS RECURSOS EN ADMINISTRACIÓN A CARGO ICETEX EN EL MARCO DEL PROYECTO DE BANCA ABIERTA Y TRANSPARENTE E INHOUSE BANKING</v>
      </c>
    </row>
    <row r="408" spans="1:33" ht="22.5" customHeight="1">
      <c r="A408" s="53" t="s">
        <v>7633</v>
      </c>
      <c r="B408" s="51" t="s">
        <v>8066</v>
      </c>
      <c r="C408" s="53">
        <v>2024</v>
      </c>
      <c r="D408" s="52" t="str">
        <f t="shared" si="14"/>
        <v>CD-407-2024</v>
      </c>
      <c r="E408" s="96" t="s">
        <v>3468</v>
      </c>
      <c r="F408" s="93" t="str">
        <f t="shared" si="15"/>
        <v>PRESTAR LOS SERVICIOS PROFESIONALES JURÍDICOS PARA APOYAR LA ACTIVIDAD PRECONTRACTUAL, CONTRACTUAL Y POST CONTRACTUAL RELACIONADOS CON EL APOYO A LA SUPERVISIÓN CONTRACTUAL A CARGO DE LA OFICINA ASESORA JURÍDICA, LA RESPUESTA A LAS PETICIONES, Y DEMÁS SOLICITUDES QUE LE SEAN ASIGNADAS. APOYAR EL TRÁMITE Y SEGUIMIENTO EN LA ETAPA DE JUZGAMIENTO EN LOS ASUNTOS DISCIPLINARIOS QUE SE LE ASIGNEN A LA OFICINA ASESORA JURÍDICA</v>
      </c>
    </row>
    <row r="409" spans="1:33" ht="22.5" customHeight="1">
      <c r="A409" s="53" t="s">
        <v>7633</v>
      </c>
      <c r="B409" s="51" t="s">
        <v>8067</v>
      </c>
      <c r="C409" s="53">
        <v>2024</v>
      </c>
      <c r="D409" s="52" t="str">
        <f t="shared" si="14"/>
        <v>CD-408-2024</v>
      </c>
      <c r="E409" s="96" t="s">
        <v>3477</v>
      </c>
      <c r="F409" s="93" t="str">
        <f t="shared" si="15"/>
        <v>PRESTAR LOS SERVICIOS PROFESIONALES PARA LA ADOPCIÓN DE LOS ESTÁNDARES, BUENAS PRÁCTICAS Y PROCEDIMIENTOS QUE PERMITAN OPTIMIZAR LOS TIEMPOS DE OPERACIÓN CONTABLE, ASÍ COMO, LOS PROCESOS DE CONSOLIDACIÓN Y MEJORA DE LA CALIDAD DE LA INFORMACIÓN FINANCIERA PARA LA REGULARIZACIÓN DE LOS FONDOS Y ALIANZAS EN ADMINISTRACIÓN, EN EL MARCO DEL PROYECTO DE BANCA ABIERTA Y TRANSPARENTE E INHOUSE BANKING</v>
      </c>
    </row>
    <row r="410" spans="1:33" ht="22.5" customHeight="1">
      <c r="A410" s="53" t="s">
        <v>7633</v>
      </c>
      <c r="B410" s="51" t="s">
        <v>8068</v>
      </c>
      <c r="C410" s="53">
        <v>2024</v>
      </c>
      <c r="D410" s="52" t="str">
        <f t="shared" si="14"/>
        <v>CD-409-2024</v>
      </c>
      <c r="E410" s="96" t="s">
        <v>3485</v>
      </c>
      <c r="F410" s="93" t="str">
        <f t="shared" si="15"/>
        <v>PRESTAR SERVICIOS PROFESIONALES ESPECIALIZADOS PARA APOYAR Y ASESORAR A LA SECRETARÍA GENERAL EN LA GESTIÓN CONTRACTUAL Y DEMÁS ASUNTOS JURÍDICOS QUE SEAN COMPETENCIA DE LA SECRETARÍA GENERAL</v>
      </c>
    </row>
    <row r="411" spans="1:33" ht="22.5" customHeight="1">
      <c r="A411" s="53" t="s">
        <v>7633</v>
      </c>
      <c r="B411" s="51" t="s">
        <v>8069</v>
      </c>
      <c r="C411" s="53">
        <v>2024</v>
      </c>
      <c r="D411" s="52" t="str">
        <f t="shared" si="14"/>
        <v>CD-410-2024</v>
      </c>
      <c r="E411" s="96" t="s">
        <v>2187</v>
      </c>
      <c r="F411" s="93" t="str">
        <f t="shared" si="15"/>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12" spans="1:33" ht="22.5" customHeight="1">
      <c r="A412" s="53" t="s">
        <v>7633</v>
      </c>
      <c r="B412" s="51" t="s">
        <v>8070</v>
      </c>
      <c r="C412" s="53">
        <v>2024</v>
      </c>
      <c r="D412" s="52" t="str">
        <f t="shared" si="14"/>
        <v>CD-411-2024</v>
      </c>
      <c r="E412" s="96" t="s">
        <v>5291</v>
      </c>
      <c r="F412" s="93" t="str">
        <f t="shared" si="15"/>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13" spans="1:33" ht="22.5" customHeight="1">
      <c r="A413" s="53" t="s">
        <v>7633</v>
      </c>
      <c r="B413" s="51" t="s">
        <v>8071</v>
      </c>
      <c r="C413" s="53">
        <v>2024</v>
      </c>
      <c r="D413" s="52" t="str">
        <f t="shared" si="14"/>
        <v>CD-412-2024</v>
      </c>
      <c r="E413" s="96" t="s">
        <v>5291</v>
      </c>
      <c r="F413" s="93" t="str">
        <f t="shared" si="15"/>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14" spans="1:33" ht="22.5" customHeight="1">
      <c r="A414" s="53" t="s">
        <v>7633</v>
      </c>
      <c r="B414" s="51" t="s">
        <v>8072</v>
      </c>
      <c r="C414" s="53">
        <v>2024</v>
      </c>
      <c r="D414" s="52" t="str">
        <f t="shared" si="14"/>
        <v>CD-413-2024</v>
      </c>
      <c r="E414" s="96" t="s">
        <v>1655</v>
      </c>
      <c r="F414" s="93" t="str">
        <f t="shared" si="15"/>
        <v>IMPLEMENTAR ESTRATEGIAS PARA LA EJECUCIÓN DEL PLAN COMERCIAL DE LA TERRITORIAL SUROCCIDENTE ASOCIADAS AL PORTAFOLIO DE SERVICIOS DE LCETEX EN LA REGIÓN, EN ARTICULACIÓN CON LA OFICINA COMERCIAL Y DE MERCADEO DEL NIVEL CENTRAL.</v>
      </c>
    </row>
    <row r="415" spans="1:33" ht="22.5" customHeight="1">
      <c r="A415" s="53" t="s">
        <v>7633</v>
      </c>
      <c r="B415" s="51" t="s">
        <v>8073</v>
      </c>
      <c r="C415" s="53">
        <v>2024</v>
      </c>
      <c r="D415" s="52" t="str">
        <f t="shared" si="14"/>
        <v>CD-414-2024</v>
      </c>
      <c r="E415" s="96" t="s">
        <v>1655</v>
      </c>
      <c r="F415" s="93" t="str">
        <f t="shared" si="15"/>
        <v>IMPLEMENTAR ESTRATEGIAS PARA LA EJECUCIÓN DEL PLAN COMERCIAL DE LA TERRITORIAL SUROCCIDENTE ASOCIADAS AL PORTAFOLIO DE SERVICIOS DE LCETEX EN LA REGIÓN, EN ARTICULACIÓN CON LA OFICINA COMERCIAL Y DE MERCADEO DEL NIVEL CENTRAL.</v>
      </c>
    </row>
    <row r="416" spans="1:33" ht="22.5" customHeight="1">
      <c r="A416" s="53" t="s">
        <v>7633</v>
      </c>
      <c r="B416" s="51" t="s">
        <v>8074</v>
      </c>
      <c r="C416" s="53">
        <v>2024</v>
      </c>
      <c r="D416" s="52" t="str">
        <f t="shared" si="14"/>
        <v>CD-415-2024</v>
      </c>
      <c r="E416" s="96" t="s">
        <v>1655</v>
      </c>
      <c r="F416" s="93" t="str">
        <f t="shared" si="15"/>
        <v>IMPLEMENTAR ESTRATEGIAS PARA LA EJECUCIÓN DEL PLAN COMERCIAL DE LA TERRITORIAL SUROCCIDENTE ASOCIADAS AL PORTAFOLIO DE SERVICIOS DE LCETEX EN LA REGIÓN, EN ARTICULACIÓN CON LA OFICINA COMERCIAL Y DE MERCADEO DEL NIVEL CENTRAL.</v>
      </c>
    </row>
    <row r="417" spans="1:6" ht="22.5" customHeight="1">
      <c r="A417" s="53" t="s">
        <v>7633</v>
      </c>
      <c r="B417" s="51" t="s">
        <v>8075</v>
      </c>
      <c r="C417" s="53">
        <v>2024</v>
      </c>
      <c r="D417" s="52" t="str">
        <f t="shared" si="14"/>
        <v>CD-416-2024</v>
      </c>
      <c r="E417" s="96" t="s">
        <v>3532</v>
      </c>
      <c r="F417" s="93" t="str">
        <f t="shared" si="15"/>
        <v>PRESTAR SERVICIOS PROFESIONALES PARA PROPORCIONAR ACOMPAÑAMIENTO TÉCNICO, ASISTENCIA METODOLÓGICA Y SOPORTE LOGÍSTICO EN LA "UNIDAD DE OPERACIÓN" EN EL MARCO DEL DESARROLLO DEL PLAN ESTRATÉGICO DE LA ENTIDAD Y LA "POLÍTICA DE GUÍA, INFORMACIÓN Y ACOMPAÑAMIENTO".</v>
      </c>
    </row>
    <row r="418" spans="1:6" ht="22.5" customHeight="1">
      <c r="A418" s="53" t="s">
        <v>7633</v>
      </c>
      <c r="B418" s="51" t="s">
        <v>8076</v>
      </c>
      <c r="C418" s="53">
        <v>2024</v>
      </c>
      <c r="D418" s="52" t="str">
        <f t="shared" si="14"/>
        <v>CD-417-2024</v>
      </c>
      <c r="E418" s="96" t="s">
        <v>3540</v>
      </c>
      <c r="F418" s="93" t="str">
        <f t="shared" si="15"/>
        <v>PRESTAR SUS SERVICIOS PROFESIONALES APOYANDO LAS ACTIVIDADES RELACIONADAS CON LOS FONDOS Y/O ALIANZAS INACTIVAS Y FONDOS CON CONVOCATORIAS CERRADAS QUE SEAN ADMINISTRADOS POR LA VICEPRESIDENCIA DE FONDOS EN ADMINISTRACIÓN.</v>
      </c>
    </row>
    <row r="419" spans="1:6" ht="22.5" customHeight="1">
      <c r="A419" s="53" t="s">
        <v>7633</v>
      </c>
      <c r="B419" s="51" t="s">
        <v>8077</v>
      </c>
      <c r="C419" s="53">
        <v>2024</v>
      </c>
      <c r="D419" s="52" t="str">
        <f t="shared" si="14"/>
        <v>CD-418-2024</v>
      </c>
      <c r="E419" s="96" t="s">
        <v>1866</v>
      </c>
      <c r="F419" s="93" t="str">
        <f t="shared" si="15"/>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20" spans="1:6" ht="22.5" customHeight="1">
      <c r="A420" s="53" t="s">
        <v>7633</v>
      </c>
      <c r="B420" s="51" t="s">
        <v>8078</v>
      </c>
      <c r="C420" s="53">
        <v>2024</v>
      </c>
      <c r="D420" s="52" t="str">
        <f t="shared" si="14"/>
        <v>CD-419-2024</v>
      </c>
      <c r="E420" s="96" t="s">
        <v>2187</v>
      </c>
      <c r="F420" s="93" t="str">
        <f t="shared" si="15"/>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21" spans="1:6" ht="22.5" customHeight="1">
      <c r="A421" s="53" t="s">
        <v>7633</v>
      </c>
      <c r="B421" s="51" t="s">
        <v>8079</v>
      </c>
      <c r="C421" s="53">
        <v>2024</v>
      </c>
      <c r="D421" s="52" t="str">
        <f t="shared" si="14"/>
        <v>CD-420-2024</v>
      </c>
      <c r="E421" s="96" t="s">
        <v>2187</v>
      </c>
      <c r="F421" s="93" t="str">
        <f t="shared" si="15"/>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22" spans="1:6" ht="22.5" customHeight="1">
      <c r="A422" s="53" t="s">
        <v>7633</v>
      </c>
      <c r="B422" s="51" t="s">
        <v>8080</v>
      </c>
      <c r="C422" s="53">
        <v>2024</v>
      </c>
      <c r="D422" s="52" t="str">
        <f t="shared" si="14"/>
        <v>CD-421-2024</v>
      </c>
      <c r="E422" s="96" t="s">
        <v>3568</v>
      </c>
      <c r="F422" s="93" t="str">
        <f t="shared" si="15"/>
        <v>PRESTAR SUS SERVICIOS PROFESIONALES APOYANDO LAS ACTIVIDADES RELACIONADAS CON LOS FONDOS Y/O ALIANZAS INACTIVAS Y FONDOS CON CONVOCATORIAS CERRADAS QUE SEAN ADMINISTRADOS POR LA VICEPRESIDENCIA DE FONDOS EN ADMINISTRACIÓN</v>
      </c>
    </row>
    <row r="423" spans="1:6" ht="22.5" customHeight="1">
      <c r="A423" s="53" t="s">
        <v>7633</v>
      </c>
      <c r="B423" s="51" t="s">
        <v>8081</v>
      </c>
      <c r="C423" s="53">
        <v>2024</v>
      </c>
      <c r="D423" s="52" t="str">
        <f t="shared" si="14"/>
        <v>CD-422-2024</v>
      </c>
      <c r="E423" s="96" t="s">
        <v>3576</v>
      </c>
      <c r="F423" s="93" t="str">
        <f t="shared" si="15"/>
        <v>PRESTACIÓN DE SERVICIOS PROFESIONALES ESPECIALIZADOS EN INGENIERÍA EN EL TRÁMITE DE TI PARA LA CONFIGURACIÓN, SOPORTE FUNCIONAL Y TÉCNICO DE LOS SISTEMAS DE INFORMACIÓN O COMPONENTES TECNOLÓGICOS DEL ICETEX</v>
      </c>
    </row>
    <row r="424" spans="1:6" ht="22.5" customHeight="1">
      <c r="A424" s="53" t="s">
        <v>7633</v>
      </c>
      <c r="B424" s="51" t="s">
        <v>8082</v>
      </c>
      <c r="C424" s="53">
        <v>2024</v>
      </c>
      <c r="D424" s="52" t="str">
        <f t="shared" si="14"/>
        <v>CD-423-2024</v>
      </c>
      <c r="E424" s="96" t="s">
        <v>3585</v>
      </c>
      <c r="F424" s="93" t="str">
        <f t="shared" si="15"/>
        <v>PRESTAR LOS SERVICIOS PROFESIONALES DE LIDERAR EL DESARROLLO, SEGUIMIENTO, CONTROL Y MEJORA CONTINUA DE ESTRATEGIAS GRÁFICAS PARA LA PROMOCIÓN DEL PORTAFOLIO DE PRODUCTOS DE ICETEX Y PROGRAMAS O PROYECTOS DE LA OFICINA COMERCIAL Y DE MERCADEO</v>
      </c>
    </row>
    <row r="425" spans="1:6" ht="22.5" customHeight="1">
      <c r="A425" s="53" t="s">
        <v>7633</v>
      </c>
      <c r="B425" s="51" t="s">
        <v>8083</v>
      </c>
      <c r="C425" s="53">
        <v>2024</v>
      </c>
      <c r="D425" s="52" t="str">
        <f t="shared" si="14"/>
        <v>CD-424-2024</v>
      </c>
      <c r="E425" s="96" t="s">
        <v>3594</v>
      </c>
      <c r="F425" s="93" t="str">
        <f t="shared" si="15"/>
        <v>PRESTAR SERVICIOS PROFESIONALES A LA SECRETARÍA GENERAL EN LAS ACTIVIDADES RELACIONADAS CON LA CONSTRUCCIÓN, EJECUCIÓN, SEGUIMIENTO Y CONTROL DEL PLAN DE GESTIÓN DEL CAMBIO PARA LA MEJORA CONTINUA DE CONFORMIDAD CON LOS LINEAMIENTOS INTERNOS Y LA NORMATIVIDAD VIGENTE.</v>
      </c>
    </row>
    <row r="426" spans="1:6" ht="22.5" customHeight="1">
      <c r="A426" s="53" t="s">
        <v>7633</v>
      </c>
      <c r="B426" s="51" t="s">
        <v>8084</v>
      </c>
      <c r="C426" s="53">
        <v>2024</v>
      </c>
      <c r="D426" s="52" t="str">
        <f t="shared" si="14"/>
        <v>CD-425-2024</v>
      </c>
      <c r="E426" s="96" t="s">
        <v>3602</v>
      </c>
      <c r="F426" s="93" t="str">
        <f t="shared" si="15"/>
        <v>PRESTAR SERVICIOS PROFESIONALES A LA SECRETARÍA GENERAL EN LAS ACTIVIDADES RELACIONADAS CON LA PROYECCIÓN, EJECUCIÓN Y SEGUIMIENTO A LOS PLANES DE MEJORA, IMPLEMENTACIÓN DEL MIPG, CULTURA ORGANIZACIONAL Y PLAN ANUAL DE VACANTES NECESARIOS PARA LA MEJORA CONTINUA DE CONFORMIDAD CON LOS LINEAMIENTOS INTERNOS Y LA NORMATIVIDAD VIGENTE.</v>
      </c>
    </row>
    <row r="427" spans="1:6" ht="22.5" customHeight="1">
      <c r="A427" s="53" t="s">
        <v>7633</v>
      </c>
      <c r="B427" s="51" t="s">
        <v>8085</v>
      </c>
      <c r="C427" s="53">
        <v>2024</v>
      </c>
      <c r="D427" s="52" t="str">
        <f t="shared" si="14"/>
        <v>CD-426-2024</v>
      </c>
      <c r="E427" s="96" t="s">
        <v>3609</v>
      </c>
      <c r="F427" s="93" t="str">
        <f t="shared" si="15"/>
        <v>PRESTAR SERVICIOS PROFESIONALES PARA APOYAR LA PLANEACIÓN Y SEGUIMIENTO DE LOS RECURSOS FINANCIEROS ASIGNADOS A LA OFICINA DE RELACIONES INTERNACIONALES REALIZANDO LOS TRÁMITES PRESUPUESTALES NECESARIOS AL INTERIOR DEL ICETEX</v>
      </c>
    </row>
    <row r="428" spans="1:6" ht="22.5" customHeight="1">
      <c r="A428" s="53" t="s">
        <v>7633</v>
      </c>
      <c r="B428" s="51" t="s">
        <v>8086</v>
      </c>
      <c r="C428" s="53">
        <v>2024</v>
      </c>
      <c r="D428" s="52" t="str">
        <f t="shared" si="14"/>
        <v>CD-427-2024</v>
      </c>
      <c r="E428" s="96" t="s">
        <v>2622</v>
      </c>
      <c r="F428" s="93" t="str">
        <f t="shared" si="15"/>
        <v>PRESTAR SUS SERVICIOS DE APOYO TÉCNICO EN LOS TEMAS OPERATIVOS RELACIONADOS CON LA ADMINISTRACIÓN DE CONVENIOS, CONTRATOS, FONDOS, ALIANZAS Y/O PROYECTOS A CARGO LA VICEPRESIDENCIA DE FONDOS EN ADMINISTRACIÓN</v>
      </c>
    </row>
    <row r="429" spans="1:6" ht="22.5" customHeight="1">
      <c r="A429" s="53" t="s">
        <v>7633</v>
      </c>
      <c r="B429" s="51" t="s">
        <v>8087</v>
      </c>
      <c r="C429" s="53">
        <v>2024</v>
      </c>
      <c r="D429" s="52" t="str">
        <f t="shared" si="14"/>
        <v>CD-428-2024</v>
      </c>
      <c r="E429" s="96" t="s">
        <v>3477</v>
      </c>
      <c r="F429" s="93" t="str">
        <f t="shared" si="15"/>
        <v>PRESTAR LOS SERVICIOS PROFESIONALES PARA LA ADOPCIÓN DE LOS ESTÁNDARES, BUENAS PRÁCTICAS Y PROCEDIMIENTOS QUE PERMITAN OPTIMIZAR LOS TIEMPOS DE OPERACIÓN CONTABLE, ASÍ COMO, LOS PROCESOS DE CONSOLIDACIÓN Y MEJORA DE LA CALIDAD DE LA INFORMACIÓN FINANCIERA PARA LA REGULARIZACIÓN DE LOS FONDOS Y ALIANZAS EN ADMINISTRACIÓN, EN EL MARCO DEL PROYECTO DE BANCA ABIERTA Y TRANSPARENTE E INHOUSE BANKING</v>
      </c>
    </row>
    <row r="430" spans="1:6" ht="22.5" customHeight="1">
      <c r="A430" s="53" t="s">
        <v>7633</v>
      </c>
      <c r="B430" s="51" t="s">
        <v>8088</v>
      </c>
      <c r="C430" s="53">
        <v>2024</v>
      </c>
      <c r="D430" s="52" t="str">
        <f t="shared" si="14"/>
        <v>CD-429-2024</v>
      </c>
      <c r="E430" s="96" t="s">
        <v>3459</v>
      </c>
      <c r="F430" s="93" t="str">
        <f t="shared" si="15"/>
        <v>PRESTAR LOS SERVICIOS PROFESIONALES LA ADOPCIÓN DE LOS ESTÁNDARES, BUENAS PRÁCTICAS Y PROCEDIMIENTOS QUE PERMITAN GARANTIZAR EL CONTROL E IMPLEMENTACIÓN DE ACCIONES PARA LA REGULARIZACIÓN DE LAS PARTIDAS A CONCILIAR DE LOS RECURSOS EN ADMINISTRACIÓN A CARGO ICETEX EN EL MARCO DEL PROYECTO DE BANCA ABIERTA Y TRANSPARENTE E INHOUSE BANKING</v>
      </c>
    </row>
    <row r="431" spans="1:6" ht="22.5" customHeight="1">
      <c r="A431" s="53" t="s">
        <v>7633</v>
      </c>
      <c r="B431" s="51" t="s">
        <v>8089</v>
      </c>
      <c r="C431" s="53">
        <v>2024</v>
      </c>
      <c r="D431" s="52" t="str">
        <f t="shared" si="14"/>
        <v>CD-430-2024</v>
      </c>
      <c r="E431" s="96" t="s">
        <v>3642</v>
      </c>
      <c r="F431" s="93" t="str">
        <f t="shared" si="15"/>
        <v>PRESTAR SERVICIOS PROFESIONALES PARA PROPORCIONAR ACOMPAÑAMIENTO TÉCNICO, ASISTENCIA METODOLÓGICA Y SOPORTE LOGÍSTICO EN LA "UNIDAD DE OPERACIÓN" EN EL MARCO DEL DESARROLLO DEL PLAN ESTRATÉGICO DE LA ENTIDAD Y LA "POLÍTICA DE GUÍA, INFORMACIÓN Y ACOMPAÑAMIENTO</v>
      </c>
    </row>
    <row r="432" spans="1:6" ht="22.5" customHeight="1">
      <c r="A432" s="53" t="s">
        <v>7633</v>
      </c>
      <c r="B432" s="51" t="s">
        <v>8090</v>
      </c>
      <c r="C432" s="53">
        <v>2024</v>
      </c>
      <c r="D432" s="52" t="str">
        <f t="shared" si="14"/>
        <v>CD-431-2024</v>
      </c>
      <c r="E432" s="96" t="s">
        <v>1884</v>
      </c>
      <c r="F432" s="93" t="str">
        <f t="shared" si="15"/>
        <v>PRESTACIÓN DE SERVICIOS PROFESIONALES ESPECIALIZADOS PARA EL ANÁLISIS Y APLICACIÓN DE NOVEDADES EN LA CARTERA, DE ACUERDO CON LA NORMATIVIDAD VIGENTE EN EL ICETEX</v>
      </c>
    </row>
    <row r="433" spans="1:6" ht="22.5" customHeight="1">
      <c r="A433" s="53" t="s">
        <v>7633</v>
      </c>
      <c r="B433" s="51" t="s">
        <v>8091</v>
      </c>
      <c r="C433" s="53">
        <v>2024</v>
      </c>
      <c r="D433" s="52" t="str">
        <f t="shared" si="14"/>
        <v>CD-432-2024</v>
      </c>
      <c r="E433" s="96" t="s">
        <v>2944</v>
      </c>
      <c r="F433" s="93" t="str">
        <f t="shared" si="15"/>
        <v>PRESTACIÓN DE SERVICIOS PROFESIONALES ESPECIALIZADOS PARA LA GESTIÓN DE PROYECTOS EN EL ÁMBITO TECNOLÓGICO CON ALINEACIÓN AL CICLO DE MEJORA CONTINUA PARA EL ICETEX</v>
      </c>
    </row>
    <row r="434" spans="1:6" ht="22.5" customHeight="1">
      <c r="A434" s="53" t="s">
        <v>7633</v>
      </c>
      <c r="B434" s="51" t="s">
        <v>8092</v>
      </c>
      <c r="C434" s="53">
        <v>2024</v>
      </c>
      <c r="D434" s="52" t="str">
        <f t="shared" si="14"/>
        <v>CD-433-2024</v>
      </c>
      <c r="E434" s="96" t="s">
        <v>3663</v>
      </c>
      <c r="F434" s="93" t="str">
        <f t="shared" si="15"/>
        <v>PRESTAR LOS SERVICIOS PROFESIONALES PARA LA ESTRUCTURACIÓN Y ADOPCIÓN DE PROCESOS, LINEAMIENTOS Y ESTÁNDARES QUE SOPORTAN LA IMPLEMENTACIÓN DE HERRAMIENTAS AGILIZADORAS (BOT) PARA IMPULSAR LA REGULARIZACIÓN DE LOS FONDOS Y ALIANZAS EN ADMINISTRACIÓN EN EL MARCO DEL PROYECTO DE BANCA ABIERTA Y TRANSPARENTE E INHOUSE BANKING</v>
      </c>
    </row>
    <row r="435" spans="1:6" ht="22.5" customHeight="1">
      <c r="A435" s="53" t="s">
        <v>7633</v>
      </c>
      <c r="B435" s="51" t="s">
        <v>8093</v>
      </c>
      <c r="C435" s="53">
        <v>2024</v>
      </c>
      <c r="D435" s="52" t="str">
        <f t="shared" si="14"/>
        <v>CD-434-2024</v>
      </c>
      <c r="E435" s="96" t="s">
        <v>3670</v>
      </c>
      <c r="F435" s="93" t="str">
        <f t="shared" si="15"/>
        <v>PRESTAR SERVICIOS PROFESIONALES PARA LA PRODUCCIÓN DEL MATERIAL GRÁFICO QUE SE REQUIERA PARA LA DIVULGACIÓN, PROMOCIÓN, SOCIALIZACIÓN, CAPACITACIÓN Y LANZAMIENTO DE LAS ACCIONES Y PROYECTOS LIDERADOS O APOYADOS DESDE EL EQUIPO DE INNOVACIÓN DE LA ENTIDAD.</v>
      </c>
    </row>
    <row r="436" spans="1:6" ht="22.5" customHeight="1">
      <c r="A436" s="53" t="s">
        <v>7633</v>
      </c>
      <c r="B436" s="51" t="s">
        <v>8094</v>
      </c>
      <c r="C436" s="53">
        <v>2024</v>
      </c>
      <c r="D436" s="52" t="str">
        <f t="shared" si="14"/>
        <v>CD-435-2024</v>
      </c>
      <c r="E436" s="96" t="s">
        <v>3477</v>
      </c>
      <c r="F436" s="93" t="str">
        <f t="shared" si="15"/>
        <v>PRESTAR LOS SERVICIOS PROFESIONALES PARA LA ADOPCIÓN DE LOS ESTÁNDARES, BUENAS PRÁCTICAS Y PROCEDIMIENTOS QUE PERMITAN OPTIMIZAR LOS TIEMPOS DE OPERACIÓN CONTABLE, ASÍ COMO, LOS PROCESOS DE CONSOLIDACIÓN Y MEJORA DE LA CALIDAD DE LA INFORMACIÓN FINANCIERA PARA LA REGULARIZACIÓN DE LOS FONDOS Y ALIANZAS EN ADMINISTRACIÓN, EN EL MARCO DEL PROYECTO DE BANCA ABIERTA Y TRANSPARENTE E INHOUSE BANKING</v>
      </c>
    </row>
    <row r="437" spans="1:6" ht="22.5" customHeight="1">
      <c r="A437" s="53" t="s">
        <v>7633</v>
      </c>
      <c r="B437" s="51" t="s">
        <v>8095</v>
      </c>
      <c r="C437" s="53">
        <v>2024</v>
      </c>
      <c r="D437" s="52" t="str">
        <f t="shared" si="14"/>
        <v>CD-436-2024</v>
      </c>
      <c r="E437" s="96" t="s">
        <v>3683</v>
      </c>
      <c r="F437" s="93" t="str">
        <f t="shared" si="15"/>
        <v>PRESTAR LOS SERVICIOS PROFESIONALES PARA LA IMPLEMENTACIÓN Y MEJORA CONTINUA DE LOS PROCESOS QUE SOPORTAN LA GESTIÓN CONTABLE A PARTIR DE LA CONSOLIDACIÓN Y ANÁLISIS DE LA INFORMACIÓN CONTABLE, LA ADOPCIÓN DE TABLEROS DE CONTROL E INDICADORES QUE PERMITAN GARANTIZAR LA CALIDAD DE LA INFORMACIÓN FINANCIERA DEL INSTITUTO EN EL MARCO DE LA MEJORA CONTINUA DE LOS PROCESOS CONTABLES Y FISCALES, Y LA ADOPCIÓN DE LA NORMATIVA APLICABLE</v>
      </c>
    </row>
    <row r="438" spans="1:6" ht="22.5" customHeight="1">
      <c r="A438" s="53" t="s">
        <v>7633</v>
      </c>
      <c r="B438" s="51" t="s">
        <v>8096</v>
      </c>
      <c r="C438" s="53">
        <v>2024</v>
      </c>
      <c r="D438" s="52" t="str">
        <f t="shared" si="14"/>
        <v>CD-437-2024</v>
      </c>
      <c r="E438" s="96" t="s">
        <v>3689</v>
      </c>
      <c r="F438" s="93" t="str">
        <f t="shared" si="15"/>
        <v>PRESTAR LOS SERVICIOS PROFESIONALES ESPECIALIZADOS PARA REALIZAR EL ANÁLISIS, MEJORA Y OPTIMIZACIÓN DE LOS COMPONENTES Y METODOLOGÍAS RELACIONADOS CON EL SISTEMA DE GESTIÓN INTEGRAL</v>
      </c>
    </row>
    <row r="439" spans="1:6" ht="22.5" customHeight="1">
      <c r="A439" s="53" t="s">
        <v>7633</v>
      </c>
      <c r="B439" s="51" t="s">
        <v>8097</v>
      </c>
      <c r="C439" s="53">
        <v>2024</v>
      </c>
      <c r="D439" s="52" t="str">
        <f t="shared" si="14"/>
        <v>CD-438-2024</v>
      </c>
      <c r="E439" s="96" t="s">
        <v>3568</v>
      </c>
      <c r="F439" s="93" t="str">
        <f t="shared" si="15"/>
        <v>PRESTAR SUS SERVICIOS PROFESIONALES APOYANDO LAS ACTIVIDADES RELACIONADAS CON LOS FONDOS Y/O ALIANZAS INACTIVAS Y FONDOS CON CONVOCATORIAS CERRADAS QUE SEAN ADMINISTRADOS POR LA VICEPRESIDENCIA DE FONDOS EN ADMINISTRACIÓN</v>
      </c>
    </row>
    <row r="440" spans="1:6" ht="22.5" customHeight="1">
      <c r="A440" s="53" t="s">
        <v>7633</v>
      </c>
      <c r="B440" s="51" t="s">
        <v>8098</v>
      </c>
      <c r="C440" s="53">
        <v>2024</v>
      </c>
      <c r="D440" s="52" t="str">
        <f t="shared" si="14"/>
        <v>CD-439-2024</v>
      </c>
      <c r="E440" s="96" t="s">
        <v>3702</v>
      </c>
      <c r="F440" s="93" t="str">
        <f t="shared" si="15"/>
        <v>PRESTAR LOS SERVICIOS PROFESIONALES LA ADOPCIÓN DE LOS ESTÁNDARES, BUENAS PRÁCTICAS Y PROCEDIMIENTOS QUE PERMITAN GARANTIZAR EL CONTROL E IMPLEMENTACIÓN DE ACCIONES PARA LA REGULARIZACIÓN DE LAS PARTIDAS A CONCILIAR DE LOS RECURSOS EN ADMINISTRACIÓN A CARGO ICETEX EN EL MARCO DEL PROYECTO DE BANCA ABIERTA Y TRANSPARENTE E INHOUSE BANKING.</v>
      </c>
    </row>
    <row r="441" spans="1:6" ht="22.5" customHeight="1">
      <c r="A441" s="53" t="s">
        <v>7633</v>
      </c>
      <c r="B441" s="51" t="s">
        <v>8099</v>
      </c>
      <c r="C441" s="53">
        <v>2024</v>
      </c>
      <c r="D441" s="52" t="str">
        <f t="shared" si="14"/>
        <v>CD-440-2024</v>
      </c>
      <c r="E441" s="96" t="s">
        <v>2156</v>
      </c>
      <c r="F441" s="93" t="str">
        <f t="shared" si="15"/>
        <v>IMPLEMENTAR ESTRATEGIAS PARA LA EJECUCIÓN DEL PLAN COMERCIAL DE LA TERRITORIAL CENTRO ASOCIADAS AL PORTAFOLIO DE SERVICIOS DE ICETEX EN LA REGIÓN, EN ARTICULACIÓN CON LA OFICINA COMERCIAL Y DE MERCADEO DEL NIVEL CENTRAL</v>
      </c>
    </row>
    <row r="442" spans="1:6" ht="22.5" customHeight="1">
      <c r="A442" s="53" t="s">
        <v>7633</v>
      </c>
      <c r="B442" s="51" t="s">
        <v>8100</v>
      </c>
      <c r="C442" s="53">
        <v>2024</v>
      </c>
      <c r="D442" s="52" t="str">
        <f t="shared" si="14"/>
        <v>CD-441-2024</v>
      </c>
      <c r="E442" s="96" t="s">
        <v>647</v>
      </c>
      <c r="F442" s="93" t="str">
        <f t="shared" si="15"/>
        <v>IMPLEMENTAR ESTRATEGIAS PARA LA EJECUCIÓN DEL PLAN COMERCIAL DE LA TERRITORIAL SUROCCIDENTE ASOCIADAS AL PORTAFOLIO DE SERVICIOS DE LCETEX EN LA REGIÓN, EN ARTICULACIÓN CON LA OFICINA COMERCIAL Y DE MERCADEO DEL NIVEL CENTRAL</v>
      </c>
    </row>
    <row r="443" spans="1:6" ht="22.5" customHeight="1">
      <c r="A443" s="53" t="s">
        <v>7633</v>
      </c>
      <c r="B443" s="51" t="s">
        <v>8101</v>
      </c>
      <c r="C443" s="53">
        <v>2024</v>
      </c>
      <c r="D443" s="52" t="str">
        <f>CONCATENATE(A443,"-",B443,"-",C443)</f>
        <v>CD-442-2024</v>
      </c>
      <c r="E443" s="96" t="s">
        <v>8102</v>
      </c>
      <c r="F443" s="93" t="str">
        <f t="shared" si="15"/>
        <v>OBJETO: 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44" spans="1:6" ht="22.5" customHeight="1">
      <c r="A444" s="53" t="s">
        <v>7633</v>
      </c>
      <c r="B444" s="51" t="s">
        <v>8103</v>
      </c>
      <c r="C444" s="53">
        <v>2024</v>
      </c>
      <c r="D444" s="52" t="str">
        <f t="shared" si="14"/>
        <v>CD-443-2024</v>
      </c>
      <c r="E444" s="96" t="s">
        <v>8102</v>
      </c>
      <c r="F444" s="93" t="str">
        <f t="shared" si="15"/>
        <v>OBJETO: 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45" spans="1:6" ht="22.5" customHeight="1">
      <c r="A445" s="53" t="s">
        <v>7633</v>
      </c>
      <c r="B445" s="51" t="s">
        <v>8104</v>
      </c>
      <c r="C445" s="53">
        <v>2024</v>
      </c>
      <c r="D445" s="52" t="str">
        <f t="shared" si="14"/>
        <v>CD-444-2024</v>
      </c>
      <c r="E445" s="96" t="s">
        <v>3734</v>
      </c>
      <c r="F445" s="93" t="str">
        <f t="shared" si="15"/>
        <v>PRESTAR SERVICIOS PROFESIONALES ESPECIALIZADOS PARA LA GESTIÓN DEL TALENTO HUMANO Y EL SEGUIMIENTO PRESUPUESTAL EN PROCURA DEL MEJORAMIENTO CONTINUO Y EN EL MARCO DE LA POLÍTICA DE “GESTIÓN DEL TALENTO HUMANO</v>
      </c>
    </row>
    <row r="446" spans="1:6" ht="22.5" customHeight="1">
      <c r="A446" s="53" t="s">
        <v>7633</v>
      </c>
      <c r="B446" s="51" t="s">
        <v>8105</v>
      </c>
      <c r="C446" s="53">
        <v>2024</v>
      </c>
      <c r="D446" s="52" t="str">
        <f t="shared" si="14"/>
        <v>CD-445-2024</v>
      </c>
      <c r="E446" s="96" t="s">
        <v>3743</v>
      </c>
      <c r="F446" s="93" t="str">
        <f t="shared" si="15"/>
        <v>PRESTAR SERVICIOS PROFESIONALES ESPECIALIZADOS PARA LA REALIZACIÓN DE LOS AUTODIAGNÓSTICOS DE GESTIÓN ESTRATÉGICA DE TALENTO HUMANO, DEL MODELO INTEGRADO DE PLANEACIÓN Y GESTIÓN; ESTRUCTURAR, ARTICULAR CON OTROS PLANES Y HACER SEGUIMIENTO AL PLAN DE BRECHAS, EN PROCURA DEL MEJORAMIENTO CONTINUO, EN EL MARCO DE LA POLÍTICA DE “GESTIÓN DEL TALENTO HUMANO</v>
      </c>
    </row>
    <row r="447" spans="1:6" ht="22.5" customHeight="1">
      <c r="A447" s="53" t="s">
        <v>7633</v>
      </c>
      <c r="B447" s="51" t="s">
        <v>8106</v>
      </c>
      <c r="C447" s="53">
        <v>2024</v>
      </c>
      <c r="D447" s="52" t="str">
        <f t="shared" si="14"/>
        <v>CD-446-2024</v>
      </c>
      <c r="E447" s="96" t="s">
        <v>3752</v>
      </c>
      <c r="F447" s="93" t="str">
        <f t="shared" si="15"/>
        <v>PRESTAR SERVICIOS PROFESIONALES ESPECIALIZADOS PARA LIDERAR LA "UNIDAD DE COMUNICACIONES Y DESARROLLOS" EN EL MARCO DE LA IMPLEMENTACIÓN DEL PLAN ESTRATÉGICO DE LA ENTIDAD Y LA "POLÍTICA DE GUÍA, INFORMACIÓN Y ACOMPAÑAMIENTO</v>
      </c>
    </row>
    <row r="448" spans="1:6" ht="22.5" customHeight="1">
      <c r="A448" s="53" t="s">
        <v>7633</v>
      </c>
      <c r="B448" s="51" t="s">
        <v>8107</v>
      </c>
      <c r="C448" s="53">
        <v>2024</v>
      </c>
      <c r="D448" s="52" t="str">
        <f t="shared" si="14"/>
        <v>CD-447-2024</v>
      </c>
      <c r="E448" s="96" t="s">
        <v>874</v>
      </c>
      <c r="F448" s="93" t="str">
        <f t="shared" si="15"/>
        <v>PRESTACIÓN DE SERVICIOS PROFESIONALES ESPECIALIZADOS PARA EL DESARROLLO DE LAS ACTIVIDADES DE CONCILIACIÓN DE LA CARTERA Y/O CONTABLES RELACIONADAS CON LA GESTIÓN DE OPERACIONES DEL ICETEX</v>
      </c>
    </row>
    <row r="449" spans="1:6" ht="22.5" customHeight="1">
      <c r="A449" s="53" t="s">
        <v>7633</v>
      </c>
      <c r="B449" s="51" t="s">
        <v>8108</v>
      </c>
      <c r="C449" s="53">
        <v>2024</v>
      </c>
      <c r="D449" s="52" t="str">
        <f t="shared" si="14"/>
        <v>CD-448-2024</v>
      </c>
      <c r="E449" s="96" t="s">
        <v>2844</v>
      </c>
      <c r="F449" s="93" t="str">
        <f t="shared" si="15"/>
        <v>PRESTACIÓN DE SERVICIOS PROFESIONALES ESPECIALIZADOS PARA LA DEPURACIÓN, AJUSTE, GENERACIÓN Y VALIDACIÓN DE INFORMACIÓN DE LOS CRÉDITOS DEL ICETEX</v>
      </c>
    </row>
    <row r="450" spans="1:6" ht="22.5" customHeight="1">
      <c r="A450" s="53" t="s">
        <v>7633</v>
      </c>
      <c r="B450" s="51" t="s">
        <v>8109</v>
      </c>
      <c r="C450" s="53">
        <v>2024</v>
      </c>
      <c r="D450" s="52" t="str">
        <f t="shared" ref="D450:D513" si="16">CONCATENATE(A450,"-",B450,"-",C450)</f>
        <v>CD-449-2024</v>
      </c>
      <c r="E450" s="96" t="s">
        <v>874</v>
      </c>
      <c r="F450" s="93" t="str">
        <f t="shared" si="15"/>
        <v>PRESTACIÓN DE SERVICIOS PROFESIONALES ESPECIALIZADOS PARA EL DESARROLLO DE LAS ACTIVIDADES DE CONCILIACIÓN DE LA CARTERA Y/O CONTABLES RELACIONADAS CON LA GESTIÓN DE OPERACIONES DEL ICETEX</v>
      </c>
    </row>
    <row r="451" spans="1:6" ht="22.5" customHeight="1">
      <c r="A451" s="53" t="s">
        <v>7633</v>
      </c>
      <c r="B451" s="51" t="s">
        <v>8110</v>
      </c>
      <c r="C451" s="53">
        <v>2024</v>
      </c>
      <c r="D451" s="52" t="str">
        <f t="shared" si="16"/>
        <v>CD-450-2024</v>
      </c>
      <c r="E451" s="96" t="s">
        <v>874</v>
      </c>
      <c r="F451" s="93" t="str">
        <f t="shared" ref="F451:F514" si="17">UPPER(E451)</f>
        <v>PRESTACIÓN DE SERVICIOS PROFESIONALES ESPECIALIZADOS PARA EL DESARROLLO DE LAS ACTIVIDADES DE CONCILIACIÓN DE LA CARTERA Y/O CONTABLES RELACIONADAS CON LA GESTIÓN DE OPERACIONES DEL ICETEX</v>
      </c>
    </row>
    <row r="452" spans="1:6" ht="22.5" customHeight="1">
      <c r="A452" s="53" t="s">
        <v>7633</v>
      </c>
      <c r="B452" s="51" t="s">
        <v>8111</v>
      </c>
      <c r="C452" s="53">
        <v>2024</v>
      </c>
      <c r="D452" s="52" t="str">
        <f t="shared" si="16"/>
        <v>CD-451-2024</v>
      </c>
      <c r="E452" s="96" t="s">
        <v>3785</v>
      </c>
      <c r="F452" s="93" t="str">
        <f t="shared" si="17"/>
        <v>PRESTACIÓN DE SERVICIOS PROFESIONALES ESPECIALIZADOS PARA LA EJECUCIÓN DE METODOLOGÍAS EN LOS PROYECTOS Y ESTRATEGIAS DE AUTOMATIZACIÓN DE PROCESOS PARA EL ICETEX.</v>
      </c>
    </row>
    <row r="453" spans="1:6" ht="22.5" customHeight="1">
      <c r="A453" s="53" t="s">
        <v>7633</v>
      </c>
      <c r="B453" s="51" t="s">
        <v>8112</v>
      </c>
      <c r="C453" s="53">
        <v>2024</v>
      </c>
      <c r="D453" s="52" t="str">
        <f t="shared" si="16"/>
        <v>CD-452-2024</v>
      </c>
      <c r="E453" s="96" t="s">
        <v>3794</v>
      </c>
      <c r="F453" s="93" t="str">
        <f t="shared" si="17"/>
        <v>PRESTACIÓN DE SERVICIOS ESPECIALIZADOS EN INGENIERÍA PARA GESTIONAR HACER SEGUIMIENTO Y CONTROL DE LOS SERVICIOS DE OPERACIÓN DE TI Y LA GESTIÓN DE PROCESOS TECNOLÓGICOS DEL ICETEX</v>
      </c>
    </row>
    <row r="454" spans="1:6" ht="22.5" customHeight="1">
      <c r="A454" s="53" t="s">
        <v>7633</v>
      </c>
      <c r="B454" s="51" t="s">
        <v>8113</v>
      </c>
      <c r="C454" s="53">
        <v>2024</v>
      </c>
      <c r="D454" s="52" t="str">
        <f t="shared" si="16"/>
        <v>CD-453-2024</v>
      </c>
      <c r="E454" s="96" t="s">
        <v>3802</v>
      </c>
      <c r="F454" s="93" t="str">
        <f t="shared" si="17"/>
        <v>PRESTAR SERVICIOS TÉCNICOS DE APOYO A LA GESTIÓN, MEDICIÓN DE RESULTADOS Y ACOMPAÑAMIENTO A LA ESTRATEGIA DE FORMACIÓN Y DE ENTRENAMIENTO DE LOS EQUIPOS DE SERVICIO Y COMERCIAL DE LA OFICINA COMERCIAL Y DE MERCADEO</v>
      </c>
    </row>
    <row r="455" spans="1:6" ht="22.5" customHeight="1">
      <c r="A455" s="53" t="s">
        <v>7633</v>
      </c>
      <c r="B455" s="51" t="s">
        <v>8114</v>
      </c>
      <c r="C455" s="53">
        <v>2024</v>
      </c>
      <c r="D455" s="52" t="str">
        <f t="shared" si="16"/>
        <v>CD-454-2024</v>
      </c>
      <c r="E455" s="96" t="s">
        <v>3810</v>
      </c>
      <c r="F455" s="93" t="str">
        <f t="shared" si="17"/>
        <v>PRESTAR SERVICIOS PROFESIONALES PARA EL PLANTEAMIENTO, DESARROLLO, SEGUIMIENTO, CONTROL Y MEJORA CONTINUA DE ESTRATEGIAS DE MARKETING DE CONTENIDOS APLICADAS A LA PROMOCIÓN Y DIVULGACIÓN DEL PORTAFOLIO DE PRODUCTOS DE LA ENTIDAD O PROYECTOS DE LA OFICINA COMERCIAL Y DE MERCADEO</v>
      </c>
    </row>
    <row r="456" spans="1:6" ht="22.5" customHeight="1">
      <c r="A456" s="53" t="s">
        <v>7633</v>
      </c>
      <c r="B456" s="51" t="s">
        <v>8115</v>
      </c>
      <c r="C456" s="53">
        <v>2024</v>
      </c>
      <c r="D456" s="52" t="str">
        <f t="shared" si="16"/>
        <v>CD-455-2024</v>
      </c>
      <c r="E456" s="96" t="s">
        <v>3818</v>
      </c>
      <c r="F456" s="93" t="str">
        <f t="shared" si="17"/>
        <v>PRESTACIÓN DE SERVICIOS PROFESIONALES ESPECIALIZADOS EN INGENIERÍA EN EL TRÁMITE DE SERVICIOS DE TI PARA LA CONFIGURACIÓN, SOPORTE FUNCIONAL Y TÉCNICO DE LOS SISTEMAS DE INFORMACIÓN O COMPONENTES TECNOLÓGICOS A DEL ICETEX</v>
      </c>
    </row>
    <row r="457" spans="1:6" ht="22.5" customHeight="1">
      <c r="A457" s="53" t="s">
        <v>7633</v>
      </c>
      <c r="B457" s="51" t="s">
        <v>8116</v>
      </c>
      <c r="C457" s="53">
        <v>2024</v>
      </c>
      <c r="D457" s="52" t="str">
        <f t="shared" si="16"/>
        <v>CD-456-2024</v>
      </c>
      <c r="E457" s="96" t="s">
        <v>3826</v>
      </c>
      <c r="F457" s="93" t="str">
        <f t="shared" si="17"/>
        <v>PRESTAR LOS SERVICIOS PROFESIONALES PARA APOYAR EL DISEÑO, IMPLEMENTACIÓN, EJECUCIÓN, SUPERVISIÓN, CONTROL Y MEJORA CONTINUA DE LAS ESTRATEGIAS DE MERCADEO QUE CONTRIBUYAN A LA PROMOCIÓN Y OTORGAMIENTO DEL PORTAFOLIO DE PRODUCTOS DEL ICETEX</v>
      </c>
    </row>
    <row r="458" spans="1:6" ht="22.5" customHeight="1">
      <c r="A458" s="53" t="s">
        <v>7633</v>
      </c>
      <c r="B458" s="51" t="s">
        <v>8117</v>
      </c>
      <c r="C458" s="53">
        <v>2024</v>
      </c>
      <c r="D458" s="52" t="str">
        <f t="shared" si="16"/>
        <v>CD-457-2024</v>
      </c>
      <c r="E458" s="96" t="s">
        <v>3834</v>
      </c>
      <c r="F458" s="93" t="str">
        <f t="shared" si="17"/>
        <v>PRESTAR LOS SERVICIOS PROFESIONALES ESPECIALIZADOS EN EL DESARROLLO Y EJECUCIÓN TÉCNICA DEL PROYECTO DE INVERSIÓN DENOMINADO “MEJORAMIENTO DE SEDES” CORRESPONDIENTE A LA GESTIÓN DEL GRUPO DE ADMINISTRACIÓN DE RECURSOS FÍSICOS PARA EL PLAN INSTITUCIONAL DE GESTIÓN AMBIENTAL, TENDIENTE A CONTRIBUIR Y MEJORAR LA OPORTUNIDAD DE LOS SERVICIOS QUE PRESTA LA ENTIDAD</v>
      </c>
    </row>
    <row r="459" spans="1:6" ht="22.5" customHeight="1">
      <c r="A459" s="53" t="s">
        <v>7633</v>
      </c>
      <c r="B459" s="51" t="s">
        <v>8118</v>
      </c>
      <c r="C459" s="53">
        <v>2024</v>
      </c>
      <c r="D459" s="52" t="str">
        <f t="shared" si="16"/>
        <v>CD-458-2024</v>
      </c>
      <c r="E459" s="96" t="s">
        <v>3843</v>
      </c>
      <c r="F459" s="93" t="str">
        <f t="shared" si="17"/>
        <v>PRESTACIÓN DE SERVICIOS PROFESIONALES ESPECIALIZADOS EN INGENIERÍA EN EL TRÁMITE DE TI PARA LA CONFIGURACIÓN, SOPORTE FUNCIONAL Y TÉCNICO DE LOS SISTEMAS DE INFORMACIÓN O COMPONENTES TECNOLÓGICOS EN EL ICETEX</v>
      </c>
    </row>
    <row r="460" spans="1:6" ht="22.5" customHeight="1">
      <c r="A460" s="53" t="s">
        <v>7633</v>
      </c>
      <c r="B460" s="51" t="s">
        <v>8119</v>
      </c>
      <c r="C460" s="53">
        <v>2024</v>
      </c>
      <c r="D460" s="52" t="str">
        <f t="shared" si="16"/>
        <v>CD-459-2024</v>
      </c>
      <c r="E460" s="96" t="s">
        <v>3851</v>
      </c>
      <c r="F460" s="93" t="str">
        <f t="shared" si="17"/>
        <v>PRESTAR SERVICIOS PROFESIONALES ESPECIALIZADOS PARA EL DIRECCIONAMIENTO DE LA ESTRATEGIA DE FORMACIÓN Y ENTRENAMIENTO DE LA OFICINA COMERCIAL Y DE MERCADEO, INCLUYENDO LOS CANALES DE ATENCIÓN Y GESTIÓN, LAS OFICINAS TERRITORIALES E IES; CON EL FIN DE GARANTIZAR EL FORTALECIMIENTO DE LOS CONOCIMIENTOS DEL PORTAFOLIO DE SERVICIOS Y PROCESOS DE LA ENTIDAD</v>
      </c>
    </row>
    <row r="461" spans="1:6" ht="22.5" customHeight="1">
      <c r="A461" s="53" t="s">
        <v>7633</v>
      </c>
      <c r="B461" s="51" t="s">
        <v>8120</v>
      </c>
      <c r="C461" s="53">
        <v>2024</v>
      </c>
      <c r="D461" s="52" t="str">
        <f t="shared" si="16"/>
        <v>CD-460-2024</v>
      </c>
      <c r="E461" s="96" t="s">
        <v>3859</v>
      </c>
      <c r="F461" s="93" t="str">
        <f t="shared" si="17"/>
        <v>PRESTAR LOS SERVICIOS PROFESIONALES JURÍDICOS ESPECIALIZADOS PARA ATENDER LA ACTIVIDAD JURÍDICA DEL ICETEX, DIRIGIDO A LA IMPLEMENTACIÓN DE LA POLÍTICA DE MEJORA NORMATIVA DE LA ENTIDAD, Y APOYO A LAS ÁREAS MISIONALES</v>
      </c>
    </row>
    <row r="462" spans="1:6" ht="22.5" customHeight="1">
      <c r="A462" s="53" t="s">
        <v>7633</v>
      </c>
      <c r="B462" s="51" t="s">
        <v>8121</v>
      </c>
      <c r="C462" s="53">
        <v>2024</v>
      </c>
      <c r="D462" s="52" t="str">
        <f t="shared" si="16"/>
        <v>CD-461-2024</v>
      </c>
      <c r="E462" s="96" t="s">
        <v>3867</v>
      </c>
      <c r="F462" s="93" t="str">
        <f t="shared" si="17"/>
        <v>IMPLEMENTAR ESTRATEGIAS PARA LA EJECUCIÓN DEL PLAN COMERCIAL DE LA TERRITORIAL CENTRO ASOCIADAS AL PORTAFOLIO DE SERVICIOS DE LCETEX EN LA REGIÓN, EN ARTICULACIÓN CON LA OFICINA COMERCIAL Y DE MERCADEO DEL NIVEL CENTRAL</v>
      </c>
    </row>
    <row r="463" spans="1:6" ht="22.5" customHeight="1">
      <c r="A463" s="53" t="s">
        <v>7633</v>
      </c>
      <c r="B463" s="51" t="s">
        <v>8122</v>
      </c>
      <c r="C463" s="53">
        <v>2024</v>
      </c>
      <c r="D463" s="52" t="str">
        <f t="shared" si="16"/>
        <v>CD-462-2024</v>
      </c>
      <c r="E463" s="96" t="s">
        <v>3874</v>
      </c>
      <c r="F463" s="93" t="str">
        <f t="shared" si="17"/>
        <v>IMPLEMENTAR ESTRATEGIAS PARA LA EJECUCIÓN DEL PLAN COMERCIAL DE LA TERRITORIAL CENTRO ASOCIADAS AL PORTAFOLIO DE SERVICIOS DE ICETEX EN LA REGIÓN, EN ARTICULACIÓN CON LA OFICINA COMERCIAL Y DE MERCADEO DEL NIVEL CENTRAL.</v>
      </c>
    </row>
    <row r="464" spans="1:6" ht="22.5" customHeight="1">
      <c r="A464" s="53" t="s">
        <v>7633</v>
      </c>
      <c r="B464" s="51" t="s">
        <v>8123</v>
      </c>
      <c r="C464" s="53">
        <v>2024</v>
      </c>
      <c r="D464" s="52" t="str">
        <f t="shared" si="16"/>
        <v>CD-463-2024</v>
      </c>
      <c r="E464" s="96" t="s">
        <v>3894</v>
      </c>
      <c r="F464" s="93" t="str">
        <f t="shared" si="17"/>
        <v>PRESTACIÓN DE SERVICIOS PROFESIONALES ESPECIALIZADOS EN INGENIERÍA EN EL TRÁMITE DE SERVICIOS DE TI PARA LA CONFIGURACIÓN, SOPORTE FUNCIONAL Y TÉCNICO DE LOS SISTEMAS DE INFORMACIÓN O COMPONENTES TECNOLÓGICOS A CARGO DEL ICETEX.</v>
      </c>
    </row>
    <row r="465" spans="1:6" ht="22.5" customHeight="1">
      <c r="A465" s="53" t="s">
        <v>7633</v>
      </c>
      <c r="B465" s="51" t="s">
        <v>8124</v>
      </c>
      <c r="C465" s="53">
        <v>2024</v>
      </c>
      <c r="D465" s="52" t="str">
        <f t="shared" si="16"/>
        <v>CD-464-2024</v>
      </c>
      <c r="E465" s="96" t="s">
        <v>3874</v>
      </c>
      <c r="F465" s="93" t="str">
        <f t="shared" si="17"/>
        <v>IMPLEMENTAR ESTRATEGIAS PARA LA EJECUCIÓN DEL PLAN COMERCIAL DE LA TERRITORIAL CENTRO ASOCIADAS AL PORTAFOLIO DE SERVICIOS DE ICETEX EN LA REGIÓN, EN ARTICULACIÓN CON LA OFICINA COMERCIAL Y DE MERCADEO DEL NIVEL CENTRAL.</v>
      </c>
    </row>
    <row r="466" spans="1:6" ht="22.5" customHeight="1">
      <c r="A466" s="53" t="s">
        <v>7633</v>
      </c>
      <c r="B466" s="51" t="s">
        <v>8125</v>
      </c>
      <c r="C466" s="53">
        <v>2024</v>
      </c>
      <c r="D466" s="52" t="str">
        <f t="shared" si="16"/>
        <v>CD-465-2024</v>
      </c>
      <c r="E466" s="96" t="s">
        <v>3894</v>
      </c>
      <c r="F466" s="93" t="str">
        <f t="shared" si="17"/>
        <v>PRESTACIÓN DE SERVICIOS PROFESIONALES ESPECIALIZADOS EN INGENIERÍA EN EL TRÁMITE DE SERVICIOS DE TI PARA LA CONFIGURACIÓN, SOPORTE FUNCIONAL Y TÉCNICO DE LOS SISTEMAS DE INFORMACIÓN O COMPONENTES TECNOLÓGICOS A CARGO DEL ICETEX.</v>
      </c>
    </row>
    <row r="467" spans="1:6" ht="22.5" customHeight="1">
      <c r="A467" s="53" t="s">
        <v>7633</v>
      </c>
      <c r="B467" s="51" t="s">
        <v>8126</v>
      </c>
      <c r="C467" s="53">
        <v>2024</v>
      </c>
      <c r="D467" s="52" t="str">
        <f t="shared" si="16"/>
        <v>CD-466-2024</v>
      </c>
      <c r="E467" s="96" t="s">
        <v>3902</v>
      </c>
      <c r="F467" s="93" t="str">
        <f t="shared" si="17"/>
        <v>PRESTACIÓN DE SERVICIOS PROFESIONALES ESPECIALIZADOS PARA EL TRÁMITE DE SERVICIOS DE TI ORIENTADOS AL ANÁLISIS, MODELAMIENTO, DESARROLLO, PRUEBAS, IMPLEMENTACIÓN Y MEJORAMIENTO CONTINUO DE SOLUCIONES INFORMÁTICAS, REQUERIDAS EN EL ICETEX.</v>
      </c>
    </row>
    <row r="468" spans="1:6" ht="22.5" customHeight="1">
      <c r="A468" s="53" t="s">
        <v>7633</v>
      </c>
      <c r="B468" s="51" t="s">
        <v>8127</v>
      </c>
      <c r="C468" s="53">
        <v>2024</v>
      </c>
      <c r="D468" s="52" t="str">
        <f t="shared" si="16"/>
        <v>CD-467-2024</v>
      </c>
      <c r="E468" s="96" t="s">
        <v>3910</v>
      </c>
      <c r="F468" s="93" t="str">
        <f t="shared" si="17"/>
        <v>PRESTAR LOS SERVICIOS TÉCNICOS PARA APOYAR LA ADMINISTRACIÓN FUNCIONAL DE LOS MICROSITIOS QUE ADMINISTRA LA OFICINA ASESORA DE COMUNICACIONES, ASÍ COMO HACER SEGUIMIENTO Y ANÁLISIS DE LOS CONTENIDOS PUBLICADOS EN EL PORTAL WEB DE LA ENTIDAD.</v>
      </c>
    </row>
    <row r="469" spans="1:6" ht="22.5" customHeight="1">
      <c r="A469" s="53" t="s">
        <v>7633</v>
      </c>
      <c r="B469" s="51" t="s">
        <v>8128</v>
      </c>
      <c r="C469" s="53">
        <v>2024</v>
      </c>
      <c r="D469" s="52" t="str">
        <f t="shared" si="16"/>
        <v>CD-468-2024</v>
      </c>
      <c r="E469" s="96" t="s">
        <v>3920</v>
      </c>
      <c r="F469" s="93" t="str">
        <f t="shared" si="17"/>
        <v>PRESTAR LOS SERVICIOS PROFESIONALES PARA LA GENERACIÓN DE CONTENIDO GRÁFICO, ANIMANDO Y MULTIMEDIA RELACIONADO CON LA GESTIÓN E INFORMACIÓN DE LA ENTIDAD DE ACUERDO A LOS LINEAMIENTOS DE LA OFICINA ASESORA DE COMUNICACIONES</v>
      </c>
    </row>
    <row r="470" spans="1:6" ht="22.5" customHeight="1">
      <c r="A470" s="53" t="s">
        <v>7633</v>
      </c>
      <c r="B470" s="51" t="s">
        <v>8129</v>
      </c>
      <c r="C470" s="53">
        <v>2024</v>
      </c>
      <c r="D470" s="52" t="str">
        <f t="shared" si="16"/>
        <v>CD-469-2024</v>
      </c>
      <c r="E470" s="96" t="s">
        <v>3927</v>
      </c>
      <c r="F470" s="93" t="str">
        <f t="shared" si="17"/>
        <v>PRESTAR SERVICIOS PROFESIONALES EN ANALÍTICA DE DATOS DE ACUERDO CON LOS REQUERIMIENTOS, PROPUESTAS Y NECESIDADES TÉCNICAS QUE PUEDAN SURGIR EN LAS INICIATIVAS Y PROYECTOS QUE SE LIDEREN O APOYEN DESDE EL EQUIPO DE INNOVACIÓN</v>
      </c>
    </row>
    <row r="471" spans="1:6" ht="22.5" customHeight="1">
      <c r="A471" s="53" t="s">
        <v>7633</v>
      </c>
      <c r="B471" s="51" t="s">
        <v>8130</v>
      </c>
      <c r="C471" s="53">
        <v>2024</v>
      </c>
      <c r="D471" s="52" t="str">
        <f t="shared" si="16"/>
        <v>CD-470-2024</v>
      </c>
      <c r="E471" s="96" t="s">
        <v>8102</v>
      </c>
      <c r="F471" s="93" t="str">
        <f t="shared" si="17"/>
        <v>OBJETO: 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472" spans="1:6" ht="22.5" customHeight="1">
      <c r="A472" s="53" t="s">
        <v>7633</v>
      </c>
      <c r="B472" s="51" t="s">
        <v>8131</v>
      </c>
      <c r="C472" s="53">
        <v>2024</v>
      </c>
      <c r="D472" s="52" t="str">
        <f t="shared" si="16"/>
        <v>CD-471-2024</v>
      </c>
      <c r="E472" s="96" t="s">
        <v>8132</v>
      </c>
      <c r="F472" s="93" t="str">
        <f>UPPER(E472)</f>
        <v>PRESTAR SERVICIOS PROFESIONALES PARA LA GESTIÓN DE ALIANZAS EN EL MARCO DEL DESARROLLO DEL PLAN ESTRATÉGICO DE LA ENTIDAD Y LA "POLÍTICA DE GUÍA, INFORMACIÓN Y ACOMPAÑAMIENTO</v>
      </c>
    </row>
    <row r="473" spans="1:6" ht="22.5" customHeight="1">
      <c r="A473" s="53" t="s">
        <v>7633</v>
      </c>
      <c r="B473" s="51" t="s">
        <v>8133</v>
      </c>
      <c r="C473" s="53">
        <v>2024</v>
      </c>
      <c r="D473" s="52" t="str">
        <f t="shared" si="16"/>
        <v>CD-472-2024</v>
      </c>
      <c r="E473" s="96" t="s">
        <v>3945</v>
      </c>
      <c r="F473" s="93" t="str">
        <f t="shared" si="17"/>
        <v>PRESTAR SERVICIOS PROFESIONALES EN LAS ACTIVIDADES RELACIONADAS CON LA IMPLEMENTACIÓN, FORTALECIMIENTO Y MEJORAMIENTO CONTINUO DEL SISTEMA DE SEGURIDAD Y SALUD EN EL TRABAJO CON  ÉNFASIS EN EL SISTEMA DE VIGILANCIA EPIDEMIOLÓGICA, DE RIESGO OSTEOMUSCULAR Y EL PROGRAMA DE MEDICINA PREVENTIVA Y DEL TRABAJO EN EL MARCO DE LA POLÍTICA DE “GESTIÓN DEL TALENTO HUMANO”, ASÍ COMO CONTRIBUIR A MEJORAR LA OPORTUNIDAD DE LOS SERVICIOS QUE PRESTA LA ENTIDAD.</v>
      </c>
    </row>
    <row r="474" spans="1:6" ht="22.5" customHeight="1">
      <c r="A474" s="53" t="s">
        <v>7633</v>
      </c>
      <c r="B474" s="51" t="s">
        <v>8134</v>
      </c>
      <c r="C474" s="53">
        <v>2024</v>
      </c>
      <c r="D474" s="52" t="str">
        <f t="shared" si="16"/>
        <v>CD-473-2024</v>
      </c>
      <c r="E474" s="96" t="s">
        <v>3955</v>
      </c>
      <c r="F474" s="93" t="str">
        <f t="shared" si="17"/>
        <v>PRESTAR SERVICIOS PROFESIONALES ESPECIALIZADOS EN LA TERRITORIAL CENTRO, PARA EL APOYO EN EL SEGUIMIENTO DEL CUMPLIMIENTO DE LAS OBLIGACIONES CONTRACTUALES A CARGO DE LOS ALIADOS ESTRATÉGICOS EN EL MARCO DE LOS CONVENIOS SUSCRITOS CON EL ICETEX, ASÍ COMO EL ASESORAMIENTO PARA LA IMPLEMENTACIÓN DE ESTRATEGIAS DE REGIONALIZACIÓN PARA EL FORTALECIMIENTO DE LA PRESENCIA DE LA ENTIDAD EN LOS TERRITORIOS APARTADOS UBICADOS EN LA AMAZONÍA Y LA ORINOQUÍA</v>
      </c>
    </row>
    <row r="475" spans="1:6" ht="22.5" customHeight="1">
      <c r="A475" s="53" t="s">
        <v>7633</v>
      </c>
      <c r="B475" s="51" t="s">
        <v>8135</v>
      </c>
      <c r="C475" s="53">
        <v>2024</v>
      </c>
      <c r="D475" s="52" t="str">
        <f t="shared" si="16"/>
        <v>CD-474-2024</v>
      </c>
      <c r="E475" s="96" t="s">
        <v>3963</v>
      </c>
      <c r="F475" s="93" t="str">
        <f t="shared" si="17"/>
        <v>PRESTAR SERVICIOS DE APOYO TÉCNICO, PARA LA EXTRACCIÓN, REVISIÓN, DEPURACIÓN, GENERACIÓN Y MANTENIMIENTO DE INFORMES, PARA EFECTOS DEL SEGUIMIENTO OPERATIVO, GENERACIÓN Y MEDICIÓN DE KPI, EN EL MARCO DE LAS ACTIVIDADES DEL SERVICIO DE ATENCIÓN AL USUARIO Y ACTIVIDADES DE GESTIÓN COMERCIAL, EN EL MARCO DE LAS ACTIVIDADES DEL EQUIPO DE GOBIERNO DE DATOS DE LA OFICINA COMERCIAL Y DE MERCADEO</v>
      </c>
    </row>
    <row r="476" spans="1:6" ht="22.5" customHeight="1">
      <c r="A476" s="53" t="s">
        <v>7633</v>
      </c>
      <c r="B476" s="51" t="s">
        <v>8136</v>
      </c>
      <c r="C476" s="53">
        <v>2024</v>
      </c>
      <c r="D476" s="52" t="str">
        <f t="shared" si="16"/>
        <v>CD-475-2024</v>
      </c>
      <c r="E476" s="96" t="s">
        <v>3970</v>
      </c>
      <c r="F476" s="93" t="str">
        <f>UPPER(E476)</f>
        <v>PRESTACIÓN DE SERVICIOS PROFESIONALES PARA LAS ACTIVIDADES RELACIONADAS CON GESTIÓN DE PETICIONES, QUEJAS, RECLAMOS Y SOLICITUDES AL ICETEX</v>
      </c>
    </row>
    <row r="477" spans="1:6" ht="22.5" customHeight="1">
      <c r="A477" s="53" t="s">
        <v>7633</v>
      </c>
      <c r="B477" s="51" t="s">
        <v>8137</v>
      </c>
      <c r="C477" s="53">
        <v>2024</v>
      </c>
      <c r="D477" s="52" t="str">
        <f t="shared" si="16"/>
        <v>CD-476-2024</v>
      </c>
      <c r="E477" s="96" t="s">
        <v>874</v>
      </c>
      <c r="F477" s="93" t="str">
        <f t="shared" si="17"/>
        <v>PRESTACIÓN DE SERVICIOS PROFESIONALES ESPECIALIZADOS PARA EL DESARROLLO DE LAS ACTIVIDADES DE CONCILIACIÓN DE LA CARTERA Y/O CONTABLES RELACIONADAS CON LA GESTIÓN DE OPERACIONES DEL ICETEX</v>
      </c>
    </row>
    <row r="478" spans="1:6" ht="22.5" customHeight="1">
      <c r="A478" s="53" t="s">
        <v>7633</v>
      </c>
      <c r="B478" s="51" t="s">
        <v>8138</v>
      </c>
      <c r="C478" s="53">
        <v>2024</v>
      </c>
      <c r="D478" s="52" t="str">
        <f t="shared" si="16"/>
        <v>CD-477-2024</v>
      </c>
      <c r="E478" s="96" t="s">
        <v>3984</v>
      </c>
      <c r="F478" s="93" t="str">
        <f>UPPER(E478)</f>
        <v>PRESTAR SERVICIOS PROFESIONALES ESPECIALIZADOS A LA SECRETARÍA GENERAL DEL ICETEX PARA EL DIRECCIONAMIENTO Y ACOMPAÑAMIENTO DE LAS ACTIVIDADES TENDIENTES AL AJUSTE Y PERFECCIONAMIENTO DEL REDISEÑO ORGANIZACIONAL E INSTITUCIONAL PROPUESTO, DE ACUERDO CON LA NORMATIVIDAD VIGENTE Y DEMÁS DISPOSICIONES DE OTROS ORGANISMOS COMPETENTES, HASTA SU MATERIALIZACIÓN</v>
      </c>
    </row>
    <row r="479" spans="1:6" ht="22.5" customHeight="1">
      <c r="A479" s="53" t="s">
        <v>7633</v>
      </c>
      <c r="B479" s="51" t="s">
        <v>8139</v>
      </c>
      <c r="C479" s="53">
        <v>2024</v>
      </c>
      <c r="D479" s="52" t="str">
        <f t="shared" si="16"/>
        <v>CD-478-2024</v>
      </c>
      <c r="E479" s="96" t="s">
        <v>3992</v>
      </c>
      <c r="F479" s="93" t="str">
        <f t="shared" si="17"/>
        <v>PRESTAR LOS SERVICIOS PROFESIONALES ESPECIALIZADOS A LA VICEPRESIDENCIA DE CRÉDITO Y COBRANZA DESDE EL PUNTO DE VISTA JURÍDICO PARA ADELANTAR PROCESOS ADMINISTRATIVOS Y CONTRACTUALES DEL ÁREA EN CUANTO MODIFICACIÓN, ADICIÓN, PRORROGAS, LIQUIDACIÓN Y CONSTITUCIÓN DE LOS CONVENIOS DE ALIANZAS O DEL ÁREA QUE SE SUSCRIBEN CON LOS DISTINTOS TERCEROS</v>
      </c>
    </row>
    <row r="480" spans="1:6" ht="22.5" customHeight="1">
      <c r="A480" s="53" t="s">
        <v>7633</v>
      </c>
      <c r="B480" s="51" t="s">
        <v>8140</v>
      </c>
      <c r="C480" s="53">
        <v>2024</v>
      </c>
      <c r="D480" s="52" t="str">
        <f t="shared" si="16"/>
        <v>CD-479-2024</v>
      </c>
      <c r="E480" s="96" t="s">
        <v>4000</v>
      </c>
      <c r="F480" s="93" t="str">
        <f t="shared" si="17"/>
        <v>PRESTAR LOS SERVICIOS PROFESIONALES PARA EL DESARROLLO, SEGUIMIENTO, CONTROL Y MEJORA CONTINUA DE ESTRATEGIAS GRÁFICAS PARA LA PROMOCIÓN DEL PORTAFOLIO DE PRODUCTOS DE ICETEX Y PROGRAMAS O PROYECTOS DE LA OFICINA COMERCIAL Y DE MERCADEO</v>
      </c>
    </row>
    <row r="481" spans="1:6" ht="22.5" customHeight="1">
      <c r="A481" s="53" t="s">
        <v>7633</v>
      </c>
      <c r="B481" s="51" t="s">
        <v>8141</v>
      </c>
      <c r="C481" s="53">
        <v>2024</v>
      </c>
      <c r="D481" s="52" t="str">
        <f t="shared" si="16"/>
        <v>CD-480-2024</v>
      </c>
      <c r="E481" s="96" t="s">
        <v>4008</v>
      </c>
      <c r="F481" s="93" t="str">
        <f t="shared" si="17"/>
        <v>PRESTAR LOS SERVICIOS PROFESIONALES PARA APOYAR EL DESARROLLO DE PRODUCCIONES AUDIOVISUALES O FOTOGRÁFICAS PARA LA PROMOCIÓN Y DIVULGACIÓN DEL PORTAFOLIO DE PRODUCTOS DE ICETEX Y PROGRAMAS O PROYECTOS DE LA OFICINA COMERCIAL Y DE MERCADEO</v>
      </c>
    </row>
    <row r="482" spans="1:6" ht="22.5" customHeight="1">
      <c r="A482" s="53" t="s">
        <v>7633</v>
      </c>
      <c r="B482" s="51" t="s">
        <v>8142</v>
      </c>
      <c r="C482" s="53">
        <v>2024</v>
      </c>
      <c r="D482" s="52" t="str">
        <f t="shared" si="16"/>
        <v>CD-481-2024</v>
      </c>
      <c r="E482" s="96" t="s">
        <v>2187</v>
      </c>
      <c r="F482" s="93" t="str">
        <f t="shared" si="17"/>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83" spans="1:6" ht="22.5" customHeight="1">
      <c r="A483" s="53" t="s">
        <v>7633</v>
      </c>
      <c r="B483" s="51" t="s">
        <v>8143</v>
      </c>
      <c r="C483" s="53">
        <v>2024</v>
      </c>
      <c r="D483" s="52" t="str">
        <f t="shared" si="16"/>
        <v>CD-482-2024</v>
      </c>
      <c r="E483" s="96" t="s">
        <v>2187</v>
      </c>
      <c r="F483" s="93" t="str">
        <f t="shared" si="17"/>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484" spans="1:6" ht="22.5" customHeight="1">
      <c r="A484" s="53" t="s">
        <v>7633</v>
      </c>
      <c r="B484" s="51" t="s">
        <v>8144</v>
      </c>
      <c r="C484" s="53">
        <v>2024</v>
      </c>
      <c r="D484" s="52" t="str">
        <f t="shared" si="16"/>
        <v>CD-483-2024</v>
      </c>
      <c r="E484" s="96" t="s">
        <v>1387</v>
      </c>
      <c r="F484" s="93" t="str">
        <f t="shared" si="17"/>
        <v>PRESTAR SUS SERVICIOS PROFESIONALES PARA LA ATENCIÓN DE PQRSD, ACCIONES JUDICIALES Y DEMÁS TRÁMITES A CARGO DE LA VICEPRESIDENCIA DE FONDOS EN ADMINISTRACIÓN</v>
      </c>
    </row>
    <row r="485" spans="1:6" ht="22.5" customHeight="1">
      <c r="A485" s="53" t="s">
        <v>7633</v>
      </c>
      <c r="B485" s="51" t="s">
        <v>8145</v>
      </c>
      <c r="C485" s="53">
        <v>2024</v>
      </c>
      <c r="D485" s="52" t="str">
        <f t="shared" si="16"/>
        <v>CD-484-2024</v>
      </c>
      <c r="E485" s="96" t="s">
        <v>4038</v>
      </c>
      <c r="F485" s="93" t="str">
        <f t="shared" si="17"/>
        <v>PRESTAR LOS SERVICIOS PROFESIONALES PARA EJECUTAR LAS ACTIVIDADES RELACIONADAS CON LA ELABORACIÓN, ACTUALIZACIÓN, MEJORA Y OPTIMIZACIÓN DE LOS DOCUMENTOS QUE HACEN PARTE DEL SISTEMA DE GESTIÓN DE LA CALIDAD DEL ICETEX.</v>
      </c>
    </row>
    <row r="486" spans="1:6" ht="22.5" customHeight="1">
      <c r="A486" s="53" t="s">
        <v>7633</v>
      </c>
      <c r="B486" s="51" t="s">
        <v>8146</v>
      </c>
      <c r="C486" s="53">
        <v>2024</v>
      </c>
      <c r="D486" s="52" t="str">
        <f t="shared" si="16"/>
        <v>CD-485-2024</v>
      </c>
      <c r="E486" s="96" t="s">
        <v>4046</v>
      </c>
      <c r="F486" s="93" t="str">
        <f t="shared" si="17"/>
        <v>APOYAR LA GESTIÓN ADMINISTRATIVA, COMERCIAL Y OPERATIVA DE LA TERRITORIAL NORTE EN ARTICULACIÓN CON LA OFICINA COMERCIAL Y DE MERCADEO Y, LAS DEMÁS DEPENDENCIAS DEL NIVEL CENTRAL</v>
      </c>
    </row>
    <row r="487" spans="1:6" ht="22.5" customHeight="1">
      <c r="A487" s="53" t="s">
        <v>7633</v>
      </c>
      <c r="B487" s="51" t="s">
        <v>8147</v>
      </c>
      <c r="C487" s="53">
        <v>2024</v>
      </c>
      <c r="D487" s="52" t="str">
        <f t="shared" si="16"/>
        <v>CD-486-2024</v>
      </c>
      <c r="E487" s="96" t="s">
        <v>5014</v>
      </c>
      <c r="F487" s="93" t="str">
        <f t="shared" si="17"/>
        <v>PRESTAR SERVICIOS PROFESIONALES PARA LA PROMOCIÓN, DIFUSIÓN Y DIVULGACIÓN DE LOS PROGRAMAS, PLANES Y PROYECTOS DE LA SECRETARÍA GENERAL EN ARTICULACIÓN CON LA OFICINA DE COMUNICACIONES DEL ICETEX</v>
      </c>
    </row>
    <row r="488" spans="1:6" ht="22.5" customHeight="1">
      <c r="A488" s="53" t="s">
        <v>7633</v>
      </c>
      <c r="B488" s="51" t="s">
        <v>8148</v>
      </c>
      <c r="C488" s="53">
        <v>2024</v>
      </c>
      <c r="D488" s="52" t="str">
        <f t="shared" si="16"/>
        <v>CD-487-2024</v>
      </c>
      <c r="E488" s="96" t="s">
        <v>4059</v>
      </c>
      <c r="F488" s="93" t="str">
        <f t="shared" si="17"/>
        <v>PRESTACIÓN DE SERVICIOS DE ASESORÍA ESPECIALIZADA EN MATERIA JURÍDICA, CONTRACTUAL, ASUNTOS DE ESPECIAL COMPLEJIDAD Y DERECHO CORPORATIVO, ASÍ COMO EN LA ACTUALIZACIÓN E IMPLEMENTACIÓN DE LOS MISMOS DE CONFORMIDAD CON LA MISIONALIDAD DE LA ENTIDAD Y LA NORMATIVIDAD VIGENTE</v>
      </c>
    </row>
    <row r="489" spans="1:6" ht="22.5" customHeight="1">
      <c r="A489" s="53" t="s">
        <v>7633</v>
      </c>
      <c r="B489" s="51" t="s">
        <v>8149</v>
      </c>
      <c r="C489" s="53">
        <v>2024</v>
      </c>
      <c r="D489" s="52" t="str">
        <f t="shared" si="16"/>
        <v>CD-488-2024</v>
      </c>
      <c r="E489" s="96" t="s">
        <v>4066</v>
      </c>
      <c r="F489" s="93" t="str">
        <f t="shared" si="17"/>
        <v xml:space="preserve">PRESTAR LOS SERVICIOS PROFESIONALES EN LA SECRETARIA GENERAL EN LOS ASUNTOS DE CARÁCTER ECONÓMICO DE LA DEPENDENCIA. </v>
      </c>
    </row>
    <row r="490" spans="1:6" ht="22.5" customHeight="1">
      <c r="A490" s="53" t="s">
        <v>7633</v>
      </c>
      <c r="B490" s="51" t="s">
        <v>8150</v>
      </c>
      <c r="C490" s="53">
        <v>2024</v>
      </c>
      <c r="D490" s="52" t="str">
        <f t="shared" si="16"/>
        <v>CD-489-2024</v>
      </c>
      <c r="E490" s="96" t="s">
        <v>4074</v>
      </c>
      <c r="F490" s="93" t="e">
        <f>UPPER(#REF!)</f>
        <v>#REF!</v>
      </c>
    </row>
    <row r="491" spans="1:6" ht="22.5" customHeight="1">
      <c r="A491" s="53" t="s">
        <v>7633</v>
      </c>
      <c r="B491" s="51" t="s">
        <v>8151</v>
      </c>
      <c r="C491" s="53">
        <v>2024</v>
      </c>
      <c r="D491" s="52" t="str">
        <f t="shared" si="16"/>
        <v>CD-490-2024</v>
      </c>
      <c r="E491" s="96" t="s">
        <v>4074</v>
      </c>
      <c r="F491" s="93" t="str">
        <f>UPPER(E490)</f>
        <v>PRESTAR LOS SERVICIOS PROFESIONALES PARA LA IMPLEMENTACIÓN DE INDICADORES, HERRAMIENTAS Y PROCEDIMIENTOS QUE PROPENDAN POR LA CONSOLIDACIÓN Y ANÁLISIS DE LA INFORMACIÓN FINANCIERA Y TRIBUTARIA, PARA EL OPORTUNO CUMPLIMIENTO DE LAS OBLIGACIONES DE LA ENTIDAD, A PARTIR DE LA OPTIMIZACIÓN DE LAS FUNCIONALIDADES DEL APLICATIVO FINANCIERO DISPUESTO PARA EL EFECTO, EN EL MARCO DE LA MEJORA CONTINUA DE LOS PROCESOS CONTABLES Y FISCALES DEL INSTITUTO.</v>
      </c>
    </row>
    <row r="492" spans="1:6" ht="22.5" customHeight="1">
      <c r="A492" s="53" t="s">
        <v>7633</v>
      </c>
      <c r="B492" s="51" t="s">
        <v>8152</v>
      </c>
      <c r="C492" s="53">
        <v>2024</v>
      </c>
      <c r="D492" s="52" t="str">
        <f t="shared" si="16"/>
        <v>CD-491-2024</v>
      </c>
      <c r="E492" s="96" t="s">
        <v>4094</v>
      </c>
      <c r="F492" s="93" t="str">
        <f t="shared" si="17"/>
        <v>PRESTAR LOS SERVICIOS PROFESIONALES JURÍDICOS ESPECIALIZADOS PARA APOYAR EN LA ESTRUCTURACIÓN, GESTIÓN Y SEGUIMIENTO DE LOS PROCESOS, Y PROCEDIMIENTOS LEGALES RELACIONADOS CON ASUNTOS TRIBUTARIOS O FISCALES APLICABLES AL INSTITUTO EN EL MARCO DEL PROCESO DE MODERNIZACIÓN DE LAS FUNCIONES FINANCIERAS Y DIVERSIFICACIÓN DE FUENTES DE FONDEO</v>
      </c>
    </row>
    <row r="493" spans="1:6" ht="22.5" customHeight="1">
      <c r="A493" s="53" t="s">
        <v>7633</v>
      </c>
      <c r="B493" s="51" t="s">
        <v>8153</v>
      </c>
      <c r="C493" s="53">
        <v>2024</v>
      </c>
      <c r="D493" s="52" t="str">
        <f t="shared" si="16"/>
        <v>CD-492-2024</v>
      </c>
      <c r="E493" s="96" t="s">
        <v>4102</v>
      </c>
      <c r="F493" s="93" t="str">
        <f t="shared" si="17"/>
        <v>PRESTACIÓN DE SERVICIOS PROFESIONALES ESPECIALIZADOS PARA ORIENTAR LA PLANEACIÓN, DEFINICIÓN Y PREPARACIÓN DE INSTRUMENTOS DE GESTIÓN MEDIANTE LA AUTOMATIZACIÓN DE PROCESOS PARA EL ICETEX.</v>
      </c>
    </row>
    <row r="494" spans="1:6" ht="22.5" customHeight="1">
      <c r="A494" s="53" t="s">
        <v>7633</v>
      </c>
      <c r="B494" s="51" t="s">
        <v>8154</v>
      </c>
      <c r="C494" s="53">
        <v>2024</v>
      </c>
      <c r="D494" s="52" t="str">
        <f t="shared" si="16"/>
        <v>CD-493-2024</v>
      </c>
      <c r="E494" s="96" t="s">
        <v>3902</v>
      </c>
      <c r="F494" s="93" t="str">
        <f t="shared" si="17"/>
        <v>PRESTACIÓN DE SERVICIOS PROFESIONALES ESPECIALIZADOS PARA EL TRÁMITE DE SERVICIOS DE TI ORIENTADOS AL ANÁLISIS, MODELAMIENTO, DESARROLLO, PRUEBAS, IMPLEMENTACIÓN Y MEJORAMIENTO CONTINUO DE SOLUCIONES INFORMÁTICAS, REQUERIDAS EN EL ICETEX.</v>
      </c>
    </row>
    <row r="495" spans="1:6" ht="22.5" customHeight="1">
      <c r="A495" s="53" t="s">
        <v>7633</v>
      </c>
      <c r="B495" s="51" t="s">
        <v>8155</v>
      </c>
      <c r="C495" s="53">
        <v>2024</v>
      </c>
      <c r="D495" s="52" t="str">
        <f t="shared" si="16"/>
        <v>CD-494-2024</v>
      </c>
      <c r="E495" s="96" t="s">
        <v>4117</v>
      </c>
      <c r="F495" s="93" t="str">
        <f t="shared" si="17"/>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496" spans="1:6" ht="22.5" customHeight="1">
      <c r="A496" s="53" t="s">
        <v>7633</v>
      </c>
      <c r="B496" s="51" t="s">
        <v>8156</v>
      </c>
      <c r="C496" s="53">
        <v>2024</v>
      </c>
      <c r="D496" s="52" t="str">
        <f t="shared" si="16"/>
        <v>CD-495-2024</v>
      </c>
      <c r="E496" s="96" t="s">
        <v>4125</v>
      </c>
      <c r="F496" s="93" t="str">
        <f t="shared" si="17"/>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497" spans="1:6" ht="22.5" customHeight="1">
      <c r="A497" s="53" t="s">
        <v>7633</v>
      </c>
      <c r="B497" s="51" t="s">
        <v>8157</v>
      </c>
      <c r="C497" s="53">
        <v>2024</v>
      </c>
      <c r="D497" s="52" t="str">
        <f t="shared" si="16"/>
        <v>CD-496-2024</v>
      </c>
      <c r="E497" s="96" t="s">
        <v>4132</v>
      </c>
      <c r="F497" s="93" t="str">
        <f>UPPER(E497)</f>
        <v>PRESTACIÓN DE SERVICIOS PROFESIONALES ESPECIALIZADOS PARA EL ANÁLISIS, MODELAMIENTO Y EJECUCIÓN DE PRUEBAS FUNCIONALES Y NO FUNCIONALES PARA EL ASEGURAMIENTO DE CALIDAD DE SOFTWARE DE LAS SOLUCIONES INFORMÁTICAS REQUERIDAS EN EL ICETEX.</v>
      </c>
    </row>
    <row r="498" spans="1:6" ht="22.5" customHeight="1">
      <c r="A498" s="53" t="s">
        <v>7633</v>
      </c>
      <c r="B498" s="51" t="s">
        <v>8158</v>
      </c>
      <c r="C498" s="53">
        <v>2024</v>
      </c>
      <c r="D498" s="52" t="str">
        <f t="shared" si="16"/>
        <v>CD-497-2024</v>
      </c>
      <c r="E498" s="96" t="s">
        <v>4140</v>
      </c>
      <c r="F498" s="93" t="str">
        <f>UPPER(E498)</f>
        <v>PRESTACIÓN DE SERVICIOS PROFESIONALES ESPECIALIZADOS EN INGENIERÍA PARA EL TRÁMITE DE SERVICIOS DE TI ORIENTADOS AL ANÁLISIS Y GESTIÓN DE REQUERIMIENTOS FUNCIONALES Y NO FUNCIONALES A CARGO DEL ICETEX</v>
      </c>
    </row>
    <row r="499" spans="1:6" ht="22.5" customHeight="1">
      <c r="A499" s="53" t="s">
        <v>7633</v>
      </c>
      <c r="B499" s="51" t="s">
        <v>8159</v>
      </c>
      <c r="C499" s="53">
        <v>2024</v>
      </c>
      <c r="D499" s="52" t="str">
        <f t="shared" si="16"/>
        <v>CD-498-2024</v>
      </c>
      <c r="E499" s="96" t="s">
        <v>4148</v>
      </c>
      <c r="F499" s="93" t="str">
        <f t="shared" si="17"/>
        <v>PRESTACIÓN DE SERVICIOS PROFESIONALES ESPECIALIZADOS EN INGENIERÍA PARA ORIENTAR, MONITOREAR, CONTROLAR Y MEJORAR LA ATENCIÓN DE INCIDENTES, REQUERIMIENTOS Y SOLUCIÓN DE PROBLEMAS ASOCIADOS A SERVICIOS DE TI EN LOS SISTEMAS DE INFORMACIÓN Y OTROS COMPONENTES TECNOLÓGICOS DEL ICETEX</v>
      </c>
    </row>
    <row r="500" spans="1:6" ht="22.5" customHeight="1">
      <c r="A500" s="53" t="s">
        <v>7633</v>
      </c>
      <c r="B500" s="51" t="s">
        <v>8160</v>
      </c>
      <c r="C500" s="53">
        <v>2024</v>
      </c>
      <c r="D500" s="52" t="str">
        <f t="shared" si="16"/>
        <v>CD-499-2024</v>
      </c>
      <c r="E500" s="96" t="s">
        <v>4156</v>
      </c>
      <c r="F500" s="93" t="str">
        <f t="shared" si="17"/>
        <v>PRESTAR LOS SERVICIOS PROFESIONALES DE APOYO TRANSVERSAL EN LA GESTIÓN MISIONAL DE OFICINA DE RELACIONES INTERNACIONALES QUE PERMITAN VISIBILIZAR, DIFUNDIR Y POTENCIALIZAR LOS PROGRAMAS DEL PORTAFOLIO INTERNACIONAL E INTERINSTITUCIONAL DEL ICETEX.</v>
      </c>
    </row>
    <row r="501" spans="1:6" ht="22.5" customHeight="1">
      <c r="A501" s="53" t="s">
        <v>7633</v>
      </c>
      <c r="B501" s="51" t="s">
        <v>8161</v>
      </c>
      <c r="C501" s="53">
        <v>2024</v>
      </c>
      <c r="D501" s="52" t="str">
        <f t="shared" si="16"/>
        <v>CD-500-2024</v>
      </c>
      <c r="E501" s="96" t="s">
        <v>4166</v>
      </c>
      <c r="F501" s="93" t="str">
        <f>UPPER(E501)</f>
        <v>LAS PARTES SE OBLIGAN A GUARDAR Y MANTENER LA CONFIDENCIALIDAD DE CUALQUIER INFORMACIÓN QUE SE ENVÍEN, SE PROPORCIONEN O HAGAN DEL CONOCIMIENTO UNA DE LA OTRA, RELACIONADA CON LOS DIVERSOS CONTRATOS, CONVENIOS, ACTOS, MANUALES, PEDIDOS, SOLICITUDES DE COTIZACIÓN, CONVERSACIONES, PLÁTICAS Y NEGOCIACIONES EN GENERAL, QUE SE LLEGUEN A ESTABLECER ENTRE LAS PARTES, A PARTIR DE LA FECHA DEL INICIO DEL PRESENTE ACUERDO DE CONFIDENCIALIDAD, POR LO QUE NO PODRÁN DIVULGAR ESA INFORMACIÓN, REPRODUCIRLA O TRANSMITIRLA POR NINGÚN MEDIO A CUALESQUIERA TERCEROS O AL PÚBLICO EN GENERAL; TAMPOCO PODRÁN RESUMIRLA, MODIFICARLA O ALTERARLA EN FORMA ALGUNA, NI DARLE UN USO COMERCIAL O DISTINTO AL AUTORIZADO, SIN EL PREVIO CONSENTIMIENTO POR ESCRITO DE LA PROPIETARIA DE DICHA INFORMACIÓN.</v>
      </c>
    </row>
    <row r="502" spans="1:6" ht="22.5" customHeight="1">
      <c r="A502" s="53" t="s">
        <v>7633</v>
      </c>
      <c r="B502" s="51" t="s">
        <v>8162</v>
      </c>
      <c r="C502" s="53">
        <v>2024</v>
      </c>
      <c r="D502" s="52" t="str">
        <f t="shared" si="16"/>
        <v>CD-501-2024</v>
      </c>
      <c r="E502" s="96" t="s">
        <v>2851</v>
      </c>
      <c r="F502" s="93" t="str">
        <f t="shared" si="17"/>
        <v>PRESTACIÓN DE LOS SERVICIOS PROFESIONALES ESPECIALIZADOS PARA LA PREPARACIÓN Y LIQUIDACIÓN DE LOS DESEMBOLSOS EDUCATIVOS OTORGADOS CON RECURSOS PROPIOS O CON RECURSOS DE TERCEROS ADMINISTRADOS POR EL ICETEX</v>
      </c>
    </row>
    <row r="503" spans="1:6" ht="22.5" customHeight="1">
      <c r="A503" s="53" t="s">
        <v>7633</v>
      </c>
      <c r="B503" s="51" t="s">
        <v>8163</v>
      </c>
      <c r="C503" s="53">
        <v>2024</v>
      </c>
      <c r="D503" s="52" t="str">
        <f t="shared" si="16"/>
        <v>CD-502-2024</v>
      </c>
      <c r="E503" s="96" t="s">
        <v>874</v>
      </c>
      <c r="F503" s="93" t="str">
        <f t="shared" si="17"/>
        <v>PRESTACIÓN DE SERVICIOS PROFESIONALES ESPECIALIZADOS PARA EL DESARROLLO DE LAS ACTIVIDADES DE CONCILIACIÓN DE LA CARTERA Y/O CONTABLES RELACIONADAS CON LA GESTIÓN DE OPERACIONES DEL ICETEX</v>
      </c>
    </row>
    <row r="504" spans="1:6" ht="22.5" customHeight="1">
      <c r="A504" s="53" t="s">
        <v>7633</v>
      </c>
      <c r="B504" s="51" t="s">
        <v>8164</v>
      </c>
      <c r="C504" s="53">
        <v>2024</v>
      </c>
      <c r="D504" s="52" t="str">
        <f t="shared" si="16"/>
        <v>CD-503-2024</v>
      </c>
      <c r="E504" s="96" t="s">
        <v>874</v>
      </c>
      <c r="F504" s="93" t="str">
        <f t="shared" si="17"/>
        <v>PRESTACIÓN DE SERVICIOS PROFESIONALES ESPECIALIZADOS PARA EL DESARROLLO DE LAS ACTIVIDADES DE CONCILIACIÓN DE LA CARTERA Y/O CONTABLES RELACIONADAS CON LA GESTIÓN DE OPERACIONES DEL ICETEX</v>
      </c>
    </row>
    <row r="505" spans="1:6" ht="22.5" customHeight="1">
      <c r="A505" s="53" t="s">
        <v>7633</v>
      </c>
      <c r="B505" s="51" t="s">
        <v>8165</v>
      </c>
      <c r="C505" s="53">
        <v>2024</v>
      </c>
      <c r="D505" s="52" t="str">
        <f t="shared" si="16"/>
        <v>CD-504-2024</v>
      </c>
      <c r="E505" s="96" t="s">
        <v>4191</v>
      </c>
      <c r="F505" s="93" t="str">
        <f t="shared" si="17"/>
        <v>PRESTACIÓN DE SERVICIOS PROFESIONALES PARA LA DEFINICIÓN, PROGRAMACIÓN Y DOCUMENTACIÓN DE LA GESTIÓN DEL CONOCIMIENTO DE LA OPERACIÓN; ASÍ MISMO VALIDACIÓN DE LAS PRUEBAS DE MEJORA DE LAS SOLUCIONES TECNOLÓGICAS DEL ICETEX</v>
      </c>
    </row>
    <row r="506" spans="1:6" ht="22.5" customHeight="1">
      <c r="A506" s="53" t="s">
        <v>7633</v>
      </c>
      <c r="B506" s="51" t="s">
        <v>8166</v>
      </c>
      <c r="C506" s="53">
        <v>2024</v>
      </c>
      <c r="D506" s="52" t="str">
        <f t="shared" si="16"/>
        <v>CD-505-2024</v>
      </c>
      <c r="E506" s="96" t="s">
        <v>4199</v>
      </c>
      <c r="F506" s="93" t="str">
        <f t="shared" si="17"/>
        <v>PRESTACIÓN DE SERVICIOS PROFESIONALES PARA LA DEFINICIÓN Y SEGUIMIENTO DE REQUERIMIENTOS DE MEJORA QUE PERMITAN LA OPTIMIZACIÓN Y SISTEMATIZACIÓN DE PROCEDIMIENTOS DEL ICETEX</v>
      </c>
    </row>
    <row r="507" spans="1:6" ht="22.5" customHeight="1">
      <c r="A507" s="53" t="s">
        <v>7633</v>
      </c>
      <c r="B507" s="51" t="s">
        <v>8167</v>
      </c>
      <c r="C507" s="53">
        <v>2024</v>
      </c>
      <c r="D507" s="52" t="str">
        <f t="shared" si="16"/>
        <v>CD-506-2024</v>
      </c>
      <c r="E507" s="96" t="s">
        <v>4125</v>
      </c>
      <c r="F507" s="93" t="str">
        <f t="shared" si="17"/>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08" spans="1:6" ht="22.5" customHeight="1">
      <c r="A508" s="53" t="s">
        <v>7633</v>
      </c>
      <c r="B508" s="51" t="s">
        <v>8168</v>
      </c>
      <c r="C508" s="53">
        <v>2024</v>
      </c>
      <c r="D508" s="52" t="str">
        <f t="shared" si="16"/>
        <v>CD-507-2024</v>
      </c>
      <c r="E508" s="96" t="s">
        <v>4125</v>
      </c>
      <c r="F508" s="93" t="str">
        <f t="shared" si="17"/>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09" spans="1:6" ht="22.5" customHeight="1">
      <c r="A509" s="53" t="s">
        <v>7633</v>
      </c>
      <c r="B509" s="51" t="s">
        <v>8169</v>
      </c>
      <c r="C509" s="53">
        <v>2024</v>
      </c>
      <c r="D509" s="52" t="str">
        <f t="shared" si="16"/>
        <v>CD-508-2024</v>
      </c>
      <c r="E509" s="96" t="s">
        <v>4221</v>
      </c>
      <c r="F509" s="93" t="str">
        <f t="shared" si="17"/>
        <v>PRESTAR SERVICIOS PROFESIONALES ESPECIALIZADOS EN GESTIÓN DE ALIANZAS A LA OFICINA DE RELACIONES INTERNACIONALES, PREPARANDO Y PLANIFICANDO LAS ESTRATEGIAS NECESARIAS PARA LA EJECUCIÓN ADECUADA DEL PORTAFOLIO DE SERVICIOS DE COOPERACIÓN ACADÉMICA INTERNACIONAL E INTERINSTITUCIONAL DEL ICETEX</v>
      </c>
    </row>
    <row r="510" spans="1:6" ht="22.5" customHeight="1">
      <c r="A510" s="53" t="s">
        <v>7633</v>
      </c>
      <c r="B510" s="51" t="s">
        <v>8170</v>
      </c>
      <c r="C510" s="53">
        <v>2024</v>
      </c>
      <c r="D510" s="52" t="str">
        <f t="shared" si="16"/>
        <v>CD-509-2024</v>
      </c>
      <c r="E510" s="96" t="s">
        <v>4229</v>
      </c>
      <c r="F510" s="93" t="str">
        <f t="shared" si="17"/>
        <v>PRESTACIÓN DE SERVICIOS PROFESIONALES EN INGENIERÍA PARA ANÁLISIS Y GESTIÓN DE REQUERIMIENTOS FUNCIONALES Y NO FUNCIONALES Y SOPORTE A LA OPERACIÓN DE SERVICIOS TECNOLÓGICOS DEL ICETEX.</v>
      </c>
    </row>
    <row r="511" spans="1:6" ht="22.5" customHeight="1">
      <c r="A511" s="53" t="s">
        <v>7633</v>
      </c>
      <c r="B511" s="51" t="s">
        <v>8171</v>
      </c>
      <c r="C511" s="53">
        <v>2024</v>
      </c>
      <c r="D511" s="52" t="str">
        <f t="shared" si="16"/>
        <v>CD-510-2024</v>
      </c>
      <c r="E511" s="96" t="s">
        <v>4236</v>
      </c>
      <c r="F511" s="93" t="str">
        <f t="shared" si="17"/>
        <v>PRESTAR LOS SERVICIOS PROFESIONALES ESPECIALIZADOS PARA LA GENERACIÓN DE CONTENIDOS GRÁFICOS PARA LA DIVULGACIÓN DE LA GESTIÓN E INFORMACIÓN DE LA ENTIDAD, DE ACUERDO A LOS LINEAMIENTOS DE LA OFICINA ASESORA DE COMUNICACIONES</v>
      </c>
    </row>
    <row r="512" spans="1:6" ht="22.5" customHeight="1">
      <c r="A512" s="53" t="s">
        <v>7633</v>
      </c>
      <c r="B512" s="51" t="s">
        <v>8172</v>
      </c>
      <c r="C512" s="53">
        <v>2024</v>
      </c>
      <c r="D512" s="52" t="str">
        <f t="shared" si="16"/>
        <v>CD-511-2024</v>
      </c>
      <c r="E512" s="96" t="s">
        <v>4244</v>
      </c>
      <c r="F512" s="93" t="str">
        <f t="shared" si="17"/>
        <v>PRESTAR LOS SERVICIOS PROFESIONALES EN LA ARTICULACIÓN DE LA SECRETARIA GENERAL CON LA OFICINA JURÍDICA DEL ICETEX Y EN LOS ASUNTOS RELACIONADOS CON LA GESTIÓN ESTRATÉGICA DE LA DEPENDENCIA.</v>
      </c>
    </row>
    <row r="513" spans="1:6" ht="22.5" customHeight="1">
      <c r="A513" s="53" t="s">
        <v>7633</v>
      </c>
      <c r="B513" s="51" t="s">
        <v>8173</v>
      </c>
      <c r="C513" s="53">
        <v>2024</v>
      </c>
      <c r="D513" s="52" t="str">
        <f t="shared" si="16"/>
        <v>CD-512-2024</v>
      </c>
      <c r="E513" s="96" t="s">
        <v>4252</v>
      </c>
      <c r="F513" s="93" t="str">
        <f t="shared" si="17"/>
        <v>PRESTAR LOS SERVICIOS PROFESIONALES PARA APOYAR A LA OFICINA DE CONTROL INTERNO EN LA GENERACIÓN Y ANÁLISIS DE INFORMACIÓN COMO SOPORTE A LAS AUDITORIAS, INDAGACIONES Y SEGUIMIENTOS A PROYECTOS DE CONFORMIDAD CON EL PLAN ANUAL DE AUDITORÍAS PARA LA VIGENCIA 2024, ADEMÁS DE ARTICULAR EL ROL DE LA OFICINA DE CONTROL INTERNO HACIA EL DISEÑO, DESARROLLO, SEGUIMIENTO, SOCIALIZACIÓN E IMPLEMENTACIÓN DE LAS INICIATIVAS Y PROYECTOS DE INNOVACIÓN DE ICETEX.</v>
      </c>
    </row>
    <row r="514" spans="1:6" ht="22.5" customHeight="1">
      <c r="A514" s="53" t="s">
        <v>7633</v>
      </c>
      <c r="B514" s="51" t="s">
        <v>8174</v>
      </c>
      <c r="C514" s="53">
        <v>2024</v>
      </c>
      <c r="D514" s="52" t="str">
        <f t="shared" ref="D514:D577" si="18">CONCATENATE(A514,"-",B514,"-",C514)</f>
        <v>CD-513-2024</v>
      </c>
      <c r="E514" s="96" t="s">
        <v>8175</v>
      </c>
      <c r="F514" s="93" t="str">
        <f t="shared" si="17"/>
        <v>APOYO EN LA GESTIÓN DE ASEGURAMIENTO DE PROYECTOS DE INNOVACIÓN DE LA ENTIDAD Y EN GENERAL DE TODOS LOS REQUERIMIENTOS DE PROCESOS EN LA VERIFICACIÓN DE RIESGOS, GESTIÓN DE CAMBIO Y GESTIÓN DE PROYECTOS DE LA ENTIDAD, DE IGUAL FORMA DE APOYO A LOS REQUERIMIENTOS QUE SE SOLICITEN DE LOS SISTEMAS DE RIESGOS.</v>
      </c>
    </row>
    <row r="515" spans="1:6" ht="22.5" customHeight="1">
      <c r="A515" s="53" t="s">
        <v>7633</v>
      </c>
      <c r="B515" s="51" t="s">
        <v>8176</v>
      </c>
      <c r="C515" s="53">
        <v>2024</v>
      </c>
      <c r="D515" s="52" t="str">
        <f t="shared" si="18"/>
        <v>CD-514-2024</v>
      </c>
      <c r="E515" s="96" t="s">
        <v>4262</v>
      </c>
      <c r="F515" s="93" t="str">
        <f t="shared" ref="F515:F543" si="19">UPPER(E515)</f>
        <v>PRESTAR SERVICIOS PROFESIONALES EN EL DESARROLLO Y SEGUIMIENTO DE LOS PLANES Y PROYECTOS DE LA POLÍTICA DE GESTIÓN DOCUMENTAL, ASÍ COMO EL APOYO A LA SUPERVISIÓN DE LOS PROCESOS CONTRACTUALES DE GESTIÓN DOCUMENTAL QUE ADELANTE LA ENTIDAD</v>
      </c>
    </row>
    <row r="516" spans="1:6" ht="22.5" customHeight="1">
      <c r="A516" s="53" t="s">
        <v>7633</v>
      </c>
      <c r="B516" s="51" t="s">
        <v>8177</v>
      </c>
      <c r="C516" s="53">
        <v>2024</v>
      </c>
      <c r="D516" s="52" t="str">
        <f t="shared" si="18"/>
        <v>CD-515-2024</v>
      </c>
      <c r="E516" s="96" t="s">
        <v>2933</v>
      </c>
      <c r="F516" s="93" t="str">
        <f t="shared" si="19"/>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17" spans="1:6" ht="22.5" customHeight="1">
      <c r="A517" s="53" t="s">
        <v>7633</v>
      </c>
      <c r="B517" s="51" t="s">
        <v>8178</v>
      </c>
      <c r="C517" s="53">
        <v>2024</v>
      </c>
      <c r="D517" s="52" t="str">
        <f t="shared" si="18"/>
        <v>CD-516-2024</v>
      </c>
      <c r="E517" s="96" t="s">
        <v>2933</v>
      </c>
      <c r="F517" s="93" t="str">
        <f t="shared" si="19"/>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18" spans="1:6" ht="22.5" customHeight="1">
      <c r="A518" s="53" t="s">
        <v>7633</v>
      </c>
      <c r="B518" s="51" t="s">
        <v>8179</v>
      </c>
      <c r="C518" s="53">
        <v>2024</v>
      </c>
      <c r="D518" s="52" t="str">
        <f t="shared" si="18"/>
        <v>CD-517-2024</v>
      </c>
      <c r="E518" s="96" t="s">
        <v>2933</v>
      </c>
      <c r="F518" s="93" t="str">
        <f t="shared" si="19"/>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19" spans="1:6" ht="22.5" customHeight="1">
      <c r="A519" s="53" t="s">
        <v>7633</v>
      </c>
      <c r="B519" s="51" t="s">
        <v>8180</v>
      </c>
      <c r="C519" s="53">
        <v>2024</v>
      </c>
      <c r="D519" s="52" t="str">
        <f t="shared" si="18"/>
        <v>CD-518-2024</v>
      </c>
      <c r="E519" s="96" t="s">
        <v>4289</v>
      </c>
      <c r="F519" s="93" t="str">
        <f t="shared" si="19"/>
        <v>PRESTACIÓN DE SERVICIOS PROFESIONALES ESPECIALIZADOS EN INGENIERÍA PARA LA REVISIÓN, ANÁLISIS, MODELAMIENTO, IMPLEMENTACIÓN, USO Y APROPIACIÓN DE LA ARQUITECTURA EMPRESARIAL DESDE EL DOMINIO DE SISTEMAS DE INFORMACIÓN PARA EL ICETEX</v>
      </c>
    </row>
    <row r="520" spans="1:6" ht="22.5" customHeight="1">
      <c r="A520" s="53" t="s">
        <v>7633</v>
      </c>
      <c r="B520" s="51" t="s">
        <v>8181</v>
      </c>
      <c r="C520" s="53">
        <v>2024</v>
      </c>
      <c r="D520" s="52" t="str">
        <f t="shared" si="18"/>
        <v>CD-519-2024</v>
      </c>
      <c r="E520" s="96" t="s">
        <v>4297</v>
      </c>
      <c r="F520" s="93" t="str">
        <f t="shared" si="19"/>
        <v>PRESTAR SERVICIOS PROFESIONALES A LA SECRETARÍA GENERAL DEL ICETEX EN LA EJECUCIÓN DE LAS ACTIVIDADES TENDIENTES AL AJUSTE Y PERFECCIONAMIENTO DEL REDISEÑO INSTITUCIONAL PROPUESTO PARA LAS ÁREAS ESTRATÉGICAS, MISIONALES, DE APOYO Y/O CONTROL EN EL MARCO DE LA ACTUALIZACIÓN DE SU ESTRUCTURA ADMINISTRATIVA, DE ACUERDO CON LA NORMATIVIDAD VIGENTE Y DEMÁS DISPOSICIONES DE OTROS ORGANISMOS COMPETENTES</v>
      </c>
    </row>
    <row r="521" spans="1:6" ht="22.5" customHeight="1">
      <c r="A521" s="53" t="s">
        <v>7633</v>
      </c>
      <c r="B521" s="51" t="s">
        <v>8182</v>
      </c>
      <c r="C521" s="53">
        <v>2024</v>
      </c>
      <c r="D521" s="52" t="str">
        <f t="shared" si="18"/>
        <v>CD-520-2024</v>
      </c>
      <c r="E521" s="96" t="s">
        <v>3274</v>
      </c>
      <c r="F521" s="93" t="str">
        <f t="shared" si="19"/>
        <v xml:space="preserve">PRESTAR LOS SERVICIOS TÉCNICOS EN LA ATENCIÓN DE PQRS Y REQUERIMIENTOS INTERNOS Y EXTERNOS CORRESPONDIENTES AL GRUPO DE CRÉDITO A CARGO DE LA VICEPRESIDENCIA DE CRÉDITO Y COBRANZA. </v>
      </c>
    </row>
    <row r="522" spans="1:6" ht="22.5" customHeight="1">
      <c r="A522" s="53" t="s">
        <v>7633</v>
      </c>
      <c r="B522" s="51" t="s">
        <v>8183</v>
      </c>
      <c r="C522" s="53">
        <v>2024</v>
      </c>
      <c r="D522" s="52" t="str">
        <f t="shared" si="18"/>
        <v>CD-521-2024</v>
      </c>
      <c r="E522" s="96" t="s">
        <v>4312</v>
      </c>
      <c r="F522" s="93" t="str">
        <f t="shared" si="19"/>
        <v>PRESTAR SERVICIOS TÉCNICOS DE APOYO AL SEGUIMIENTO Y CONTROL DEL PROCESO CALIDAD OPERATIVA Y MEJORA CONTINUA EN LOS DISTINTOS CANALES DE ATENCIÓN Y GESTIÓN DE LA ENTIDAD CON EL FIN DE MEJORAR LA EXPERIENCIA Y SATISFACCIÓN DE LOS GRUPOS DE INTERÉS (BENEFICIARIOS, CIUDADANOS E IES</v>
      </c>
    </row>
    <row r="523" spans="1:6" ht="22.5" customHeight="1">
      <c r="A523" s="53" t="s">
        <v>7633</v>
      </c>
      <c r="B523" s="51" t="s">
        <v>8184</v>
      </c>
      <c r="C523" s="53">
        <v>2024</v>
      </c>
      <c r="D523" s="52" t="str">
        <f t="shared" si="18"/>
        <v>CD-522-2024</v>
      </c>
      <c r="E523" s="96" t="s">
        <v>4321</v>
      </c>
      <c r="F523" s="93" t="str">
        <f t="shared" si="19"/>
        <v xml:space="preserve">PRESTAR SERVICIOS PROFESIONALES PARA LA IDENTIFICACIÓN DE OPORTUNIDADES DE MEJORA EN LOS PROCESOS Y PROCEDIMIENTOS DE LA ENTIDAD, ASÍ COMO ACOMPAÑAR OPERATIVA Y ADMINISTRATIVAMENTE EL SEGUIMIENTO Y EL CONTROL DE LOS CANALES DE ATENCIÓN Y GESTIÓN. </v>
      </c>
    </row>
    <row r="524" spans="1:6" ht="22.5" customHeight="1">
      <c r="A524" s="53" t="s">
        <v>7633</v>
      </c>
      <c r="B524" s="51" t="s">
        <v>8185</v>
      </c>
      <c r="C524" s="53">
        <v>2024</v>
      </c>
      <c r="D524" s="52" t="str">
        <f t="shared" si="18"/>
        <v>CD-523-2024</v>
      </c>
      <c r="E524" s="96" t="s">
        <v>4329</v>
      </c>
      <c r="F524" s="93" t="str">
        <f t="shared" si="19"/>
        <v>APOYAR LA EJECUCIÓN DEL PLAN COMERCIAL DE LA TERRITORIAL CENTRO ASOCIADA AL PORTAFOLIO DE SERVICIOS DE LCETEX EN LA REGIÓN, EN ARTICULACIÓN CON LA OFICINA COMERCIAL Y DE MERCADEO DEL NIVEL CENTRAL.</v>
      </c>
    </row>
    <row r="525" spans="1:6" ht="22.5" customHeight="1">
      <c r="A525" s="53" t="s">
        <v>7633</v>
      </c>
      <c r="B525" s="51" t="s">
        <v>8186</v>
      </c>
      <c r="C525" s="53">
        <v>2024</v>
      </c>
      <c r="D525" s="52" t="str">
        <f t="shared" si="18"/>
        <v>CD-524-2024</v>
      </c>
      <c r="E525" s="96" t="s">
        <v>4337</v>
      </c>
      <c r="F525" s="93" t="str">
        <f t="shared" si="19"/>
        <v>PRESTAR SERVICIOS PROFESIONALES RELACIONADAS CON EL SEGUIMIENTO A LAS ACTIVIDADES PLANTEADAS PARA LA IMPLEMENTACIÓN, FORTALECIMIENTO Y MEJORAMIENTO CONTINUO DEL SISTEMA DE SEGURIDAD Y SALUD EN EL TRABAJO EN EL MARCO DE LA POLÍTICA DE “GESTIÓN DEL TALENTO HUMANO”, ASÍ COMO CONTRIBUIR A MEJORAR LA OPORTUNIDAD DE LOS SERVICIOS QUE PRESTA LA ENTIDAD.</v>
      </c>
    </row>
    <row r="526" spans="1:6" ht="22.5" customHeight="1">
      <c r="A526" s="53" t="s">
        <v>7633</v>
      </c>
      <c r="B526" s="51" t="s">
        <v>8187</v>
      </c>
      <c r="C526" s="53">
        <v>2024</v>
      </c>
      <c r="D526" s="52" t="str">
        <f t="shared" si="18"/>
        <v>CD-525-2024</v>
      </c>
      <c r="E526" s="96" t="s">
        <v>4346</v>
      </c>
      <c r="F526" s="93" t="str">
        <f t="shared" si="19"/>
        <v>PRESTAR SUS SERVICIOS PROFESIONALES GESTIONANDO Y ORIENTANDO JURÍDICAMENTE LA LIQUIDACIÓN Y/O CIERRE DE LOS CONTRATOS Y CONVENIOS A CARGO DE LA VICEPRESIDENCIA DE FONDOS EN ADMINISTRACIÓN</v>
      </c>
    </row>
    <row r="527" spans="1:6" ht="22.5" customHeight="1">
      <c r="A527" s="53" t="s">
        <v>7633</v>
      </c>
      <c r="B527" s="51" t="s">
        <v>8188</v>
      </c>
      <c r="C527" s="53">
        <v>2024</v>
      </c>
      <c r="D527" s="52" t="str">
        <f t="shared" si="18"/>
        <v>CD-526-2024</v>
      </c>
      <c r="E527" s="96" t="s">
        <v>1866</v>
      </c>
      <c r="F527" s="93" t="str">
        <f t="shared" si="19"/>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528" spans="1:6" ht="22.5" customHeight="1">
      <c r="A528" s="53" t="s">
        <v>7633</v>
      </c>
      <c r="B528" s="51" t="s">
        <v>8189</v>
      </c>
      <c r="C528" s="53">
        <v>2024</v>
      </c>
      <c r="D528" s="52" t="str">
        <f t="shared" si="18"/>
        <v>CD-527-2024</v>
      </c>
      <c r="E528" s="96" t="s">
        <v>4361</v>
      </c>
      <c r="F528" s="93" t="str">
        <f t="shared" si="19"/>
        <v>PRESTAR SUS SERVICIOS PROFESIONALES ESPECIALIZADOS APOYANDO LA ELABORACIÓN Y SEGUIMIENTO DE LAS ESTRATEGIAS PARA LA GESTIÓN DEL CAMBIO EN LA ADMINISTRACIÓN, SEGUIMIENTO Y CONTROL DE LOS CONVENIOS, CONTRATOS, FONDOS, ALIANZAS Y/O PROYECTOS A CARGO DE LA VICEPRESIDENCIA DE FONDOS EN ADMINISTRACIÓN</v>
      </c>
    </row>
    <row r="529" spans="1:6" ht="22.5" customHeight="1">
      <c r="A529" s="53" t="s">
        <v>7633</v>
      </c>
      <c r="B529" s="51" t="s">
        <v>8190</v>
      </c>
      <c r="C529" s="53">
        <v>2024</v>
      </c>
      <c r="D529" s="52" t="str">
        <f t="shared" si="18"/>
        <v>CD-528-2024</v>
      </c>
      <c r="E529" s="96" t="s">
        <v>2187</v>
      </c>
      <c r="F529" s="93" t="str">
        <f t="shared" si="19"/>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530" spans="1:6" ht="22.5" customHeight="1">
      <c r="A530" s="53" t="s">
        <v>7633</v>
      </c>
      <c r="B530" s="51" t="s">
        <v>8191</v>
      </c>
      <c r="C530" s="53">
        <v>2024</v>
      </c>
      <c r="D530" s="52" t="str">
        <f t="shared" si="18"/>
        <v>CD-529-2024</v>
      </c>
      <c r="E530" s="96" t="s">
        <v>4376</v>
      </c>
      <c r="F530" s="93" t="str">
        <f t="shared" si="19"/>
        <v>PRESTACIÓN DE SERVICIOS PROFESIONALES ESPECIALIZADOS EN INGENIERÍA DE PROCESOS PARA LA ARTICULACIÓN DE LAS ÁREAS DE NEGOCIO Y EL EQUIPO DE ARQUITECTURA EMPRESARIAL PARA EL ICETEX</v>
      </c>
    </row>
    <row r="531" spans="1:6" ht="22.5" customHeight="1">
      <c r="A531" s="53" t="s">
        <v>7633</v>
      </c>
      <c r="B531" s="51" t="s">
        <v>8192</v>
      </c>
      <c r="C531" s="53">
        <v>2024</v>
      </c>
      <c r="D531" s="52" t="str">
        <f t="shared" si="18"/>
        <v>CD-530-2024</v>
      </c>
      <c r="E531" s="96" t="s">
        <v>4125</v>
      </c>
      <c r="F531" s="93" t="str">
        <f>UPPER(E531)</f>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32" spans="1:6" ht="22.5" customHeight="1">
      <c r="A532" s="53" t="s">
        <v>7633</v>
      </c>
      <c r="B532" s="51" t="s">
        <v>8193</v>
      </c>
      <c r="C532" s="53">
        <v>2024</v>
      </c>
      <c r="D532" s="52" t="str">
        <f t="shared" si="18"/>
        <v>CD-531-2024</v>
      </c>
      <c r="E532" s="96" t="s">
        <v>4394</v>
      </c>
      <c r="F532" s="93" t="str">
        <f t="shared" si="19"/>
        <v>PRESTAR LOS SERVICIOS PROFESIONALES DE APOYO AL EQUIPO COMERCIAL EN LA EJECUCIÓN, SUPERVISIÓN, CONTROL Y MEJORA CONTINUA A LAS ESTRATEGIAS ORIENTADAS A LA PROMOCIÓN Y OTORGAMIENTO DEL PORTAFOLIO DE PRODUCTOS DEL ICETEX.</v>
      </c>
    </row>
    <row r="533" spans="1:6" ht="22.5" customHeight="1">
      <c r="A533" s="53" t="s">
        <v>7633</v>
      </c>
      <c r="B533" s="51" t="s">
        <v>8194</v>
      </c>
      <c r="C533" s="53">
        <v>2024</v>
      </c>
      <c r="D533" s="52" t="str">
        <f t="shared" si="18"/>
        <v>CD-532-2024</v>
      </c>
      <c r="E533" s="96" t="s">
        <v>4402</v>
      </c>
      <c r="F533" s="93" t="str">
        <f t="shared" si="19"/>
        <v>PRESTAR LOS SERVICIOS PROFESIONALES PARA LA ACTUALIZACIÓN Y PUBLICACIÓN DE CONTENIDOS DENTRO DEL PORTAL WEB DE ICETEX, ASÍ COMO EL APOYO A LA ESTRATEGIA DE MARKETING DIGITAL DE LA ENTIDAD.</v>
      </c>
    </row>
    <row r="534" spans="1:6" ht="22.5" customHeight="1">
      <c r="A534" s="53" t="s">
        <v>7633</v>
      </c>
      <c r="B534" s="51" t="s">
        <v>8195</v>
      </c>
      <c r="C534" s="53">
        <v>2024</v>
      </c>
      <c r="D534" s="52" t="str">
        <f t="shared" si="18"/>
        <v>CD-533-2024</v>
      </c>
      <c r="E534" s="96" t="s">
        <v>8196</v>
      </c>
      <c r="F534" s="93" t="str">
        <f t="shared" si="19"/>
        <v>PRESTAR LOS SERVICIOS PROFESIONALES PARA APOYAR Y DESARROLLAR LAS ACTIVIDADES INHERENTES A LOS PROGRAMAS PARA COLOMBIANOS DEL PORTAFOLIO INTERNACIONAL QUE CONTRIBUYAN AL FORTALECIMIENTO DE LA POLÍTICA DE COOPERACIÓN ACADÉMICA INTERNACIONAL E INTERINSTITUCIONAL DEL ICETEX</v>
      </c>
    </row>
    <row r="535" spans="1:6" ht="22.5" customHeight="1">
      <c r="A535" s="53" t="s">
        <v>7633</v>
      </c>
      <c r="B535" s="51" t="s">
        <v>8197</v>
      </c>
      <c r="C535" s="53">
        <v>2024</v>
      </c>
      <c r="D535" s="52" t="str">
        <f>CONCATENATE(A535,"-",B535,"-",C535)</f>
        <v>CD-534-2024</v>
      </c>
      <c r="E535" s="96" t="s">
        <v>4411</v>
      </c>
      <c r="F535" s="93" t="str">
        <f>UPPER(E535)</f>
        <v>PRESTAR SERVICIOS PROFESIONALES PARA LA IDENTIFICACIÓN DE OPORTUNIDADES DE MEJORA EN LOS PROCESOS Y PROCEDIMIENTOS DE LA ENTIDAD, ASÍ COMO ACOMPAÑAR OPERATIVA Y ADMINISTRATIVAMENTE EL SEGUIMIENTO Y EL CONTROL DE LOS CANALES DE ATENCIÓN Y GESTIÓN</v>
      </c>
    </row>
    <row r="536" spans="1:6" ht="22.5" customHeight="1">
      <c r="A536" s="53" t="s">
        <v>7633</v>
      </c>
      <c r="B536" s="51" t="s">
        <v>8198</v>
      </c>
      <c r="C536" s="53">
        <v>2024</v>
      </c>
      <c r="D536" s="52" t="str">
        <f t="shared" si="18"/>
        <v>CD-535-2024</v>
      </c>
      <c r="E536" s="96" t="s">
        <v>4419</v>
      </c>
      <c r="F536" s="93" t="str">
        <f t="shared" si="19"/>
        <v>PRESTAR LOS SERVICIOS PROFESIONALES ESPECIALIZADOS PARA ACOMPAÑAMIENTO Y APOYO EN EL DISEÑO, IMPLEMENTACIÓN, EJECUCIÓN, Y DEFINICIÓN DE ESTRATEGIAS COMERCIALES A PARTIR DE LOS RESULTADOS OBTENIDOS EN LA INVESTIGACIÓN DE MERCADOS</v>
      </c>
    </row>
    <row r="537" spans="1:6" ht="22.5" customHeight="1">
      <c r="A537" s="53" t="s">
        <v>7633</v>
      </c>
      <c r="B537" s="51" t="s">
        <v>8199</v>
      </c>
      <c r="C537" s="53">
        <v>2024</v>
      </c>
      <c r="D537" s="52" t="str">
        <f t="shared" si="18"/>
        <v>CD-536-2024</v>
      </c>
      <c r="E537" s="96" t="s">
        <v>4427</v>
      </c>
      <c r="F537" s="93" t="str">
        <f t="shared" si="19"/>
        <v xml:space="preserve">PRESTACIÓN DE SERVICIOS PROFESIONALES ESPECIALIZADOS EN INGENIERÍA PARA LA GESTIÓN, CONFIGURACIÓN Y SOPORTE FUNCIONAL Y TÉCNICO DEL SERVICIO CORE BANCARIO DE ICETEX
</v>
      </c>
    </row>
    <row r="538" spans="1:6" ht="22.5" customHeight="1">
      <c r="A538" s="53" t="s">
        <v>7633</v>
      </c>
      <c r="B538" s="51" t="s">
        <v>8200</v>
      </c>
      <c r="C538" s="53">
        <v>2024</v>
      </c>
      <c r="D538" s="52" t="str">
        <f t="shared" si="18"/>
        <v>CD-537-2024</v>
      </c>
      <c r="E538" s="96" t="s">
        <v>4117</v>
      </c>
      <c r="F538" s="93" t="str">
        <f t="shared" si="19"/>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39" spans="1:6" ht="22.5" customHeight="1">
      <c r="A539" s="53" t="s">
        <v>7633</v>
      </c>
      <c r="B539" s="51" t="s">
        <v>8201</v>
      </c>
      <c r="C539" s="53">
        <v>2024</v>
      </c>
      <c r="D539" s="52" t="str">
        <f t="shared" si="18"/>
        <v>CD-538-2024</v>
      </c>
      <c r="E539" s="96" t="s">
        <v>874</v>
      </c>
      <c r="F539" s="93" t="str">
        <f t="shared" si="19"/>
        <v>PRESTACIÓN DE SERVICIOS PROFESIONALES ESPECIALIZADOS PARA EL DESARROLLO DE LAS ACTIVIDADES DE CONCILIACIÓN DE LA CARTERA Y/O CONTABLES RELACIONADAS CON LA GESTIÓN DE OPERACIONES DEL ICETEX</v>
      </c>
    </row>
    <row r="540" spans="1:6" ht="22.5" customHeight="1">
      <c r="A540" s="53" t="s">
        <v>7633</v>
      </c>
      <c r="B540" s="51" t="s">
        <v>8202</v>
      </c>
      <c r="C540" s="53">
        <v>2024</v>
      </c>
      <c r="D540" s="52" t="str">
        <f t="shared" si="18"/>
        <v>CD-539-2024</v>
      </c>
      <c r="E540" s="96" t="s">
        <v>4443</v>
      </c>
      <c r="F540" s="93" t="str">
        <f t="shared" si="19"/>
        <v>PRESTACIÓN DE SERVICIOS PROFESIONALES ESPECIALIZADOS PARA LA CONCILIACIÓN, DEPURACIÓN, INTEGRACIÓN DE INFORMACIÓN DE LA CARTERA, PARA LA CONSOLIDACIÓN DE LA INFORMACIÓN CONTABLE Y FINANCIERA DE ALIADOS ESTRATÉGICOS, DE ACUERDO CON LAS NORMAS Y REGULACIONES EN EL ICETEX</v>
      </c>
    </row>
    <row r="541" spans="1:6" ht="22.5" customHeight="1">
      <c r="A541" s="53" t="s">
        <v>7633</v>
      </c>
      <c r="B541" s="51" t="s">
        <v>8203</v>
      </c>
      <c r="C541" s="53">
        <v>2024</v>
      </c>
      <c r="D541" s="52" t="str">
        <f t="shared" si="18"/>
        <v>CD-540-2024</v>
      </c>
      <c r="E541" s="96" t="s">
        <v>5903</v>
      </c>
      <c r="F541" s="93" t="str">
        <f t="shared" si="19"/>
        <v>PRESTACIÓN DE SERVICIOS PROFESIONALES ESPECIALIZADOS EN INGENIERÍA EN ANÁLISIS, MODELAMIENTO E IMPLEMENTACIÓN DE ESTRATEGIAS DE MITIGACIÓN DE RIESGOS OPERATIVOS Y DE SEGURIDAD DIGITAL APLICABLES A LAS SOLUCIONES INFORMÁTICAS REQUERIDAS POR ICETEX.</v>
      </c>
    </row>
    <row r="542" spans="1:6" ht="22.5" customHeight="1">
      <c r="A542" s="53" t="s">
        <v>7633</v>
      </c>
      <c r="B542" s="51" t="s">
        <v>8204</v>
      </c>
      <c r="C542" s="53">
        <v>2024</v>
      </c>
      <c r="D542" s="52" t="str">
        <f t="shared" si="18"/>
        <v>CD-541-2024</v>
      </c>
      <c r="E542" s="96" t="s">
        <v>647</v>
      </c>
      <c r="F542" s="93" t="str">
        <f t="shared" si="19"/>
        <v>IMPLEMENTAR ESTRATEGIAS PARA LA EJECUCIÓN DEL PLAN COMERCIAL DE LA TERRITORIAL SUROCCIDENTE ASOCIADAS AL PORTAFOLIO DE SERVICIOS DE LCETEX EN LA REGIÓN, EN ARTICULACIÓN CON LA OFICINA COMERCIAL Y DE MERCADEO DEL NIVEL CENTRAL</v>
      </c>
    </row>
    <row r="543" spans="1:6" ht="22.5" customHeight="1">
      <c r="A543" s="53" t="s">
        <v>7633</v>
      </c>
      <c r="B543" s="51" t="s">
        <v>8205</v>
      </c>
      <c r="C543" s="53">
        <v>2024</v>
      </c>
      <c r="D543" s="52" t="str">
        <f t="shared" si="18"/>
        <v>CD-542-2024</v>
      </c>
      <c r="E543" s="96" t="s">
        <v>2851</v>
      </c>
      <c r="F543" s="93" t="str">
        <f t="shared" si="19"/>
        <v>PRESTACIÓN DE LOS SERVICIOS PROFESIONALES ESPECIALIZADOS PARA LA PREPARACIÓN Y LIQUIDACIÓN DE LOS DESEMBOLSOS EDUCATIVOS OTORGADOS CON RECURSOS PROPIOS O CON RECURSOS DE TERCEROS ADMINISTRADOS POR EL ICETEX</v>
      </c>
    </row>
    <row r="544" spans="1:6" ht="22.5" customHeight="1">
      <c r="A544" s="53" t="s">
        <v>7633</v>
      </c>
      <c r="B544" s="51" t="s">
        <v>8206</v>
      </c>
      <c r="C544" s="53">
        <v>2024</v>
      </c>
      <c r="D544" s="52" t="str">
        <f t="shared" si="18"/>
        <v>CD-543-2024</v>
      </c>
      <c r="E544" s="96" t="s">
        <v>4466</v>
      </c>
      <c r="F544" s="93" t="str">
        <f t="shared" ref="F544" si="20">UPPER(E544)</f>
        <v xml:space="preserve">PRESTACIÓN DE SERVICIOS PROFESIONALES ESPECIALIZADOS PARA LA GESTIÓN DE PROYECTOS EN EL ÁMBITO TECNOLÓGICO CON ALINEACIÓN AL CICLO DE MEJORA CONTINUA PARA EL ICETEX. </v>
      </c>
    </row>
    <row r="545" spans="1:6" ht="22.5" customHeight="1">
      <c r="A545" s="53" t="s">
        <v>7633</v>
      </c>
      <c r="B545" s="51" t="s">
        <v>8207</v>
      </c>
      <c r="C545" s="53">
        <v>2024</v>
      </c>
      <c r="D545" s="52" t="str">
        <f t="shared" si="18"/>
        <v>CD-544-2024</v>
      </c>
      <c r="E545" s="96" t="s">
        <v>4117</v>
      </c>
      <c r="F545" s="93" t="str">
        <f t="shared" ref="F545:F568" si="21">UPPER(E545)</f>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46" spans="1:6" ht="22.5" customHeight="1">
      <c r="A546" s="53" t="s">
        <v>7633</v>
      </c>
      <c r="B546" s="51" t="s">
        <v>8208</v>
      </c>
      <c r="C546" s="53">
        <v>2024</v>
      </c>
      <c r="D546" s="52" t="str">
        <f t="shared" si="18"/>
        <v>CD-545-2024</v>
      </c>
      <c r="E546" s="96" t="s">
        <v>4117</v>
      </c>
      <c r="F546" s="93" t="str">
        <f t="shared" si="21"/>
        <v>PRESTAR LOS SERVICIOS PROFESIONALES PARA APOYAR EL PROCESO VERIFICACIÓN A NIVEL NACIONAL Y DE MANERA VIRTUAL AL CORRECTO CUMPLIMIENTO DEL PROVEEDOR DE SERVICIOS DE ATENCIÓN AL USUARIO Y APOYAR LA RESPUESTA A LOS REQUERIMIENTOS DE LOS ORGANISMOS DE CONTROL EN RELACIÓN CON LA VERIFICACIÓN REALIZADA Y REALIZAR LAS DEMÁS GESTIONES DE AUTOCONTROL PROPUESTAS POR LA OFICINA COMERCIAL Y DE MERCADEO.</v>
      </c>
    </row>
    <row r="547" spans="1:6" ht="22.5" customHeight="1">
      <c r="A547" s="53" t="s">
        <v>7633</v>
      </c>
      <c r="B547" s="51" t="s">
        <v>8209</v>
      </c>
      <c r="C547" s="53">
        <v>2024</v>
      </c>
      <c r="D547" s="52" t="str">
        <f t="shared" si="18"/>
        <v>CD-546-2024</v>
      </c>
      <c r="E547" s="96" t="s">
        <v>4476</v>
      </c>
      <c r="F547" s="93" t="str">
        <f t="shared" si="21"/>
        <v>PRESTAR LOS SERVICIOS PROFESIONALES ESPECIALIZADOS PARA EL RELACIONAMIENTO E INCLUSIÓN SOCIAL DEL ICETEX, CON LAS DIFERENTES PARTES INTERESADAS (IES, ALIADOS ESTRATÉGICOS, SECTOR PÚBLICO, SECTOR PRIVADO Y AGREMIACIONES), CORRESPONDIENTES A TEMAS DE LA VICEPRESIDENCIA DE CRÉDITO Y COBRANZA.</v>
      </c>
    </row>
    <row r="548" spans="1:6" ht="22.5" customHeight="1">
      <c r="A548" s="53" t="s">
        <v>7633</v>
      </c>
      <c r="B548" s="51" t="s">
        <v>8210</v>
      </c>
      <c r="C548" s="53">
        <v>2024</v>
      </c>
      <c r="D548" s="52" t="str">
        <f t="shared" si="18"/>
        <v>CD-547-2024</v>
      </c>
      <c r="E548" s="96" t="s">
        <v>4486</v>
      </c>
      <c r="F548" s="93" t="str">
        <f t="shared" si="21"/>
        <v>PRESTAR SERVICIOS DE APOYO A LA GESTIÓN AL GRUPO DE DESARROLLO Y TRANSFORMACIÓN ORGANIZACIONAL DE LA SECRETARÍA GENERAL PARA LA ORGANIZACIÓN Y REALIZACIÓN DE LAS ACTIVIDADES PREVISTAS EN PROCESO DE FORTALECIMIENTO DE LA CULTURA ORGANIZACIONAL Y EL PLAN DE BIENESTAR E INCENTIVOS DE LE ENTIDAD EN EL MARCO DE LA POLÍTICA DE “GESTIÓN DEL TALENTO HUMANO"</v>
      </c>
    </row>
    <row r="549" spans="1:6" ht="22.5" customHeight="1">
      <c r="A549" s="53" t="s">
        <v>7633</v>
      </c>
      <c r="B549" s="51" t="s">
        <v>8211</v>
      </c>
      <c r="C549" s="53">
        <v>2024</v>
      </c>
      <c r="D549" s="52" t="str">
        <f t="shared" si="18"/>
        <v>CD-548-2024</v>
      </c>
      <c r="E549" s="96" t="s">
        <v>4495</v>
      </c>
      <c r="F549" s="93" t="str">
        <f t="shared" si="21"/>
        <v>PRESTAR LOS SERVICIOS PROFESIONALES ESPECIALIZADOS PARA EL MONITOREO DE LA EJECUCIÓN DEL PLAN SALVAGUARDAS PERTENECIENTE A LA LÍNEA DE CRÉDITO PACES Y NUEVAS FUENTES DE FINANCIACIÓN CON EL FIN DE GENERAR RECOMENDACIONES PARA LA TOMA DE DECISIONES EN EL MARCO DEL PROYECTO DE INVERSIÓN PARA LA DIVERSIFICACIÓN DE LAS FUENTES DE FONDEO</v>
      </c>
    </row>
    <row r="550" spans="1:6" ht="22.5" customHeight="1">
      <c r="A550" s="53" t="s">
        <v>7633</v>
      </c>
      <c r="B550" s="51" t="s">
        <v>8212</v>
      </c>
      <c r="C550" s="53">
        <v>2024</v>
      </c>
      <c r="D550" s="52" t="str">
        <f t="shared" si="18"/>
        <v>CD-549-2024</v>
      </c>
      <c r="E550" s="96" t="s">
        <v>4503</v>
      </c>
      <c r="F550" s="93" t="str">
        <f t="shared" si="21"/>
        <v>PRESTACIÓN DE SERVICIOS PROFESIONALES PARA ORIENTAR, MONITOREAR, CONTROLAR Y MEJORAR LA ATENCIÓN DE NECESIDADES DE CUMPLIMIENTO NORMATIVO A CARGO DEL ICETEX</v>
      </c>
    </row>
    <row r="551" spans="1:6" ht="22.5" customHeight="1">
      <c r="A551" s="53" t="s">
        <v>7633</v>
      </c>
      <c r="B551" s="51" t="s">
        <v>8213</v>
      </c>
      <c r="C551" s="53">
        <v>2024</v>
      </c>
      <c r="D551" s="52" t="str">
        <f t="shared" si="18"/>
        <v>CD-550-2024</v>
      </c>
      <c r="E551" s="96" t="s">
        <v>4511</v>
      </c>
      <c r="F551" s="93" t="str">
        <f t="shared" si="21"/>
        <v>"PRESTACIÓN DE SERVICIOS PROFESIONALES PARA EL ANÁLISIS, MODELAMIENTO, GESTIÓN Y SEGUIMIENTOS DE REQUERIMIENTOS FUNCIONALES NO FUNCIONALES, E INICIATIVAS PARA EL GRUPO DE DATOS E INFORMACIÓN."</v>
      </c>
    </row>
    <row r="552" spans="1:6" ht="22.5" customHeight="1">
      <c r="A552" s="53" t="s">
        <v>7633</v>
      </c>
      <c r="B552" s="51" t="s">
        <v>8214</v>
      </c>
      <c r="C552" s="53">
        <v>2024</v>
      </c>
      <c r="D552" s="52" t="str">
        <f t="shared" si="18"/>
        <v>CD-551-2024</v>
      </c>
      <c r="E552" s="96" t="s">
        <v>2933</v>
      </c>
      <c r="F552" s="93" t="str">
        <f t="shared" si="21"/>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53" spans="1:6" ht="22.5" customHeight="1">
      <c r="A553" s="53" t="s">
        <v>7633</v>
      </c>
      <c r="B553" s="51" t="s">
        <v>8215</v>
      </c>
      <c r="C553" s="53">
        <v>2024</v>
      </c>
      <c r="D553" s="52" t="str">
        <f t="shared" si="18"/>
        <v>CD-552-2024</v>
      </c>
      <c r="E553" s="96" t="s">
        <v>2933</v>
      </c>
      <c r="F553" s="93" t="str">
        <f t="shared" si="21"/>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54" spans="1:6" ht="22.5" customHeight="1">
      <c r="A554" s="53" t="s">
        <v>7633</v>
      </c>
      <c r="B554" s="51" t="s">
        <v>8216</v>
      </c>
      <c r="C554" s="53">
        <v>2024</v>
      </c>
      <c r="D554" s="52" t="str">
        <f t="shared" si="18"/>
        <v>CD-553-2024</v>
      </c>
      <c r="E554" s="96" t="s">
        <v>4534</v>
      </c>
      <c r="F554" s="93" t="str">
        <f t="shared" si="21"/>
        <v xml:space="preserve">RENOVACIÓN DE SOPORTE DE LICENCIAMIENTO DE LA SUITE HERRAMIENTA DE GESTIÓN T.I ARANDA DEL ICETEX. </v>
      </c>
    </row>
    <row r="555" spans="1:6" ht="22.5" customHeight="1">
      <c r="A555" s="53" t="s">
        <v>7633</v>
      </c>
      <c r="B555" s="51" t="s">
        <v>8217</v>
      </c>
      <c r="C555" s="53">
        <v>2024</v>
      </c>
      <c r="D555" s="52" t="str">
        <f t="shared" si="18"/>
        <v>CD-554-2024</v>
      </c>
      <c r="E555" s="96" t="s">
        <v>4542</v>
      </c>
      <c r="F555" s="93" t="str">
        <f t="shared" si="21"/>
        <v>PRESTACIÓN DE SERVICIOS TÉCNICOS QUE BRINDE APOYO INTEGRAL EN EL PROCESO DE ADMINISTRACIÓN DE CARTERA Y TERMINACIÓN Y CUMPLIMIENTO DE LAS OBLIGACIONES CREDITICIAS CORRESPONDIENTES AL GRUPO DE OPERACIONES, CONTRIBUYENDO AL CUMPLIMIENTO DE LOS OBJETIVOS DEL ÁREA</v>
      </c>
    </row>
    <row r="556" spans="1:6" ht="22.5" customHeight="1">
      <c r="A556" s="53" t="s">
        <v>7633</v>
      </c>
      <c r="B556" s="51" t="s">
        <v>8218</v>
      </c>
      <c r="C556" s="53">
        <v>2024</v>
      </c>
      <c r="D556" s="52" t="str">
        <f t="shared" si="18"/>
        <v>CD-555-2024</v>
      </c>
      <c r="E556" s="96" t="s">
        <v>4550</v>
      </c>
      <c r="F556" s="93" t="str">
        <f t="shared" si="21"/>
        <v>PRESTACIÓN DE SERVICIOS PROFESIONALES ESPECIALIZADOS EN INGENIERÍA PARA LA ADMINISTRACIÓN Y GESTIÓN DE LA LIBERACIÓN Y ENTREGA DE LOS PROYECTOS INFORMÁTICOS DEL GRUPO DE DATOS E INFORMACIÓN, GARANTIZANDO LOS LINEAMIENTOS DE ARQUITECTURA Y GOBIERNO DE DATOS</v>
      </c>
    </row>
    <row r="557" spans="1:6" ht="22.5" customHeight="1">
      <c r="A557" s="53" t="s">
        <v>7633</v>
      </c>
      <c r="B557" s="51" t="s">
        <v>8219</v>
      </c>
      <c r="C557" s="53">
        <v>2024</v>
      </c>
      <c r="D557" s="52" t="str">
        <f t="shared" si="18"/>
        <v>CD-556-2024</v>
      </c>
      <c r="E557" s="96" t="s">
        <v>4132</v>
      </c>
      <c r="F557" s="93" t="str">
        <f t="shared" si="21"/>
        <v>PRESTACIÓN DE SERVICIOS PROFESIONALES ESPECIALIZADOS PARA EL ANÁLISIS, MODELAMIENTO Y EJECUCIÓN DE PRUEBAS FUNCIONALES Y NO FUNCIONALES PARA EL ASEGURAMIENTO DE CALIDAD DE SOFTWARE DE LAS SOLUCIONES INFORMÁTICAS REQUERIDAS EN EL ICETEX.</v>
      </c>
    </row>
    <row r="558" spans="1:6" ht="22.5" customHeight="1">
      <c r="A558" s="53" t="s">
        <v>7633</v>
      </c>
      <c r="B558" s="51" t="s">
        <v>8220</v>
      </c>
      <c r="C558" s="53">
        <v>2024</v>
      </c>
      <c r="D558" s="52" t="str">
        <f t="shared" si="18"/>
        <v>CD-557-2024</v>
      </c>
      <c r="E558" s="96" t="s">
        <v>4565</v>
      </c>
      <c r="F558" s="93" t="str">
        <f t="shared" si="21"/>
        <v>PRESTACIÓN DE SERVICIOS PROFESIONALES ESPECIALIZADOS EN INGENIERÍA PARA TRAMITAR SERVICIOS DE TI EN LA ESTRUCTURACIÓN Y PUESTA EN MARCHA DE MEJORAS A LOS SISTEMAS DE INFORMACIÓN Y OTROS COMPONENTES DE SOFTWARE DEL ICETEX</v>
      </c>
    </row>
    <row r="559" spans="1:6" ht="22.5" customHeight="1">
      <c r="A559" s="53" t="s">
        <v>7633</v>
      </c>
      <c r="B559" s="51" t="s">
        <v>8221</v>
      </c>
      <c r="C559" s="53">
        <v>2024</v>
      </c>
      <c r="D559" s="52" t="str">
        <f t="shared" si="18"/>
        <v>CD-558-2024</v>
      </c>
      <c r="E559" s="96" t="s">
        <v>2933</v>
      </c>
      <c r="F559" s="93" t="str">
        <f t="shared" si="21"/>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60" spans="1:6" ht="22.5" customHeight="1">
      <c r="A560" s="53" t="s">
        <v>7633</v>
      </c>
      <c r="B560" s="51" t="s">
        <v>8222</v>
      </c>
      <c r="C560" s="53">
        <v>2024</v>
      </c>
      <c r="D560" s="52" t="str">
        <f t="shared" si="18"/>
        <v>CD-559-2024</v>
      </c>
      <c r="E560" s="96" t="s">
        <v>4579</v>
      </c>
      <c r="F560" s="93" t="str">
        <f t="shared" si="21"/>
        <v>PRESTAR SERVICIOS PROFESIONALES PARA APOYAR LAS ACTIVIDADES REQUERIDAS PARA LA ADQUISICIÓN, ADECUACIÓN Y MANTENIMIENTO DE SEDES DEL ICETEX A NIVEL NACIONAL.</v>
      </c>
    </row>
    <row r="561" spans="1:6" ht="22.5" customHeight="1">
      <c r="A561" s="53" t="s">
        <v>7633</v>
      </c>
      <c r="B561" s="51" t="s">
        <v>8223</v>
      </c>
      <c r="C561" s="53">
        <v>2024</v>
      </c>
      <c r="D561" s="52" t="str">
        <f t="shared" si="18"/>
        <v>CD-560-2024</v>
      </c>
      <c r="E561" s="96" t="s">
        <v>4588</v>
      </c>
      <c r="F561" s="93" t="str">
        <f t="shared" si="21"/>
        <v>PRESTACIÓN DE SERVICIOS PROFESIONALES ESPECIALIZADOS EN INGENIERÍA PARA EL ANÁLISIS DE TENDENCIAS, TRASFORMACIÓN Y PUBLICACIÓN DE DATOS, PARA EL GRUPO DE DATOS E INFORMACIÓN.</v>
      </c>
    </row>
    <row r="562" spans="1:6" ht="22.5" customHeight="1">
      <c r="A562" s="53" t="s">
        <v>7633</v>
      </c>
      <c r="B562" s="51" t="s">
        <v>8224</v>
      </c>
      <c r="C562" s="53">
        <v>2024</v>
      </c>
      <c r="D562" s="52" t="str">
        <f>CONCATENATE(A562,"-",B562,"-",C562)</f>
        <v>CD-561-2024</v>
      </c>
      <c r="E562" s="96" t="s">
        <v>4329</v>
      </c>
      <c r="F562" s="93" t="str">
        <f t="shared" si="21"/>
        <v>APOYAR LA EJECUCIÓN DEL PLAN COMERCIAL DE LA TERRITORIAL CENTRO ASOCIADA AL PORTAFOLIO DE SERVICIOS DE LCETEX EN LA REGIÓN, EN ARTICULACIÓN CON LA OFICINA COMERCIAL Y DE MERCADEO DEL NIVEL CENTRAL.</v>
      </c>
    </row>
    <row r="563" spans="1:6" ht="22.5" customHeight="1">
      <c r="A563" s="53" t="s">
        <v>7633</v>
      </c>
      <c r="B563" s="51" t="s">
        <v>8225</v>
      </c>
      <c r="C563" s="53">
        <v>2024</v>
      </c>
      <c r="D563" s="52" t="str">
        <f t="shared" si="18"/>
        <v>CD-562-2024</v>
      </c>
      <c r="E563" s="96" t="s">
        <v>4542</v>
      </c>
      <c r="F563" s="93" t="str">
        <f t="shared" si="21"/>
        <v>PRESTACIÓN DE SERVICIOS TÉCNICOS QUE BRINDE APOYO INTEGRAL EN EL PROCESO DE ADMINISTRACIÓN DE CARTERA Y TERMINACIÓN Y CUMPLIMIENTO DE LAS OBLIGACIONES CREDITICIAS CORRESPONDIENTES AL GRUPO DE OPERACIONES, CONTRIBUYENDO AL CUMPLIMIENTO DE LOS OBJETIVOS DEL ÁREA</v>
      </c>
    </row>
    <row r="564" spans="1:6" ht="22.5" customHeight="1">
      <c r="A564" s="53" t="s">
        <v>7633</v>
      </c>
      <c r="B564" s="51" t="s">
        <v>8226</v>
      </c>
      <c r="C564" s="53">
        <v>2024</v>
      </c>
      <c r="D564" s="52" t="str">
        <f>CONCATENATE(A564,"-",B564,"-",C564)</f>
        <v>CD-563-2024</v>
      </c>
      <c r="E564" s="96" t="s">
        <v>1866</v>
      </c>
      <c r="F564" s="93" t="str">
        <f t="shared" si="21"/>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565" spans="1:6" ht="22.5" customHeight="1">
      <c r="A565" s="53" t="s">
        <v>7633</v>
      </c>
      <c r="B565" s="51" t="s">
        <v>8227</v>
      </c>
      <c r="C565" s="53">
        <v>2024</v>
      </c>
      <c r="D565" s="52" t="str">
        <f t="shared" si="18"/>
        <v>CD-564-2024</v>
      </c>
      <c r="E565" s="96" t="s">
        <v>3902</v>
      </c>
      <c r="F565" s="93" t="str">
        <f>UPPER(E565)</f>
        <v>PRESTACIÓN DE SERVICIOS PROFESIONALES ESPECIALIZADOS PARA EL TRÁMITE DE SERVICIOS DE TI ORIENTADOS AL ANÁLISIS, MODELAMIENTO, DESARROLLO, PRUEBAS, IMPLEMENTACIÓN Y MEJORAMIENTO CONTINUO DE SOLUCIONES INFORMÁTICAS, REQUERIDAS EN EL ICETEX.</v>
      </c>
    </row>
    <row r="566" spans="1:6" ht="22.5" customHeight="1">
      <c r="A566" s="53" t="s">
        <v>7633</v>
      </c>
      <c r="B566" s="51" t="s">
        <v>8228</v>
      </c>
      <c r="C566" s="53">
        <v>2024</v>
      </c>
      <c r="D566" s="52" t="str">
        <f>CONCATENATE(A566,"-",B566,"-",C566)</f>
        <v>CD-565-2024</v>
      </c>
      <c r="E566" s="96" t="s">
        <v>1655</v>
      </c>
      <c r="F566" s="93" t="str">
        <f t="shared" si="21"/>
        <v>IMPLEMENTAR ESTRATEGIAS PARA LA EJECUCIÓN DEL PLAN COMERCIAL DE LA TERRITORIAL SUROCCIDENTE ASOCIADAS AL PORTAFOLIO DE SERVICIOS DE LCETEX EN LA REGIÓN, EN ARTICULACIÓN CON LA OFICINA COMERCIAL Y DE MERCADEO DEL NIVEL CENTRAL.</v>
      </c>
    </row>
    <row r="567" spans="1:6" ht="22.5" customHeight="1">
      <c r="A567" s="53" t="s">
        <v>7633</v>
      </c>
      <c r="B567" s="51" t="s">
        <v>8229</v>
      </c>
      <c r="C567" s="53">
        <v>2024</v>
      </c>
      <c r="D567" s="52" t="str">
        <f t="shared" si="18"/>
        <v>CD-566-2024</v>
      </c>
      <c r="E567" s="96" t="s">
        <v>2933</v>
      </c>
      <c r="F567" s="93" t="str">
        <f t="shared" si="21"/>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68" spans="1:6" ht="22.5" customHeight="1">
      <c r="A568" s="53" t="s">
        <v>7633</v>
      </c>
      <c r="B568" s="51" t="s">
        <v>8230</v>
      </c>
      <c r="C568" s="53">
        <v>2024</v>
      </c>
      <c r="D568" s="52" t="str">
        <f t="shared" si="18"/>
        <v>CD-567-2024</v>
      </c>
      <c r="E568" s="96" t="s">
        <v>4636</v>
      </c>
      <c r="F568" s="93" t="str">
        <f t="shared" si="21"/>
        <v>PRESTAR LOS SERVICIOS PROFESIONALES ESPECIALIZADOS EN EL DESARROLLO Y EJECUCIÓN TÉCNICA DEL PROYECTO DE INVERSIÓN DENOMINADO MEJORAMIENTO DE SEDES CORRESPONDIENTE A LA GESTIÓN DEL GRUPO DE ADMINISTRACIÓN DE RECURSOS FÍSICOS PARA EL MANTENIMIENTO Y MEJORA DE LA INFRAESTRUCTURA TENDIENTE A CONTRIBUIR Y MEJORAR LA OPORTUNIDAD DE LOS SERVICIOS QUE PRESTA LA ENTIDAD.</v>
      </c>
    </row>
    <row r="569" spans="1:6" ht="22.5" customHeight="1">
      <c r="A569" s="53" t="s">
        <v>7633</v>
      </c>
      <c r="B569" s="51" t="s">
        <v>8231</v>
      </c>
      <c r="C569" s="53">
        <v>2024</v>
      </c>
      <c r="D569" s="52" t="str">
        <f t="shared" si="18"/>
        <v>CD-568-2024</v>
      </c>
      <c r="E569" s="96" t="s">
        <v>4646</v>
      </c>
      <c r="F569" s="93" t="str">
        <f>UPPER(E569)</f>
        <v>PRESTAR SERVICIOS PROFESIONALES PARA APOYAR TÉCNICAMENTE EL PROCESO ADMINISTRACIÓN DE PERSONAL Y PROCESO DE RECONOCIMIENTO Y PAGO DE GASTOS DE VIAJE Y DESPLAZAMIENTO DE LOS COLABORADORES DE LA ENTIDAD EN EL MARCO DE LAS COMISIONES DE SERVICIO, ASÍ COMO REALIZAR EL RESPECTIVO SEGUIMIENTO A LA EJECUCIÓN PRESUPUESTAL</v>
      </c>
    </row>
    <row r="570" spans="1:6" ht="22.5" customHeight="1">
      <c r="A570" s="53" t="s">
        <v>7633</v>
      </c>
      <c r="B570" s="51" t="s">
        <v>8232</v>
      </c>
      <c r="C570" s="53">
        <v>2024</v>
      </c>
      <c r="D570" s="52" t="str">
        <f t="shared" si="18"/>
        <v>CD-569-2024</v>
      </c>
      <c r="E570" s="96" t="s">
        <v>8233</v>
      </c>
      <c r="F570" s="93" t="str">
        <f>UPPER(E570)</f>
        <v xml:space="preserve">PRESTAR LOS SERVICIOS PROFESIONALES PARA APOYAR A LA VICEPRESIDENCIA DE OPERACIÓN Y TECNOLOGÍA EN LA DEFINICIÓN, ARTICULACIÓN, DISEÑO E IMPLEMENTACIÓN DE LOS SERVICIOS DE INTEROPERABILIDAD, SIGUIENDO LOS LINEAMIENTOS ESTABLECIDOS POR MINTIC Y EL ICETEX PARA LA INTEGRACIÓN CON LOS SISTEMAS INTERNOS Y LAS ENTIDADES EXTERNAS GARANTIZANDO LA OPERACIÓN DE LOS PROCESOS MISIONALES Y NO MISIONALES.
</v>
      </c>
    </row>
    <row r="571" spans="1:6" ht="22.5" customHeight="1">
      <c r="A571" s="53" t="s">
        <v>7633</v>
      </c>
      <c r="B571" s="51" t="s">
        <v>8234</v>
      </c>
      <c r="C571" s="53">
        <v>2024</v>
      </c>
      <c r="D571" s="52" t="str">
        <f t="shared" si="18"/>
        <v>CD-570-2024</v>
      </c>
      <c r="E571" s="96" t="s">
        <v>4663</v>
      </c>
      <c r="F571" s="93" t="str">
        <f>UPPER(E571)</f>
        <v>PRESTAR SERVICIOS PROFESIONALES ESPECIALIZADOS PARA DESARROLLAR EL ACOMPAÑAMIENTO A LA IMPLEMENTACIÓN, SEGUIMIENTO Y FORTALECIMIENTO DE LAS POLÍTICAS QUE CONFORMAN EL MODELO INTEGRADO DE PLANEACIÓN Y GESTIÓN- MIPG.</v>
      </c>
    </row>
    <row r="572" spans="1:6" ht="22.5" customHeight="1">
      <c r="A572" s="53" t="s">
        <v>7633</v>
      </c>
      <c r="B572" s="51" t="s">
        <v>8235</v>
      </c>
      <c r="C572" s="53">
        <v>2024</v>
      </c>
      <c r="D572" s="52" t="str">
        <f t="shared" si="18"/>
        <v>CD-571-2024</v>
      </c>
      <c r="E572" s="96" t="s">
        <v>4671</v>
      </c>
      <c r="F572" s="93" t="str">
        <f>UPPER(E572)</f>
        <v xml:space="preserve">PRESTACIÓN DE SERVICIOS PROFESIONALES ESPECIALIZADOS EN ANÁLISIS Y GESTIÓN DE REQUERIMIENTOS FUNCIONALES Y NO FUNCIONALES EN EL MARCO DE LA DIRECCIÓN DE TECNOLOGÍA.
</v>
      </c>
    </row>
    <row r="573" spans="1:6" ht="22.5" customHeight="1">
      <c r="A573" s="53" t="s">
        <v>7633</v>
      </c>
      <c r="B573" s="51" t="s">
        <v>8236</v>
      </c>
      <c r="C573" s="53">
        <v>2024</v>
      </c>
      <c r="D573" s="52" t="str">
        <f t="shared" si="18"/>
        <v>CD-572-2024</v>
      </c>
      <c r="E573" s="96" t="s">
        <v>2933</v>
      </c>
      <c r="F573" s="93" t="str">
        <f>UPPER(E573)</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74" spans="1:6" ht="22.5" customHeight="1">
      <c r="A574" s="53" t="s">
        <v>7633</v>
      </c>
      <c r="B574" s="51" t="s">
        <v>8237</v>
      </c>
      <c r="C574" s="53">
        <v>2024</v>
      </c>
      <c r="D574" s="52" t="str">
        <f t="shared" si="18"/>
        <v>CD-573-2024</v>
      </c>
      <c r="E574" s="96" t="s">
        <v>4689</v>
      </c>
      <c r="F574" s="93" t="str">
        <f t="shared" ref="F574:F575" si="22">UPPER(E574)</f>
        <v>PRESTAR SERVICIOS DE APOYO A LA GESTIÓN EN LAS ACTIVIDADES OPERATIVAS Y DE ARCHIVO EN LA POLÍTICA DE GESTIÓN DEL TALENTO HUMANO</v>
      </c>
    </row>
    <row r="575" spans="1:6" ht="22.5" customHeight="1">
      <c r="A575" s="53" t="s">
        <v>7633</v>
      </c>
      <c r="B575" s="51" t="s">
        <v>8238</v>
      </c>
      <c r="C575" s="53">
        <v>2024</v>
      </c>
      <c r="D575" s="52" t="str">
        <f t="shared" si="18"/>
        <v>CD-574-2024</v>
      </c>
      <c r="E575" s="96" t="s">
        <v>4698</v>
      </c>
      <c r="F575" s="93" t="str">
        <f t="shared" si="22"/>
        <v>PRESTAR LOS SERVICIOS DE APOYO TÉCNICO PARA LA REALIZACIÓN DEL SEGUIMIENTO Y MONITOREO DE LOS BENEFICIARIOS Y PROGRAMAS DEL PORTAFOLIO INTERNACIONAL DESCRITOS EN LA POLÍTICA DE COOPERACIÓN ACADÉMICA INTERNACIONAL E INTERINSTITUCIONAL DEL ICETEX</v>
      </c>
    </row>
    <row r="576" spans="1:6" ht="22.5" customHeight="1">
      <c r="A576" s="53" t="s">
        <v>7633</v>
      </c>
      <c r="B576" s="51" t="s">
        <v>8239</v>
      </c>
      <c r="C576" s="53">
        <v>2024</v>
      </c>
      <c r="D576" s="52" t="str">
        <f t="shared" si="18"/>
        <v>CD-575-2024</v>
      </c>
      <c r="E576" s="96" t="s">
        <v>4708</v>
      </c>
      <c r="F576" s="93" t="str">
        <f>UPPER(E576)</f>
        <v>PRESTAR SUS SERVICIOS PROFESIONALES A LA SECRETARIA GENERAL EN LA ORIENTACIÓN, ARTICULACIÓN Y OPTIMIZACIÓN DE LOS ASUNTOS RELACIONADOS CON LAS DIFERENTES COORDINACIONES A CARGO DE ESTA</v>
      </c>
    </row>
    <row r="577" spans="1:6" ht="22.5" customHeight="1">
      <c r="A577" s="53" t="s">
        <v>7633</v>
      </c>
      <c r="B577" s="51" t="s">
        <v>8240</v>
      </c>
      <c r="C577" s="53">
        <v>2024</v>
      </c>
      <c r="D577" s="52" t="str">
        <f t="shared" si="18"/>
        <v>CD-576-2024</v>
      </c>
      <c r="E577" s="96" t="s">
        <v>4716</v>
      </c>
      <c r="F577" s="93" t="str">
        <f>UPPER(E577)</f>
        <v>PRESTAR LOS SERVICIOS PROFESIONALES EN LA SECRETARIA GENERAL EN ASUNTOS RELACIONADOS CON LA GESTIÓN ESTRATÉGICA DE LA DEPENDENCIA.</v>
      </c>
    </row>
    <row r="578" spans="1:6" ht="22.5" customHeight="1">
      <c r="A578" s="53" t="s">
        <v>7633</v>
      </c>
      <c r="B578" s="51" t="s">
        <v>8241</v>
      </c>
      <c r="C578" s="53">
        <v>2024</v>
      </c>
      <c r="D578" s="52" t="str">
        <f t="shared" ref="D578:D641" si="23">CONCATENATE(A578,"-",B578,"-",C578)</f>
        <v>CD-577-2024</v>
      </c>
      <c r="E578" s="96" t="s">
        <v>4724</v>
      </c>
      <c r="F578" s="93" t="str">
        <f>UPPER(E578)</f>
        <v>: 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v>
      </c>
    </row>
    <row r="579" spans="1:6" ht="22.5" customHeight="1">
      <c r="A579" s="53" t="s">
        <v>7633</v>
      </c>
      <c r="B579" s="51" t="s">
        <v>8242</v>
      </c>
      <c r="C579" s="53">
        <v>2024</v>
      </c>
      <c r="D579" s="52" t="str">
        <f t="shared" si="23"/>
        <v>CD-578-2024</v>
      </c>
      <c r="E579" s="96" t="s">
        <v>4732</v>
      </c>
      <c r="F579" s="93" t="str">
        <f t="shared" ref="F579:F641" si="24">UPPER(E579)</f>
        <v>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v>
      </c>
    </row>
    <row r="580" spans="1:6" ht="22.5" customHeight="1">
      <c r="A580" s="53" t="s">
        <v>7633</v>
      </c>
      <c r="B580" s="51" t="s">
        <v>8243</v>
      </c>
      <c r="C580" s="53">
        <v>2024</v>
      </c>
      <c r="D580" s="52" t="str">
        <f t="shared" si="23"/>
        <v>CD-579-2024</v>
      </c>
      <c r="E580" s="96" t="s">
        <v>4740</v>
      </c>
      <c r="F580" s="93" t="str">
        <f>UPPER(E580)</f>
        <v>PRESTAR SERVICIOS PROFESIONALES A LA SECRETARIA GENERAL EN LAS ACTIVIDADES EN ECONÓMICAS Y FINANCIERAS DE LOS PROCESOS CONTRACTUALES ATENDIENDO LOS LINEAMIENTOS INTERNOS, NORMAS DE AUSTERIDAD DEL GASTO Y DEMÁS CONCORDANTES</v>
      </c>
    </row>
    <row r="581" spans="1:6" ht="22.5" customHeight="1">
      <c r="A581" s="53" t="s">
        <v>7633</v>
      </c>
      <c r="B581" s="51" t="s">
        <v>8244</v>
      </c>
      <c r="C581" s="53">
        <v>2024</v>
      </c>
      <c r="D581" s="52" t="str">
        <f t="shared" si="23"/>
        <v>CD-580-2024</v>
      </c>
      <c r="E581" s="96" t="s">
        <v>8245</v>
      </c>
      <c r="F581" s="93" t="str">
        <f t="shared" si="24"/>
        <v>PRESTAR SERVICIOS PROFESIONALES A LA SECRETARIA GENERAL EN LA GESTIÓN CONTRACTUAL PARA LA ESTRUCTURACIÓN, SEGUIMIENTO Y EVALUACIÓN ECONÓMICA Y FINANCIERA, EN CUMPLIMIENTO DEL PLAN DE COMPRAS DE LA ENTIDAD, ATENDIENDO LOS LINEAMIENTOS INTERNOS, NORMAS DE AUSTERIDAD DEL GASTO Y DEMÁS CONCORDANTES</v>
      </c>
    </row>
    <row r="582" spans="1:6" ht="22.5" customHeight="1">
      <c r="A582" s="53" t="s">
        <v>7633</v>
      </c>
      <c r="B582" s="51" t="s">
        <v>8246</v>
      </c>
      <c r="C582" s="53">
        <v>2024</v>
      </c>
      <c r="D582" s="52" t="str">
        <f t="shared" si="23"/>
        <v>CD-581-2024</v>
      </c>
      <c r="E582" s="96" t="s">
        <v>8247</v>
      </c>
      <c r="F582" s="93" t="str">
        <f t="shared" si="24"/>
        <v>: PRESTAR SUS SERVICIOS PROFESIONALES PARA LA ATENCIÓN DE PQRSD, CONDONACIONES Y DEMÁS TRÁMITES RELACIONADOS A CARGO DE LA VICEPRESIDENCIA DE FONDOS EN ADMINISTRACIÓN</v>
      </c>
    </row>
    <row r="583" spans="1:6" ht="22.5" customHeight="1">
      <c r="A583" s="53" t="s">
        <v>7633</v>
      </c>
      <c r="B583" s="51" t="s">
        <v>8248</v>
      </c>
      <c r="C583" s="53">
        <v>2024</v>
      </c>
      <c r="D583" s="52" t="str">
        <f t="shared" si="23"/>
        <v>CD-582-2024</v>
      </c>
      <c r="E583" s="96" t="s">
        <v>4750</v>
      </c>
      <c r="F583" s="93" t="str">
        <f t="shared" si="24"/>
        <v>PRESTAR SUS SERVICIOS PROFESIONALES PARA LA ATENCIÓN DE PQRSD, CONDONACIONES Y DEMÁS TRÁMITES RELACIONADOS A CARGO DE LA VICEPRESIDENCIA DE FONDOS EN ADMINISTRACIÓN</v>
      </c>
    </row>
    <row r="584" spans="1:6" ht="22.5" customHeight="1">
      <c r="A584" s="53" t="s">
        <v>7633</v>
      </c>
      <c r="B584" s="51" t="s">
        <v>8249</v>
      </c>
      <c r="C584" s="53">
        <v>2024</v>
      </c>
      <c r="D584" s="52" t="str">
        <f t="shared" si="23"/>
        <v>CD-583-2024</v>
      </c>
      <c r="E584" s="96" t="s">
        <v>2933</v>
      </c>
      <c r="F584"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85" spans="1:6" ht="22.5" customHeight="1">
      <c r="A585" s="53" t="s">
        <v>7633</v>
      </c>
      <c r="B585" s="51" t="s">
        <v>8250</v>
      </c>
      <c r="C585" s="53">
        <v>2024</v>
      </c>
      <c r="D585" s="52" t="str">
        <f t="shared" si="23"/>
        <v>CD-584-2024</v>
      </c>
      <c r="E585" s="96" t="s">
        <v>4765</v>
      </c>
      <c r="F585" s="93" t="str">
        <f t="shared" si="24"/>
        <v>PRESTAR LOS SERVICIOS PROFESIONALES ESPECIALIZADOS PARA LA REPRESENTACIÓN EN LIQUIDACIONES PATRIMONIALES Y PROCESOS DE INSOLVENCIA ECONÓMICA DE PERSONA NATURAL NO COMERCIANTE QUE SE NOTIFIQUE AL ICETEX.</v>
      </c>
    </row>
    <row r="586" spans="1:6" ht="22.5" customHeight="1">
      <c r="A586" s="53" t="s">
        <v>7633</v>
      </c>
      <c r="B586" s="51" t="s">
        <v>8251</v>
      </c>
      <c r="C586" s="53">
        <v>2024</v>
      </c>
      <c r="D586" s="52" t="str">
        <f t="shared" si="23"/>
        <v>CD-585-2024</v>
      </c>
      <c r="E586" s="96" t="s">
        <v>4773</v>
      </c>
      <c r="F586" s="93" t="str">
        <f t="shared" si="24"/>
        <v>PRESTACIÓN DE SERVICIOS PROFESIONALES ESPECIALIZADOS EN INGENIERÍA PARA GESTIÓN DE SERVICIOS DE TI EN EL ANÁLISIS, MODELAMIENTO, DESARROLLO, IMPLEMENTACIÓN Y MEJORAMIENTO CONTINUO DE SOLUCIONES INFORMÁTICAS PARA LAS INICIATIVAS PARA EL GRUPO DE DATOS E INFORMACIÓN.</v>
      </c>
    </row>
    <row r="587" spans="1:6" ht="22.5" customHeight="1">
      <c r="A587" s="53" t="s">
        <v>7633</v>
      </c>
      <c r="B587" s="51" t="s">
        <v>8252</v>
      </c>
      <c r="C587" s="53">
        <v>2024</v>
      </c>
      <c r="D587" s="52" t="str">
        <f t="shared" si="23"/>
        <v>CD-586-2024</v>
      </c>
      <c r="E587" s="96" t="s">
        <v>4781</v>
      </c>
      <c r="F587" s="93" t="str">
        <f t="shared" si="24"/>
        <v>PRESTACIÓN DE SERVICIOS PROFESIONALES ESPECIALIZADOS EN INGENIERÍA PARA LA DEFINICIÓN E IMPLEMENTACIÓN DE METODOLOGÍAS PARA LA SOLUCIÓN DE PROBLEMAS COMPLEJOS ASOCIADOS A LOS DATOS DE LA ENTIDAD Y SIGUIENDO LOS LINEAMIENTOS DE ARQUITECTURA Y EL GRUPO DE DATOS E INFORMACIÓN.</v>
      </c>
    </row>
    <row r="588" spans="1:6" ht="22.5" customHeight="1">
      <c r="A588" s="53" t="s">
        <v>7633</v>
      </c>
      <c r="B588" s="51" t="s">
        <v>8253</v>
      </c>
      <c r="C588" s="53">
        <v>2024</v>
      </c>
      <c r="D588" s="52" t="str">
        <f t="shared" si="23"/>
        <v>CD-587-2024</v>
      </c>
      <c r="E588" s="96" t="s">
        <v>4132</v>
      </c>
      <c r="F588" s="93" t="str">
        <f t="shared" si="24"/>
        <v>PRESTACIÓN DE SERVICIOS PROFESIONALES ESPECIALIZADOS PARA EL ANÁLISIS, MODELAMIENTO Y EJECUCIÓN DE PRUEBAS FUNCIONALES Y NO FUNCIONALES PARA EL ASEGURAMIENTO DE CALIDAD DE SOFTWARE DE LAS SOLUCIONES INFORMÁTICAS REQUERIDAS EN EL ICETEX.</v>
      </c>
    </row>
    <row r="589" spans="1:6" ht="22.5" customHeight="1">
      <c r="A589" s="53" t="s">
        <v>7633</v>
      </c>
      <c r="B589" s="51" t="s">
        <v>8254</v>
      </c>
      <c r="C589" s="53">
        <v>2024</v>
      </c>
      <c r="D589" s="52" t="str">
        <f t="shared" si="23"/>
        <v>CD-588-2024</v>
      </c>
      <c r="E589" s="96" t="s">
        <v>4796</v>
      </c>
      <c r="F589" s="93" t="str">
        <f t="shared" si="24"/>
        <v>APOYAR LA EJECUCIÓN DEL PLAN COMERCIAL DE LA TERRITORIAL NORTE ASOCIADA AL PORTAFOLIO DE SERVICIOS DE LCETEX EN LA REGIÓN, EN ARTICULACIÓN CON LA OFICINA COMERCIAL Y DE MERCADEO DEL NIVEL CENTRAL</v>
      </c>
    </row>
    <row r="590" spans="1:6" ht="22.5" customHeight="1">
      <c r="A590" s="53" t="s">
        <v>7633</v>
      </c>
      <c r="B590" s="51" t="s">
        <v>8255</v>
      </c>
      <c r="C590" s="53">
        <v>2024</v>
      </c>
      <c r="D590" s="52" t="str">
        <f t="shared" si="23"/>
        <v>CD-589-2024</v>
      </c>
      <c r="E590" s="96" t="s">
        <v>4804</v>
      </c>
      <c r="F590" s="93" t="str">
        <f t="shared" si="24"/>
        <v>PRESTACIÓN DE SERVICIOS PROFESIONALES PARA EL TRÁMITE DE SERVICIOS TI EN LA CONFIGURACIÓN Y SOPORTE TÉCNICO Y GESTIONES DE HABILITACIÓN DE RECURSOS DEL ICETEX.</v>
      </c>
    </row>
    <row r="591" spans="1:6" ht="22.5" customHeight="1">
      <c r="A591" s="53" t="s">
        <v>7633</v>
      </c>
      <c r="B591" s="51" t="s">
        <v>8256</v>
      </c>
      <c r="C591" s="53">
        <v>2024</v>
      </c>
      <c r="D591" s="52" t="str">
        <f t="shared" si="23"/>
        <v>CD-590-2024</v>
      </c>
      <c r="E591" s="96" t="s">
        <v>4812</v>
      </c>
      <c r="F591" s="93" t="str">
        <f t="shared" si="24"/>
        <v>PRESTACIÓN DE SERVICIOS PROFESIONALES ESPECIALIZADOS EN LA GESTIÓN ADMINISTRACIÓN, SOPORTE Y MANTENIMIENTO EN PROYECTOS Y SERVICIOS DE INFRAESTRUCTURA, QUE SOPORTAN LA OPERACIÓN DEL INSTITUTO, EJECUTANDO ACTIVIDADES EN PLATAFORMAS TI PARA LA EJECUCIÓN DE PROCEDIMIENTOS Y RESOLUCIÓN DE INCIDENTES DEL ICETEX</v>
      </c>
    </row>
    <row r="592" spans="1:6" ht="22.5" customHeight="1">
      <c r="A592" s="53" t="s">
        <v>7633</v>
      </c>
      <c r="B592" s="51" t="s">
        <v>8257</v>
      </c>
      <c r="C592" s="53">
        <v>2024</v>
      </c>
      <c r="D592" s="52" t="str">
        <f t="shared" si="23"/>
        <v>CD-591-2024</v>
      </c>
      <c r="E592" s="96" t="s">
        <v>4820</v>
      </c>
      <c r="F592" s="93" t="str">
        <f>UPPER(E592)</f>
        <v>PRESTACIÓN DE SERVICIOS PROFESIONALES ESPECIALIZADOS EN INGENIERÍA EN LA ADECUACIÓN DE NUEVOS SERVICIOS DE SISTEMAS DE INFORMACIÓN FINANCIEROS, SOPORTE FUNCIONAL, SOPORTE TÉCNICO, Y MANTENIMIENTO CORRECTIVO EN EL MARCO DE LAS FUNCIONES DEL ICETEX.</v>
      </c>
    </row>
    <row r="593" spans="1:6" ht="22.5" customHeight="1">
      <c r="A593" s="53" t="s">
        <v>7633</v>
      </c>
      <c r="B593" s="51" t="s">
        <v>8258</v>
      </c>
      <c r="C593" s="53">
        <v>2024</v>
      </c>
      <c r="D593" s="52" t="str">
        <f>CONCATENATE(A593,"-",B593,"-",C593)</f>
        <v>CD-592-2024</v>
      </c>
      <c r="E593" s="96" t="s">
        <v>2933</v>
      </c>
      <c r="F593"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94" spans="1:6" ht="22.5" customHeight="1">
      <c r="A594" s="53" t="s">
        <v>7633</v>
      </c>
      <c r="B594" s="51" t="s">
        <v>8259</v>
      </c>
      <c r="C594" s="53">
        <v>2024</v>
      </c>
      <c r="D594" s="52" t="str">
        <f t="shared" si="23"/>
        <v>CD-593-2024</v>
      </c>
      <c r="E594" s="96" t="s">
        <v>2933</v>
      </c>
      <c r="F594"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95" spans="1:6" ht="22.5" customHeight="1">
      <c r="A595" s="53" t="s">
        <v>7633</v>
      </c>
      <c r="B595" s="51" t="s">
        <v>8260</v>
      </c>
      <c r="C595" s="53">
        <v>2024</v>
      </c>
      <c r="D595" s="52" t="str">
        <f t="shared" si="23"/>
        <v>CD-594-2024</v>
      </c>
      <c r="E595" s="96" t="s">
        <v>4855</v>
      </c>
      <c r="F595" s="93" t="str">
        <f t="shared" si="24"/>
        <v>PRESTAR SERVICIOS TÉCNICOS PARA EL DISEÑO DE CONTENIDOS GRÁFICOS PARA LOS ENTORNOS DIGITALES QUE MANEJA LA OFICINA ASESORA DE COMUNICACIÓN</v>
      </c>
    </row>
    <row r="596" spans="1:6" ht="22.5" customHeight="1">
      <c r="A596" s="53" t="s">
        <v>7633</v>
      </c>
      <c r="B596" s="51" t="s">
        <v>8261</v>
      </c>
      <c r="C596" s="53">
        <v>2024</v>
      </c>
      <c r="D596" s="52" t="str">
        <f t="shared" si="23"/>
        <v>CD-595-2024</v>
      </c>
      <c r="E596" s="96" t="s">
        <v>3477</v>
      </c>
      <c r="F596" s="93" t="str">
        <f t="shared" si="24"/>
        <v>PRESTAR LOS SERVICIOS PROFESIONALES PARA LA ADOPCIÓN DE LOS ESTÁNDARES, BUENAS PRÁCTICAS Y PROCEDIMIENTOS QUE PERMITAN OPTIMIZAR LOS TIEMPOS DE OPERACIÓN CONTABLE, ASÍ COMO, LOS PROCESOS DE CONSOLIDACIÓN Y MEJORA DE LA CALIDAD DE LA INFORMACIÓN FINANCIERA PARA LA REGULARIZACIÓN DE LOS FONDOS Y ALIANZAS EN ADMINISTRACIÓN, EN EL MARCO DEL PROYECTO DE BANCA ABIERTA Y TRANSPARENTE E INHOUSE BANKING</v>
      </c>
    </row>
    <row r="597" spans="1:6" ht="22.5" customHeight="1">
      <c r="A597" s="53" t="s">
        <v>7633</v>
      </c>
      <c r="B597" s="51" t="s">
        <v>8262</v>
      </c>
      <c r="C597" s="53">
        <v>2024</v>
      </c>
      <c r="D597" s="52" t="str">
        <f t="shared" si="23"/>
        <v>CD-596-2024</v>
      </c>
      <c r="E597" s="96" t="s">
        <v>2933</v>
      </c>
      <c r="F597"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98" spans="1:6" ht="22.5" customHeight="1">
      <c r="A598" s="53" t="s">
        <v>7633</v>
      </c>
      <c r="B598" s="51" t="s">
        <v>8263</v>
      </c>
      <c r="C598" s="53">
        <v>2024</v>
      </c>
      <c r="D598" s="52" t="str">
        <f t="shared" si="23"/>
        <v>CD-597-2024</v>
      </c>
      <c r="E598" s="96" t="s">
        <v>2933</v>
      </c>
      <c r="F598" s="93" t="str">
        <f>UPPER(E598)</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599" spans="1:6" ht="22.5" customHeight="1">
      <c r="A599" s="53" t="s">
        <v>7633</v>
      </c>
      <c r="B599" s="51" t="s">
        <v>8264</v>
      </c>
      <c r="C599" s="53">
        <v>2024</v>
      </c>
      <c r="D599" s="52" t="str">
        <f t="shared" si="23"/>
        <v>CD-598-2024</v>
      </c>
      <c r="E599" s="96" t="s">
        <v>4886</v>
      </c>
      <c r="F599" s="93" t="str">
        <f>UPPER(E599)</f>
        <v>PRESTAR SERVICIOS PROFESIONALES ESPECIALIZADOS CON EL FIN DE ANALIZAR, EVALUAR Y EJECUTAR ESTRATEGIAS, ENFOCADAS AL MEJORAMIENTO DE LA EXPERIENCIA Y SATISFACCIÓN DE LOS GRUPOS DE INTERÉS ICETEX (BENEFICIARIOS, CIUDADANOS IES) EN SUS INTERACCIONES CON LA ENTIDAD</v>
      </c>
    </row>
    <row r="600" spans="1:6" ht="22.5" customHeight="1">
      <c r="A600" s="53" t="s">
        <v>7633</v>
      </c>
      <c r="B600" s="51" t="s">
        <v>8265</v>
      </c>
      <c r="C600" s="53">
        <v>2024</v>
      </c>
      <c r="D600" s="52" t="str">
        <f t="shared" si="23"/>
        <v>CD-599-2024</v>
      </c>
      <c r="E600" s="96" t="s">
        <v>3258</v>
      </c>
      <c r="F600" s="93" t="str">
        <f t="shared" si="24"/>
        <v>PRESTAR SUS SERVICIOS PROFESIONALES GESTIONANDO LA LIQUIDACIÓN Y/O CIERRE DE LOS CONTRATOS Y CONVENIOS A CARGO DE LA VICEPRESIDENCIA DE FONDOS EN ADMINISTRACIÓN.</v>
      </c>
    </row>
    <row r="601" spans="1:6" ht="22.5" customHeight="1">
      <c r="A601" s="53" t="s">
        <v>7633</v>
      </c>
      <c r="B601" s="51" t="s">
        <v>8266</v>
      </c>
      <c r="C601" s="53">
        <v>2024</v>
      </c>
      <c r="D601" s="52" t="str">
        <f t="shared" si="23"/>
        <v>CD-600-2024</v>
      </c>
      <c r="E601" s="96" t="s">
        <v>4901</v>
      </c>
      <c r="F601" s="93" t="str">
        <f t="shared" si="24"/>
        <v xml:space="preserve">PRESTACIÓN DE SERVICIOS PROFESIONALES ESPECIALIZADOS PARA LA ALINEACIÓN METODOLÓGICA Y TÉCNICA DE LA GESTIÓN INTEGRAL DEL CICLO DE MEJORA CONTINUA DE PROYECTOS EN EL ÁMBITO TECNOLÓGICO PARA EL ICETEX. </v>
      </c>
    </row>
    <row r="602" spans="1:6" ht="22.5" customHeight="1">
      <c r="A602" s="53" t="s">
        <v>7633</v>
      </c>
      <c r="B602" s="51" t="s">
        <v>8267</v>
      </c>
      <c r="C602" s="53">
        <v>2024</v>
      </c>
      <c r="D602" s="52" t="str">
        <f t="shared" si="23"/>
        <v>CD-601-2024</v>
      </c>
      <c r="E602" s="96" t="s">
        <v>3867</v>
      </c>
      <c r="F602" s="93" t="str">
        <f t="shared" si="24"/>
        <v>IMPLEMENTAR ESTRATEGIAS PARA LA EJECUCIÓN DEL PLAN COMERCIAL DE LA TERRITORIAL CENTRO ASOCIADAS AL PORTAFOLIO DE SERVICIOS DE LCETEX EN LA REGIÓN, EN ARTICULACIÓN CON LA OFICINA COMERCIAL Y DE MERCADEO DEL NIVEL CENTRAL</v>
      </c>
    </row>
    <row r="603" spans="1:6" ht="22.5" customHeight="1">
      <c r="A603" s="53" t="s">
        <v>7633</v>
      </c>
      <c r="B603" s="51" t="s">
        <v>8268</v>
      </c>
      <c r="C603" s="53">
        <v>2024</v>
      </c>
      <c r="D603" s="52" t="str">
        <f t="shared" si="23"/>
        <v>CD-602-2024</v>
      </c>
      <c r="E603" s="96" t="s">
        <v>4916</v>
      </c>
      <c r="F603" s="93" t="str">
        <f t="shared" si="24"/>
        <v>PRESTAR LOS SERVICIOS DE APOYO TÉCNICO PARA EL SEGUIMIENTO Y LA DEBIDA GESTIÓN DE PLANES DE CONTROL Y AUTOCONTROL, DE CONFORMIDAD CON LOS PROCESOS Y PROCEDIMIENTOS ORGANIZACIONALES Y NORMATIVOS DEL ICETEX</v>
      </c>
    </row>
    <row r="604" spans="1:6" ht="22.5" customHeight="1">
      <c r="A604" s="53" t="s">
        <v>7633</v>
      </c>
      <c r="B604" s="51" t="s">
        <v>8269</v>
      </c>
      <c r="C604" s="53">
        <v>2024</v>
      </c>
      <c r="D604" s="52" t="str">
        <f t="shared" si="23"/>
        <v>CD-603-2024</v>
      </c>
      <c r="E604" s="96" t="s">
        <v>2933</v>
      </c>
      <c r="F604"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05" spans="1:6" ht="22.5" customHeight="1">
      <c r="A605" s="53" t="s">
        <v>7633</v>
      </c>
      <c r="B605" s="51" t="s">
        <v>8270</v>
      </c>
      <c r="C605" s="53">
        <v>2024</v>
      </c>
      <c r="D605" s="52" t="str">
        <f t="shared" si="23"/>
        <v>CD-604-2024</v>
      </c>
      <c r="E605" s="96" t="s">
        <v>4930</v>
      </c>
      <c r="F605" s="93" t="str">
        <f t="shared" si="24"/>
        <v>PRESTAR LOS SERVICIOS PROFESIONALES PARA ADMINISTRAR Y APOYAR TODAS LAS FASES DEL PLAN DE CONTINUIDAD DE NEGOCIO DE LA ENTIDAD Y SER APOYO BACKUP (TENIENDO EN CUENTA LOS TERCEROS CRÍTICOS) BAJO EL MARCO NORMATIVO VIGENTE Y/O BUENAS PRÁCTICAS.</v>
      </c>
    </row>
    <row r="606" spans="1:6" ht="22.5" customHeight="1">
      <c r="A606" s="53" t="s">
        <v>7633</v>
      </c>
      <c r="B606" s="51" t="s">
        <v>8271</v>
      </c>
      <c r="C606" s="53">
        <v>2024</v>
      </c>
      <c r="D606" s="52" t="str">
        <f t="shared" si="23"/>
        <v>CD-605-2024</v>
      </c>
      <c r="E606" s="96" t="s">
        <v>4939</v>
      </c>
      <c r="F606" s="93" t="str">
        <f t="shared" si="24"/>
        <v>PRESTACIÓN DE SERVICIOS PROFESIONALES ESPECIALIZADOS PARA EL ANÁLISIS, MODELAMIENTO Y EJECUCIÓN DE PRUEBAS FUNCIONALES Y NO FUNCIONALES PARA EL ASEGURAMIENTO DE CALIDAD DE SOFTWARE DE LAS SOLUCIONES INFORMÁTICAS REQUERIDAS EN EL ICETEX</v>
      </c>
    </row>
    <row r="607" spans="1:6" ht="22.5" customHeight="1">
      <c r="A607" s="53" t="s">
        <v>7633</v>
      </c>
      <c r="B607" s="51" t="s">
        <v>8272</v>
      </c>
      <c r="C607" s="53">
        <v>2024</v>
      </c>
      <c r="D607" s="52" t="str">
        <f t="shared" si="23"/>
        <v>CD-606-2024</v>
      </c>
      <c r="E607" s="96" t="s">
        <v>4947</v>
      </c>
      <c r="F607" s="93" t="str">
        <f t="shared" si="24"/>
        <v>PRESTACIÓN DE SERVICIOS PROFESIONALES ESPECIALIZADOS EN LA ADMINISTRACIÓN DE PROYECTOS, CORRECCIÓN DE PROBLEMAS DE CONFIABILIDAD, SEGUIMIENTO DEL PROGRESO, ADMINISTRACIÓN DE RECURSOS Y EJECUCIÓN DE LOS PROCESOS EN EL ICETEX.</v>
      </c>
    </row>
    <row r="608" spans="1:6" ht="22.5" customHeight="1">
      <c r="A608" s="53" t="s">
        <v>7633</v>
      </c>
      <c r="B608" s="51" t="s">
        <v>8273</v>
      </c>
      <c r="C608" s="53">
        <v>2024</v>
      </c>
      <c r="D608" s="52" t="str">
        <f t="shared" si="23"/>
        <v>CD-607-2024</v>
      </c>
      <c r="E608" s="96" t="s">
        <v>3902</v>
      </c>
      <c r="F608" s="93" t="str">
        <f t="shared" si="24"/>
        <v>PRESTACIÓN DE SERVICIOS PROFESIONALES ESPECIALIZADOS PARA EL TRÁMITE DE SERVICIOS DE TI ORIENTADOS AL ANÁLISIS, MODELAMIENTO, DESARROLLO, PRUEBAS, IMPLEMENTACIÓN Y MEJORAMIENTO CONTINUO DE SOLUCIONES INFORMÁTICAS, REQUERIDAS EN EL ICETEX.</v>
      </c>
    </row>
    <row r="609" spans="1:6" ht="22.5" customHeight="1">
      <c r="A609" s="53" t="s">
        <v>7633</v>
      </c>
      <c r="B609" s="51" t="s">
        <v>8274</v>
      </c>
      <c r="C609" s="53">
        <v>2024</v>
      </c>
      <c r="D609" s="52" t="str">
        <f t="shared" si="23"/>
        <v>CD-608-2024</v>
      </c>
      <c r="E609" s="96" t="s">
        <v>4132</v>
      </c>
      <c r="F609" s="93" t="str">
        <f t="shared" si="24"/>
        <v>PRESTACIÓN DE SERVICIOS PROFESIONALES ESPECIALIZADOS PARA EL ANÁLISIS, MODELAMIENTO Y EJECUCIÓN DE PRUEBAS FUNCIONALES Y NO FUNCIONALES PARA EL ASEGURAMIENTO DE CALIDAD DE SOFTWARE DE LAS SOLUCIONES INFORMÁTICAS REQUERIDAS EN EL ICETEX.</v>
      </c>
    </row>
    <row r="610" spans="1:6" ht="22.5" customHeight="1">
      <c r="A610" s="53" t="s">
        <v>7633</v>
      </c>
      <c r="B610" s="51" t="s">
        <v>8275</v>
      </c>
      <c r="C610" s="53">
        <v>2024</v>
      </c>
      <c r="D610" s="52" t="str">
        <f t="shared" si="23"/>
        <v>CD-609-2024</v>
      </c>
      <c r="E610" s="96" t="s">
        <v>4140</v>
      </c>
      <c r="F610" s="93" t="str">
        <f t="shared" si="24"/>
        <v>PRESTACIÓN DE SERVICIOS PROFESIONALES ESPECIALIZADOS EN INGENIERÍA PARA EL TRÁMITE DE SERVICIOS DE TI ORIENTADOS AL ANÁLISIS Y GESTIÓN DE REQUERIMIENTOS FUNCIONALES Y NO FUNCIONALES A CARGO DEL ICETEX</v>
      </c>
    </row>
    <row r="611" spans="1:6" ht="22.5" customHeight="1">
      <c r="A611" s="53" t="s">
        <v>7633</v>
      </c>
      <c r="B611" s="51" t="s">
        <v>8276</v>
      </c>
      <c r="C611" s="53">
        <v>2024</v>
      </c>
      <c r="D611" s="52" t="str">
        <f t="shared" si="23"/>
        <v>CD-610-2024</v>
      </c>
      <c r="E611" s="96" t="s">
        <v>2933</v>
      </c>
      <c r="F611"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12" spans="1:6" ht="22.5" customHeight="1">
      <c r="A612" s="53" t="s">
        <v>7633</v>
      </c>
      <c r="B612" s="51" t="s">
        <v>8277</v>
      </c>
      <c r="C612" s="53">
        <v>2024</v>
      </c>
      <c r="D612" s="52" t="str">
        <f t="shared" si="23"/>
        <v>CD-611-2024</v>
      </c>
      <c r="E612" s="96" t="s">
        <v>4982</v>
      </c>
      <c r="F612" s="93" t="str">
        <f t="shared" si="24"/>
        <v>PRESTAR LOS SERVICIOS PROFESIONALES JURÍDICOS PARA APOYAR LA ACTIVIDAD PRECONTRACTUAL, CONTRACTUAL Y POST CONTRACTUAL RELACIONADOS CON EL APOYO A LA SUPERVISIÓN CONTRACTUAL A CARGO DE LA OFICINA ASESORA JURÍDICA, LA RESPUESTA A LAS PETICIONES, Y DEMÁS SOLICITUDES QUE LE SEAN ASIGNADAS. APOYAR EL TRÁMITE Y SEGUIMIENTO EN LA ETAPA DE JUZGAMIENTO EN LOS ASUNTOS DISCIPLINARIOS QUE SE LE ASIGNEN A LA OFICINA ASESORA JURÍDICA.</v>
      </c>
    </row>
    <row r="613" spans="1:6" ht="22.5" customHeight="1">
      <c r="A613" s="53" t="s">
        <v>7633</v>
      </c>
      <c r="B613" s="51" t="s">
        <v>8278</v>
      </c>
      <c r="C613" s="53">
        <v>2024</v>
      </c>
      <c r="D613" s="52" t="str">
        <f t="shared" si="23"/>
        <v>CD-612-2024</v>
      </c>
      <c r="E613" s="96" t="s">
        <v>2933</v>
      </c>
      <c r="F613"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14" spans="1:6" ht="22.5" customHeight="1">
      <c r="A614" s="53" t="s">
        <v>7633</v>
      </c>
      <c r="B614" s="51" t="s">
        <v>8279</v>
      </c>
      <c r="C614" s="53">
        <v>2024</v>
      </c>
      <c r="D614" s="52" t="str">
        <f t="shared" si="23"/>
        <v>CD-613-2024</v>
      </c>
      <c r="E614" s="96" t="s">
        <v>2933</v>
      </c>
      <c r="F614"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15" spans="1:6" ht="22.5" customHeight="1">
      <c r="A615" s="53" t="s">
        <v>7633</v>
      </c>
      <c r="B615" s="51" t="s">
        <v>8280</v>
      </c>
      <c r="C615" s="53">
        <v>2024</v>
      </c>
      <c r="D615" s="52" t="str">
        <f t="shared" si="23"/>
        <v>CD-614-2024</v>
      </c>
      <c r="E615" s="96" t="s">
        <v>2933</v>
      </c>
      <c r="F615"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16" spans="1:6" ht="22.5" customHeight="1">
      <c r="A616" s="53" t="s">
        <v>7633</v>
      </c>
      <c r="B616" s="51" t="s">
        <v>8281</v>
      </c>
      <c r="C616" s="53">
        <v>2024</v>
      </c>
      <c r="D616" s="52" t="str">
        <f t="shared" si="23"/>
        <v>CD-615-2024</v>
      </c>
      <c r="E616" s="96" t="s">
        <v>2479</v>
      </c>
      <c r="F616" s="93" t="str">
        <f t="shared" si="24"/>
        <v>PRESTAR SERVICIOS PROFESIONALES CON EL FIN DE ANALIZAR, EVALUAR Y MEDIR ESTRATEGIAS, ENFOCADAS AL MEJORAMIENTO DE LA EXPERIENCIA DE LOS GRUPOS DE INTERÉS ICETEX (BENEFICIARIOS, CIUDADANOS, IES) EN SUS INTERACCIONES CON LA ENTIDAD</v>
      </c>
    </row>
    <row r="617" spans="1:6" ht="22.5" customHeight="1">
      <c r="A617" s="53" t="s">
        <v>7633</v>
      </c>
      <c r="B617" s="51" t="s">
        <v>8282</v>
      </c>
      <c r="C617" s="53">
        <v>2024</v>
      </c>
      <c r="D617" s="52" t="str">
        <f t="shared" si="23"/>
        <v>CD-616-2024</v>
      </c>
      <c r="E617" s="96" t="s">
        <v>5014</v>
      </c>
      <c r="F617" s="93" t="str">
        <f t="shared" si="24"/>
        <v>PRESTAR SERVICIOS PROFESIONALES PARA LA PROMOCIÓN, DIFUSIÓN Y DIVULGACIÓN DE LOS PROGRAMAS, PLANES Y PROYECTOS DE LA SECRETARÍA GENERAL EN ARTICULACIÓN CON LA OFICINA DE COMUNICACIONES DEL ICETEX</v>
      </c>
    </row>
    <row r="618" spans="1:6" ht="22.5" customHeight="1">
      <c r="A618" s="53" t="s">
        <v>7633</v>
      </c>
      <c r="B618" s="51" t="s">
        <v>8283</v>
      </c>
      <c r="C618" s="53">
        <v>2024</v>
      </c>
      <c r="D618" s="52" t="str">
        <f t="shared" si="23"/>
        <v>CD-617-2024</v>
      </c>
      <c r="E618" s="96" t="s">
        <v>5021</v>
      </c>
      <c r="F618" s="93" t="str">
        <f>UPPER(E618)</f>
        <v>PRESTAR LOS SERVICIOS PROFESIONALES PARA LA ESTRUCTURACIÓN Y PLANEACIÓN DEL PROCESO DE GESTIÓN DE CORRESPONDENCIA CONTRIBUYENDO A MEJORAR LA OPORTUNIDAD Y SEGURIDAD DE LA INFORMACIÓN CONTENIDA EN LAS COMUNICACIONES OFICIALES RECIBIDAS EN LA ENTIDAD Y ENVIADAS A TRAVÉS DEL SERVICIO POSTAL, EN EL MARCO DE LAS POLÍTICAS DE SERVICIO AL CIUDADANO Y GESTIÓN DOCUMENTAL DEL MIPG.</v>
      </c>
    </row>
    <row r="619" spans="1:6" ht="22.5" customHeight="1">
      <c r="A619" s="53" t="s">
        <v>7633</v>
      </c>
      <c r="B619" s="51" t="s">
        <v>8284</v>
      </c>
      <c r="C619" s="53">
        <v>2024</v>
      </c>
      <c r="D619" s="52" t="str">
        <f t="shared" si="23"/>
        <v>CD-618-2024</v>
      </c>
      <c r="E619" s="96" t="s">
        <v>5029</v>
      </c>
      <c r="F619" s="93" t="str">
        <f t="shared" si="24"/>
        <v>PRESTAR LOS SERVICIOS PROFESIONALES JURÍDICOS A LA VICEPRESIDENCIA FINANCIERA PARA APOYAR LAS ACTIVIDADES NORMATIVAS Y CONTRACTUALES REQUERIDAS PARA LA ADECUADA EJECUCIÓN DE LAS FUNCIONES, E INICIATIVAS DEL ÁREA QUE PERMITAN LA MODERNIZACIÓN DE LAS FUNCIONES FINANCIERAS DEL ICETEX Y LA APROPIACIÓN DE LAS MEJORES PRÁCTICAS EN EL MARCO DE LOS PROYECTOS DE INVERSIÓN A CARGO DEL ÁREA.</v>
      </c>
    </row>
    <row r="620" spans="1:6" ht="22.5" customHeight="1">
      <c r="A620" s="53" t="s">
        <v>7633</v>
      </c>
      <c r="B620" s="51" t="s">
        <v>8285</v>
      </c>
      <c r="C620" s="53">
        <v>2024</v>
      </c>
      <c r="D620" s="52" t="str">
        <f t="shared" si="23"/>
        <v>CD-619-2024</v>
      </c>
      <c r="E620" s="96" t="s">
        <v>5039</v>
      </c>
      <c r="F620" s="93" t="str">
        <f t="shared" si="24"/>
        <v>PRESTACIÓN DE SERVICIOS PROFESIONALES ESPECIALIZADOS PARA EL TRÁMITE DE SERVICIOS DE TI ORIENTADOS AL ANÁLISIS, MODELAMIENTO, DESARROLLO, PRUEBAS, IMPLEMENTACIÓN Y MEJORAMIENTO CONTINUO DE SOLUCIONES INFORMÁTICAS, REQUERIDAS EN EL ICETEX</v>
      </c>
    </row>
    <row r="621" spans="1:6" ht="22.5" customHeight="1">
      <c r="A621" s="53" t="s">
        <v>7633</v>
      </c>
      <c r="B621" s="51" t="s">
        <v>8286</v>
      </c>
      <c r="C621" s="53">
        <v>2024</v>
      </c>
      <c r="D621" s="52" t="str">
        <f t="shared" si="23"/>
        <v>CD-620-2024</v>
      </c>
      <c r="E621" s="96" t="s">
        <v>1866</v>
      </c>
      <c r="F621" s="93" t="str">
        <f t="shared" si="24"/>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622" spans="1:6" ht="22.5" customHeight="1">
      <c r="A622" s="53" t="s">
        <v>7633</v>
      </c>
      <c r="B622" s="51" t="s">
        <v>8287</v>
      </c>
      <c r="C622" s="53">
        <v>2024</v>
      </c>
      <c r="D622" s="52" t="str">
        <f t="shared" si="23"/>
        <v>CD-621-2024</v>
      </c>
      <c r="E622" s="96" t="s">
        <v>5054</v>
      </c>
      <c r="F622" s="93" t="str">
        <f t="shared" si="24"/>
        <v>PRESTACIÓN DE SERVICIOS PROFESIONALES ESPECIALIZADOS PARA ACOMPAÑAR LA IMPLEMENTACIÓN DE SOLUCIONES RELACIONADAS CON LAS TECNOLOGÍAS DE LA INFORMACIÓN EN LOS DIFERENTES DOMINIOS TECNOLÓGICOS QUE ASEGUREN LA EJECUCIÓN DEL PETIC EN EL ICETEX.</v>
      </c>
    </row>
    <row r="623" spans="1:6" ht="22.5" customHeight="1">
      <c r="A623" s="53" t="s">
        <v>7633</v>
      </c>
      <c r="B623" s="51" t="s">
        <v>8288</v>
      </c>
      <c r="C623" s="53">
        <v>2024</v>
      </c>
      <c r="D623" s="52" t="str">
        <f t="shared" si="23"/>
        <v>CD-622-2024</v>
      </c>
      <c r="E623" s="96" t="s">
        <v>5064</v>
      </c>
      <c r="F623" s="93" t="str">
        <f t="shared" si="24"/>
        <v>PRESTAR SERVICIOS PROFESIONALES PARA LA GESTIÓN DE ALIANZAS EN EL MARCO DEL DESARROLLO DEL PLAN ESTRATÉGICO DE LA ENTIDAD Y LA "POLÍTICA DE GUÍA, INFORMACIÓN Y ACOMPAÑAMIENTO".</v>
      </c>
    </row>
    <row r="624" spans="1:6" ht="22.5" customHeight="1">
      <c r="A624" s="53" t="s">
        <v>7633</v>
      </c>
      <c r="B624" s="51" t="s">
        <v>8289</v>
      </c>
      <c r="C624" s="53">
        <v>2024</v>
      </c>
      <c r="D624" s="52" t="str">
        <f t="shared" si="23"/>
        <v>CD-623-2024</v>
      </c>
      <c r="E624" s="96" t="s">
        <v>5072</v>
      </c>
      <c r="F624" s="93" t="str">
        <f t="shared" si="24"/>
        <v>PRESTAR SERVICIOS PROFESIONALES ESPECIALIZADOS CON EL FIN DE EJECUTAR ESTRATEGIAS PARA EL MEJORAMIENTO DE LA SATISFACCIÓN DE LOS GRUPOS DE INTERÉS ICETEX (BENEFICIARIOS, CIUDADANOS, IES) EN SUS INTERACCIONES CON LA ENTIDAD</v>
      </c>
    </row>
    <row r="625" spans="1:6" ht="22.5" customHeight="1">
      <c r="A625" s="53" t="s">
        <v>7633</v>
      </c>
      <c r="B625" s="51" t="s">
        <v>8290</v>
      </c>
      <c r="C625" s="53">
        <v>2024</v>
      </c>
      <c r="D625" s="52" t="str">
        <f t="shared" si="23"/>
        <v>CD-624-2024</v>
      </c>
      <c r="E625" s="96" t="s">
        <v>5080</v>
      </c>
      <c r="F625" s="93" t="str">
        <f>UPPER(E625)</f>
        <v>PRESTAR LOS SERVICIOS PROFESIONALES JURÍDICOS ESPECIALIZADOS EN EL DESARROLLO Y REPRESENTACIÓN DEL ICETEX, DIRIGIDO A LA IMPLEMENTACIÓN DE LA DEFENSA JURÍDICA DE LA ENTIDAD EN MATERIA LABORAL.</v>
      </c>
    </row>
    <row r="626" spans="1:6" ht="22.5" customHeight="1">
      <c r="A626" s="53" t="s">
        <v>7633</v>
      </c>
      <c r="B626" s="51" t="s">
        <v>8291</v>
      </c>
      <c r="C626" s="53">
        <v>2024</v>
      </c>
      <c r="D626" s="52" t="str">
        <f t="shared" si="23"/>
        <v>CD-625-2024</v>
      </c>
      <c r="E626" s="96" t="s">
        <v>647</v>
      </c>
      <c r="F626" s="93" t="str">
        <f t="shared" si="24"/>
        <v>IMPLEMENTAR ESTRATEGIAS PARA LA EJECUCIÓN DEL PLAN COMERCIAL DE LA TERRITORIAL SUROCCIDENTE ASOCIADAS AL PORTAFOLIO DE SERVICIOS DE LCETEX EN LA REGIÓN, EN ARTICULACIÓN CON LA OFICINA COMERCIAL Y DE MERCADEO DEL NIVEL CENTRAL</v>
      </c>
    </row>
    <row r="627" spans="1:6" ht="22.5" customHeight="1">
      <c r="A627" s="53" t="s">
        <v>7633</v>
      </c>
      <c r="B627" s="51" t="s">
        <v>8292</v>
      </c>
      <c r="C627" s="53">
        <v>2024</v>
      </c>
      <c r="D627" s="52" t="str">
        <f t="shared" si="23"/>
        <v>CD-626-2024</v>
      </c>
      <c r="E627" s="96" t="s">
        <v>5091</v>
      </c>
      <c r="F627" s="93" t="str">
        <f t="shared" si="24"/>
        <v>PRESTAR SERVICIOS PROFESIONALES PARA APOYAR LA GESTIÓN DOCUMENTAL Y LA OPTIMIZACIÓN DE TAREAS ADMINISTRATIVAS EN PRO DEL BUEN FUNCIONAMIENTO DE LOS ASUNTOS RELACIONADOS CON LA JUNTA DIRECTIVA</v>
      </c>
    </row>
    <row r="628" spans="1:6" ht="22.5" customHeight="1">
      <c r="A628" s="53" t="s">
        <v>7633</v>
      </c>
      <c r="B628" s="51" t="s">
        <v>8293</v>
      </c>
      <c r="C628" s="53">
        <v>2024</v>
      </c>
      <c r="D628" s="52" t="str">
        <f t="shared" si="23"/>
        <v>CD-627-2024</v>
      </c>
      <c r="E628" s="96" t="s">
        <v>5100</v>
      </c>
      <c r="F628" s="93" t="str">
        <f t="shared" si="24"/>
        <v>PRESTAR LOS SERVICIOS DE APOYO A LA GESTIÓN AL GRUPO DE CORRESPONDENCIA EN EL DESARROLLO DE LAS ACTIVIDADES REQUERIDAS PARA LA GESTIÓN DE LAS COMUNICACIONES OFICIALES RECIBIDAS EN EL ICETEX Y ENVIADAS A TRAVÉS DEL SERVICIO POSTAL, EN EL MARCO DE LAS POLÍTICAS DE SERVICIO AL CIUDADANO Y GESTIÓN DOCUMENTAL DEL MIPG.</v>
      </c>
    </row>
    <row r="629" spans="1:6" ht="22.5" customHeight="1">
      <c r="A629" s="53" t="s">
        <v>7633</v>
      </c>
      <c r="B629" s="51" t="s">
        <v>8294</v>
      </c>
      <c r="C629" s="53">
        <v>2024</v>
      </c>
      <c r="D629" s="52" t="str">
        <f>CONCATENATE(A629,"-",B629,"-",C629)</f>
        <v>CD-628-2024</v>
      </c>
      <c r="E629" s="96" t="s">
        <v>5109</v>
      </c>
      <c r="F629" s="93" t="str">
        <f t="shared" si="24"/>
        <v xml:space="preserve">PRESTACIÓN DE SERVICIOS PROFESIONALES ESPECIALIZADOS EN INGENIERÍA PARA ANÁLISIS, MODELAMIENTO, DESARROLLO, IMPLEMENTACIÓN Y ADECUACIONES A LA SOLUCIÓN DE GESTIÓN DOCUMENTAL ALINEADAS A CAMBIOS REQUERIDOS POR ICETEX </v>
      </c>
    </row>
    <row r="630" spans="1:6" ht="22.5" customHeight="1">
      <c r="A630" s="53" t="s">
        <v>7633</v>
      </c>
      <c r="B630" s="51" t="s">
        <v>8295</v>
      </c>
      <c r="C630" s="53">
        <v>2024</v>
      </c>
      <c r="D630" s="52" t="str">
        <f t="shared" si="23"/>
        <v>CD-629-2024</v>
      </c>
      <c r="E630" s="96" t="s">
        <v>5117</v>
      </c>
      <c r="F630" s="93" t="str">
        <f t="shared" si="24"/>
        <v>PRESTACIÓN DE SERVICIOS PROFESIONALES ESPECIALIZADOS EN INGENIERIA EN LA GESTIÓN DE SERVICIOS DE TI DE INFRAESTRUCTURA TECNOLÓGICA Y TELECOMUNICACIONES DEL ICETEX</v>
      </c>
    </row>
    <row r="631" spans="1:6" ht="22.5" customHeight="1">
      <c r="A631" s="53" t="s">
        <v>7633</v>
      </c>
      <c r="B631" s="51" t="s">
        <v>8296</v>
      </c>
      <c r="C631" s="53">
        <v>2024</v>
      </c>
      <c r="D631" s="52" t="str">
        <f t="shared" si="23"/>
        <v>CD-630-2024</v>
      </c>
      <c r="E631" s="96" t="s">
        <v>2933</v>
      </c>
      <c r="F631"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32" spans="1:6" ht="22.5" customHeight="1">
      <c r="A632" s="53" t="s">
        <v>7633</v>
      </c>
      <c r="B632" s="51" t="s">
        <v>8297</v>
      </c>
      <c r="C632" s="53">
        <v>2024</v>
      </c>
      <c r="D632" s="52" t="str">
        <f t="shared" si="23"/>
        <v>CD-631-2024</v>
      </c>
      <c r="E632" s="96" t="s">
        <v>2933</v>
      </c>
      <c r="F632" s="93" t="str">
        <f t="shared" si="24"/>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33" spans="1:6" ht="22.5" customHeight="1">
      <c r="A633" s="53" t="s">
        <v>7633</v>
      </c>
      <c r="B633" s="51" t="s">
        <v>8298</v>
      </c>
      <c r="C633" s="53">
        <v>2024</v>
      </c>
      <c r="D633" s="52" t="str">
        <f t="shared" si="23"/>
        <v>CD-632-2024</v>
      </c>
      <c r="E633" s="96" t="s">
        <v>5136</v>
      </c>
      <c r="F633" s="93" t="str">
        <f t="shared" si="24"/>
        <v>: PRESTAR SERVICIOS DE APOYO EN CUANTO A LAS ACTIVIDADES PROPIAS DEL PROCESO DE GESTIÓN DE CORRESPONDENCIA, RELACIONADAS CON LA RADICACIÓN, ALISTAMIENTO PARA ENTREGA Y DISTRIBUCIÓN, DIGITALIZACIÓN, ORGANIZACIÓN Y ARCHIVO DE LAS COMUNICACIONES OFICIALES RECIBIDAS EN EL ICETEX Y ENVIADAS A TRAVÉS DEL SERVICIO POSTAL, EN EL MARCO DE LAS POLÍTICAS DE SERVICIO AL CIUDADANO Y GESTIÓN DOCUMENTAL DEL MIPG.</v>
      </c>
    </row>
    <row r="634" spans="1:6" ht="22.5" customHeight="1">
      <c r="A634" s="53" t="s">
        <v>7633</v>
      </c>
      <c r="B634" s="51" t="s">
        <v>8299</v>
      </c>
      <c r="C634" s="53">
        <v>2024</v>
      </c>
      <c r="D634" s="52" t="str">
        <f t="shared" si="23"/>
        <v>CD-633-2024</v>
      </c>
      <c r="E634" s="96" t="s">
        <v>5144</v>
      </c>
      <c r="F634" s="93" t="str">
        <f t="shared" si="24"/>
        <v>PRESTACIÓN DE SERVICIOS PROFESIONALES ESPECIALIZADOS PARA EL TRÁMITE DE SERVICIOS DE TI ORIENTADOS A LA IMPLEMENTACIÓN DE REQUISITOS, MEJORES PRÁCTICAS Y ESTÁNDARES RELACIONADOS CON LA USABILIDAD Y ACCESIBILIDAD DE APLICACIONES PARA SOLUCIONES INFORMÁTICAS A CARGO DEL ICETEX.</v>
      </c>
    </row>
    <row r="635" spans="1:6" ht="22.5" customHeight="1">
      <c r="A635" s="53" t="s">
        <v>7633</v>
      </c>
      <c r="B635" s="51" t="s">
        <v>8300</v>
      </c>
      <c r="C635" s="53">
        <v>2024</v>
      </c>
      <c r="D635" s="52" t="str">
        <f t="shared" si="23"/>
        <v>CD-634-2024</v>
      </c>
      <c r="E635" s="96" t="s">
        <v>5152</v>
      </c>
      <c r="F635" s="93" t="str">
        <f t="shared" si="24"/>
        <v>PRESTAR SERVICIOS PROFESIONALES PARA APOYAR EL SISTEMA DE GESTIÓN DE SEGURIDAD DIGITAL EN TODAS LAS ETAPAS DE LOS SISTEMAS Y LINEAMIENTOS DE ADMINISTRACIÓN DE RIESGOS DE SEGURIDAD DE LA INFORMACIÓN BASADOS EN LA ISO 27001 E IMPLEMENTACIÓN Y MANTENIMIENTO DE LA LEY DE PROTECCIÓN DE DATOS COMO APOYO BACKUP Y EN TODO LO CORRESPONDIENTE AL MARCO NORMATIVO APLICABLE.</v>
      </c>
    </row>
    <row r="636" spans="1:6" ht="22.5" customHeight="1">
      <c r="A636" s="53" t="s">
        <v>7633</v>
      </c>
      <c r="B636" s="51" t="s">
        <v>8301</v>
      </c>
      <c r="C636" s="53">
        <v>2024</v>
      </c>
      <c r="D636" s="52" t="str">
        <f t="shared" si="23"/>
        <v>CD-635-2024</v>
      </c>
      <c r="E636" s="96" t="s">
        <v>8302</v>
      </c>
      <c r="F636" s="93" t="str">
        <f t="shared" si="24"/>
        <v xml:space="preserve">PRESTAR SUS SERVICIOS PROFESIONALES PARA LA ATENCIÓN DE PQRSD, CONDONACIONES Y DEMÁS TRÁMITES RELACIONADOS A CARGO DE LA VICEPRESIDENCIA DE FONDOS EN ADMINISTRACIÓN.
</v>
      </c>
    </row>
    <row r="637" spans="1:6" ht="22.5" customHeight="1">
      <c r="A637" s="53" t="s">
        <v>7633</v>
      </c>
      <c r="B637" s="51" t="s">
        <v>8303</v>
      </c>
      <c r="C637" s="53">
        <v>2024</v>
      </c>
      <c r="D637" s="52" t="str">
        <f t="shared" si="23"/>
        <v>CD-636-2024</v>
      </c>
      <c r="E637" s="96" t="s">
        <v>5169</v>
      </c>
      <c r="F637" s="93" t="str">
        <f t="shared" si="24"/>
        <v>PRESTAR LOS SERVICIOS PROFESIONALES PARA EL APOYO EN EL DISEÑO, IMPLEMENTACIÓN, EJECUCIÓN, SUPERVISIÓN, CONTROL Y MEJORA CONTINUA DE LAS ESTRATEGIAS DE MERCADEO DIGITAL QUE CONTRIBUYAN A LA PROMOCIÓN Y OTORGAMIENTO DEL PORTAFOLIO DE PRODUCTOS DEL ICETEX.</v>
      </c>
    </row>
    <row r="638" spans="1:6" ht="22.5" customHeight="1">
      <c r="A638" s="53" t="s">
        <v>7633</v>
      </c>
      <c r="B638" s="51" t="s">
        <v>8304</v>
      </c>
      <c r="C638" s="53">
        <v>2024</v>
      </c>
      <c r="D638" s="52" t="str">
        <f t="shared" si="23"/>
        <v>CD-637-2024</v>
      </c>
      <c r="E638" s="96" t="s">
        <v>5176</v>
      </c>
      <c r="F638" s="93" t="str">
        <f t="shared" si="24"/>
        <v>PRESTAR SUS SERVICIOS PROFESIONALES APOYANDO LA ESTRUCTURACIÓN DE PROPUESTAS Y PROYECTOS DE FINANCIACIÓN ORIENTADOS A FOMENTAR EL ACCESO Y PERMANENCIA EDUCATIVA CONFORME LAS POLÍTICAS Y PROCEDIMIENTOS DEL ICETEX.</v>
      </c>
    </row>
    <row r="639" spans="1:6" ht="22.5" customHeight="1">
      <c r="A639" s="53" t="s">
        <v>7633</v>
      </c>
      <c r="B639" s="51" t="s">
        <v>8305</v>
      </c>
      <c r="C639" s="53">
        <v>2024</v>
      </c>
      <c r="D639" s="52" t="str">
        <f t="shared" si="23"/>
        <v>CD-638-2024</v>
      </c>
      <c r="E639" s="96" t="s">
        <v>5184</v>
      </c>
      <c r="F639" s="93" t="str">
        <f t="shared" si="24"/>
        <v xml:space="preserve">PRESTACIÓN DE SERVICIOS PROFESIONALES ESPECIALIZADOS EN INGENIERÍA PARA LA REVISIÓN, ANÁLISIS, MODELAMIENTO, IMPLEMENTACIÓN, USO Y APROPIACIÓN DE LA ARQUITECTURA EMPRESARIAL DESDE EL DOMINIO DE SISTEMAS DE INFORMACIÓN PARA EL ICETEX. </v>
      </c>
    </row>
    <row r="640" spans="1:6" ht="22.5" customHeight="1">
      <c r="A640" s="53" t="s">
        <v>7633</v>
      </c>
      <c r="B640" s="51" t="s">
        <v>8306</v>
      </c>
      <c r="C640" s="53">
        <v>2024</v>
      </c>
      <c r="D640" s="52" t="str">
        <f t="shared" si="23"/>
        <v>CD-639-2024</v>
      </c>
      <c r="E640" s="96" t="s">
        <v>4750</v>
      </c>
      <c r="F640" s="93" t="str">
        <f t="shared" si="24"/>
        <v>PRESTAR SUS SERVICIOS PROFESIONALES PARA LA ATENCIÓN DE PQRSD, CONDONACIONES Y DEMÁS TRÁMITES RELACIONADOS A CARGO DE LA VICEPRESIDENCIA DE FONDOS EN ADMINISTRACIÓN</v>
      </c>
    </row>
    <row r="641" spans="1:6" ht="22.5" customHeight="1">
      <c r="A641" s="53" t="s">
        <v>7633</v>
      </c>
      <c r="B641" s="51" t="s">
        <v>8307</v>
      </c>
      <c r="C641" s="53">
        <v>2024</v>
      </c>
      <c r="D641" s="52" t="str">
        <f t="shared" si="23"/>
        <v>CD-640-2024</v>
      </c>
      <c r="E641" s="96" t="s">
        <v>5199</v>
      </c>
      <c r="F641" s="93" t="str">
        <f t="shared" si="24"/>
        <v>PRESTAR SERVICIOS PROFESIONALES PARA APOYAR TÉCNICAMENTE EN ASPECTOS ECONÓMICOS, ADMINISTRATIVOS Y OPERATIVOS DEL PLAN ESTRATÉGICO DEL TALENTO HUMANO Y LA ADMINISTRACIÓN DE PERSONAL, EN EL MARCO DE LA POLÍTICA DE “GESTIÓN DEL TALENTO HUMANO”, ASÍ COMO CONTRIBUIR A MEJORAR LA OPORTUNIDAD DE LOS SERVICIOS QUE PRESTA LA ENTIDAD</v>
      </c>
    </row>
    <row r="642" spans="1:6" ht="22.5" customHeight="1">
      <c r="A642" s="53" t="s">
        <v>7633</v>
      </c>
      <c r="B642" s="51" t="s">
        <v>8308</v>
      </c>
      <c r="C642" s="53">
        <v>2024</v>
      </c>
      <c r="D642" s="52" t="str">
        <f t="shared" ref="D642:D705" si="25">CONCATENATE(A642,"-",B642,"-",C642)</f>
        <v>CD-641-2024</v>
      </c>
      <c r="E642" s="96" t="s">
        <v>3568</v>
      </c>
      <c r="F642" s="93" t="str">
        <f t="shared" ref="F642:F705" si="26">UPPER(E642)</f>
        <v>PRESTAR SUS SERVICIOS PROFESIONALES APOYANDO LAS ACTIVIDADES RELACIONADAS CON LOS FONDOS Y/O ALIANZAS INACTIVAS Y FONDOS CON CONVOCATORIAS CERRADAS QUE SEAN ADMINISTRADOS POR LA VICEPRESIDENCIA DE FONDOS EN ADMINISTRACIÓN</v>
      </c>
    </row>
    <row r="643" spans="1:6" ht="22.5" customHeight="1">
      <c r="A643" s="53" t="s">
        <v>7633</v>
      </c>
      <c r="B643" s="51" t="s">
        <v>8309</v>
      </c>
      <c r="C643" s="53">
        <v>2024</v>
      </c>
      <c r="D643" s="52" t="str">
        <f t="shared" si="25"/>
        <v>CD-642-2024</v>
      </c>
      <c r="E643" s="96" t="s">
        <v>1866</v>
      </c>
      <c r="F643" s="93" t="str">
        <f t="shared" si="26"/>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644" spans="1:6" ht="22.5" customHeight="1">
      <c r="A644" s="53" t="s">
        <v>7633</v>
      </c>
      <c r="B644" s="51" t="s">
        <v>8310</v>
      </c>
      <c r="C644" s="53">
        <v>2024</v>
      </c>
      <c r="D644" s="52" t="str">
        <f t="shared" si="25"/>
        <v>CD-643-2024</v>
      </c>
      <c r="E644" s="96" t="s">
        <v>2187</v>
      </c>
      <c r="F644" s="93" t="str">
        <f t="shared" si="26"/>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645" spans="1:6" ht="22.5" customHeight="1">
      <c r="A645" s="53" t="s">
        <v>7633</v>
      </c>
      <c r="B645" s="51" t="s">
        <v>8311</v>
      </c>
      <c r="C645" s="53">
        <v>2024</v>
      </c>
      <c r="D645" s="52" t="str">
        <f t="shared" si="25"/>
        <v>CD-644-2024</v>
      </c>
      <c r="E645" s="96" t="s">
        <v>5227</v>
      </c>
      <c r="F645" s="93" t="str">
        <f t="shared" si="26"/>
        <v>PRESTACIÓN DE SERVICIOS PROFESIONALES ESPECIALIZADOS EN INGENIERÍA PARA ANÁLISIS Y GESTIÓN DE REQUERIMIENTOS FUNCIONALES Y NO FUNCIONALES EN EL MARCO DE LAS FUNCIONES TECNOLÓGICAS DEL ICETEX</v>
      </c>
    </row>
    <row r="646" spans="1:6" ht="22.5" customHeight="1">
      <c r="A646" s="53" t="s">
        <v>7633</v>
      </c>
      <c r="B646" s="51" t="s">
        <v>8312</v>
      </c>
      <c r="C646" s="53">
        <v>2024</v>
      </c>
      <c r="D646" s="52" t="str">
        <f t="shared" si="25"/>
        <v>CD-645-2024</v>
      </c>
      <c r="E646" s="96" t="s">
        <v>5235</v>
      </c>
      <c r="F646" s="93" t="str">
        <f t="shared" si="26"/>
        <v>APOYAR LA EJECUCIÓN DEL PLAN COMERCIAL DE LA TERRITORIAL SUROCCIDENTE ASOCIADA AL PORTAFOLIO DE SERVICIOS DE LCETEX EN LA REGIÓN, EN ARTICULACIÓN CON LA OFICINA COMERCIAL Y DE MERCADEO DEL NIVEL CENTRAL</v>
      </c>
    </row>
    <row r="647" spans="1:6" ht="22.5" customHeight="1">
      <c r="A647" s="53" t="s">
        <v>7633</v>
      </c>
      <c r="B647" s="51" t="s">
        <v>8313</v>
      </c>
      <c r="C647" s="53">
        <v>2024</v>
      </c>
      <c r="D647" s="52" t="str">
        <f t="shared" si="25"/>
        <v>CD-646-2024</v>
      </c>
      <c r="E647" s="96" t="s">
        <v>5243</v>
      </c>
      <c r="F647" s="93" t="str">
        <f t="shared" si="26"/>
        <v>PRESTAR LOS SERVICIOS PROFESIONALES EN EL DESARROLLO Y EJECUCIÓN TÉCNICA DEL PROYECTO DE INVERSIÓN DENOMINADO “MEJORAMIENTO DE SEDES” CORRESPONDIENTE A LA GESTIÓN DEL GRUPO DE ADMINISTRACIÓN DE RECURSOS FÍSICOS PARA EL APOYO ARQUITECTÓNICO DE LOS SUBPROYECTOS TENDIENTES A CONTRIBUIR Y MEJORAR LA OPORTUNIDAD DE LOS SERVICIOS QUE PRESTA LA ENTIDAD.</v>
      </c>
    </row>
    <row r="648" spans="1:6" ht="22.5" customHeight="1">
      <c r="A648" s="53" t="s">
        <v>7633</v>
      </c>
      <c r="B648" s="51" t="s">
        <v>8314</v>
      </c>
      <c r="C648" s="53">
        <v>2024</v>
      </c>
      <c r="D648" s="52" t="str">
        <f t="shared" si="25"/>
        <v>CD-647-2024</v>
      </c>
      <c r="E648" s="96" t="s">
        <v>5251</v>
      </c>
      <c r="F648" s="93" t="str">
        <f t="shared" si="26"/>
        <v>PRESTACIÓN DE SERVICIOS PROFESIONALES PARA REALIZAR EL APOYO A LA SUPERVISIÓN AL CONTRATO DE ASESORÍA TÉCNICA Y CIENTÍFICA PARA LA ESTRUCTURACIÓN DE LOS DISEÑOS REQUERIDOS EN EL PROYECTO DE CONSTRUCCIÓN DE LA NUEVA SEDE DEL ICETEX EN LA CIUDAD DE BUENAVENTURA CON LA FINALIDAD DE IMPULSAR EL DESARROLLO SOCIAL, ECONÓMICO Y ECOLÓGICO DE LA COSTA PACÍFICA.</v>
      </c>
    </row>
    <row r="649" spans="1:6" ht="22.5" customHeight="1">
      <c r="A649" s="53" t="s">
        <v>7633</v>
      </c>
      <c r="B649" s="51" t="s">
        <v>8315</v>
      </c>
      <c r="C649" s="53">
        <v>2024</v>
      </c>
      <c r="D649" s="52" t="str">
        <f t="shared" si="25"/>
        <v>CD-648-2024</v>
      </c>
      <c r="E649" s="96" t="s">
        <v>5259</v>
      </c>
      <c r="F649" s="93" t="str">
        <f t="shared" si="26"/>
        <v>PRESTAR SERVICIOS PROFESIONALES ESPECIALIZADOS COMO GESTOR DE INNOVACIÓN PARA LA GENERACIÓN DE ESTRATEGIAS QUE FOMENTEN UNA CULTURA DE INNOVACIÓN Y FACILITEN LA ADOPCIÓN Y APROPIACIÓN DE PROYECTOS E INICIATIVAS QUE DESDE EL EQUIPO SE LIDEREN O CUANDO SE APOYE TRANSVERSALMENTE</v>
      </c>
    </row>
    <row r="650" spans="1:6" ht="22.5" customHeight="1">
      <c r="A650" s="53" t="s">
        <v>7633</v>
      </c>
      <c r="B650" s="51" t="s">
        <v>8316</v>
      </c>
      <c r="C650" s="53">
        <v>2024</v>
      </c>
      <c r="D650" s="52" t="str">
        <f t="shared" si="25"/>
        <v>CD-649-2024</v>
      </c>
      <c r="E650" s="96" t="s">
        <v>5268</v>
      </c>
      <c r="F650" s="93" t="str">
        <f t="shared" si="26"/>
        <v>PRESTACIÓN DE SERVICIOS PROFESIONALES ESPECIALIZADOS PARA LA ADMINISTRACIÓN Y GESTIÓN DE LA LIBERACIÓN Y ENTREGA DE LOS PROYECTOS INFORMÁTICOS DEL GRUPO DE SISTEMAS DE INFORMACIÓN, GARANTIZANDO LOS LINEAMIENTOS DE ARQUITECTURA DE TI.</v>
      </c>
    </row>
    <row r="651" spans="1:6" ht="22.5" customHeight="1">
      <c r="A651" s="53" t="s">
        <v>7633</v>
      </c>
      <c r="B651" s="51" t="s">
        <v>8317</v>
      </c>
      <c r="C651" s="53">
        <v>2024</v>
      </c>
      <c r="D651" s="52" t="str">
        <f t="shared" si="25"/>
        <v>CD-650-2024</v>
      </c>
      <c r="E651" s="96" t="s">
        <v>8318</v>
      </c>
      <c r="F651" s="93" t="str">
        <f t="shared" si="26"/>
        <v>PRESTACIÓN DE SERVICIOS PROFESIONALES ESPECIALIZADOS EN LA ADMINISTRACIÓN DE PROYECTOS, CORRECCIÓN DE PROBLEMAS DE CONFIABILIDAD, SEGUIMIENTO DEL PROGRESO, ADMINISTRACIÓN DE
RECURSOS Y EJECUCIÓN DE LOS PROCESOS EN EL ICETEX.</v>
      </c>
    </row>
    <row r="652" spans="1:6" ht="22.5" customHeight="1">
      <c r="A652" s="53" t="s">
        <v>7633</v>
      </c>
      <c r="B652" s="51" t="s">
        <v>8319</v>
      </c>
      <c r="C652" s="53">
        <v>2024</v>
      </c>
      <c r="D652" s="52" t="str">
        <f t="shared" si="25"/>
        <v>CD-651-2024</v>
      </c>
      <c r="E652" s="96" t="s">
        <v>5304</v>
      </c>
      <c r="F652" s="93" t="str">
        <f t="shared" si="26"/>
        <v>PRESTAR APOYO TÉCNICO A LA INFRAESTRUCTURA DEL PROYECTO DE INVERSIÓN DENOMINADO “MEJORAMIENTO DE SEDES” CORRESPONDIENTE A LA GESTIÓN DEL GRUPO DE ADMINISTRACIÓN DE RECURSOS FÍSICOS</v>
      </c>
    </row>
    <row r="653" spans="1:6" ht="22.5" customHeight="1">
      <c r="A653" s="53" t="s">
        <v>7633</v>
      </c>
      <c r="B653" s="51" t="s">
        <v>8320</v>
      </c>
      <c r="C653" s="53">
        <v>2024</v>
      </c>
      <c r="D653" s="52" t="s">
        <v>5280</v>
      </c>
      <c r="E653" s="96" t="s">
        <v>5284</v>
      </c>
      <c r="F653" s="93" t="str">
        <f t="shared" si="26"/>
        <v>ACUERDO ESTRATÉGICO ENTRE EL ICETEX Y LA IES, CON EL FIN DE GENERAR UN BENEFICIO ECONÓMICO PARA LA FINANCIACIÓN DE LA EDUCACIÓN SUPERIOR, DENOMINADO APORTE EN TASA IES , DIRIGIDO A ESTUDIANTES DE PREGRADO Y POSGRADO EN COLOMBIA CON CRÉDITOS REEMBOLSABLES OTORGADOS POR EL INSTITUTO COLOMBIANO DE CRÉDITO EDUCATIVO Y ESTUDIOS TÉCNICOS EN EL EXTERIOR "MARIANO OSPINA PÉREZ" -ICETEX.</v>
      </c>
    </row>
    <row r="654" spans="1:6" ht="22.5" customHeight="1">
      <c r="A654" s="53" t="s">
        <v>7633</v>
      </c>
      <c r="B654" s="51" t="s">
        <v>8321</v>
      </c>
      <c r="C654" s="53">
        <v>2024</v>
      </c>
      <c r="D654" s="52" t="str">
        <f t="shared" si="25"/>
        <v>CD-653-2024</v>
      </c>
      <c r="E654" s="96" t="s">
        <v>5039</v>
      </c>
      <c r="F654" s="93" t="str">
        <f t="shared" si="26"/>
        <v>PRESTACIÓN DE SERVICIOS PROFESIONALES ESPECIALIZADOS PARA EL TRÁMITE DE SERVICIOS DE TI ORIENTADOS AL ANÁLISIS, MODELAMIENTO, DESARROLLO, PRUEBAS, IMPLEMENTACIÓN Y MEJORAMIENTO CONTINUO DE SOLUCIONES INFORMÁTICAS, REQUERIDAS EN EL ICETEX</v>
      </c>
    </row>
    <row r="655" spans="1:6" ht="22.5" customHeight="1">
      <c r="A655" s="53" t="s">
        <v>7633</v>
      </c>
      <c r="B655" s="51" t="s">
        <v>8322</v>
      </c>
      <c r="C655" s="53">
        <v>2024</v>
      </c>
      <c r="D655" s="52" t="str">
        <f t="shared" si="25"/>
        <v>CD-654-2024</v>
      </c>
      <c r="E655" s="96" t="s">
        <v>5291</v>
      </c>
      <c r="F655"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56" spans="1:6" ht="22.5" customHeight="1">
      <c r="A656" s="53" t="s">
        <v>7633</v>
      </c>
      <c r="B656" s="51" t="s">
        <v>8323</v>
      </c>
      <c r="C656" s="53">
        <v>2024</v>
      </c>
      <c r="D656" s="52" t="str">
        <f t="shared" si="25"/>
        <v>CD-655-2024</v>
      </c>
      <c r="E656" s="96" t="s">
        <v>5291</v>
      </c>
      <c r="F656"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57" spans="1:6" ht="22.5" customHeight="1">
      <c r="A657" s="53" t="s">
        <v>7633</v>
      </c>
      <c r="B657" s="51" t="s">
        <v>8324</v>
      </c>
      <c r="C657" s="53">
        <v>2024</v>
      </c>
      <c r="D657" s="52" t="str">
        <f t="shared" si="25"/>
        <v>CD-656-2024</v>
      </c>
      <c r="E657" s="96" t="s">
        <v>5318</v>
      </c>
      <c r="F657" s="93" t="str">
        <f t="shared" si="26"/>
        <v>PRESTACIÓN DE SERVICIOS PROFESIONALES ESPECIALIZADOS EN INGENIERÍA PARA LA REVISIÓN, ANÁLISIS, MODELAMIENTO, IMPLEMENTACIÓN, USO Y APROPIACIÓN DE LA ARQUITECTURA EMPRESARIAL DESDE LOS COMPONENTES TECNOLÓGICOS DE INFRAESTRUCTURA PARA EL ICETEX</v>
      </c>
    </row>
    <row r="658" spans="1:6" ht="22.5" customHeight="1">
      <c r="A658" s="53" t="s">
        <v>7633</v>
      </c>
      <c r="B658" s="51" t="s">
        <v>8325</v>
      </c>
      <c r="C658" s="53">
        <v>2024</v>
      </c>
      <c r="D658" s="52" t="str">
        <f t="shared" si="25"/>
        <v>CD-657-2024</v>
      </c>
      <c r="E658" s="96" t="s">
        <v>5328</v>
      </c>
      <c r="F658" s="93" t="str">
        <f t="shared" si="26"/>
        <v>PRESTACIÓN DE SERVICIOS DE OPERACIÓN DE UNA PLATAFORMA TECNOLÓGICA EN LA MODALIDAD DE SOFTWARE AS A SERVICE (SAAS) QUE CUMPLA CON LAS NECESIDADES DE NEGOCIO DE ICETEX, RELACIONADAS CON LA GESTIÓN DE OPERACIONES Y LA GESTIÓN DE RECUPERACIÓN Y CUMPLIMIENTO DE OBLIGACIONES, ALINEADO A LAS DEFINICIONES TÉCNICAS Y DE ARQUITECTURA ESTABLECIDAS POR LA ENTIDAD</v>
      </c>
    </row>
    <row r="659" spans="1:6" ht="22.5" customHeight="1">
      <c r="A659" s="53" t="s">
        <v>7633</v>
      </c>
      <c r="B659" s="51" t="s">
        <v>8326</v>
      </c>
      <c r="C659" s="53">
        <v>2024</v>
      </c>
      <c r="D659" s="52" t="str">
        <f t="shared" si="25"/>
        <v>CD-658-2024</v>
      </c>
      <c r="E659" s="96" t="s">
        <v>3411</v>
      </c>
      <c r="F659" s="93" t="str">
        <f t="shared" si="26"/>
        <v>PRESTAR SERVICIOS PROFESIONALES PARA LA GESTIÓN, MEDICIÓN DE RESULTADOS Y ACOMPAÑAMIENTO A LA ESTRATEGIA DE FORMACIÓN Y DE ENTRENAMIENTO DE LOS EQUIPOS DE SERVICIO Y COMERCIAL DE LA OFICINA COMERCIAL Y DE MERCADEO</v>
      </c>
    </row>
    <row r="660" spans="1:6" ht="22.5" customHeight="1">
      <c r="A660" s="53" t="s">
        <v>7633</v>
      </c>
      <c r="B660" s="51" t="s">
        <v>8327</v>
      </c>
      <c r="C660" s="53">
        <v>2024</v>
      </c>
      <c r="D660" s="52" t="str">
        <f t="shared" si="25"/>
        <v>CD-659-2024</v>
      </c>
      <c r="E660" s="96" t="s">
        <v>5291</v>
      </c>
      <c r="F660" s="93" t="str">
        <f>UPPER(E660)</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61" spans="1:6" ht="22.5" customHeight="1">
      <c r="A661" s="53" t="s">
        <v>7633</v>
      </c>
      <c r="B661" s="51" t="s">
        <v>8328</v>
      </c>
      <c r="C661" s="53">
        <v>2024</v>
      </c>
      <c r="D661" s="52" t="str">
        <f t="shared" si="25"/>
        <v>CD-660-2024</v>
      </c>
      <c r="E661" s="96" t="s">
        <v>5351</v>
      </c>
      <c r="F661" s="93" t="str">
        <f>UPPER(E661)</f>
        <v>PRESTACIÓN DE SERVICIOS PROFESIONALES ESPECIALIZADOS PARA LA GESTIÓN DE PROYECTOS EN EL ÁMBITO TECNOLÓGICO CON ALINEACIÓN AL CICLO DE MEJORA CONTINUA PARA EL ICETEX.</v>
      </c>
    </row>
    <row r="662" spans="1:6" ht="22.5" customHeight="1">
      <c r="A662" s="53" t="s">
        <v>7633</v>
      </c>
      <c r="B662" s="51" t="s">
        <v>8329</v>
      </c>
      <c r="C662" s="53">
        <v>2024</v>
      </c>
      <c r="D662" s="52" t="str">
        <f t="shared" si="25"/>
        <v>CD-661-2024</v>
      </c>
      <c r="E662" s="96" t="s">
        <v>5359</v>
      </c>
      <c r="F662" s="93" t="str">
        <f>UPPER(E662)</f>
        <v>PRESTACIÓN DE SERVICIOS PROFESIONALES ESPECIALIZADOS EN INGENIERIA ORIENTADOS AL TRÁMITE DE SERVICIOS DE TI EN EL CICLO DE DESARROLLO DE SOFTWARE APLICADO A LOS SISTEMAS DE INFORMACIÓN O COMPONENTES DE SOFTWARE DEL ICETEX.</v>
      </c>
    </row>
    <row r="663" spans="1:6" ht="22.5" customHeight="1">
      <c r="A663" s="53" t="s">
        <v>7633</v>
      </c>
      <c r="B663" s="51" t="s">
        <v>8330</v>
      </c>
      <c r="C663" s="53">
        <v>2024</v>
      </c>
      <c r="D663" s="52" t="str">
        <f t="shared" si="25"/>
        <v>CD-662-2024</v>
      </c>
      <c r="E663" s="96" t="s">
        <v>5291</v>
      </c>
      <c r="F663" s="93" t="str">
        <f>UPPER(E663)</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64" spans="1:6" ht="22.5" customHeight="1">
      <c r="A664" s="53" t="s">
        <v>7633</v>
      </c>
      <c r="B664" s="51" t="s">
        <v>8331</v>
      </c>
      <c r="C664" s="53">
        <v>2024</v>
      </c>
      <c r="D664" s="52" t="str">
        <f t="shared" si="25"/>
        <v>CD-663-2024</v>
      </c>
      <c r="E664" s="96" t="s">
        <v>5291</v>
      </c>
      <c r="F664"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65" spans="1:6" ht="22.5" customHeight="1">
      <c r="A665" s="53" t="s">
        <v>7633</v>
      </c>
      <c r="B665" s="51" t="s">
        <v>8332</v>
      </c>
      <c r="C665" s="53">
        <v>2024</v>
      </c>
      <c r="D665" s="52" t="str">
        <f t="shared" si="25"/>
        <v>CD-664-2024</v>
      </c>
      <c r="E665" s="96" t="s">
        <v>5291</v>
      </c>
      <c r="F665"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66" spans="1:6" ht="22.5" customHeight="1">
      <c r="A666" s="53" t="s">
        <v>7633</v>
      </c>
      <c r="B666" s="51" t="s">
        <v>8333</v>
      </c>
      <c r="C666" s="53">
        <v>2024</v>
      </c>
      <c r="D666" s="52" t="str">
        <f t="shared" si="25"/>
        <v>CD-665-2024</v>
      </c>
      <c r="E666" s="96" t="s">
        <v>5385</v>
      </c>
      <c r="F666" s="93" t="str">
        <f t="shared" si="26"/>
        <v>PRESTAR LOS SERVICIOS DE APOYO A LA GESTIÓN CONTABLES EN EL DESARROLLO  EJECUCIÓN TÉCNICA DEL PROYECTO DE INVERSIÓN DENOMINADO “MEJORAMIENTO DE SEDES CORRESPONDIENTE A LA GESTIÓN DEL GRUPO DE ADMINISTRACIÓN DE RECURSOS FÍSICOS TENDIENTES A CONTRIBUIR Y MEJORAR LA OPORTUNIDAD DE LOS SERVICIOS QUE PRESTA LA ENTIDAD.</v>
      </c>
    </row>
    <row r="667" spans="1:6" ht="22.5" customHeight="1">
      <c r="A667" s="53" t="s">
        <v>7633</v>
      </c>
      <c r="B667" s="51" t="s">
        <v>8334</v>
      </c>
      <c r="C667" s="53">
        <v>2024</v>
      </c>
      <c r="D667" s="52" t="str">
        <f t="shared" si="25"/>
        <v>CD-666-2024</v>
      </c>
      <c r="E667" s="96" t="s">
        <v>5393</v>
      </c>
      <c r="F667" s="93" t="str">
        <f t="shared" si="26"/>
        <v>PRESTAR SERVICIOS PROFESIONALES EN MATERIA DE EDUCACIÓN FINANCIERA EN EL CONTEXTO DEL DESARROLLO DEL PLAN ESTRATÉGICO DE LA ENTIDAD Y LA "POLÍTICA DE GUÍA, INFORMACIÓN Y ACOMPAÑAMIENTO</v>
      </c>
    </row>
    <row r="668" spans="1:6" ht="22.5" customHeight="1">
      <c r="A668" s="53" t="s">
        <v>7633</v>
      </c>
      <c r="B668" s="51" t="s">
        <v>8335</v>
      </c>
      <c r="C668" s="53">
        <v>2024</v>
      </c>
      <c r="D668" s="52" t="str">
        <f t="shared" si="25"/>
        <v>CD-667-2024</v>
      </c>
      <c r="E668" s="96" t="s">
        <v>5039</v>
      </c>
      <c r="F668" s="93" t="str">
        <f t="shared" si="26"/>
        <v>PRESTACIÓN DE SERVICIOS PROFESIONALES ESPECIALIZADOS PARA EL TRÁMITE DE SERVICIOS DE TI ORIENTADOS AL ANÁLISIS, MODELAMIENTO, DESARROLLO, PRUEBAS, IMPLEMENTACIÓN Y MEJORAMIENTO CONTINUO DE SOLUCIONES INFORMÁTICAS, REQUERIDAS EN EL ICETEX</v>
      </c>
    </row>
    <row r="669" spans="1:6" ht="22.5" customHeight="1">
      <c r="A669" s="53" t="s">
        <v>7633</v>
      </c>
      <c r="B669" s="51" t="s">
        <v>8336</v>
      </c>
      <c r="C669" s="53">
        <v>2024</v>
      </c>
      <c r="D669" s="52" t="str">
        <f t="shared" si="25"/>
        <v>CD-668-2024</v>
      </c>
      <c r="E669" s="96" t="s">
        <v>5411</v>
      </c>
      <c r="F669" s="93" t="str">
        <f t="shared" si="26"/>
        <v>PRESTACIÓN DE SERVICIOS PROFESIONALES ESPECIALIZADOS EN INGENIERÍA PARA EL TRÁMITE DE SERVICIOS DE TI ORIENTADOS AL ANÁLISIS Y GESTIÓN DE REQUERIMIENTOS FUNCIONALES Y NO FUNCIONALES A CARGO DEL ICETEX.</v>
      </c>
    </row>
    <row r="670" spans="1:6" ht="22.5" customHeight="1">
      <c r="A670" s="53" t="s">
        <v>7633</v>
      </c>
      <c r="B670" s="51" t="s">
        <v>8337</v>
      </c>
      <c r="C670" s="53">
        <v>2024</v>
      </c>
      <c r="D670" s="52" t="str">
        <f t="shared" si="25"/>
        <v>CD-669-2024</v>
      </c>
      <c r="E670" s="96" t="s">
        <v>5419</v>
      </c>
      <c r="F670" s="93" t="str">
        <f t="shared" si="26"/>
        <v>PRESTACIÓN DE SERVICIOS PROFESIONALES COMO APOYO A LA PLANEACIÓN, EVALUACIÓN Y SEGUIMIENTO DE PROYECTOS E INICIATIVAS DE LA VICEPRESIDENCIA DE OPERACIONES Y TECNOLOGÍA DEL ICETEX.</v>
      </c>
    </row>
    <row r="671" spans="1:6" ht="22.5" customHeight="1">
      <c r="A671" s="53" t="s">
        <v>7633</v>
      </c>
      <c r="B671" s="51" t="s">
        <v>8338</v>
      </c>
      <c r="C671" s="53">
        <v>2024</v>
      </c>
      <c r="D671" s="52" t="str">
        <f t="shared" si="25"/>
        <v>CD-670-2024</v>
      </c>
      <c r="E671" s="96" t="s">
        <v>5427</v>
      </c>
      <c r="F671" s="93" t="str">
        <f t="shared" si="26"/>
        <v>PRESTAR LOS SERVICIOS PROFESIONALES ESPECIALIZADOS PARA APOYAR EL ANÁLISIS DE LA INFORMACIÓN ESTADÍSTICA DE LA ENTIDAD Y DEL SECTOR PARA EL DESARROLLO DE EVALUACIONES INTERNAS, ESTUDIOS ECONÓMICOS Y/O ESTADÍSTICOS DE PROGRAMAS Y/O PROYECTOS RELACIONADOS CON LA MISIONALIDAD DEL ICETEX; ASÍ COMO BRINDAR APOYO PROFESIONAL EN EL PROCESO DE REGLAMENTACIÓN E IMPLEMENTACIÓN DEL MECANISMO DE PAGO CONTINGENTE AL INGRESO</v>
      </c>
    </row>
    <row r="672" spans="1:6" ht="22.5" customHeight="1">
      <c r="A672" s="53" t="s">
        <v>7633</v>
      </c>
      <c r="B672" s="51" t="s">
        <v>8339</v>
      </c>
      <c r="C672" s="53">
        <v>2024</v>
      </c>
      <c r="D672" s="52" t="str">
        <f t="shared" si="25"/>
        <v>CD-671-2024</v>
      </c>
      <c r="E672" s="96" t="s">
        <v>5435</v>
      </c>
      <c r="F672" s="93" t="str">
        <f t="shared" si="26"/>
        <v>PRESTAR SERVICIOS PROFESIONALES ESPECIALIZADOS COMO GESTOR DE INTELIGENCIA COMPETITIVA, PARA RECOPILAR, ANALIZAR Y UTILIZAR LA INFORMACIÓN IDENTIFICANDO OPORTUNIDADES Y VENTAJAS COMPETITIVAS DEL MERCADO QUE PROPICIEN EL DESARROLLO DE INICIATIVAS Y PROYECTOS LIDERADOS O APOYADOS DESDE EL EQUIPO DE INNOVACIÓN DE LA ENTIDAD.</v>
      </c>
    </row>
    <row r="673" spans="1:33" ht="22.5" customHeight="1">
      <c r="A673" s="53" t="s">
        <v>7633</v>
      </c>
      <c r="B673" s="51" t="s">
        <v>8340</v>
      </c>
      <c r="C673" s="53">
        <v>2024</v>
      </c>
      <c r="D673" s="52" t="str">
        <f t="shared" si="25"/>
        <v>CD-672-2024</v>
      </c>
      <c r="E673" s="96" t="s">
        <v>1884</v>
      </c>
      <c r="F673" s="93" t="str">
        <f t="shared" si="26"/>
        <v>PRESTACIÓN DE SERVICIOS PROFESIONALES ESPECIALIZADOS PARA EL ANÁLISIS Y APLICACIÓN DE NOVEDADES EN LA CARTERA, DE ACUERDO CON LA NORMATIVIDAD VIGENTE EN EL ICETEX</v>
      </c>
    </row>
    <row r="674" spans="1:33" ht="22.5" customHeight="1">
      <c r="A674" s="53" t="s">
        <v>7633</v>
      </c>
      <c r="B674" s="51" t="s">
        <v>8341</v>
      </c>
      <c r="C674" s="53">
        <v>2024</v>
      </c>
      <c r="D674" s="52" t="str">
        <f t="shared" si="25"/>
        <v>CD-673-2024</v>
      </c>
      <c r="E674" s="96" t="s">
        <v>874</v>
      </c>
      <c r="F674" s="93" t="str">
        <f t="shared" si="26"/>
        <v>PRESTACIÓN DE SERVICIOS PROFESIONALES ESPECIALIZADOS PARA EL DESARROLLO DE LAS ACTIVIDADES DE CONCILIACIÓN DE LA CARTERA Y/O CONTABLES RELACIONADAS CON LA GESTIÓN DE OPERACIONES DEL ICETEX</v>
      </c>
    </row>
    <row r="675" spans="1:33" ht="22.5" customHeight="1">
      <c r="A675" s="53" t="s">
        <v>7633</v>
      </c>
      <c r="B675" s="51" t="s">
        <v>8342</v>
      </c>
      <c r="C675" s="53">
        <v>2024</v>
      </c>
      <c r="D675" s="52" t="str">
        <f t="shared" si="25"/>
        <v>CD-674-2024</v>
      </c>
      <c r="E675" s="96" t="s">
        <v>3642</v>
      </c>
      <c r="F675" s="93" t="str">
        <f t="shared" si="26"/>
        <v>PRESTAR SERVICIOS PROFESIONALES PARA PROPORCIONAR ACOMPAÑAMIENTO TÉCNICO, ASISTENCIA METODOLÓGICA Y SOPORTE LOGÍSTICO EN LA "UNIDAD DE OPERACIÓN" EN EL MARCO DEL DESARROLLO DEL PLAN ESTRATÉGICO DE LA ENTIDAD Y LA "POLÍTICA DE GUÍA, INFORMACIÓN Y ACOMPAÑAMIENTO</v>
      </c>
    </row>
    <row r="676" spans="1:33" ht="22.5" customHeight="1">
      <c r="A676" s="53" t="s">
        <v>7633</v>
      </c>
      <c r="B676" s="51" t="s">
        <v>8343</v>
      </c>
      <c r="C676" s="53">
        <v>2024</v>
      </c>
      <c r="D676" s="52" t="str">
        <f t="shared" si="25"/>
        <v>CD-675-2024</v>
      </c>
      <c r="E676" s="96" t="s">
        <v>8344</v>
      </c>
      <c r="F676" s="93" t="str">
        <f t="shared" si="26"/>
        <v>PRESTAR LOS SERVICIOS PROFESIONALES A LA OFICINA DE RELACIONES INTERNACIONALES PARA REALIZAR APOYO TÉCNICO, ESTRATÉGICO Y DE SEGUIMIENTO A LOS PROGRAMAS ESPECIALES DE COOPERACIÓN INTERNACIONAL EN EL MARCO DE LA POLÍTICA DE COOPERACIÓN ACADÉMICA INTERNACIONAL E
INTERINSTITUCIONAL DEL ICETEX.</v>
      </c>
    </row>
    <row r="677" spans="1:33" ht="22.5" customHeight="1">
      <c r="A677" s="53" t="s">
        <v>7633</v>
      </c>
      <c r="B677" s="51" t="s">
        <v>8345</v>
      </c>
      <c r="C677" s="53">
        <v>2024</v>
      </c>
      <c r="D677" s="52" t="str">
        <f t="shared" si="25"/>
        <v>CD-676-2024</v>
      </c>
      <c r="E677" s="96" t="s">
        <v>5470</v>
      </c>
      <c r="F677" s="93" t="str">
        <f t="shared" si="26"/>
        <v>PRESTAR LOS SERVICIOS DE APOYO A LA GESTIÓN JURÍDICOS EN EL DESARROLLO Y EJECUCIÓN TÉCNICA DEL PROYECTO DE INVERSIÓN DENOMINADO “MEJORAMIENTO DE SEDES” CORRESPONDIENTE A LA GESTIÓN DEL GRUPO DE ADMINISTRACIÓN DE RECURSOS FÍSICOS TENDIENTE A CONTRIBUIR Y MEJORAR LA OPORTUNIDAD DE LOS SERVICIOS QUE PRESTA LA ENTIDAD</v>
      </c>
    </row>
    <row r="678" spans="1:33" ht="22.5" customHeight="1">
      <c r="A678" s="53" t="s">
        <v>7633</v>
      </c>
      <c r="B678" s="51" t="s">
        <v>8346</v>
      </c>
      <c r="C678" s="53">
        <v>2024</v>
      </c>
      <c r="D678" s="52" t="str">
        <f t="shared" si="25"/>
        <v>CD-677-2024</v>
      </c>
      <c r="E678" s="96" t="s">
        <v>5291</v>
      </c>
      <c r="F678" s="93" t="str">
        <f>UPPER(E678)</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79" spans="1:33" ht="22.5" customHeight="1">
      <c r="A679" s="53" t="s">
        <v>7633</v>
      </c>
      <c r="B679" s="51" t="s">
        <v>8347</v>
      </c>
      <c r="C679" s="53">
        <v>2024</v>
      </c>
      <c r="D679" s="52" t="str">
        <f>CONCATENATE(A679,"-",B679,"-",C679)</f>
        <v>CD-678-2024</v>
      </c>
      <c r="E679" s="96" t="s">
        <v>5483</v>
      </c>
      <c r="F679" s="93" t="str">
        <f t="shared" si="26"/>
        <v xml:space="preserve">PRESTACIÓN DE SERVICIOS PROFESIONALES ESPECIALIZADOS EN EL ANÁLISIS Y ESTRUCTURACIÓN DE POLÍTICAS, ESTRATEGIAS, PLANES, PROGRAMAS Y PROYECTOS ENCAMINADOS A LOGRAR LA TRANSFORMACIÓN DIGITAL DEL ICETEX DESDE LA VICEPRESIDENCIA DE OPERACIONES Y TECNOLOGÍA. </v>
      </c>
    </row>
    <row r="680" spans="1:33" ht="22.5" customHeight="1">
      <c r="A680" s="53" t="s">
        <v>7633</v>
      </c>
      <c r="B680" s="51" t="s">
        <v>8348</v>
      </c>
      <c r="C680" s="53">
        <v>2024</v>
      </c>
      <c r="D680" s="52" t="str">
        <f t="shared" si="25"/>
        <v>CD-679-2024</v>
      </c>
      <c r="E680" s="96" t="s">
        <v>5491</v>
      </c>
      <c r="F680" s="93" t="str">
        <f t="shared" si="26"/>
        <v>PRESTACIÓN DE SERVICIOS PROFESIONALES PARA LA GESTIÓN DE TODOS LOS REQUERIMIENTOS DE PROCESOS EN LA VERIFICACIÓN DE RIESGOS, EN ESPECIAL PROYECTOS DE INNOVACIÓN DE LA ENTIDAD, GESTIÓN DE CAMBIO Y REALIZAR ACOMPAÑAMIENTO A LOS REQUERIMIENTOS QUE SE SOLICITEN DE LOS SISTEMAS DE RIESGOS.</v>
      </c>
    </row>
    <row r="681" spans="1:33" ht="22.5" customHeight="1">
      <c r="A681" s="53" t="s">
        <v>7633</v>
      </c>
      <c r="B681" s="51" t="s">
        <v>8349</v>
      </c>
      <c r="C681" s="53">
        <v>2024</v>
      </c>
      <c r="D681" s="52" t="str">
        <f t="shared" si="25"/>
        <v>CD-680-2024</v>
      </c>
      <c r="E681" s="96" t="s">
        <v>5499</v>
      </c>
      <c r="F681" s="93" t="str">
        <f t="shared" si="26"/>
        <v>PRESTAR LOS SERVICIOS PROFESIONALES ESPECIALIZADOS EN LA SECRETARÍA GENERAL EN ASUNTOS RELACIONADOS CON LA GESTIÓN ESTRATÉGICA DE LA DEPENDENCIA</v>
      </c>
    </row>
    <row r="682" spans="1:33" ht="22.5" customHeight="1">
      <c r="A682" s="53" t="s">
        <v>7633</v>
      </c>
      <c r="B682" s="51" t="s">
        <v>8350</v>
      </c>
      <c r="C682" s="53">
        <v>2024</v>
      </c>
      <c r="D682" s="52" t="str">
        <f t="shared" si="25"/>
        <v>CD-681-2024</v>
      </c>
      <c r="E682" s="96" t="s">
        <v>1884</v>
      </c>
      <c r="F682" s="93" t="str">
        <f t="shared" si="26"/>
        <v>PRESTACIÓN DE SERVICIOS PROFESIONALES ESPECIALIZADOS PARA EL ANÁLISIS Y APLICACIÓN DE NOVEDADES EN LA CARTERA, DE ACUERDO CON LA NORMATIVIDAD VIGENTE EN EL ICETEX</v>
      </c>
    </row>
    <row r="683" spans="1:33" ht="22.5" customHeight="1">
      <c r="A683" s="53" t="s">
        <v>7633</v>
      </c>
      <c r="B683" s="51" t="s">
        <v>8351</v>
      </c>
      <c r="C683" s="53">
        <v>2024</v>
      </c>
      <c r="D683" s="52" t="str">
        <f t="shared" si="25"/>
        <v>CD-682-2024</v>
      </c>
      <c r="E683" s="96" t="s">
        <v>5291</v>
      </c>
      <c r="F683"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684" spans="1:33" ht="22.5" customHeight="1">
      <c r="A684" s="53" t="s">
        <v>7633</v>
      </c>
      <c r="B684" s="51" t="s">
        <v>8352</v>
      </c>
      <c r="C684" s="53">
        <v>2024</v>
      </c>
      <c r="D684" s="52" t="str">
        <f t="shared" si="25"/>
        <v>CD-683-2024</v>
      </c>
      <c r="E684" s="96" t="s">
        <v>5519</v>
      </c>
      <c r="F684" s="93" t="str">
        <f t="shared" si="26"/>
        <v>PRESTAR SERVICIOS PROFESIONALES PARA APOYAR AL GRUPO DE DESARROLLO Y TRANSFORMACIÓN ORGANIZACIONAL DE LA SECRETARÍA GENERAL EN LA IMPLEMENTACIÓN, EJECUCIÓN Y SEGUIMIENTO A LOS PROCESOS DE TRANSFORMACIÓN Y DESARROLLO DE LA CULTURA ORGANIZACIONAL DE LA ENTIDAD.</v>
      </c>
    </row>
    <row r="685" spans="1:33" ht="22.5" customHeight="1">
      <c r="A685" s="53" t="s">
        <v>7633</v>
      </c>
      <c r="B685" s="51" t="s">
        <v>8353</v>
      </c>
      <c r="C685" s="53">
        <v>2024</v>
      </c>
      <c r="D685" s="52" t="str">
        <f t="shared" si="25"/>
        <v>CD-684-2024</v>
      </c>
      <c r="E685" s="96" t="s">
        <v>5525</v>
      </c>
      <c r="F685"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v>
      </c>
    </row>
    <row r="686" spans="1:33" ht="22.5" customHeight="1">
      <c r="A686" s="53" t="s">
        <v>7633</v>
      </c>
      <c r="B686" s="51" t="s">
        <v>8354</v>
      </c>
      <c r="C686" s="53">
        <v>2024</v>
      </c>
      <c r="D686" s="52" t="str">
        <f>CONCATENATE(A686,"-",B686,"-",C686)</f>
        <v>CD-685-2024</v>
      </c>
      <c r="E686" s="96" t="s">
        <v>5531</v>
      </c>
      <c r="F686" s="93" t="str">
        <f t="shared" si="26"/>
        <v>PRESTAR LOS SERVICIOS PROFESIONALES ESPECIALIZADOS PARA EL DISEÑO, IMPLEMENTACIÓN, EJECUCIÓN,SUPERVISIÓN, CONTROL Y MEJORA CONTINUA DE LAS ESTRATEGIAS DE MERCADEO QUE CONTRIBUYAN A LAPROMOCIÓN Y OTORGAMIENTO DEL PORTAFOLIO DE PRODUCTOS DEL ICETEX”,</v>
      </c>
    </row>
    <row r="687" spans="1:33" s="85" customFormat="1" ht="22.5" customHeight="1">
      <c r="A687" s="53" t="s">
        <v>7633</v>
      </c>
      <c r="B687" s="51" t="s">
        <v>8355</v>
      </c>
      <c r="C687" s="53">
        <v>2024</v>
      </c>
      <c r="D687" s="52" t="str">
        <f t="shared" si="25"/>
        <v>CD-686-2024</v>
      </c>
      <c r="E687" s="96" t="s">
        <v>5291</v>
      </c>
      <c r="F687"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687"/>
      <c r="H687"/>
      <c r="I687"/>
      <c r="J687"/>
      <c r="K687"/>
      <c r="L687"/>
      <c r="M687"/>
      <c r="N687"/>
      <c r="O687"/>
      <c r="P687"/>
      <c r="Q687"/>
      <c r="R687"/>
      <c r="S687"/>
      <c r="T687"/>
      <c r="U687"/>
      <c r="V687"/>
      <c r="W687"/>
      <c r="X687"/>
      <c r="Y687"/>
      <c r="Z687"/>
      <c r="AA687"/>
      <c r="AB687"/>
      <c r="AC687"/>
      <c r="AD687"/>
      <c r="AE687"/>
      <c r="AF687"/>
      <c r="AG687"/>
    </row>
    <row r="688" spans="1:33" ht="22.5" customHeight="1">
      <c r="A688" s="53" t="s">
        <v>7633</v>
      </c>
      <c r="B688" s="51" t="s">
        <v>8356</v>
      </c>
      <c r="C688" s="53">
        <v>2024</v>
      </c>
      <c r="D688" s="52" t="str">
        <f t="shared" si="25"/>
        <v>CD-687-2024</v>
      </c>
      <c r="E688" s="96" t="s">
        <v>1884</v>
      </c>
      <c r="F688" s="93" t="str">
        <f t="shared" si="26"/>
        <v>PRESTACIÓN DE SERVICIOS PROFESIONALES ESPECIALIZADOS PARA EL ANÁLISIS Y APLICACIÓN DE NOVEDADES EN LA CARTERA, DE ACUERDO CON LA NORMATIVIDAD VIGENTE EN EL ICETEX</v>
      </c>
    </row>
    <row r="689" spans="1:33" ht="22.5" customHeight="1">
      <c r="A689" s="53" t="s">
        <v>7633</v>
      </c>
      <c r="B689" s="51" t="s">
        <v>8357</v>
      </c>
      <c r="C689" s="53">
        <v>2024</v>
      </c>
      <c r="D689" s="52" t="str">
        <f t="shared" si="25"/>
        <v>CD-688-2024</v>
      </c>
      <c r="E689" s="96" t="s">
        <v>4329</v>
      </c>
      <c r="F689" s="93" t="str">
        <f t="shared" si="26"/>
        <v>APOYAR LA EJECUCIÓN DEL PLAN COMERCIAL DE LA TERRITORIAL CENTRO ASOCIADA AL PORTAFOLIO DE SERVICIOS DE LCETEX EN LA REGIÓN, EN ARTICULACIÓN CON LA OFICINA COMERCIAL Y DE MERCADEO DEL NIVEL CENTRAL.</v>
      </c>
    </row>
    <row r="690" spans="1:33" ht="22.5" customHeight="1">
      <c r="A690" s="53" t="s">
        <v>7633</v>
      </c>
      <c r="B690" s="51" t="s">
        <v>8358</v>
      </c>
      <c r="C690" s="53">
        <v>2024</v>
      </c>
      <c r="D690" s="52" t="str">
        <f t="shared" si="25"/>
        <v>CD-689-2024</v>
      </c>
      <c r="E690" s="96" t="s">
        <v>5558</v>
      </c>
      <c r="F690" s="93" t="str">
        <f t="shared" si="26"/>
        <v>PRESTAR LOS SERVICIOS PROFESIONALES PARA APOYAR LA GESTIÓN DE RIESGO OPERACIONAL Y DE NUEVOS PROYECTOS, PRODUCTOS Y SERVICIOS Y GESTIÓN DE CAMBIOS, ATENDIENDO EL MARCO NORMATIVO INTERNO Y EXTERNO Y TODAS LAS BUENAS PRÁCTICAS RELACIONADAS CON LA ADMINISTRACIÓN DE RIESGOS DE LA ENTIDAD, BAJO EL MODELO DE SISTEMA INTEGRADO DE RIESGOS SIAR/SARE.</v>
      </c>
    </row>
    <row r="691" spans="1:33" ht="22.5" customHeight="1">
      <c r="A691" s="53" t="s">
        <v>7633</v>
      </c>
      <c r="B691" s="51" t="s">
        <v>8359</v>
      </c>
      <c r="C691" s="53">
        <v>2024</v>
      </c>
      <c r="D691" s="52" t="str">
        <f t="shared" si="25"/>
        <v>CD-690-2024</v>
      </c>
      <c r="E691" s="96" t="s">
        <v>5566</v>
      </c>
      <c r="F691" s="93" t="str">
        <f t="shared" si="26"/>
        <v>PRESTACIÓN DE SERVICIOS PROFESIONALES ESPECIALIZADOS PARA APOYAR LA APROPIACIÓN DE ARQUITECTURA DE INFORMACIÓN, CORRELACIÓN, CRUCE Y GESTIÓN DE DATOS NÚCLEO, EN EL MARCO DEL PROYECTO DE INVERSIÓN DE BANCA ABIERTA Y TRANSPARENTE E INHOUSE BANKING</v>
      </c>
    </row>
    <row r="692" spans="1:33" ht="22.5" customHeight="1">
      <c r="A692" s="53" t="s">
        <v>7633</v>
      </c>
      <c r="B692" s="51" t="s">
        <v>8360</v>
      </c>
      <c r="C692" s="53">
        <v>2024</v>
      </c>
      <c r="D692" s="52" t="str">
        <f t="shared" si="25"/>
        <v>CD-691-2024</v>
      </c>
      <c r="E692" s="96" t="s">
        <v>5578</v>
      </c>
      <c r="F692" s="93" t="str">
        <f t="shared" si="26"/>
        <v xml:space="preserve">PRESTAR APOYO JURÍDICO EN EL DESARROLLO DE LAS ACTIVIDADES PROPIAS DE LA GESTIÓN DEL GRUPO DE RECURSOS FÍSICOS Y EJECUCIÓN TÉCNICA DEL PROYECTO DE INVERSIÓN DENOMINADO “MEJORAMIENTO DE SEDES. </v>
      </c>
    </row>
    <row r="693" spans="1:33" ht="22.5" customHeight="1">
      <c r="A693" s="53" t="s">
        <v>7633</v>
      </c>
      <c r="B693" s="51" t="s">
        <v>8361</v>
      </c>
      <c r="C693" s="53">
        <v>2024</v>
      </c>
      <c r="D693" s="52" t="str">
        <f t="shared" si="25"/>
        <v>CD-692-2024</v>
      </c>
      <c r="E693" s="96" t="s">
        <v>5585</v>
      </c>
      <c r="F693" s="93" t="str">
        <f t="shared" si="26"/>
        <v>PRESTACIÓN DE SERVICIOS PROFESIONALES EN LA ESTRUCTURACIÓN DE METODOLOGÍAS, DEFINICIONES Y ESTRATEGIAS DE AUTOMATIZACIÓN DE PROCESOS PARA EL ICETEX</v>
      </c>
    </row>
    <row r="694" spans="1:33" ht="22.5" customHeight="1">
      <c r="A694" s="53" t="s">
        <v>7633</v>
      </c>
      <c r="B694" s="51" t="s">
        <v>8362</v>
      </c>
      <c r="C694" s="53">
        <v>2024</v>
      </c>
      <c r="D694" s="52" t="str">
        <f t="shared" si="25"/>
        <v>CD-693-2024</v>
      </c>
      <c r="E694" s="96" t="s">
        <v>5593</v>
      </c>
      <c r="F694" s="93" t="str">
        <f t="shared" si="26"/>
        <v>PRESTAR SERVICIOS PROFESIONALES PARA OFRECER SOPORTE TÉCNICO A LA "UNIDAD DE DISEÑO DE EXPERIENCIA" EN EL MARCO DEL DESARROLLO DEL PLAN ESTRATÉGICO DE LA ENTIDAD Y LA POLÍTICA DE GUÍA, INFORMACIÓN Y ACOMPAÑAMIENTO</v>
      </c>
    </row>
    <row r="695" spans="1:33" ht="22.5" customHeight="1">
      <c r="A695" s="53" t="s">
        <v>8363</v>
      </c>
      <c r="B695" s="51" t="s">
        <v>8364</v>
      </c>
      <c r="C695" s="53">
        <v>2024</v>
      </c>
      <c r="D695" s="52" t="str">
        <f t="shared" si="25"/>
        <v>IS-694-2024</v>
      </c>
      <c r="E695" s="96" t="s">
        <v>5819</v>
      </c>
      <c r="F695" s="93" t="str">
        <f t="shared" si="26"/>
        <v>RENOVACIÓN DE LA SUSCRIPCIÓN DE LACNIC DIRECCIONAMIENTO IPV6 DEL ICETEX</v>
      </c>
    </row>
    <row r="696" spans="1:33" ht="22.5" customHeight="1">
      <c r="A696" s="53" t="s">
        <v>7633</v>
      </c>
      <c r="B696" s="51" t="s">
        <v>8365</v>
      </c>
      <c r="C696" s="53">
        <v>2024</v>
      </c>
      <c r="D696" s="52" t="str">
        <f t="shared" si="25"/>
        <v>CD-695-2024</v>
      </c>
      <c r="E696" s="96" t="s">
        <v>5602</v>
      </c>
      <c r="F696" s="93" t="str">
        <f t="shared" si="26"/>
        <v>PRESTAR EL SERVICIO DE PUBLICACIÓN DE LOS ACTOS ADMINISTRATIVOS DEL ICETEX, EN EL DIARIO OFICIAL DE LA IMPRENTA NACIONAL DE COLOMBIA.</v>
      </c>
    </row>
    <row r="697" spans="1:33" ht="22.5" customHeight="1">
      <c r="A697" s="53" t="s">
        <v>7633</v>
      </c>
      <c r="B697" s="51" t="s">
        <v>8366</v>
      </c>
      <c r="C697" s="53">
        <v>2024</v>
      </c>
      <c r="D697" s="52" t="str">
        <f t="shared" si="25"/>
        <v>CD-696-2024</v>
      </c>
      <c r="E697" s="96" t="s">
        <v>5612</v>
      </c>
      <c r="F697" s="93" t="str">
        <f t="shared" si="26"/>
        <v xml:space="preserve">PRESTAR SUS SERVICIOS PROFESIONALES PARA LA ATENCIÓN DE PQRSD, CONDONACIONES Y DEMÁS TRÁMITES RELACIONADOS A CARGO DE LA VICEPRESIDENCIA DE FONDOS EN ADMINISTRACIÓN. </v>
      </c>
    </row>
    <row r="698" spans="1:33" ht="22.5" customHeight="1">
      <c r="A698" s="53" t="s">
        <v>8363</v>
      </c>
      <c r="B698" s="51" t="s">
        <v>8367</v>
      </c>
      <c r="C698" s="53">
        <v>2024</v>
      </c>
      <c r="D698" s="52" t="str">
        <f t="shared" si="25"/>
        <v>IS-697-2024</v>
      </c>
      <c r="E698" s="96" t="s">
        <v>5860</v>
      </c>
      <c r="F698" s="93" t="str">
        <f t="shared" si="26"/>
        <v>PRESTAR LOS SERVICIOS PROFESIONALES ESPECIALIZADOS PARA REALIZAR EL ESTUDIO DE SEGURIDAD DE LOS CANDIDATOS A DESEMPEÑAR LOS CARGOS VACANTES EN LA PLANTA DE PERSONAL DEL ICETEX Y EN LOS DEMÁS EVENTOS QUE ASÍ SE DETERMINEN.</v>
      </c>
    </row>
    <row r="699" spans="1:33" ht="22.5" customHeight="1">
      <c r="A699" s="53" t="s">
        <v>7633</v>
      </c>
      <c r="B699" s="51" t="s">
        <v>8368</v>
      </c>
      <c r="C699" s="53">
        <v>2024</v>
      </c>
      <c r="D699" s="52" t="str">
        <f t="shared" si="25"/>
        <v>CD-698-2024</v>
      </c>
      <c r="E699" s="96" t="s">
        <v>5623</v>
      </c>
      <c r="F699" s="93" t="str">
        <f t="shared" si="26"/>
        <v>PRESTAR LOS SERVICIOS COMO REPRESENTANTE LEGAL DE TENEDORES, Y DEFINIR LAS RELACIONES ENTRE EL EMISOR Y EL REPRESENTANTE LEGAL DE LOS TENEDORES DE BONOS, ASÍ COMO ESTABLECER LAS OBLIGACIONES DE ESTE ÚLTIMO, CON RELACIÓN A LOS TENEDORES DE BONOS, EN EL MARCO DE LAS EMISIONES CON CARGO AL PROGRAMA DE EMISIÓN Y COLOCACIÓN DE BONOS DEL INSTITUTO COLOMBIANO DE CRÉDITO EDUCATIVO Y ESTUDIOS TÉCNICOS EN EL EXTERIOR “MARIANO OSPINA PÉREZ”- ICETEX, LO ANTERIOR, CON EL FIN DE DAR CUMPLIMIENTO A LO PREVISTO EN LOS ARTÍCULOS 6.4.1.1.5 Y DEMÁS REFERENTES AL REPRESENTANTE LEGAL DE TENEDORES DE BONOS DEL DECRETO 2555 DE 2010, EL PROSPECTO DE INFORMACIÓN DEL PROGRAMA DE EMISIÓN Y COLOCACIÓN, EL REGLAMENTO DEL PROGRAMA, LOS DOCUMENTOS DE LAS EMISIONES, Y EN LAS DEMÁS NORMAS QUE RESULTEN APLICABLES.</v>
      </c>
    </row>
    <row r="700" spans="1:33" ht="22.5" customHeight="1">
      <c r="A700" s="53" t="s">
        <v>7633</v>
      </c>
      <c r="B700" s="51" t="s">
        <v>8369</v>
      </c>
      <c r="C700" s="53">
        <v>2024</v>
      </c>
      <c r="D700" s="52" t="str">
        <f t="shared" si="25"/>
        <v>CD-699-2024</v>
      </c>
      <c r="E700" s="96" t="s">
        <v>5631</v>
      </c>
      <c r="F700" s="93" t="str">
        <f t="shared" si="26"/>
        <v>SERVICIOS DE MANTENIMIENTO A DISTANCIA DEL SISTEMA DE INFORMACIÓN KACTUSHCM</v>
      </c>
    </row>
    <row r="701" spans="1:33" s="85" customFormat="1" ht="22.5" customHeight="1">
      <c r="A701" s="53" t="s">
        <v>7633</v>
      </c>
      <c r="B701" s="51" t="s">
        <v>8370</v>
      </c>
      <c r="C701" s="53">
        <v>2024</v>
      </c>
      <c r="D701" s="52" t="str">
        <f t="shared" si="25"/>
        <v>CD-700-2024</v>
      </c>
      <c r="E701" s="96" t="s">
        <v>5291</v>
      </c>
      <c r="F701"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701"/>
      <c r="H701"/>
      <c r="I701"/>
      <c r="J701"/>
      <c r="K701"/>
      <c r="L701"/>
      <c r="M701"/>
      <c r="N701"/>
      <c r="O701"/>
      <c r="P701"/>
      <c r="Q701"/>
      <c r="R701"/>
      <c r="S701"/>
      <c r="T701"/>
      <c r="U701"/>
      <c r="V701"/>
      <c r="W701"/>
      <c r="X701"/>
      <c r="Y701"/>
      <c r="Z701"/>
      <c r="AA701"/>
      <c r="AB701"/>
      <c r="AC701"/>
      <c r="AD701"/>
      <c r="AE701"/>
      <c r="AF701"/>
      <c r="AG701"/>
    </row>
    <row r="702" spans="1:33" s="85" customFormat="1" ht="22.5" customHeight="1">
      <c r="A702" s="53" t="s">
        <v>7633</v>
      </c>
      <c r="B702" s="51" t="s">
        <v>8371</v>
      </c>
      <c r="C702" s="53">
        <v>2024</v>
      </c>
      <c r="D702" s="52" t="str">
        <f t="shared" si="25"/>
        <v>CD-701-2024</v>
      </c>
      <c r="E702" s="96" t="s">
        <v>5644</v>
      </c>
      <c r="F702" s="93" t="str">
        <f>UPPER(E702)</f>
        <v>ACUERDOSACUERDO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702"/>
      <c r="H702"/>
      <c r="I702"/>
      <c r="J702"/>
      <c r="K702"/>
      <c r="L702"/>
      <c r="M702"/>
      <c r="N702"/>
      <c r="O702"/>
      <c r="P702"/>
      <c r="Q702"/>
      <c r="R702"/>
      <c r="S702"/>
      <c r="T702"/>
      <c r="U702"/>
      <c r="V702"/>
      <c r="W702"/>
      <c r="X702"/>
      <c r="Y702"/>
      <c r="Z702"/>
      <c r="AA702"/>
      <c r="AB702"/>
      <c r="AC702"/>
      <c r="AD702"/>
      <c r="AE702"/>
      <c r="AF702"/>
      <c r="AG702"/>
    </row>
    <row r="703" spans="1:33" ht="22.5" customHeight="1">
      <c r="A703" s="53" t="s">
        <v>7633</v>
      </c>
      <c r="B703" s="51" t="s">
        <v>8372</v>
      </c>
      <c r="C703" s="53">
        <v>2024</v>
      </c>
      <c r="D703" s="52" t="str">
        <f t="shared" si="25"/>
        <v>CD-702-2024</v>
      </c>
      <c r="E703" s="96" t="s">
        <v>5650</v>
      </c>
      <c r="F703" s="93" t="str">
        <f>UPPER(E703)</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04" spans="1:33" ht="22.5" customHeight="1">
      <c r="A704" s="53" t="s">
        <v>7633</v>
      </c>
      <c r="B704" s="51" t="s">
        <v>8373</v>
      </c>
      <c r="C704" s="53">
        <v>2024</v>
      </c>
      <c r="D704" s="52" t="str">
        <f t="shared" si="25"/>
        <v>CD-703-2024</v>
      </c>
      <c r="E704" s="96" t="s">
        <v>5650</v>
      </c>
      <c r="F704" s="93" t="str">
        <f t="shared" si="26"/>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05" spans="1:6" ht="22.5" customHeight="1">
      <c r="A705" s="53" t="s">
        <v>7633</v>
      </c>
      <c r="B705" s="51" t="s">
        <v>8374</v>
      </c>
      <c r="C705" s="53">
        <v>2024</v>
      </c>
      <c r="D705" s="52" t="str">
        <f t="shared" si="25"/>
        <v>CD-704-2024</v>
      </c>
      <c r="E705" s="96" t="s">
        <v>5662</v>
      </c>
      <c r="F705" s="93" t="str">
        <f t="shared" si="26"/>
        <v>PRESTAR SUS SERVICIOS PROFESIONALES APOYANDO LAS ESTRATEGIAS DE COMUNICACIÓN CON LOS CLIENTES INTERNOS Y EXTERNOS DE LA VICEPRESIDENCIA DE FONDOS EN ADMINISTRACIÓN.</v>
      </c>
    </row>
    <row r="706" spans="1:6" ht="22.5" customHeight="1">
      <c r="A706" s="53" t="s">
        <v>7633</v>
      </c>
      <c r="B706" s="51" t="s">
        <v>8375</v>
      </c>
      <c r="C706" s="53">
        <v>2024</v>
      </c>
      <c r="D706" s="52" t="str">
        <f t="shared" ref="D706:D769" si="27">CONCATENATE(A706,"-",B706,"-",C706)</f>
        <v>CD-705-2024</v>
      </c>
      <c r="E706" s="96" t="s">
        <v>5669</v>
      </c>
      <c r="F706" s="93" t="str">
        <f t="shared" ref="F706:F769" si="28">UPPER(E706)</f>
        <v>PRESTAR SUS SERVICIOS PROFESIONALES APOYANDO DESDE EL PUNTO DE VISTA JURÍDICO LOS TEMAS RELACIONADOS CON LOS FONDOS A CARGO LA VICEPRESIDENCIA DE FONDOS EN ADMINISTRACIÓN</v>
      </c>
    </row>
    <row r="707" spans="1:6" ht="22.5" customHeight="1">
      <c r="A707" s="53" t="s">
        <v>7633</v>
      </c>
      <c r="B707" s="51" t="s">
        <v>8376</v>
      </c>
      <c r="C707" s="53">
        <v>2024</v>
      </c>
      <c r="D707" s="52" t="str">
        <f t="shared" si="27"/>
        <v>CD-706-2024</v>
      </c>
      <c r="E707" s="96" t="s">
        <v>5291</v>
      </c>
      <c r="F707"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08" spans="1:6" ht="22.5" customHeight="1">
      <c r="A708" s="53" t="s">
        <v>7633</v>
      </c>
      <c r="B708" s="51" t="s">
        <v>8377</v>
      </c>
      <c r="C708" s="53">
        <v>2024</v>
      </c>
      <c r="D708" s="52" t="str">
        <f t="shared" si="27"/>
        <v>CD-707-2024</v>
      </c>
      <c r="E708" s="96" t="s">
        <v>5291</v>
      </c>
      <c r="F708"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09" spans="1:6" ht="22.5" customHeight="1">
      <c r="A709" s="53" t="s">
        <v>7633</v>
      </c>
      <c r="B709" s="51" t="s">
        <v>8378</v>
      </c>
      <c r="C709" s="53">
        <v>2024</v>
      </c>
      <c r="D709" s="52" t="str">
        <f t="shared" si="27"/>
        <v>CD-708-2024</v>
      </c>
      <c r="E709" s="96" t="s">
        <v>5291</v>
      </c>
      <c r="F709"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10" spans="1:6" ht="22.5" customHeight="1">
      <c r="A710" s="53" t="s">
        <v>7633</v>
      </c>
      <c r="B710" s="51" t="s">
        <v>8379</v>
      </c>
      <c r="C710" s="53">
        <v>2024</v>
      </c>
      <c r="D710" s="52" t="str">
        <f t="shared" si="27"/>
        <v>CD-709-2024</v>
      </c>
      <c r="E710" s="96" t="s">
        <v>5694</v>
      </c>
      <c r="F710" s="93" t="str">
        <f t="shared" si="28"/>
        <v>PRESTAR SUS SERVICIOS PROFESIONALES ESPECIALIZADOS APOYANDO LA GESTIÓN, ADMINISTRACIÓN, SEGUIMIENTO Y CONTROL DE LOS CONVENIOS, CONTRATOS, FONDOS, ALIANZAS Y/O PROYECTOS A CARGO DE LA VICEPRESIDENCIA DE FONDOS EN ADMINISTRACIÓN CONFORME LOS PROCEDIMIENTOS ESTABLECIDOS POR EL ICETEX</v>
      </c>
    </row>
    <row r="711" spans="1:6" ht="22.5" customHeight="1">
      <c r="A711" s="53" t="s">
        <v>7633</v>
      </c>
      <c r="B711" s="51" t="s">
        <v>8380</v>
      </c>
      <c r="C711" s="53">
        <v>2024</v>
      </c>
      <c r="D711" s="52" t="str">
        <f t="shared" si="27"/>
        <v>CD-710-2024</v>
      </c>
      <c r="E711" s="96" t="s">
        <v>5702</v>
      </c>
      <c r="F711" s="93" t="str">
        <f t="shared" si="28"/>
        <v>PRESTAR LOS SERVICIOS PROFESIONALES PARA APOYAR LAS ACTIVIDADES DE CONTROL Y AUTOCONTROL DE LOS PROCESOS Y PROCEDIMIENTOS ASOCIADOS A LA OFICINA COMERCIAL Y DE MERCADEO, COMO TAMBIÉN LA RESPUESTA A LOS REQUERIMIENTOS NORMATIVOS DE LOS ORGANISMOS DE CONTROL</v>
      </c>
    </row>
    <row r="712" spans="1:6" ht="22.5" customHeight="1">
      <c r="A712" s="53" t="s">
        <v>7633</v>
      </c>
      <c r="B712" s="51" t="s">
        <v>8381</v>
      </c>
      <c r="C712" s="53">
        <v>2024</v>
      </c>
      <c r="D712" s="52" t="str">
        <f t="shared" si="27"/>
        <v>CD-711-2024</v>
      </c>
      <c r="E712" s="96" t="s">
        <v>5712</v>
      </c>
      <c r="F712" s="93" t="str">
        <f t="shared" si="28"/>
        <v>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v>
      </c>
    </row>
    <row r="713" spans="1:6" ht="22.5" customHeight="1">
      <c r="A713" s="53" t="s">
        <v>7633</v>
      </c>
      <c r="B713" s="51" t="s">
        <v>8382</v>
      </c>
      <c r="C713" s="53">
        <v>2024</v>
      </c>
      <c r="D713" s="52" t="str">
        <f t="shared" si="27"/>
        <v>CD-712-2024</v>
      </c>
      <c r="E713" s="96" t="s">
        <v>5291</v>
      </c>
      <c r="F713"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14" spans="1:6" ht="22.5" customHeight="1">
      <c r="A714" s="53" t="s">
        <v>7633</v>
      </c>
      <c r="B714" s="51" t="s">
        <v>8383</v>
      </c>
      <c r="C714" s="53">
        <v>2024</v>
      </c>
      <c r="D714" s="52" t="str">
        <f t="shared" si="27"/>
        <v>CD-713-2024</v>
      </c>
      <c r="E714" s="96" t="s">
        <v>5291</v>
      </c>
      <c r="F714"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15" spans="1:6" ht="22.5" customHeight="1">
      <c r="A715" s="53" t="s">
        <v>7633</v>
      </c>
      <c r="B715" s="51" t="s">
        <v>8384</v>
      </c>
      <c r="C715" s="53">
        <v>2024</v>
      </c>
      <c r="D715" s="52" t="str">
        <f t="shared" si="27"/>
        <v>CD-714-2024</v>
      </c>
      <c r="E715" s="96" t="s">
        <v>5733</v>
      </c>
      <c r="F715" s="93" t="str">
        <f t="shared" si="28"/>
        <v xml:space="preserve">IMPLEMENTAR ESTRATEGIAS PARA LA EJECUCIÓN DEL PLAN COMERCIAL DE LA TERRITORIAL CENTRO ASOCIADAS AL PORTAFOLIO DE SERVICIOS DE LCETEX EN LA REGIÓN, EN ARTICULACIÓN CON LA OFICINA COMERCIAL Y DE MERCADEO DEL NIVEL CENTRAL. </v>
      </c>
    </row>
    <row r="716" spans="1:6" ht="22.5" customHeight="1">
      <c r="A716" s="53" t="s">
        <v>7633</v>
      </c>
      <c r="B716" s="51" t="s">
        <v>8385</v>
      </c>
      <c r="C716" s="53">
        <v>2024</v>
      </c>
      <c r="D716" s="52" t="str">
        <f>CONCATENATE(A716,"-",B716,"-",C716)</f>
        <v>CD-715-2024</v>
      </c>
      <c r="E716" s="96" t="s">
        <v>5291</v>
      </c>
      <c r="F716"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17" spans="1:6" ht="22.5" customHeight="1">
      <c r="A717" s="53" t="s">
        <v>7633</v>
      </c>
      <c r="B717" s="51" t="s">
        <v>8386</v>
      </c>
      <c r="C717" s="53">
        <v>2024</v>
      </c>
      <c r="D717" s="52" t="str">
        <f t="shared" si="27"/>
        <v>CD-716-2024</v>
      </c>
      <c r="E717" s="96" t="s">
        <v>5525</v>
      </c>
      <c r="F717"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v>
      </c>
    </row>
    <row r="718" spans="1:6" ht="22.5" customHeight="1">
      <c r="A718" s="53" t="s">
        <v>7633</v>
      </c>
      <c r="B718" s="51" t="s">
        <v>8387</v>
      </c>
      <c r="C718" s="53">
        <v>2024</v>
      </c>
      <c r="D718" s="52" t="str">
        <f t="shared" si="27"/>
        <v>CD-717-2024</v>
      </c>
      <c r="E718" s="96" t="s">
        <v>2851</v>
      </c>
      <c r="F718" s="93" t="str">
        <f t="shared" si="28"/>
        <v>PRESTACIÓN DE LOS SERVICIOS PROFESIONALES ESPECIALIZADOS PARA LA PREPARACIÓN Y LIQUIDACIÓN DE LOS DESEMBOLSOS EDUCATIVOS OTORGADOS CON RECURSOS PROPIOS O CON RECURSOS DE TERCEROS ADMINISTRADOS POR EL ICETEX</v>
      </c>
    </row>
    <row r="719" spans="1:6" ht="22.5" customHeight="1">
      <c r="A719" s="53" t="s">
        <v>7633</v>
      </c>
      <c r="B719" s="51" t="s">
        <v>8388</v>
      </c>
      <c r="C719" s="53">
        <v>2024</v>
      </c>
      <c r="D719" s="52" t="str">
        <f t="shared" si="27"/>
        <v>CD-718-2024</v>
      </c>
      <c r="E719" s="96" t="s">
        <v>5525</v>
      </c>
      <c r="F719"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v>
      </c>
    </row>
    <row r="720" spans="1:6" ht="22.5" customHeight="1">
      <c r="A720" s="53" t="s">
        <v>7633</v>
      </c>
      <c r="B720" s="51" t="s">
        <v>8389</v>
      </c>
      <c r="C720" s="53">
        <v>2024</v>
      </c>
      <c r="D720" s="52" t="str">
        <f t="shared" si="27"/>
        <v>CD-719-2024</v>
      </c>
      <c r="E720" s="96" t="s">
        <v>5765</v>
      </c>
      <c r="F720" s="93" t="str">
        <f t="shared" si="28"/>
        <v>PRESTAR LOS SERVICIOS PROFESIONALES EN LA ACTUALIZACIÓN DE LOS SISTEMAS DE GESTIÓN PRESUPUESTAL DE LOS RECURSOS DE FONDOS Y PROPIOS Y EN EL PROCESO DE VALIDACIÓN DE LA EJECUCIÓN DEL PRESUPUESTO A PARTIR DEL PROCESAMIENTO Y ANÁLISIS DE LA INFORMACIÓN A CARGO DEL GRUPO DE PRESUPUESTO</v>
      </c>
    </row>
    <row r="721" spans="1:33" ht="22.5" customHeight="1">
      <c r="A721" s="53" t="s">
        <v>7633</v>
      </c>
      <c r="B721" s="51" t="s">
        <v>8390</v>
      </c>
      <c r="C721" s="53">
        <v>2024</v>
      </c>
      <c r="D721" s="52" t="str">
        <f t="shared" si="27"/>
        <v>CD-720-2024</v>
      </c>
      <c r="E721" s="96" t="s">
        <v>5774</v>
      </c>
      <c r="F721" s="93" t="str">
        <f t="shared" si="28"/>
        <v>PRESTAR SUS SERVICIOS DE APOYO A LA GESTIÓN EN EL DESARROLLO DE LAS ACTIVIDADES ADMINISTRATIVAS Y OPERATIVAS DEL DESPACHO DE LA PRESIDENCIA</v>
      </c>
    </row>
    <row r="722" spans="1:33" ht="22.5" customHeight="1">
      <c r="A722" s="53" t="s">
        <v>8363</v>
      </c>
      <c r="B722" s="51" t="s">
        <v>8391</v>
      </c>
      <c r="C722" s="53">
        <v>2024</v>
      </c>
      <c r="D722" s="52" t="str">
        <f t="shared" si="27"/>
        <v>IS-721-2024</v>
      </c>
      <c r="E722" s="96" t="s">
        <v>5927</v>
      </c>
      <c r="F722" s="93" t="str">
        <f t="shared" si="28"/>
        <v>CONTRATAR LA ADQUISICIÓN DE PÓLIZAS DE SEGURO OBLIGATORIO DE ACCIDENTES DE TRÁNSITO (SOAT) PARA EL PARQUE AUTOMOTOR DE ICETEX</v>
      </c>
    </row>
    <row r="723" spans="1:33" ht="22.5" customHeight="1">
      <c r="A723" s="53" t="s">
        <v>7633</v>
      </c>
      <c r="B723" s="51" t="s">
        <v>8392</v>
      </c>
      <c r="C723" s="53">
        <v>2024</v>
      </c>
      <c r="D723" s="52" t="str">
        <f t="shared" si="27"/>
        <v>CD-722-2024</v>
      </c>
      <c r="E723" s="96" t="s">
        <v>1440</v>
      </c>
      <c r="F723" s="93" t="str">
        <f t="shared" si="28"/>
        <v>PRESTACIÓN DE SERVICIOS PROFESIONALES ESPECIALIZADOS PARA EL ANÁLISIS Y APLICACIÓN DE NOVEDADES EN LA CARTERA, DE ACUERDO CON LA NORMATIVIDAD VIGENTE EN EL ICETEX.</v>
      </c>
    </row>
    <row r="724" spans="1:33" ht="22.5" customHeight="1">
      <c r="A724" s="53" t="s">
        <v>7633</v>
      </c>
      <c r="B724" s="51" t="s">
        <v>8393</v>
      </c>
      <c r="C724" s="53">
        <v>2024</v>
      </c>
      <c r="D724" s="52" t="str">
        <f t="shared" si="27"/>
        <v>CD-723-2024</v>
      </c>
      <c r="E724" s="96" t="s">
        <v>5789</v>
      </c>
      <c r="F724" s="93" t="str">
        <f t="shared" si="28"/>
        <v>PRESTAR LOS SERVICIOS TÉCNICOS PARA APOYAR EN EL SOPORTE Y SEGUIMIENTO DE LAS OPERACIONES TESORALES, A PARTIR DE LA SISTEMATIZACIÓN Y ANÁLISIS DE INFORMACIÓN PARA LA OPTIMIZACIÓN DE PROCESOS FINANCIEROS EN EL MARCO DEL PROYECTO DE INVERSIÓN DE BANCA ABIERTA Y TRANSPARENTE E INHOUSE BANKING</v>
      </c>
    </row>
    <row r="725" spans="1:33" ht="22.5" customHeight="1">
      <c r="A725" s="53" t="s">
        <v>7633</v>
      </c>
      <c r="B725" s="51" t="s">
        <v>8394</v>
      </c>
      <c r="C725" s="53">
        <v>2024</v>
      </c>
      <c r="D725" s="52" t="str">
        <f t="shared" si="27"/>
        <v>CD-724-2024</v>
      </c>
      <c r="E725" s="96" t="s">
        <v>5799</v>
      </c>
      <c r="F725" s="93" t="str">
        <f t="shared" si="28"/>
        <v>CONTRATAR LA ADQUISICIÓN DEL LICENCIAMIENTO AGILITY RPA MULTIINSTANCIA Y EL SOPORTE ESPECIALIZADO PARA LOS PROCESOS AUTOMATIZADOS POR RPA EN EL ICETEX</v>
      </c>
    </row>
    <row r="726" spans="1:33" ht="22.5" customHeight="1">
      <c r="A726" s="53" t="s">
        <v>7633</v>
      </c>
      <c r="B726" s="51" t="s">
        <v>8395</v>
      </c>
      <c r="C726" s="53">
        <v>2024</v>
      </c>
      <c r="D726" s="52" t="str">
        <f t="shared" si="27"/>
        <v>CD-725-2024</v>
      </c>
      <c r="E726" s="96" t="s">
        <v>5808</v>
      </c>
      <c r="F726" s="93" t="str">
        <f t="shared" si="28"/>
        <v>PRESTAR SERVICIOS PROFESIONALES PARA BRINDAR ACOMPAÑAMIENTO A LA OFICINA COMERCIAL Y DE MERCADEO EN EL MARCO DEL PLAN ESTRATÉGICO Y LA “POLÍTICA DE GUÍA, INFORMACIÓN Y ACOMPAÑAMIENTO</v>
      </c>
    </row>
    <row r="727" spans="1:33" ht="22.5" customHeight="1">
      <c r="A727" s="53" t="s">
        <v>7633</v>
      </c>
      <c r="B727" s="51" t="s">
        <v>8396</v>
      </c>
      <c r="C727" s="53">
        <v>2024</v>
      </c>
      <c r="D727" s="52" t="str">
        <f t="shared" si="27"/>
        <v>CD-726-2024</v>
      </c>
      <c r="E727" s="96" t="s">
        <v>5351</v>
      </c>
      <c r="F727" s="93" t="str">
        <f t="shared" si="28"/>
        <v>PRESTACIÓN DE SERVICIOS PROFESIONALES ESPECIALIZADOS PARA LA GESTIÓN DE PROYECTOS EN EL ÁMBITO TECNOLÓGICO CON ALINEACIÓN AL CICLO DE MEJORA CONTINUA PARA EL ICETEX.</v>
      </c>
    </row>
    <row r="728" spans="1:33" ht="22.5" customHeight="1">
      <c r="A728" s="53" t="s">
        <v>7633</v>
      </c>
      <c r="B728" s="51" t="s">
        <v>8397</v>
      </c>
      <c r="C728" s="53">
        <v>2024</v>
      </c>
      <c r="D728" s="52" t="str">
        <f t="shared" si="27"/>
        <v>CD-727-2024</v>
      </c>
      <c r="E728" s="96" t="s">
        <v>3902</v>
      </c>
      <c r="F728" s="93" t="str">
        <f t="shared" si="28"/>
        <v>PRESTACIÓN DE SERVICIOS PROFESIONALES ESPECIALIZADOS PARA EL TRÁMITE DE SERVICIOS DE TI ORIENTADOS AL ANÁLISIS, MODELAMIENTO, DESARROLLO, PRUEBAS, IMPLEMENTACIÓN Y MEJORAMIENTO CONTINUO DE SOLUCIONES INFORMÁTICAS, REQUERIDAS EN EL ICETEX.</v>
      </c>
    </row>
    <row r="729" spans="1:33" ht="22.5" customHeight="1">
      <c r="A729" s="53" t="s">
        <v>7633</v>
      </c>
      <c r="B729" s="51" t="s">
        <v>8398</v>
      </c>
      <c r="C729" s="53">
        <v>2024</v>
      </c>
      <c r="D729" s="52" t="str">
        <f>CONCATENATE(A729,"-",B729,"-",C729)</f>
        <v>CD-728-2024</v>
      </c>
      <c r="E729" s="96" t="s">
        <v>5525</v>
      </c>
      <c r="F729"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v>
      </c>
    </row>
    <row r="730" spans="1:33" ht="22.5" customHeight="1">
      <c r="A730" s="53" t="s">
        <v>7633</v>
      </c>
      <c r="B730" s="51" t="s">
        <v>8399</v>
      </c>
      <c r="C730" s="53">
        <v>2024</v>
      </c>
      <c r="D730" s="52" t="str">
        <f t="shared" si="27"/>
        <v>CD-729-2024</v>
      </c>
      <c r="E730" s="96" t="s">
        <v>5844</v>
      </c>
      <c r="F730" s="93" t="str">
        <f t="shared" si="28"/>
        <v>PRESTACIÓN DE SERVICIOS PROFESIONALES ESPECIALIZADOS PARA EL TRÁMITE DE SERVICIOS DE TI ORIENTADOS AL ANÁLISIS Y GESTIÓN DE REQUERIMIENTOS FUNCIONALES Y NO FUNCIONALES A CARGO DEL ICETEX.</v>
      </c>
    </row>
    <row r="731" spans="1:33" ht="22.5" customHeight="1">
      <c r="A731" s="53" t="s">
        <v>7633</v>
      </c>
      <c r="B731" s="51" t="s">
        <v>8400</v>
      </c>
      <c r="C731" s="53">
        <v>2024</v>
      </c>
      <c r="D731" s="52" t="str">
        <f t="shared" si="27"/>
        <v>CD-730-2024</v>
      </c>
      <c r="E731" s="96" t="s">
        <v>5525</v>
      </c>
      <c r="F731"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 ICETEX.</v>
      </c>
    </row>
    <row r="732" spans="1:33" ht="22.5" customHeight="1">
      <c r="A732" s="53" t="s">
        <v>8401</v>
      </c>
      <c r="B732" s="51" t="s">
        <v>8402</v>
      </c>
      <c r="C732" s="53">
        <v>2024</v>
      </c>
      <c r="D732" s="52" t="str">
        <f t="shared" si="27"/>
        <v>IP-731-2024</v>
      </c>
      <c r="E732" s="96" t="s">
        <v>6260</v>
      </c>
      <c r="F732" s="93" t="str">
        <f t="shared" si="28"/>
        <v>CONTRATAR EL SERVICIO INTEGRAL DE ASEO Y CAFETERÍA PARA LAS SEDES DE ICETEX A NIVEL NACIONAL.</v>
      </c>
    </row>
    <row r="733" spans="1:33" ht="22.5" customHeight="1">
      <c r="A733" s="53" t="s">
        <v>8363</v>
      </c>
      <c r="B733" s="51" t="s">
        <v>8403</v>
      </c>
      <c r="C733" s="53">
        <v>2024</v>
      </c>
      <c r="D733" s="52" t="str">
        <f t="shared" si="27"/>
        <v>IS-732-2024</v>
      </c>
      <c r="E733" s="96" t="s">
        <v>6074</v>
      </c>
      <c r="F733" s="93" t="str">
        <f t="shared" si="28"/>
        <v>SUMINISTRO DE DOTACIÓN PARA LOS FUNCIONARIOS DEL ICETEX PARA LA VIGENCIA 2024.</v>
      </c>
    </row>
    <row r="734" spans="1:33" s="85" customFormat="1" ht="22.5" customHeight="1">
      <c r="A734" s="53" t="s">
        <v>7633</v>
      </c>
      <c r="B734" s="51" t="s">
        <v>8404</v>
      </c>
      <c r="C734" s="53">
        <v>2024</v>
      </c>
      <c r="D734" s="52" t="str">
        <f>CONCATENATE(A734,"-",B734,"-",C734)</f>
        <v>CD-733-2024</v>
      </c>
      <c r="E734" s="96" t="s">
        <v>8405</v>
      </c>
      <c r="F734" s="93" t="str">
        <f t="shared" si="28"/>
        <v>ACUERDOS ESTRATEGICOS</v>
      </c>
      <c r="G734"/>
      <c r="H734"/>
      <c r="I734"/>
      <c r="J734"/>
      <c r="K734"/>
      <c r="L734"/>
      <c r="M734"/>
      <c r="N734"/>
      <c r="O734"/>
      <c r="P734"/>
      <c r="Q734"/>
      <c r="R734"/>
      <c r="S734"/>
      <c r="T734"/>
      <c r="U734"/>
      <c r="V734"/>
      <c r="W734"/>
      <c r="X734"/>
      <c r="Y734"/>
      <c r="Z734"/>
      <c r="AA734"/>
      <c r="AB734"/>
      <c r="AC734"/>
      <c r="AD734"/>
      <c r="AE734"/>
      <c r="AF734"/>
      <c r="AG734"/>
    </row>
    <row r="735" spans="1:33" ht="22.5" customHeight="1">
      <c r="A735" s="53" t="s">
        <v>7633</v>
      </c>
      <c r="B735" s="51" t="s">
        <v>8406</v>
      </c>
      <c r="C735" s="53">
        <v>2024</v>
      </c>
      <c r="D735" s="52" t="str">
        <f t="shared" si="27"/>
        <v>CD-734-2024</v>
      </c>
      <c r="E735" s="96" t="s">
        <v>8407</v>
      </c>
      <c r="F735" s="93" t="str">
        <f>UPPER(E735)</f>
        <v>PRESTACIÓN DE SERVICIOS PROFESIONALES PARA LA EDICIÓN DE
CONTENIDOS AUDIOVISUALES GESTIONADOS POR LA OFICINA
ASESORA DE COMUNICACIONES.</v>
      </c>
    </row>
    <row r="736" spans="1:33" s="170" customFormat="1" ht="22.5" customHeight="1">
      <c r="A736" s="53" t="s">
        <v>7633</v>
      </c>
      <c r="B736" s="51" t="s">
        <v>8408</v>
      </c>
      <c r="C736" s="53">
        <v>2024</v>
      </c>
      <c r="D736" s="52" t="str">
        <f t="shared" si="27"/>
        <v>CD-735-2024</v>
      </c>
      <c r="E736" s="96" t="s">
        <v>5291</v>
      </c>
      <c r="F736"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736"/>
      <c r="H736"/>
      <c r="I736"/>
      <c r="J736"/>
      <c r="K736"/>
      <c r="L736"/>
      <c r="M736"/>
      <c r="N736"/>
      <c r="O736"/>
      <c r="P736"/>
      <c r="Q736"/>
      <c r="R736"/>
      <c r="S736"/>
      <c r="T736"/>
      <c r="U736"/>
      <c r="V736"/>
      <c r="W736"/>
      <c r="X736"/>
      <c r="Y736"/>
      <c r="Z736"/>
      <c r="AA736"/>
      <c r="AB736"/>
      <c r="AC736"/>
      <c r="AD736"/>
      <c r="AE736"/>
      <c r="AF736"/>
      <c r="AG736"/>
    </row>
    <row r="737" spans="1:6" ht="22.5" customHeight="1">
      <c r="A737" s="53" t="s">
        <v>7633</v>
      </c>
      <c r="B737" s="51" t="s">
        <v>8409</v>
      </c>
      <c r="C737" s="53">
        <v>2024</v>
      </c>
      <c r="D737" s="52" t="str">
        <f>CONCATENATE(A737,"-",B737,"-",C737)</f>
        <v>CD-736-2024</v>
      </c>
      <c r="E737" s="96" t="s">
        <v>5291</v>
      </c>
      <c r="F737"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38" spans="1:6" ht="22.5" customHeight="1">
      <c r="A738" s="53" t="s">
        <v>7633</v>
      </c>
      <c r="B738" s="51" t="s">
        <v>8410</v>
      </c>
      <c r="C738" s="53">
        <v>2024</v>
      </c>
      <c r="D738" s="52" t="str">
        <f t="shared" si="27"/>
        <v>CD-737-2024</v>
      </c>
      <c r="E738" s="96" t="s">
        <v>5291</v>
      </c>
      <c r="F738"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39" spans="1:6" ht="22.5" customHeight="1">
      <c r="A739" s="53" t="s">
        <v>7633</v>
      </c>
      <c r="B739" s="51" t="s">
        <v>8411</v>
      </c>
      <c r="C739" s="53">
        <v>2024</v>
      </c>
      <c r="D739" s="52" t="str">
        <f t="shared" si="27"/>
        <v>CD-738-2024</v>
      </c>
      <c r="E739" s="96" t="s">
        <v>5903</v>
      </c>
      <c r="F739" s="93" t="str">
        <f t="shared" si="28"/>
        <v>PRESTACIÓN DE SERVICIOS PROFESIONALES ESPECIALIZADOS EN INGENIERÍA EN ANÁLISIS, MODELAMIENTO E IMPLEMENTACIÓN DE ESTRATEGIAS DE MITIGACIÓN DE RIESGOS OPERATIVOS Y DE SEGURIDAD DIGITAL APLICABLES A LAS SOLUCIONES INFORMÁTICAS REQUERIDAS POR ICETEX.</v>
      </c>
    </row>
    <row r="740" spans="1:6" ht="22.5" customHeight="1">
      <c r="A740" s="53" t="s">
        <v>8363</v>
      </c>
      <c r="B740" s="51" t="s">
        <v>8412</v>
      </c>
      <c r="C740" s="53">
        <v>2024</v>
      </c>
      <c r="D740" s="52" t="str">
        <f t="shared" si="27"/>
        <v>IS-739-2024</v>
      </c>
      <c r="E740" s="96" t="s">
        <v>8413</v>
      </c>
      <c r="F740" s="93" t="str">
        <f t="shared" si="28"/>
        <v>PRESTAR EL SERVICIO PERMANENTE DE MONITOREO, CLASIFICACIÓN, ANÁLISIS Y SEGUIMIENTO DE LAS NOTICIAS Y MENCIONES DEL ICETEX QUE SE PUBLICAN EN LOS MEDIOS DE COMUNICACIÓN A NIVEL NACIONAL Y REGIONAL (ESCRITOS, DIGITALES, TELEVISIVOS Y RADIALES), ASÍ COMO EN REDES SOCIALES</v>
      </c>
    </row>
    <row r="741" spans="1:6" ht="22.5" customHeight="1">
      <c r="A741" s="53" t="s">
        <v>7633</v>
      </c>
      <c r="B741" s="51" t="s">
        <v>8414</v>
      </c>
      <c r="C741" s="53">
        <v>2024</v>
      </c>
      <c r="D741" s="52" t="str">
        <f t="shared" si="27"/>
        <v>CD-740-2024</v>
      </c>
      <c r="E741" s="96" t="s">
        <v>5911</v>
      </c>
      <c r="F741" s="93" t="str">
        <f t="shared" si="28"/>
        <v>PRESTAR SUS SERVICIOS PROFESIONALES GESTIONANDO LA LIQUIDACIÓN Y/O CIERRE DE LOS CONTRATOS Y CONVENIOS A CARGO DE LA VICEPRESIDENCIA DE FONDOS EN ADMINISTRACIÓN</v>
      </c>
    </row>
    <row r="742" spans="1:6" ht="22.5" customHeight="1">
      <c r="A742" s="53" t="s">
        <v>7633</v>
      </c>
      <c r="B742" s="51" t="s">
        <v>8415</v>
      </c>
      <c r="C742" s="53">
        <v>2024</v>
      </c>
      <c r="D742" s="52" t="str">
        <f t="shared" si="27"/>
        <v>CD-741-2024</v>
      </c>
      <c r="E742" s="96" t="s">
        <v>5291</v>
      </c>
      <c r="F742"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43" spans="1:6" ht="22.5" customHeight="1">
      <c r="A743" s="53" t="s">
        <v>7633</v>
      </c>
      <c r="B743" s="51" t="s">
        <v>8416</v>
      </c>
      <c r="C743" s="53">
        <v>2024</v>
      </c>
      <c r="D743" s="52" t="str">
        <f t="shared" si="27"/>
        <v>CD-742-2024</v>
      </c>
      <c r="E743" s="96" t="s">
        <v>5935</v>
      </c>
      <c r="F743" s="93" t="str">
        <f t="shared" si="28"/>
        <v>PRESTAR SUS SERVICIOS DE APOYO TÉCNICO EN LA GESTIÓN DE SEGUIMIENTO DE LOS PROCESOS Y PROCEDIMIENTOS A CARGO DE LA VICEPRESIDENCIA DE FONDOS EN ADMINISTRACIÓN</v>
      </c>
    </row>
    <row r="744" spans="1:6" ht="22.5" customHeight="1">
      <c r="A744" s="53" t="s">
        <v>7633</v>
      </c>
      <c r="B744" s="51" t="s">
        <v>8417</v>
      </c>
      <c r="C744" s="53">
        <v>2024</v>
      </c>
      <c r="D744" s="52" t="str">
        <f t="shared" si="27"/>
        <v>CD-743-2024</v>
      </c>
      <c r="E744" s="96" t="s">
        <v>5946</v>
      </c>
      <c r="F744" s="93" t="str">
        <f>UPPER(E744)</f>
        <v>ACUERDO ESTRATÉGICO PARA PROMOVER Y GARANTIZAR EL ACCESO Y PERMANENCIA A LOS PROGRAMAS DE EDUCACIÓN SUPERIOR DE PREGRADO, A ESTUDIANTES PERTENECIENTES A LAS COMUNIDADES INDÍGENAS DE COLOMBIA, EN CONDICIONES DE RECONOCIMIENTO Y RESPETO DE SUS LÓGICAS, FORMAS DE VIDA, VALORES Y SABRES, A TRAVÉS DE UN MODELO DE COFINANCIACIÓN.</v>
      </c>
    </row>
    <row r="745" spans="1:6" ht="22.5" customHeight="1">
      <c r="A745" s="53" t="s">
        <v>7633</v>
      </c>
      <c r="B745" s="51" t="s">
        <v>8418</v>
      </c>
      <c r="C745" s="53">
        <v>2024</v>
      </c>
      <c r="D745" s="52" t="str">
        <f t="shared" si="27"/>
        <v>CD-744-2024</v>
      </c>
      <c r="E745" s="96" t="s">
        <v>5291</v>
      </c>
      <c r="F745" s="93" t="str">
        <f t="shared" si="28"/>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46" spans="1:6" ht="22.5" customHeight="1">
      <c r="A746" s="53" t="s">
        <v>7633</v>
      </c>
      <c r="B746" s="51" t="s">
        <v>8419</v>
      </c>
      <c r="C746" s="53">
        <v>2024</v>
      </c>
      <c r="D746" s="52" t="str">
        <f t="shared" si="27"/>
        <v>CD-745-2024</v>
      </c>
      <c r="E746" s="96" t="s">
        <v>5176</v>
      </c>
      <c r="F746" s="93" t="str">
        <f t="shared" si="28"/>
        <v>PRESTAR SUS SERVICIOS PROFESIONALES APOYANDO LA ESTRUCTURACIÓN DE PROPUESTAS Y PROYECTOS DE FINANCIACIÓN ORIENTADOS A FOMENTAR EL ACCESO Y PERMANENCIA EDUCATIVA CONFORME LAS POLÍTICAS Y PROCEDIMIENTOS DEL ICETEX.</v>
      </c>
    </row>
    <row r="747" spans="1:6" ht="22.5" customHeight="1">
      <c r="A747" s="53" t="s">
        <v>7691</v>
      </c>
      <c r="B747" s="51" t="s">
        <v>8420</v>
      </c>
      <c r="C747" s="53">
        <v>2024</v>
      </c>
      <c r="D747" s="52" t="str">
        <f t="shared" si="27"/>
        <v>IMC-746-2024</v>
      </c>
      <c r="E747" s="96" t="s">
        <v>8421</v>
      </c>
      <c r="F747" s="93" t="str">
        <f t="shared" si="28"/>
        <v>CONTRATAR LA PRESTACIÓN DE SERVICIOS PROFESIONALES ESPECIALIZADOS DE REVISORÍA FISCAL PARA EL PERIODO 2024-2026 DEL ICETEX</v>
      </c>
    </row>
    <row r="748" spans="1:6" ht="22.5" customHeight="1">
      <c r="A748" s="53" t="s">
        <v>7633</v>
      </c>
      <c r="B748" s="51" t="s">
        <v>8422</v>
      </c>
      <c r="C748" s="53">
        <v>2024</v>
      </c>
      <c r="D748" s="52" t="str">
        <f t="shared" si="27"/>
        <v>CD-747-2024</v>
      </c>
      <c r="E748" s="96" t="s">
        <v>5966</v>
      </c>
      <c r="F748" s="93" t="str">
        <f t="shared" si="28"/>
        <v>PRESTAR LOS SERVICIOS PROFESIONALES ESPECIALIZADOS PARA APOYAR JURÍDICAMENTE EN EL DESARROLLO DE LAS ACTIVIDADES PROPIAS DE LA GESTIÓN DEL GRUPO DE RECURSOS FÍSICOS Y EJECUCIÓN TÉCNICA DEL PROYECTO DE INVERSIÓN DENOMINADO “MEJORAMIENTO DE SEDES</v>
      </c>
    </row>
    <row r="749" spans="1:6" ht="22.5" customHeight="1">
      <c r="A749" s="53" t="s">
        <v>7633</v>
      </c>
      <c r="B749" s="51" t="s">
        <v>8423</v>
      </c>
      <c r="C749" s="53">
        <v>2024</v>
      </c>
      <c r="D749" s="52" t="str">
        <f t="shared" si="27"/>
        <v>CD-748-2024</v>
      </c>
      <c r="E749" s="96" t="s">
        <v>5976</v>
      </c>
      <c r="F749" s="93" t="str">
        <f t="shared" si="28"/>
        <v>PRESTAR LOS SERVICIOS COMO REPRESENTANTE LEGAL DE TENEDORES, PARA DEFINIR LAS RELACIONES ENTRE EL EMISOR Y EL REPRESENTANTE LEGAL DE LOS TENEDORES DE BONOS, ASÍ COMO ESTABLECER LAS OBLIGACIONES DE ÉSTE ÚLTIMO, CON RELACIÓN A LOS TENEDORES DE BONOS, EN EL MARCO DE LA EMISIÓN Y COLOCACIÓN DE BONOS DEL INSTITUTO COLOMBIANO DE CRÉDITO EDUCATIVO Y ESTUDIOS TÉCNICOS EN EL EXTERIOR "MARIANO OSPINA PÉREZ"- ICETEX EMITIDOS DURANTE LA VIGENCIA 2021, LO ANTERIOR, CON EL FIN DE DAR CUMPLIMIENTO A LO PREVISTO EN LOS ARTÍCULOS 6.4.1.1.5 Y SIGUIENTES DEL DECRETO 2555 DE 2010, EL PROSPECTO DE INFORMACIÓN, EL REGLAMENTO DE LA EMISIÓN PUBLICADOS EN EL MARCO DE LA EMISIÓN DE BONOS ORDINARIOS SOCIALES 2021 Y EN LAS DEMÁS NORMAS QUE RESULTEN APLICABLES</v>
      </c>
    </row>
    <row r="750" spans="1:6" ht="22.5" customHeight="1">
      <c r="A750" s="53" t="s">
        <v>7633</v>
      </c>
      <c r="B750" s="51" t="s">
        <v>8424</v>
      </c>
      <c r="C750" s="53">
        <v>2024</v>
      </c>
      <c r="D750" s="52" t="str">
        <f t="shared" si="27"/>
        <v>CD-749-2024</v>
      </c>
      <c r="E750" s="96" t="s">
        <v>5976</v>
      </c>
      <c r="F750" s="93" t="str">
        <f t="shared" si="28"/>
        <v>PRESTAR LOS SERVICIOS COMO REPRESENTANTE LEGAL DE TENEDORES, PARA DEFINIR LAS RELACIONES ENTRE EL EMISOR Y EL REPRESENTANTE LEGAL DE LOS TENEDORES DE BONOS, ASÍ COMO ESTABLECER LAS OBLIGACIONES DE ÉSTE ÚLTIMO, CON RELACIÓN A LOS TENEDORES DE BONOS, EN EL MARCO DE LA EMISIÓN Y COLOCACIÓN DE BONOS DEL INSTITUTO COLOMBIANO DE CRÉDITO EDUCATIVO Y ESTUDIOS TÉCNICOS EN EL EXTERIOR "MARIANO OSPINA PÉREZ"- ICETEX EMITIDOS DURANTE LA VIGENCIA 2021, LO ANTERIOR, CON EL FIN DE DAR CUMPLIMIENTO A LO PREVISTO EN LOS ARTÍCULOS 6.4.1.1.5 Y SIGUIENTES DEL DECRETO 2555 DE 2010, EL PROSPECTO DE INFORMACIÓN, EL REGLAMENTO DE LA EMISIÓN PUBLICADOS EN EL MARCO DE LA EMISIÓN DE BONOS ORDINARIOS SOCIALES 2021 Y EN LAS DEMÁS NORMAS QUE RESULTEN APLICABLES</v>
      </c>
    </row>
    <row r="751" spans="1:6" ht="22.5" customHeight="1">
      <c r="A751" s="53" t="s">
        <v>7633</v>
      </c>
      <c r="B751" s="51" t="s">
        <v>8425</v>
      </c>
      <c r="C751" s="53">
        <v>2024</v>
      </c>
      <c r="D751" s="52" t="str">
        <f t="shared" si="27"/>
        <v>CD-750-2024</v>
      </c>
      <c r="E751" s="96" t="s">
        <v>5987</v>
      </c>
      <c r="F751" s="93" t="str">
        <f t="shared" si="28"/>
        <v>PRESTAR SERVICIOS PROFESIONALES PARA BRINDAR SOPORTE TÉCNICO, ASESORAMIENTO METODOLÓGICO Y APOYO LOGÍSTICO ORIENTADOS A LA EDUCACIÓN FINANCIERA EN EL MARCO DEL DESARROLLO DEL PLAN ESTRATÉGICO DE LA ENTIDAD Y LA "POLÍTICA DE GUÍA, INFORMACIÓN Y ACOMPAÑAMIENTO".</v>
      </c>
    </row>
    <row r="752" spans="1:6" ht="22.5" customHeight="1">
      <c r="A752" s="53" t="s">
        <v>7633</v>
      </c>
      <c r="B752" s="51" t="s">
        <v>8426</v>
      </c>
      <c r="C752" s="53">
        <v>2024</v>
      </c>
      <c r="D752" s="52" t="str">
        <f t="shared" si="27"/>
        <v>CD-751-2024</v>
      </c>
      <c r="E752" s="96" t="s">
        <v>6002</v>
      </c>
      <c r="F752" s="93" t="str">
        <f t="shared" si="28"/>
        <v>PRESTAR SERVICIOS PROFESIONALES ESPECIALIZADOS DE ASESORÍA Y ACOMPAÑAMIENTO TÉCNICO A LA "UNIDAD DE ENTENDIMIENTO Y DISEÑO DE EXPERIENCIAS" EN EL CONTEXTO DEL DESARROLLO DEL PLAN ESTRATÉGICO DE LA ENTIDAD Y LA "POLÍTICA DE GUÍA, INFORMACIÓN Y ACOMPAÑAMIENTO</v>
      </c>
    </row>
    <row r="753" spans="1:33" ht="22.5" customHeight="1">
      <c r="A753" s="53" t="s">
        <v>7633</v>
      </c>
      <c r="B753" s="51" t="s">
        <v>8427</v>
      </c>
      <c r="C753" s="53">
        <v>2024</v>
      </c>
      <c r="D753" s="52" t="str">
        <f t="shared" si="27"/>
        <v>CD-752-2024</v>
      </c>
      <c r="E753" s="96" t="s">
        <v>8428</v>
      </c>
      <c r="F753" s="93" t="str">
        <f t="shared" si="28"/>
        <v xml:space="preserve">PRESTAR SUS SERVICIOS PROFESIONALES ESPECIALIZADOS BRINDANDO ACOMPAÑAMIENTO INTEGRAL EN LA GESTIÓN, ADMINISTRACIÓN, SEGUIMIENTO Y CONTROL DE LOS CONVENIOS, CONTRATOS, FONDOS, ALIANZAS Y/O PROYECTOS A CARGO DE LA VICEPRESIDENCIA DE FONDOS EN ADMINISTRACIÓN CONFORME CON LOS PROCEDIMIENTOS ESTABLECIDOS POR EL ICETEX
</v>
      </c>
    </row>
    <row r="754" spans="1:33" ht="22.5" customHeight="1">
      <c r="A754" s="53" t="s">
        <v>8363</v>
      </c>
      <c r="B754" s="51" t="s">
        <v>8429</v>
      </c>
      <c r="C754" s="53">
        <v>2024</v>
      </c>
      <c r="D754" s="52" t="str">
        <f t="shared" si="27"/>
        <v>IS-753-2024</v>
      </c>
      <c r="E754" s="96" t="s">
        <v>6163</v>
      </c>
      <c r="F754" s="93" t="str">
        <f t="shared" si="28"/>
        <v>PRESTAR LOS SERVICIOS ESPECIALIZADOS DE VIGILANCIA Y SEGUIMIENTO DE TODOS LOS PROCESOS JUDICIALES EN LOS QUE SEA PARTE EL ICETEX Y EN LOS CASOS QUE INDIQUE LA ENTIDAD REALIZAR REPRESENTACIÓN JUDICIAL O EXTRAJUDICIAL</v>
      </c>
    </row>
    <row r="755" spans="1:33" ht="22.5" customHeight="1">
      <c r="A755" s="53" t="s">
        <v>8363</v>
      </c>
      <c r="B755" s="51" t="s">
        <v>8430</v>
      </c>
      <c r="C755" s="53">
        <v>2024</v>
      </c>
      <c r="D755" s="52" t="str">
        <f t="shared" si="27"/>
        <v>IS-754-2024</v>
      </c>
      <c r="E755" s="96" t="s">
        <v>8431</v>
      </c>
      <c r="F755" s="93" t="str">
        <f t="shared" si="28"/>
        <v>PRESTAR LOS SERVICIOS ESPECIALIZADOS PARA LA INVESTIGACIÓN DE BIENES DE LOS DEUDORES PRINCIPALES Y SOLIDARIOS DE LAS OBLIGACIONES OBJETO DE JUDICIALIZACIÓN, ASÍ COMO A LOS DEUDORES DENTRO DE LOS PROCESOS DE COBRO COACTIVO DEL ICETEX.</v>
      </c>
    </row>
    <row r="756" spans="1:33" ht="22.5" customHeight="1">
      <c r="A756" s="53" t="s">
        <v>7633</v>
      </c>
      <c r="B756" s="51" t="s">
        <v>8432</v>
      </c>
      <c r="C756" s="53">
        <v>2024</v>
      </c>
      <c r="D756" s="52" t="str">
        <f t="shared" si="27"/>
        <v>CD-755-2024</v>
      </c>
      <c r="E756" s="96" t="s">
        <v>6017</v>
      </c>
      <c r="F756" s="93" t="str">
        <f t="shared" si="28"/>
        <v>PRESTAR LOS SERVICIOS PROFESIONALES PARA APOYAR Y DESARROLLAR LAS ACTIVIDADES INHERENTES A LOS PROGRAMAS PARA COLOMBIANOS DEL PORTAFOLIO INTERNACIONAL QUE CONTRIBUYAN AL FORTALECIMIENTO DE LA POLÍTICA DE COOPERACIÓN ACADÉMICA INTERNACIONAL E INTERINSTITUCIONAL DEL ICETEX.</v>
      </c>
    </row>
    <row r="757" spans="1:33" ht="22.5" customHeight="1">
      <c r="A757" s="53" t="s">
        <v>7633</v>
      </c>
      <c r="B757" s="51" t="s">
        <v>8433</v>
      </c>
      <c r="C757" s="53">
        <v>2024</v>
      </c>
      <c r="D757" s="52" t="str">
        <f t="shared" si="27"/>
        <v>CD-756-2024</v>
      </c>
      <c r="E757" s="96" t="s">
        <v>6025</v>
      </c>
      <c r="F757" s="93" t="str">
        <f t="shared" si="28"/>
        <v>PRESTAR LOS SERVICIOS PROFESIONALES PARA APOYAR LA GESTIÓN DEL RIESGO DE LAVADO DE ACTIVOS Y FINANCIACIÓN DEL TERRORISMO PARA EL DESARROLLO DE HERRAMIENTAS TECNOLÓGICAS QUE FACILITEN LA OPTIMIZACIÓN DE LOS PROCESOS DE LAFT A LA VEZ QUE APOYE LOS PROCESOS ADMINISTRATIVOS ASIGNADOS AL OFICIAL DE CUMPLIMIENTO DE LA ENTIDAD.</v>
      </c>
    </row>
    <row r="758" spans="1:33" ht="22.5" customHeight="1">
      <c r="A758" s="53" t="s">
        <v>7633</v>
      </c>
      <c r="B758" s="51" t="s">
        <v>8434</v>
      </c>
      <c r="C758" s="53">
        <v>2024</v>
      </c>
      <c r="D758" s="52" t="str">
        <f t="shared" si="27"/>
        <v>CD-757-2024</v>
      </c>
      <c r="E758" s="96" t="s">
        <v>1884</v>
      </c>
      <c r="F758" s="93" t="str">
        <f t="shared" si="28"/>
        <v>PRESTACIÓN DE SERVICIOS PROFESIONALES ESPECIALIZADOS PARA EL ANÁLISIS Y APLICACIÓN DE NOVEDADES EN LA CARTERA, DE ACUERDO CON LA NORMATIVIDAD VIGENTE EN EL ICETEX</v>
      </c>
    </row>
    <row r="759" spans="1:33" ht="22.5" customHeight="1">
      <c r="A759" s="53" t="s">
        <v>7633</v>
      </c>
      <c r="B759" s="51" t="s">
        <v>8435</v>
      </c>
      <c r="C759" s="53">
        <v>2024</v>
      </c>
      <c r="D759" s="52" t="str">
        <f t="shared" si="27"/>
        <v>CD-758-2024</v>
      </c>
      <c r="E759" s="96" t="s">
        <v>6039</v>
      </c>
      <c r="F759" s="93" t="str">
        <f t="shared" si="28"/>
        <v>EL PRESENTE CONTRATO TIENE POR OBJETO OTORGAR UN PRÉSTAMO A EL ICETEX POR PARTE DE EL PRESTAMISTA EQUIVALENTE A LOS SALDOS DE LAS CUENTAS CORRIENTES Y/O DE AHORRO DE SUS CLIENTES QUE HAYAN PERMANECIDO INACTIVAS POR UN PERÍODO MAYOR A UN AÑO Y NO SUPEREN EL VALOR EQUIVALENTE A 322 UVR.</v>
      </c>
    </row>
    <row r="760" spans="1:33" ht="22.5" customHeight="1">
      <c r="A760" s="53" t="s">
        <v>7633</v>
      </c>
      <c r="B760" s="51" t="s">
        <v>8436</v>
      </c>
      <c r="C760" s="53">
        <v>2024</v>
      </c>
      <c r="D760" s="52" t="str">
        <f t="shared" si="27"/>
        <v>CD-759-2024</v>
      </c>
      <c r="E760" s="96" t="s">
        <v>1866</v>
      </c>
      <c r="F760" s="93" t="str">
        <f t="shared" si="28"/>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761" spans="1:33" ht="22.5" customHeight="1">
      <c r="A761" s="53" t="s">
        <v>7633</v>
      </c>
      <c r="B761" s="51" t="s">
        <v>8437</v>
      </c>
      <c r="C761" s="53">
        <v>2024</v>
      </c>
      <c r="D761" s="52" t="str">
        <f t="shared" si="27"/>
        <v>CD-760-2024</v>
      </c>
      <c r="E761" s="96" t="s">
        <v>6052</v>
      </c>
      <c r="F761" s="93" t="str">
        <f t="shared" si="28"/>
        <v>PRESTACIÓN DE SERVICIOS DE APOYO A LA GESTIÓN DOCUMENTAL PARA LA ACTUALIZACIÓN Y MANTENIMIENTO DEL SISTEMA DE GESTIÓN DOCUMENTAL Y LOS EXPEDIENTES DEL GRUPO DE RECURSOS FÍSICOS</v>
      </c>
    </row>
    <row r="762" spans="1:33" ht="22.5" customHeight="1">
      <c r="A762" s="53" t="s">
        <v>7633</v>
      </c>
      <c r="B762" s="51" t="s">
        <v>8438</v>
      </c>
      <c r="C762" s="53">
        <v>2024</v>
      </c>
      <c r="D762" s="52" t="str">
        <f t="shared" si="27"/>
        <v>CD-761-2024</v>
      </c>
      <c r="E762" s="96" t="s">
        <v>6063</v>
      </c>
      <c r="F762" s="93" t="str">
        <f t="shared" si="28"/>
        <v>CONTRATAR LOS SERVICIOS PROFESIONALES PARA DICTAR LAS ACCIONES FORMATIVAS PROPUESTAS EN EL PLAN INSTITUCIONAL DE CAPACITACIÓN PARA LA VIGENCIA 2024 DIRIGIDA A LOS FUNCIONARIOS DEL ICETEX</v>
      </c>
    </row>
    <row r="763" spans="1:33" ht="22.5" customHeight="1">
      <c r="A763" s="53" t="s">
        <v>7633</v>
      </c>
      <c r="B763" s="51" t="s">
        <v>8439</v>
      </c>
      <c r="C763" s="53">
        <v>2024</v>
      </c>
      <c r="D763" s="52" t="str">
        <f t="shared" si="27"/>
        <v>CD-762-2024</v>
      </c>
      <c r="E763" s="96" t="s">
        <v>8440</v>
      </c>
      <c r="F763" s="93" t="str">
        <f t="shared" si="28"/>
        <v xml:space="preserve">PRESTAR LOS SERVICIOS PROFESIONALES ESPECIALIZADOS EN LA ARTICULACIÓN CON DIFERENTES ACTORES Y ACOMPAÑAMIENTO DE LAS ACTIVIDADES QUE REALIZA EL PRESIDENTE DE LA ENTIDAD, ASÍ COMO LA REVISIÓN DE LOS DOCUMENTOS.
</v>
      </c>
    </row>
    <row r="764" spans="1:33" ht="22.5" customHeight="1">
      <c r="A764" s="53" t="s">
        <v>8401</v>
      </c>
      <c r="B764" s="51" t="s">
        <v>8441</v>
      </c>
      <c r="C764" s="53">
        <v>2024</v>
      </c>
      <c r="D764" s="52" t="str">
        <f t="shared" si="27"/>
        <v>IP-763-2024</v>
      </c>
      <c r="E764" s="96" t="s">
        <v>6542</v>
      </c>
      <c r="F764" s="93" t="str">
        <f t="shared" si="28"/>
        <v>PRESTAR LOS SERVICIOS PARA PLANEACIÓN O EJECUCIÓN O SEGUIMIENTO Y CONTROL A LOS PLANES DE MEDIOS NECESARIOS PARA DIFUNDIR LAS ESTRATEGIAS MISIONALES DE ICETEX O PROMOCIONAR EL PORTAFOLIO DE LA ENTIDAD EN TODO EL TERRITORIO NACIONAL, ASÍ COMO, LA PRE-PRODUCCIÓN, PRODUCCIÓN, POSTPRODUCCIÓN, REALIZACIÓN Y EMISIÓN DE PRODUCTOS AUDIOVISUALES QUE SE REQUIERAN</v>
      </c>
    </row>
    <row r="765" spans="1:33" ht="22.5" customHeight="1">
      <c r="A765" s="53" t="s">
        <v>7633</v>
      </c>
      <c r="B765" s="51" t="s">
        <v>8442</v>
      </c>
      <c r="C765" s="53">
        <v>2024</v>
      </c>
      <c r="D765" s="52" t="str">
        <f t="shared" si="27"/>
        <v>CD-764-2024</v>
      </c>
      <c r="E765" s="96" t="s">
        <v>6099</v>
      </c>
      <c r="F765" s="93" t="str">
        <f t="shared" si="28"/>
        <v>PRESTAR SERVICIOS PROFESIONALES A LA SECRETARÍA GENERAL EL ICETEX EN EL DESARROLLO DE LA GESTIÓN ADMINISTRATIVA RELACIONADOS CON LOS ASUNTOS DE CARÁCTER JURÍDICO Y CONTRACTUAL DE CONFORMIDAD CON LOS LINEAMIENTOS INTERNOS Y LA NORMATIVIDAD VIGENTE</v>
      </c>
    </row>
    <row r="766" spans="1:33" s="85" customFormat="1" ht="22.5" customHeight="1">
      <c r="A766" s="53" t="s">
        <v>7633</v>
      </c>
      <c r="B766" s="51" t="s">
        <v>8443</v>
      </c>
      <c r="C766" s="53">
        <v>2024</v>
      </c>
      <c r="D766" s="52" t="str">
        <f t="shared" si="27"/>
        <v>CD-765-2024</v>
      </c>
      <c r="E766" s="96" t="s">
        <v>6109</v>
      </c>
      <c r="F766" s="93" t="str">
        <f t="shared" si="28"/>
        <v>PRESTACIÓN DE SERVICIOS DE APOYO A LA GESTIÓN PARA LA EJECUCIÓN DE ACTIVIDADES ASISTENCIALES Y OPERATIVAS EN LA ENTIDAD.</v>
      </c>
      <c r="G766"/>
      <c r="H766"/>
      <c r="I766"/>
      <c r="J766"/>
      <c r="K766"/>
      <c r="L766"/>
      <c r="M766"/>
      <c r="N766"/>
      <c r="O766"/>
      <c r="P766"/>
      <c r="Q766"/>
      <c r="R766"/>
      <c r="S766"/>
      <c r="T766"/>
      <c r="U766"/>
      <c r="V766"/>
      <c r="W766"/>
      <c r="X766"/>
      <c r="Y766"/>
      <c r="Z766"/>
      <c r="AA766"/>
      <c r="AB766"/>
      <c r="AC766"/>
      <c r="AD766"/>
      <c r="AE766"/>
      <c r="AF766"/>
      <c r="AG766"/>
    </row>
    <row r="767" spans="1:33" ht="22.5" customHeight="1">
      <c r="A767" s="53" t="s">
        <v>7633</v>
      </c>
      <c r="B767" s="51" t="s">
        <v>8444</v>
      </c>
      <c r="C767" s="53">
        <v>2024</v>
      </c>
      <c r="D767" s="52" t="str">
        <f t="shared" si="27"/>
        <v>CD-766-2024</v>
      </c>
      <c r="E767" s="96" t="s">
        <v>6119</v>
      </c>
      <c r="F767" s="93" t="str">
        <f t="shared" si="28"/>
        <v>CONTRATAR EL ARRENDAMIENTO DE UN INMUEBLE COMPLETAMENTE ADECUADO PARA EL PUNTO DE ATENCIÓN AL USUARIO DE ICETEX EN LA CIUDAD DE LETICIA.</v>
      </c>
    </row>
    <row r="768" spans="1:33" ht="22.5" customHeight="1">
      <c r="A768" s="53" t="s">
        <v>7633</v>
      </c>
      <c r="B768" s="51" t="s">
        <v>8445</v>
      </c>
      <c r="C768" s="53">
        <v>2024</v>
      </c>
      <c r="D768" s="52" t="str">
        <f t="shared" si="27"/>
        <v>CD-767-2024</v>
      </c>
      <c r="E768" s="96" t="s">
        <v>6128</v>
      </c>
      <c r="F768" s="93" t="str">
        <f t="shared" si="28"/>
        <v>AUNAR ESFUERZOS CON LA ASOCIACIÓN DE INSTITUCIONES DE EDUCACIÓN SUPERIOR COLOMBIANAS DE ALTA CALIDAD PARA EL FOMENTO DE LA EDUCACIÓN INTERNACIONAL, COLOMBIA - CHALLENGE YOUR KNOWLEDGE, (CCYK) PARA PROMOVER A COLOMBIA COMO DESTINO ACADÉMICO DE CALIDAD A TRAVÉS DE LA PARTICIPACIÓN DEL ICETEX EN LAS CONFERENCIAS DE LA ASSOCIATION OF INTERNATIONAL EDUCATORS (NAFSA) Y LA EUROPEAN ASSOCIATION FOR INTERNATIONAL EDUCATION (EAIE) 2024.</v>
      </c>
    </row>
    <row r="769" spans="1:33" s="170" customFormat="1" ht="22.5" customHeight="1">
      <c r="A769" s="53" t="s">
        <v>7633</v>
      </c>
      <c r="B769" s="51" t="s">
        <v>8446</v>
      </c>
      <c r="C769" s="53">
        <v>2024</v>
      </c>
      <c r="D769" s="52" t="str">
        <f t="shared" si="27"/>
        <v>CD-768-2024</v>
      </c>
      <c r="E769" s="96" t="s">
        <v>6039</v>
      </c>
      <c r="F769" s="93" t="str">
        <f t="shared" si="28"/>
        <v>EL PRESENTE CONTRATO TIENE POR OBJETO OTORGAR UN PRÉSTAMO A EL ICETEX POR PARTE DE EL PRESTAMISTA EQUIVALENTE A LOS SALDOS DE LAS CUENTAS CORRIENTES Y/O DE AHORRO DE SUS CLIENTES QUE HAYAN PERMANECIDO INACTIVAS POR UN PERÍODO MAYOR A UN AÑO Y NO SUPEREN EL VALOR EQUIVALENTE A 322 UVR.</v>
      </c>
      <c r="G769"/>
      <c r="H769"/>
      <c r="I769"/>
      <c r="J769"/>
      <c r="K769"/>
      <c r="L769"/>
      <c r="M769"/>
      <c r="N769"/>
      <c r="O769"/>
      <c r="P769"/>
      <c r="Q769"/>
      <c r="R769"/>
      <c r="S769"/>
      <c r="T769"/>
      <c r="U769"/>
      <c r="V769"/>
      <c r="W769"/>
      <c r="X769"/>
      <c r="Y769"/>
      <c r="Z769"/>
      <c r="AA769"/>
      <c r="AB769"/>
      <c r="AC769"/>
      <c r="AD769"/>
      <c r="AE769"/>
      <c r="AF769"/>
      <c r="AG769"/>
    </row>
    <row r="770" spans="1:33" ht="22.5" customHeight="1">
      <c r="A770" s="53" t="s">
        <v>7633</v>
      </c>
      <c r="B770" s="51" t="s">
        <v>8447</v>
      </c>
      <c r="C770" s="53">
        <v>2024</v>
      </c>
      <c r="D770" s="52" t="str">
        <f t="shared" ref="D770:D833" si="29">CONCATENATE(A770,"-",B770,"-",C770)</f>
        <v>CD-769-2024</v>
      </c>
      <c r="E770" s="96" t="s">
        <v>5291</v>
      </c>
      <c r="F770" s="93" t="str">
        <f t="shared" ref="F770:F833" si="30">UPPER(E770)</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71" spans="1:33" ht="22.5" customHeight="1">
      <c r="A771" s="53" t="s">
        <v>7633</v>
      </c>
      <c r="B771" s="51" t="s">
        <v>8448</v>
      </c>
      <c r="C771" s="53">
        <v>2024</v>
      </c>
      <c r="D771" s="52" t="str">
        <f>CONCATENATE(A771,"-",B771,"-",C771)</f>
        <v>CD-770-2024</v>
      </c>
      <c r="E771" s="96" t="s">
        <v>5291</v>
      </c>
      <c r="F771" s="93" t="str">
        <f t="shared" si="30"/>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72" spans="1:33" ht="22.5" customHeight="1">
      <c r="A772" s="53" t="s">
        <v>7633</v>
      </c>
      <c r="B772" s="51" t="s">
        <v>8449</v>
      </c>
      <c r="C772" s="53">
        <v>2024</v>
      </c>
      <c r="D772" s="52" t="str">
        <f t="shared" si="29"/>
        <v>CD-771-2024</v>
      </c>
      <c r="E772" s="96" t="s">
        <v>5291</v>
      </c>
      <c r="F772" s="93" t="str">
        <f t="shared" si="30"/>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773" spans="1:33" ht="22.5" customHeight="1">
      <c r="A773" s="53" t="s">
        <v>7691</v>
      </c>
      <c r="B773" s="51" t="s">
        <v>8450</v>
      </c>
      <c r="C773" s="53">
        <v>2024</v>
      </c>
      <c r="D773" s="52" t="str">
        <f t="shared" si="29"/>
        <v>IMC-772-2024</v>
      </c>
      <c r="E773" s="96" t="s">
        <v>8451</v>
      </c>
      <c r="F773" s="93" t="str">
        <f t="shared" si="30"/>
        <v>PRESTAR LOS SERVICIOS ESPECIALIZADOS PARA SUMINISTRAR LA INFORMACIÓN DEL VALOR DEL SALARIO DE NUESTROS USUARIOS.</v>
      </c>
    </row>
    <row r="774" spans="1:33" ht="22.5" customHeight="1">
      <c r="A774" s="53" t="s">
        <v>8363</v>
      </c>
      <c r="B774" s="51" t="s">
        <v>8452</v>
      </c>
      <c r="C774" s="53">
        <v>2024</v>
      </c>
      <c r="D774" s="52" t="str">
        <f t="shared" si="29"/>
        <v>IS-773-2024</v>
      </c>
      <c r="E774" s="96" t="s">
        <v>8453</v>
      </c>
      <c r="F774" s="93" t="str">
        <f t="shared" si="30"/>
        <v>PRESTAR SERVICIOS DE MEDICINA PREVENTIVA Y DEL TRABAJO Y OTROS COMPLEMENTARIOS PARA LOS FUNCIONARIOS DEL INSTITUTO COLOMBIANO DE CRÉDITO EDUCATIVO Y ESTUDIOS TÉCNICOS EN EL EXTERIOR - ICETEX A NIVEL NACIONAL</v>
      </c>
    </row>
    <row r="775" spans="1:33" ht="22.5" customHeight="1">
      <c r="A775" s="53" t="s">
        <v>7633</v>
      </c>
      <c r="B775" s="51" t="s">
        <v>8454</v>
      </c>
      <c r="C775" s="53">
        <v>2024</v>
      </c>
      <c r="D775" s="52" t="str">
        <f t="shared" si="29"/>
        <v>CD-774-2024</v>
      </c>
      <c r="E775" s="96" t="s">
        <v>2851</v>
      </c>
      <c r="F775" s="93" t="str">
        <f t="shared" si="30"/>
        <v>PRESTACIÓN DE LOS SERVICIOS PROFESIONALES ESPECIALIZADOS PARA LA PREPARACIÓN Y LIQUIDACIÓN DE LOS DESEMBOLSOS EDUCATIVOS OTORGADOS CON RECURSOS PROPIOS O CON RECURSOS DE TERCEROS ADMINISTRADOS POR EL ICETEX</v>
      </c>
    </row>
    <row r="776" spans="1:33" ht="22.5" customHeight="1">
      <c r="A776" s="53" t="s">
        <v>7633</v>
      </c>
      <c r="B776" s="51" t="s">
        <v>8455</v>
      </c>
      <c r="C776" s="53">
        <v>2024</v>
      </c>
      <c r="D776" s="52" t="str">
        <f t="shared" si="29"/>
        <v>CD-775-2024</v>
      </c>
      <c r="E776" s="96" t="s">
        <v>6178</v>
      </c>
      <c r="F776" s="93" t="str">
        <f t="shared" si="30"/>
        <v>PRESTACIÓN DE SERVICIOS PROFESIONALES ESPECIALIZADOS PARA EL SEGUIMIENTO ADMINISTRATIVO Y CONTRACTUAL A PROYECTOS DE LA VICEPRESIDENCIA DE OPERACIONES Y TECNOLOGÍA DEL ICETEX.</v>
      </c>
    </row>
    <row r="777" spans="1:33" ht="22.5" customHeight="1">
      <c r="A777" s="53" t="s">
        <v>7691</v>
      </c>
      <c r="B777" s="51" t="s">
        <v>8456</v>
      </c>
      <c r="C777" s="53">
        <v>2024</v>
      </c>
      <c r="D777" s="52" t="str">
        <f t="shared" si="29"/>
        <v>IMC-776-2024</v>
      </c>
      <c r="E777" s="96" t="s">
        <v>6520</v>
      </c>
      <c r="F777" s="93" t="str">
        <f t="shared" si="30"/>
        <v>PRESTAR LOS SERVICIOS ESPECIALIZADOS PARA FORTALECER LA CONTACTABILIDAD DE LOS USUARIOS DE LA ENTIDAD</v>
      </c>
    </row>
    <row r="778" spans="1:33" s="85" customFormat="1" ht="22.5" customHeight="1">
      <c r="A778" s="53" t="s">
        <v>7633</v>
      </c>
      <c r="B778" s="51" t="s">
        <v>8457</v>
      </c>
      <c r="C778" s="53">
        <v>2024</v>
      </c>
      <c r="D778" s="52" t="str">
        <f t="shared" si="29"/>
        <v>CD-777-2024</v>
      </c>
      <c r="E778" s="96" t="s">
        <v>6186</v>
      </c>
      <c r="F778" s="93" t="str">
        <f t="shared" si="30"/>
        <v>PRESTACIÓN DE SERVICIOS PROFESIONALES ESPECIALIZADOS PARA LA GESTIÓN CONTRACTUAL Y ADMINISTRATIVA DE LA VICEPRESIDENCIA DE OPERACIONES Y TECNOLOGÍA DEL ICETEX.</v>
      </c>
      <c r="G778"/>
      <c r="H778"/>
      <c r="I778"/>
      <c r="J778"/>
      <c r="K778"/>
      <c r="L778"/>
      <c r="M778"/>
      <c r="N778"/>
      <c r="O778"/>
      <c r="P778"/>
      <c r="Q778"/>
      <c r="R778"/>
      <c r="S778"/>
      <c r="T778"/>
      <c r="U778"/>
      <c r="V778"/>
      <c r="W778"/>
      <c r="X778"/>
      <c r="Y778"/>
      <c r="Z778"/>
      <c r="AA778"/>
      <c r="AB778"/>
      <c r="AC778"/>
      <c r="AD778"/>
      <c r="AE778"/>
      <c r="AF778"/>
      <c r="AG778"/>
    </row>
    <row r="779" spans="1:33" ht="22.5" customHeight="1">
      <c r="A779" s="53" t="s">
        <v>7633</v>
      </c>
      <c r="B779" s="51" t="s">
        <v>8458</v>
      </c>
      <c r="C779" s="53">
        <v>2024</v>
      </c>
      <c r="D779" s="52" t="str">
        <f t="shared" si="29"/>
        <v>CD-778-2024</v>
      </c>
      <c r="E779" s="96" t="s">
        <v>7954</v>
      </c>
      <c r="F779" s="93" t="str">
        <f>UPPER(E779)</f>
        <v xml:space="preserve">PRESTAR SUS SERVICIOS DE APOYO TÉCNICO EN LOS TEMAS OPERATIVOS RELACIONADOS CON LA ADMINISTRACIÓN DE CONVENIOS, CONTRATOS, FONDOS, ALIANZAS Y/O PROYECTOS A CARGO LA VICEPRESIDENCIA DE FONDOS EN ADMINISTRACIÓN.
</v>
      </c>
    </row>
    <row r="780" spans="1:33" ht="22.5" customHeight="1">
      <c r="A780" s="53" t="s">
        <v>7691</v>
      </c>
      <c r="B780" s="51" t="s">
        <v>8459</v>
      </c>
      <c r="C780" s="53">
        <v>2024</v>
      </c>
      <c r="D780" s="52" t="str">
        <f t="shared" si="29"/>
        <v>IMC-779-2024</v>
      </c>
      <c r="E780" s="96" t="s">
        <v>8460</v>
      </c>
      <c r="F780" s="93" t="str">
        <f t="shared" si="30"/>
        <v>PRESTAR LOS SERVICIOS ESPECIALIZADOS PARA FORTALECER LA CONTABILIDAD DE LOS USUARIOS DE LA ENTIDAD.</v>
      </c>
    </row>
    <row r="781" spans="1:33" ht="22.5" customHeight="1">
      <c r="A781" s="53" t="s">
        <v>7633</v>
      </c>
      <c r="B781" s="51" t="s">
        <v>8461</v>
      </c>
      <c r="C781" s="53">
        <v>2024</v>
      </c>
      <c r="D781" s="52" t="str">
        <f t="shared" si="29"/>
        <v>CD-780-2024</v>
      </c>
      <c r="E781" s="96" t="s">
        <v>5702</v>
      </c>
      <c r="F781" s="93" t="str">
        <f t="shared" si="30"/>
        <v>PRESTAR LOS SERVICIOS PROFESIONALES PARA APOYAR LAS ACTIVIDADES DE CONTROL Y AUTOCONTROL DE LOS PROCESOS Y PROCEDIMIENTOS ASOCIADOS A LA OFICINA COMERCIAL Y DE MERCADEO, COMO TAMBIÉN LA RESPUESTA A LOS REQUERIMIENTOS NORMATIVOS DE LOS ORGANISMOS DE CONTROL</v>
      </c>
    </row>
    <row r="782" spans="1:33" ht="22.5" customHeight="1">
      <c r="A782" s="53" t="s">
        <v>7633</v>
      </c>
      <c r="B782" s="51" t="s">
        <v>8462</v>
      </c>
      <c r="C782" s="53">
        <v>2024</v>
      </c>
      <c r="D782" s="52" t="str">
        <f t="shared" si="29"/>
        <v>CD-781-2024</v>
      </c>
      <c r="E782" s="96" t="s">
        <v>6193</v>
      </c>
      <c r="F782" s="93" t="str">
        <f t="shared" si="30"/>
        <v>PRESTAR LOS SERVICIOS PROFESIONALES PARA APOYAR LAS ACTIVIDADES DE CONTROL Y AUTOCONTROL DE LOS PROCESOS Y PROCEDIMIENTOS ASOCIADOS A LA OFICINA COMERCIAL Y DE MERCADEO, COMO TAMBIÉN LA RESPUESTA A LOS REQUERIMIENTOS NORMATIVOS DE LOS ORGANISMOS DE CONTROL.</v>
      </c>
    </row>
    <row r="783" spans="1:33" ht="22.5" customHeight="1">
      <c r="A783" s="53" t="s">
        <v>7633</v>
      </c>
      <c r="B783" s="51" t="s">
        <v>8463</v>
      </c>
      <c r="C783" s="53">
        <v>2024</v>
      </c>
      <c r="D783" s="52" t="str">
        <f t="shared" si="29"/>
        <v>CD-782-2024</v>
      </c>
      <c r="E783" s="96" t="s">
        <v>6193</v>
      </c>
      <c r="F783" s="93" t="str">
        <f t="shared" si="30"/>
        <v>PRESTAR LOS SERVICIOS PROFESIONALES PARA APOYAR LAS ACTIVIDADES DE CONTROL Y AUTOCONTROL DE LOS PROCESOS Y PROCEDIMIENTOS ASOCIADOS A LA OFICINA COMERCIAL Y DE MERCADEO, COMO TAMBIÉN LA RESPUESTA A LOS REQUERIMIENTOS NORMATIVOS DE LOS ORGANISMOS DE CONTROL.</v>
      </c>
    </row>
    <row r="784" spans="1:33" ht="22.5" customHeight="1">
      <c r="A784" s="53" t="s">
        <v>7633</v>
      </c>
      <c r="B784" s="51" t="s">
        <v>8464</v>
      </c>
      <c r="C784" s="53">
        <v>2024</v>
      </c>
      <c r="D784" s="52" t="str">
        <f t="shared" si="29"/>
        <v>CD-783-2024</v>
      </c>
      <c r="E784" s="96" t="s">
        <v>6223</v>
      </c>
      <c r="F784" s="93" t="str">
        <f t="shared" si="30"/>
        <v>PRESTAR LOS SERVICIOS PROFESIONALES PARA APOYAR LAS ACTIVIDADES DE CONTROL Y AUTOCONTROL DE LOS PROCESOS Y PROCEDIMIENTOS ASOCIADOS A LA OFICINA COMERCIAL Y DE MERCADEO, COMO TAMBIÉN LA RESPUESTA A LOS REQUERIMIENTOS NORMATIVOS DE LOS ORGANISMOS DE CONTROL..</v>
      </c>
    </row>
    <row r="785" spans="1:33" ht="22.5" customHeight="1">
      <c r="A785" s="53" t="s">
        <v>7633</v>
      </c>
      <c r="B785" s="51" t="s">
        <v>8465</v>
      </c>
      <c r="C785" s="53">
        <v>2024</v>
      </c>
      <c r="D785" s="52" t="str">
        <f t="shared" si="29"/>
        <v>CD-784-2024</v>
      </c>
      <c r="E785" s="96" t="s">
        <v>6193</v>
      </c>
      <c r="F785" s="93" t="str">
        <f t="shared" si="30"/>
        <v>PRESTAR LOS SERVICIOS PROFESIONALES PARA APOYAR LAS ACTIVIDADES DE CONTROL Y AUTOCONTROL DE LOS PROCESOS Y PROCEDIMIENTOS ASOCIADOS A LA OFICINA COMERCIAL Y DE MERCADEO, COMO TAMBIÉN LA RESPUESTA A LOS REQUERIMIENTOS NORMATIVOS DE LOS ORGANISMOS DE CONTROL.</v>
      </c>
    </row>
    <row r="786" spans="1:33" ht="22.5" customHeight="1">
      <c r="A786" s="53" t="s">
        <v>7633</v>
      </c>
      <c r="B786" s="51" t="s">
        <v>8466</v>
      </c>
      <c r="C786" s="53">
        <v>2024</v>
      </c>
      <c r="D786" s="52" t="str">
        <f t="shared" si="29"/>
        <v>CD-785-2024</v>
      </c>
      <c r="E786" s="96" t="s">
        <v>8467</v>
      </c>
      <c r="F786" s="93" t="str">
        <f t="shared" si="30"/>
        <v>CONTRATAR LOS SERVICIOS PARA LA EJECUCIÓN DE LAS ACTIVIDADES ENMARCADAS O DESCRITAS EN EL PLAN DE BIENESTAR DEL ICETEX.</v>
      </c>
    </row>
    <row r="787" spans="1:33" ht="22.5" customHeight="1">
      <c r="A787" s="53" t="s">
        <v>7633</v>
      </c>
      <c r="B787" s="51" t="s">
        <v>8468</v>
      </c>
      <c r="C787" s="53">
        <v>2024</v>
      </c>
      <c r="D787" s="52" t="str">
        <f t="shared" si="29"/>
        <v>CD-786-2024</v>
      </c>
      <c r="E787" s="96" t="s">
        <v>8469</v>
      </c>
      <c r="F787" s="93" t="str">
        <f t="shared" si="30"/>
        <v>PRESTAR LOS SERVICIOS PROFESIONALES ESPECIALIZADOS A LA SECRETARÍA GENERAL PARA GESTIONAR Y ACOMPAÑAR EL SEGUIMIENTO Y CONTROL A LA ACTIVIDAD CONTABLE, FINANCIERA, PRESUPUESTAL DE LAS ÁREAS DE LA DEPENDENCIA, ASÍ COMO PRESTAR APOYO FINANCIERO A LA SUPERVISIÓN DE LA INTERVENTORÍA DEL CONTRATO 2023-0704.</v>
      </c>
    </row>
    <row r="788" spans="1:33" ht="22.5" customHeight="1">
      <c r="A788" s="53" t="s">
        <v>8363</v>
      </c>
      <c r="B788" s="51" t="s">
        <v>8470</v>
      </c>
      <c r="C788" s="53">
        <v>2024</v>
      </c>
      <c r="D788" s="52" t="str">
        <f t="shared" si="29"/>
        <v>IS-787-2024</v>
      </c>
      <c r="E788" s="96" t="s">
        <v>6420</v>
      </c>
      <c r="F788" s="93" t="str">
        <f t="shared" si="30"/>
        <v>SERVICIO DE PLATAFORMA TECNOLÓGICA DE SUBASTAS ASCENDENTES ELECTRÓNICAS PARA EL ICETEX.</v>
      </c>
    </row>
    <row r="789" spans="1:33" ht="22.5" customHeight="1">
      <c r="A789" s="53" t="s">
        <v>7691</v>
      </c>
      <c r="B789" s="51" t="s">
        <v>8471</v>
      </c>
      <c r="C789" s="53">
        <v>2024</v>
      </c>
      <c r="D789" s="52" t="str">
        <f t="shared" si="29"/>
        <v>IMC-788-2024</v>
      </c>
      <c r="E789" s="96" t="s">
        <v>8472</v>
      </c>
      <c r="F789" s="93" t="str">
        <f t="shared" si="30"/>
        <v>SOPORTE INTEGRAL ESPECIALIZADO PARA LA PLATAFORMA DE CONTENEDORES Y BUS DE SERVICIOS DEL ICETEX.</v>
      </c>
    </row>
    <row r="790" spans="1:33" ht="22.5" customHeight="1">
      <c r="A790" s="53" t="s">
        <v>8363</v>
      </c>
      <c r="B790" s="51" t="s">
        <v>8473</v>
      </c>
      <c r="C790" s="53">
        <v>2024</v>
      </c>
      <c r="D790" s="52" t="str">
        <f t="shared" si="29"/>
        <v>IS-789-2024</v>
      </c>
      <c r="E790" s="96" t="s">
        <v>6512</v>
      </c>
      <c r="F790" s="93" t="str">
        <f t="shared" si="30"/>
        <v xml:space="preserve">CONTRATAR LA REVISIÓN Y CERTIFICACIÓN DE LOS EQUIPOS DE TRANSPORTE VERTICAL (ASCENSORES) DE ICETEX DE CONFORMIDAD CON LA NORMATIVIDAD VIGENTE Y LA NTC QUE </v>
      </c>
    </row>
    <row r="791" spans="1:33" ht="22.5" customHeight="1">
      <c r="A791" s="53" t="s">
        <v>7633</v>
      </c>
      <c r="B791" s="51" t="s">
        <v>8474</v>
      </c>
      <c r="C791" s="53">
        <v>2024</v>
      </c>
      <c r="D791" s="52" t="str">
        <f t="shared" si="29"/>
        <v>CD-790-2024</v>
      </c>
      <c r="E791" s="96" t="s">
        <v>8475</v>
      </c>
      <c r="F791" s="93" t="str">
        <f t="shared" si="30"/>
        <v>EL OBJETO DEL PRESENTE CONVENIO ES LA PRESTACIÓN DEL SERVICIO DE RECAUDO POR PARTE DE EL BANCO DE LOS PAGOS EFECTUADOS AL ICETEX POR PARTE DE SUS USUARIOS, PARA POSTERIORMENTE ABONAR DICHOS RECAUDOS A CUENTAS DE DEPÓSITO DE ICETEX EN EL BANCO PREVIAMENTE ACORDADA EN LA SOLICITUD DE AFILIACIÓN, PAGOS QUE SE PODRÁN EFECTUAR EN EFECTIVO O EN CHEQUE. PARA USUARIOS DEL ICETEX QUE A SU VEZ SEAN CLIENTES DE EL BANCO, EN ADELANTE CLIENTES COMUNES SE ENTENDERÁN COMO MEDIOS DE PAGO, ADEMÁS DE LOS ANTERIORES, EL DÉBITO A CUENTA CORRIENTE O DE AHORROS, EL CARGO A UNA TARJETA DE CRÉDITO EMITIDA POR EL BANCO O CUALQUIER OTRA FACILIDAD DE CRÉDITO O SERVICIO ADICIONAL OFRECIDO POR EL BANCO A DICHOS CLIENTES COMUNES, EL BANCO SE RESERVA EL DERECHO DE DEFINIR E IMPLEMENTAR MEDIOS DE PAGO, SEGÚN LA MODALIDAD DE RECAUDO, LO CUAL LE SERÁ INFORMADO POR ESCRITO AL ICETEX.</v>
      </c>
    </row>
    <row r="792" spans="1:33" ht="22.5" customHeight="1">
      <c r="A792" s="53" t="s">
        <v>8363</v>
      </c>
      <c r="B792" s="51" t="s">
        <v>8476</v>
      </c>
      <c r="C792" s="53">
        <v>2024</v>
      </c>
      <c r="D792" s="52" t="str">
        <f t="shared" si="29"/>
        <v>IS-791-2024</v>
      </c>
      <c r="E792" s="96" t="s">
        <v>6502</v>
      </c>
      <c r="F792" s="93" t="str">
        <f t="shared" si="30"/>
        <v>PRESTAR SERVICIOS DE ÁREA PROTEGIDA PARA RESGUARDAR Y ATENDER OPORTUNAMENTE LAS URGENCIAS Y/O EMERGENCIAS QUE LE OCURRAN A LAS PERSONAS QUE SE ENCUENTREN DENTRO DE LAS INSTALACIONES FÍSICAS DEL ICETEX A NIVEL NACIONAL, ASÍ COMO TRASLADOS ASISTIDOS A CENTROS MÉDICOS HOSPITALARIOS, ORIENTACIÓN MEDICA TELEFÓNICA LAS VEINTICUATRO (24) HORAS DEL DÍA DURANTE EL TIEMPO CONTRATADO, ENTRE OTRAS ASISTENCIAS QUE SEAN INDISPENSABLES PARA LA ÓPTIMA PRESTACIÓN DEL SERVICI</v>
      </c>
    </row>
    <row r="793" spans="1:33" ht="22.5" customHeight="1">
      <c r="A793" s="53" t="s">
        <v>7633</v>
      </c>
      <c r="B793" s="51" t="s">
        <v>8477</v>
      </c>
      <c r="C793" s="53">
        <v>2024</v>
      </c>
      <c r="D793" s="52" t="str">
        <f t="shared" si="29"/>
        <v>CD-792-2024</v>
      </c>
      <c r="E793" s="96" t="s">
        <v>8478</v>
      </c>
      <c r="F793" s="93" t="str">
        <f t="shared" si="30"/>
        <v>RENOVAR LA AFILIACIÓN DEL ICETEX A LA ORGANIZACIÓN GS1 PARA DAR CONTINUIDAD EN EL USO DEL PREFIJO DE ÚNICO OTORGADO A LA ENTIDAD, LO ANTERIOR CON EL FIN DE UTILIZAR LOS CÓDIGOS DE BARRAS REQUERIDOS POR LA ENTIDAD.</v>
      </c>
    </row>
    <row r="794" spans="1:33" ht="22.5" customHeight="1">
      <c r="A794" s="53" t="s">
        <v>7633</v>
      </c>
      <c r="B794" s="51" t="s">
        <v>8479</v>
      </c>
      <c r="C794" s="53">
        <v>2024</v>
      </c>
      <c r="D794" s="52" t="str">
        <f t="shared" si="29"/>
        <v>CD-793-2024</v>
      </c>
      <c r="E794" s="96" t="s">
        <v>5491</v>
      </c>
      <c r="F794" s="93" t="str">
        <f t="shared" si="30"/>
        <v>PRESTACIÓN DE SERVICIOS PROFESIONALES PARA LA GESTIÓN DE TODOS LOS REQUERIMIENTOS DE PROCESOS EN LA VERIFICACIÓN DE RIESGOS, EN ESPECIAL PROYECTOS DE INNOVACIÓN DE LA ENTIDAD, GESTIÓN DE CAMBIO Y REALIZAR ACOMPAÑAMIENTO A LOS REQUERIMIENTOS QUE SE SOLICITEN DE LOS SISTEMAS DE RIESGOS.</v>
      </c>
    </row>
    <row r="795" spans="1:33" ht="22.5" customHeight="1">
      <c r="A795" s="53" t="s">
        <v>7633</v>
      </c>
      <c r="B795" s="51" t="s">
        <v>8480</v>
      </c>
      <c r="C795" s="53">
        <v>2024</v>
      </c>
      <c r="D795" s="52" t="str">
        <f t="shared" si="29"/>
        <v>CD-794-2024</v>
      </c>
      <c r="E795" s="96" t="s">
        <v>8481</v>
      </c>
      <c r="F795" s="93" t="str">
        <f t="shared" si="30"/>
        <v>PRESTAR SERVICIOS PROFESIONALES ESPECIALIZADOS CON EL FIN DE RESPALDAR LAS FUNCIONES DE GRUPO DE GESTIÓN ESTRATÉGICA DE PQRSD O DEL QUE HAGA SUS VECES, CON ÉNFASIS EN EL APOYO A LA SUPERVISIÓN DEL CONTRATO 2023-0704 DE LA UT INTERVENTORÍA BPO 2023, HACIENDO SEGUIMIENTO EN LA GESTIÓN INTEGRAL REQUERIDA PARA EL CUMPLIMIENTO Y EL ADECUADO DESARROLLO DEL OBJETO CONTRACTUAL.</v>
      </c>
    </row>
    <row r="796" spans="1:33" ht="22.5" customHeight="1">
      <c r="A796" s="53" t="s">
        <v>7633</v>
      </c>
      <c r="B796" s="51" t="s">
        <v>8482</v>
      </c>
      <c r="C796" s="53">
        <v>2024</v>
      </c>
      <c r="D796" s="52" t="str">
        <f t="shared" si="29"/>
        <v>CD-795-2024</v>
      </c>
      <c r="E796" s="96" t="s">
        <v>8483</v>
      </c>
      <c r="F796" s="93" t="str">
        <f t="shared" si="30"/>
        <v>PRESTAR SUS SERVICIOS PROFESIONALES APOYANDO LAS ACTIVIDADES ADMINISTRATIVAS, OPERATIVAS, F INANCIERAS RELACIONADAS CON LOS FONDOS, CONVENIOS, CONTRATOS, ALIANZAS Y/O PROYECTOS ADMINISTRADOS POR LA VICEPRESIDENCIA DE FONDOS EN ADMINISTRACIÓN CONFORME LOS PROCEDIMIENTOS ESTABLECIDOS POR EL ICETEX.</v>
      </c>
    </row>
    <row r="797" spans="1:33" ht="22.5" customHeight="1">
      <c r="A797" s="53" t="s">
        <v>7633</v>
      </c>
      <c r="B797" s="51" t="s">
        <v>8484</v>
      </c>
      <c r="C797" s="53">
        <v>2024</v>
      </c>
      <c r="D797" s="52" t="str">
        <f t="shared" si="29"/>
        <v>CD-796-2024</v>
      </c>
      <c r="E797" s="96" t="s">
        <v>5694</v>
      </c>
      <c r="F797" s="93" t="str">
        <f t="shared" si="30"/>
        <v>PRESTAR SUS SERVICIOS PROFESIONALES ESPECIALIZADOS APOYANDO LA GESTIÓN, ADMINISTRACIÓN, SEGUIMIENTO Y CONTROL DE LOS CONVENIOS, CONTRATOS, FONDOS, ALIANZAS Y/O PROYECTOS A CARGO DE LA VICEPRESIDENCIA DE FONDOS EN ADMINISTRACIÓN CONFORME LOS PROCEDIMIENTOS ESTABLECIDOS POR EL ICETEX</v>
      </c>
    </row>
    <row r="798" spans="1:33" s="85" customFormat="1" ht="22.5" customHeight="1">
      <c r="A798" s="53" t="s">
        <v>7633</v>
      </c>
      <c r="B798" s="51" t="s">
        <v>8485</v>
      </c>
      <c r="C798" s="53">
        <v>2024</v>
      </c>
      <c r="D798" s="52" t="str">
        <f t="shared" si="29"/>
        <v>CD-797-2024</v>
      </c>
      <c r="E798" s="96" t="s">
        <v>6351</v>
      </c>
      <c r="F798" s="93" t="str">
        <f t="shared" si="30"/>
        <v>EL OBETO DEL PRESENTE CONVENIO ES CONSTITUIR UNA ALIANZA ESTRATEGICA ENTRE EL ICETEX Y LA INSTITUCION DE EDUCACION SUPERIOR- IES, PARA EL ACCESO, LA FINANCIACION Y PERMANENCIA EN LA EDUCACION SUPERIOR Y FORMACION PARA LA VIDA PROFESIONAL Y EL DESARROLLO HUMANO, EN COLOMBIA Y EN EL EXTERIOR A TRAVES DEL CREDITO EDUCATIVO Y LOS DIFERENTES INSTRUMENTOS FINANCIEROS Y MECANISMOS ESTABLECIDOS EN ICETEX: ASI COMO IMPLEMENTA- ESTRATEGIAS PARA FACILITAR LA TRANSICION HACIA EL AMBITO PROFESIONAL LABORAL (EMPLEO Y EMPRENDIMIENTO).</v>
      </c>
      <c r="G798"/>
      <c r="H798"/>
      <c r="I798"/>
      <c r="J798"/>
      <c r="K798"/>
      <c r="L798"/>
      <c r="M798"/>
      <c r="N798"/>
      <c r="O798"/>
      <c r="P798"/>
      <c r="Q798"/>
      <c r="R798"/>
      <c r="S798"/>
      <c r="T798"/>
      <c r="U798"/>
      <c r="V798"/>
      <c r="W798"/>
      <c r="X798"/>
      <c r="Y798"/>
      <c r="Z798"/>
      <c r="AA798"/>
      <c r="AB798"/>
      <c r="AC798"/>
      <c r="AD798"/>
      <c r="AE798"/>
      <c r="AF798"/>
      <c r="AG798"/>
    </row>
    <row r="799" spans="1:33" s="151" customFormat="1" ht="22.5" customHeight="1">
      <c r="A799" s="53" t="s">
        <v>7633</v>
      </c>
      <c r="B799" s="51" t="s">
        <v>8486</v>
      </c>
      <c r="C799" s="53">
        <v>2024</v>
      </c>
      <c r="D799" s="52" t="str">
        <f t="shared" si="29"/>
        <v>CD-798-2024</v>
      </c>
      <c r="E799" s="96" t="s">
        <v>8487</v>
      </c>
      <c r="F799" s="93" t="str">
        <f t="shared" si="30"/>
        <v>PRESTAR LOS SERVICIOS PROFESIONALES PARA APOYAR A LA OFICINA DE RELACIONES INTERNACIONALES DEL ICETEX EN EL DISEÑO, DESARROLLO, ARTICULACIÓN Y SEGUIMIENTO ASOCIADO AL PROCESO DE PUESTA EN MARCHA DEL SISTEMA NACIONAL DE INFORMACIÓN DE BECAS Y CRÉDITOS EDUCATIVOS-SNIBCE.</v>
      </c>
      <c r="G799"/>
      <c r="H799"/>
      <c r="I799"/>
      <c r="J799"/>
      <c r="K799"/>
      <c r="L799"/>
      <c r="M799"/>
      <c r="N799"/>
      <c r="O799"/>
      <c r="P799"/>
      <c r="Q799"/>
      <c r="R799"/>
      <c r="S799"/>
      <c r="T799"/>
      <c r="U799"/>
      <c r="V799"/>
      <c r="W799"/>
      <c r="X799"/>
      <c r="Y799"/>
      <c r="Z799"/>
      <c r="AA799"/>
      <c r="AB799"/>
      <c r="AC799"/>
      <c r="AD799"/>
      <c r="AE799"/>
      <c r="AF799"/>
      <c r="AG799"/>
    </row>
    <row r="800" spans="1:33" ht="22.5" customHeight="1">
      <c r="A800" s="53" t="s">
        <v>7633</v>
      </c>
      <c r="B800" s="51" t="s">
        <v>8488</v>
      </c>
      <c r="C800" s="53">
        <v>2024</v>
      </c>
      <c r="D800" s="52" t="str">
        <f t="shared" si="29"/>
        <v>CD-799-2024</v>
      </c>
      <c r="E800" s="96" t="s">
        <v>8489</v>
      </c>
      <c r="F800" s="93" t="str">
        <f t="shared" si="30"/>
        <v>PRESTACIÓN DE SERVICIOS PROFESIONALES ESPECIALIZADOS PARA LA GESTIÓN DE SERVICIOS DE TECNOLOGÍAS DE LA INFORMACIÓN DE LA DIRECCIÓN DE TECNOLOGÍA DE LA VICEPRESIDENCIA DE OPERACIONES Y TECNOLOGÍA DEL ICETEX.</v>
      </c>
    </row>
    <row r="801" spans="1:33" ht="22.5" customHeight="1">
      <c r="A801" s="53" t="s">
        <v>7633</v>
      </c>
      <c r="B801" s="51" t="s">
        <v>8490</v>
      </c>
      <c r="C801" s="53">
        <v>2024</v>
      </c>
      <c r="D801" s="52" t="str">
        <f t="shared" si="29"/>
        <v>CD-800-2024</v>
      </c>
      <c r="E801" s="96" t="s">
        <v>4297</v>
      </c>
      <c r="F801" s="93" t="str">
        <f t="shared" si="30"/>
        <v>PRESTAR SERVICIOS PROFESIONALES A LA SECRETARÍA GENERAL DEL ICETEX EN LA EJECUCIÓN DE LAS ACTIVIDADES TENDIENTES AL AJUSTE Y PERFECCIONAMIENTO DEL REDISEÑO INSTITUCIONAL PROPUESTO PARA LAS ÁREAS ESTRATÉGICAS, MISIONALES, DE APOYO Y/O CONTROL EN EL MARCO DE LA ACTUALIZACIÓN DE SU ESTRUCTURA ADMINISTRATIVA, DE ACUERDO CON LA NORMATIVIDAD VIGENTE Y DEMÁS DISPOSICIONES DE OTROS ORGANISMOS COMPETENTES</v>
      </c>
    </row>
    <row r="802" spans="1:33" ht="22.5" customHeight="1">
      <c r="A802" s="53" t="s">
        <v>7633</v>
      </c>
      <c r="B802" s="51" t="s">
        <v>8491</v>
      </c>
      <c r="C802" s="53">
        <v>2024</v>
      </c>
      <c r="D802" s="52" t="str">
        <f t="shared" si="29"/>
        <v>CD-801-2024</v>
      </c>
      <c r="E802" s="96" t="s">
        <v>6379</v>
      </c>
      <c r="F802" s="93" t="str">
        <f t="shared" si="30"/>
        <v>PRESTAR SERVICIOS PROFESIONALES PARA LA RECOLECCIÓN, PROCESAMIENTO Y TRATAMIENTO DE LA INFORMACIÓN EN EL MARCO DEL DESARROLLO DEL PLAN ESTRATÉGICO DE LA ENTIDAD Y LA "POLÍTICA DE GUÍA, INFORMACIÓN Y ACOMPAÑAMIENTO".</v>
      </c>
    </row>
    <row r="803" spans="1:33" ht="22.5" customHeight="1">
      <c r="A803" s="53" t="s">
        <v>7633</v>
      </c>
      <c r="B803" s="51" t="s">
        <v>8492</v>
      </c>
      <c r="C803" s="53">
        <v>2024</v>
      </c>
      <c r="D803" s="52" t="str">
        <f t="shared" si="29"/>
        <v>CD-802-2024</v>
      </c>
      <c r="E803" s="96" t="s">
        <v>1866</v>
      </c>
      <c r="F803" s="93" t="str">
        <f t="shared" si="30"/>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804" spans="1:33" ht="22.5" customHeight="1">
      <c r="A804" s="53" t="s">
        <v>7633</v>
      </c>
      <c r="B804" s="51" t="s">
        <v>8493</v>
      </c>
      <c r="C804" s="53">
        <v>2024</v>
      </c>
      <c r="D804" s="52" t="str">
        <f t="shared" si="29"/>
        <v>CD-803-2024</v>
      </c>
      <c r="E804" s="96" t="s">
        <v>6394</v>
      </c>
      <c r="F804" s="93" t="str">
        <f t="shared" si="30"/>
        <v>PRESTAR LOS SERVICIOS PROFESIONALES ESPECIALIZADOS PARA REALIZAR LAS ACTIVIDADES DERIVADAS DE LOS LINEAMIENTOS DEL PROCESO ESTADÍSTICO DEL SISTEMA ESTADÍSTICO NACIONAL DE LAS OPERACIONES ESTADÍSTICAS DEL ICETEX ASÍ COMO EN LA GESTIÓN DE PROYECTOS LEGISLATIVOS, DE INNOVACIÓN, TECNOLÓGICOS Y DEL PLAN ESTRATÉGICO</v>
      </c>
    </row>
    <row r="805" spans="1:33" ht="22.5" customHeight="1">
      <c r="A805" s="53" t="s">
        <v>7633</v>
      </c>
      <c r="B805" s="51" t="s">
        <v>8494</v>
      </c>
      <c r="C805" s="53">
        <v>2024</v>
      </c>
      <c r="D805" s="52" t="str">
        <f t="shared" si="29"/>
        <v>CD-804-2024</v>
      </c>
      <c r="E805" s="96" t="s">
        <v>6402</v>
      </c>
      <c r="F805" s="93" t="str">
        <f t="shared" si="30"/>
        <v>PRESTAR SERVICIOS PROFESIONALES ESPECIALIZADOS A LA SECRETARÍA GENERAL DEL ICETEX, PARA ASESORAR Y BRINDAR ACOMPAÑAMIENTO EN LAS ACTIVIDADES TENDIENTES AL AJUSTE Y PERFECCIONAMIENTO DEL REDISEÑO ORGANIZACIONAL E INSTITUCIONAL PROPUESTO, DE ACUERDO CON LA NORMATIVIDAD VIGENTE Y DEMÁS DISPOSICIONES DE OTROS ORGANISMOS COMPETENTES</v>
      </c>
    </row>
    <row r="806" spans="1:33" ht="22.5" customHeight="1">
      <c r="A806" s="53" t="s">
        <v>7633</v>
      </c>
      <c r="B806" s="51" t="s">
        <v>8495</v>
      </c>
      <c r="C806" s="53">
        <v>2024</v>
      </c>
      <c r="D806" s="52" t="str">
        <f t="shared" si="29"/>
        <v>CD-805-2024</v>
      </c>
      <c r="E806" s="96" t="s">
        <v>6410</v>
      </c>
      <c r="F806" s="93" t="str">
        <f t="shared" si="30"/>
        <v>PRESTAR SERVICIOS DE APOYO A LA GESTIÓN EN EL DESARROLLO WEB DEL ECOSISTEMA DIGITAL EN EL MARCO DEL DESARROLLO DEL PLAN ESTRATÉGICO DE LA ENTIDAD Y LA "POLÍTICA DE GUÍA, INFORMACIÓN Y ACOMPAÑAMIENTO</v>
      </c>
    </row>
    <row r="807" spans="1:33" ht="22.5" customHeight="1">
      <c r="A807" s="53" t="s">
        <v>7633</v>
      </c>
      <c r="B807" s="51" t="s">
        <v>8496</v>
      </c>
      <c r="C807" s="53">
        <v>2024</v>
      </c>
      <c r="D807" s="52" t="str">
        <f t="shared" si="29"/>
        <v>CD-806-2024</v>
      </c>
      <c r="E807" s="96" t="s">
        <v>6427</v>
      </c>
      <c r="F807" s="93" t="str">
        <f t="shared" si="30"/>
        <v>PRESTAR LOS SERVICIOS PROFESIONALES PARA REALIZAR LA ESTRUCTURACIÓN DE REPORTES ANALÍTICOS Y ADMINISTRACIÓN DE BASES DE DATOS DE LOS PROCESOS Y PROCEDIMIENTOS CORRESPONDIENTES AL ÁREA DE CRÉDITO.</v>
      </c>
    </row>
    <row r="808" spans="1:33" ht="22.5" customHeight="1">
      <c r="A808" s="53" t="s">
        <v>7633</v>
      </c>
      <c r="B808" s="51" t="s">
        <v>8497</v>
      </c>
      <c r="C808" s="53">
        <v>2024</v>
      </c>
      <c r="D808" s="52" t="str">
        <f t="shared" si="29"/>
        <v>CD-807-2024</v>
      </c>
      <c r="E808" s="96" t="s">
        <v>8498</v>
      </c>
      <c r="F808" s="93" t="str">
        <f t="shared" si="30"/>
        <v>CONTRATAR LA ADQUISICIÓN DE MOBILIARIO PARA LAS SEDES
ICETEX A NIVEL NACIONAL.</v>
      </c>
    </row>
    <row r="809" spans="1:33" ht="22.5" customHeight="1">
      <c r="A809" s="53" t="s">
        <v>7633</v>
      </c>
      <c r="B809" s="51" t="s">
        <v>8499</v>
      </c>
      <c r="C809" s="53">
        <v>2024</v>
      </c>
      <c r="D809" s="52" t="str">
        <f t="shared" si="29"/>
        <v>CD-808-2024</v>
      </c>
      <c r="E809" s="96" t="s">
        <v>8500</v>
      </c>
      <c r="F809" s="93" t="str">
        <f t="shared" si="30"/>
        <v>PRESTACIÓN DE SERVICIOS PROFESIONALES COMO ABOGADO PARA APOYAR EL DESARROLLO Y SEGUIMIENTO DE LA ACTIVIDAD CONTRACTUAL EN EL MARCO DEL PROYECTO DE FORTALECIMIENTO ORGANIZACIONAL Y LA IMPLEMENTACIÓN DE LA POLÍTICA DE COMPRAS PÚBLICAS Y DE CONTRATACIÓN DEL ICETEX.</v>
      </c>
    </row>
    <row r="810" spans="1:33" ht="22.5" customHeight="1">
      <c r="A810" s="53" t="s">
        <v>7633</v>
      </c>
      <c r="B810" s="51" t="s">
        <v>8501</v>
      </c>
      <c r="C810" s="53">
        <v>2024</v>
      </c>
      <c r="D810" s="52" t="str">
        <f t="shared" si="29"/>
        <v>CD-809-2024</v>
      </c>
      <c r="E810" s="96" t="s">
        <v>8500</v>
      </c>
      <c r="F810" s="93" t="str">
        <f t="shared" si="30"/>
        <v>PRESTACIÓN DE SERVICIOS PROFESIONALES COMO ABOGADO PARA APOYAR EL DESARROLLO Y SEGUIMIENTO DE LA ACTIVIDAD CONTRACTUAL EN EL MARCO DEL PROYECTO DE FORTALECIMIENTO ORGANIZACIONAL Y LA IMPLEMENTACIÓN DE LA POLÍTICA DE COMPRAS PÚBLICAS Y DE CONTRATACIÓN DEL ICETEX.</v>
      </c>
    </row>
    <row r="811" spans="1:33" ht="22.5" customHeight="1">
      <c r="A811" s="53" t="s">
        <v>7633</v>
      </c>
      <c r="B811" s="51" t="s">
        <v>8502</v>
      </c>
      <c r="C811" s="53">
        <v>2024</v>
      </c>
      <c r="D811" s="52" t="str">
        <f t="shared" si="29"/>
        <v>CD-810-2024</v>
      </c>
      <c r="E811" s="96" t="s">
        <v>8500</v>
      </c>
      <c r="F811" s="93" t="str">
        <f t="shared" si="30"/>
        <v>PRESTACIÓN DE SERVICIOS PROFESIONALES COMO ABOGADO PARA APOYAR EL DESARROLLO Y SEGUIMIENTO DE LA ACTIVIDAD CONTRACTUAL EN EL MARCO DEL PROYECTO DE FORTALECIMIENTO ORGANIZACIONAL Y LA IMPLEMENTACIÓN DE LA POLÍTICA DE COMPRAS PÚBLICAS Y DE CONTRATACIÓN DEL ICETEX.</v>
      </c>
    </row>
    <row r="812" spans="1:33" ht="22.5" customHeight="1">
      <c r="A812" s="53" t="s">
        <v>7633</v>
      </c>
      <c r="B812" s="51" t="s">
        <v>8503</v>
      </c>
      <c r="C812" s="53">
        <v>2024</v>
      </c>
      <c r="D812" s="52" t="str">
        <f t="shared" si="29"/>
        <v>CD-811-2024</v>
      </c>
      <c r="E812" s="96" t="s">
        <v>8500</v>
      </c>
      <c r="F812" s="93" t="str">
        <f t="shared" si="30"/>
        <v>PRESTACIÓN DE SERVICIOS PROFESIONALES COMO ABOGADO PARA APOYAR EL DESARROLLO Y SEGUIMIENTO DE LA ACTIVIDAD CONTRACTUAL EN EL MARCO DEL PROYECTO DE FORTALECIMIENTO ORGANIZACIONAL Y LA IMPLEMENTACIÓN DE LA POLÍTICA DE COMPRAS PÚBLICAS Y DE CONTRATACIÓN DEL ICETEX.</v>
      </c>
    </row>
    <row r="813" spans="1:33" s="85" customFormat="1" ht="22.5" customHeight="1">
      <c r="A813" s="53" t="s">
        <v>7633</v>
      </c>
      <c r="B813" s="51" t="s">
        <v>8504</v>
      </c>
      <c r="C813" s="53">
        <v>2024</v>
      </c>
      <c r="D813" s="52" t="str">
        <f>CONCATENATE(A813,"-",B813,"-",C813)</f>
        <v>CD-812-2024</v>
      </c>
      <c r="E813" s="96" t="s">
        <v>5291</v>
      </c>
      <c r="F813" s="93" t="str">
        <f t="shared" si="30"/>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813"/>
      <c r="H813"/>
      <c r="I813"/>
      <c r="J813"/>
      <c r="K813"/>
      <c r="L813"/>
      <c r="M813"/>
      <c r="N813"/>
      <c r="O813"/>
      <c r="P813"/>
      <c r="Q813"/>
      <c r="R813"/>
      <c r="S813"/>
      <c r="T813"/>
      <c r="U813"/>
      <c r="V813"/>
      <c r="W813"/>
      <c r="X813"/>
      <c r="Y813"/>
      <c r="Z813"/>
      <c r="AA813"/>
      <c r="AB813"/>
      <c r="AC813"/>
      <c r="AD813"/>
      <c r="AE813"/>
      <c r="AF813"/>
      <c r="AG813"/>
    </row>
    <row r="814" spans="1:33" ht="22.5" customHeight="1">
      <c r="A814" s="53" t="s">
        <v>7633</v>
      </c>
      <c r="B814" s="51" t="s">
        <v>8505</v>
      </c>
      <c r="C814" s="53">
        <v>2024</v>
      </c>
      <c r="D814" s="52" t="str">
        <f t="shared" si="29"/>
        <v>CD-813-2024</v>
      </c>
      <c r="E814" s="96" t="s">
        <v>372</v>
      </c>
      <c r="F814" s="93" t="str">
        <f t="shared" si="30"/>
        <v>PRESTACIÓN DE SERVICIOS PROFESIONALES ESPECIALIZADOS PARA APOYAR EN EL DESARROLLO Y SEGUIMIENTO DE LOS PLANES Y PROYECTOS DE LA POLÍTICA DE COMPRAS Y CONTRATACIÓN PÚBLICA DE LA ENTIDAD EN EL MARCO DEL PROYECTO DENOMINADO “FORTALECIMIENTO ORGANIZACIONAL" DEL ICETEX.</v>
      </c>
    </row>
    <row r="815" spans="1:33" ht="22.5" customHeight="1">
      <c r="A815" s="53" t="s">
        <v>8401</v>
      </c>
      <c r="B815" s="51" t="s">
        <v>8506</v>
      </c>
      <c r="C815" s="53">
        <v>2024</v>
      </c>
      <c r="D815" s="52" t="str">
        <f t="shared" si="29"/>
        <v>IP-814-2024</v>
      </c>
      <c r="E815" s="96" t="s">
        <v>6622</v>
      </c>
      <c r="F815" s="93" t="str">
        <f t="shared" si="30"/>
        <v>CONTRATAR LOS SERVICIOS DE UN OPERADOR LOGÍSTICO CON LOS ELEMENTOS NECESARIOS PARA LA ORGANIZACIÓN DE EVENTOS Y ACTIVIDADES NECESARIAS QUE INVOLUCREN LAS ESTRATEGIAS DE GESTIÓN, PROMOCIÓN DEL PORTAFOLIO DE PRODUCTOS Y SERVICIOS DEL ICETEX Y LOS DISTINTOS PROGRAMAS Y PROYECTOS DE LA ENTIDAD.</v>
      </c>
    </row>
    <row r="816" spans="1:33" ht="22.5" customHeight="1">
      <c r="A816" s="53" t="s">
        <v>7633</v>
      </c>
      <c r="B816" s="51" t="s">
        <v>8507</v>
      </c>
      <c r="C816" s="53">
        <v>2024</v>
      </c>
      <c r="D816" s="52" t="str">
        <f t="shared" si="29"/>
        <v>CD-815-2024</v>
      </c>
      <c r="E816" s="96" t="s">
        <v>6485</v>
      </c>
      <c r="F816" s="93" t="str">
        <f t="shared" si="30"/>
        <v> PRESTACIÓN DE SERVICIOS PROFESIONALES ESPECIALIZADOS PARA LA GESTIÓN DE PROYECTOS EN EL ÁMBITO TECNOLÓGICO CON ALINEACIÓN AL CICLO DE MEJORA CONTINUA PARA EL ICETEX.</v>
      </c>
    </row>
    <row r="817" spans="1:33" ht="22.5" customHeight="1">
      <c r="A817" s="53" t="s">
        <v>7633</v>
      </c>
      <c r="B817" s="51" t="s">
        <v>8508</v>
      </c>
      <c r="C817" s="53">
        <v>2024</v>
      </c>
      <c r="D817" s="52" t="str">
        <f t="shared" si="29"/>
        <v>CD-816-2024</v>
      </c>
      <c r="E817" s="96" t="s">
        <v>6527</v>
      </c>
      <c r="F817" s="93" t="str">
        <f t="shared" si="30"/>
        <v>PRESTAR SUS SERVICIOS PROFESIONALES LIDERANDO LA GESTIÓN Y PROMOCIÓN DE RECURSOS DE TERCEROS PARA IMPULSAR EL FOMENTO PARA EL ACCESO Y PERMANENCIA EDUCATIVA CONFORME LAS POLÍTICAS Y PROCEDIMIENTOS DEL ICETEX</v>
      </c>
      <c r="AG817" t="s">
        <v>8509</v>
      </c>
    </row>
    <row r="818" spans="1:33" ht="22.5" customHeight="1">
      <c r="A818" s="53" t="s">
        <v>8363</v>
      </c>
      <c r="B818" s="51" t="s">
        <v>8510</v>
      </c>
      <c r="C818" s="53">
        <v>2024</v>
      </c>
      <c r="D818" s="52" t="str">
        <f t="shared" si="29"/>
        <v>IS-817-2024</v>
      </c>
      <c r="E818" s="96" t="s">
        <v>6612</v>
      </c>
      <c r="F818" s="93" t="str">
        <f t="shared" si="30"/>
        <v>ADQUISICIÓN Y RENOVACIÓN DE LAS LICENCIAS POR SUSCRIPCIÓN DE ADOBE CLOUD SUITE PARA EL ICETEX</v>
      </c>
    </row>
    <row r="819" spans="1:33" ht="22.5" customHeight="1">
      <c r="A819" s="53" t="s">
        <v>7633</v>
      </c>
      <c r="B819" s="51" t="s">
        <v>8511</v>
      </c>
      <c r="C819" s="53">
        <v>2024</v>
      </c>
      <c r="D819" s="52" t="str">
        <f t="shared" si="29"/>
        <v>CD-818-2024</v>
      </c>
      <c r="E819" s="96" t="s">
        <v>760</v>
      </c>
      <c r="F819" s="93" t="str">
        <f t="shared" si="30"/>
        <v>PRESTAR LOS SERVICIOS PROFESIONALES JURÍDICOS ESPECIALIZADOS PARA GESTIONAR Y APOYAR LOS TRÁMITES CORRESPONDIENTES A LOS ACUERDOS ESTRATÉGICOS EN EL MARCO DEL PROYECTO DE FORTALECIMIENTO ORGANIZACIONAL, CON MIRAS AL CUMPLIMIENTO DEL PLAN ESTRATÉGICO DE LA VIGENCIA.</v>
      </c>
    </row>
    <row r="820" spans="1:33" ht="22.5" customHeight="1">
      <c r="A820" s="53" t="s">
        <v>7633</v>
      </c>
      <c r="B820" s="51" t="s">
        <v>8512</v>
      </c>
      <c r="C820" s="53">
        <v>2024</v>
      </c>
      <c r="D820" s="52" t="str">
        <f t="shared" si="29"/>
        <v>CD-819-2024</v>
      </c>
      <c r="E820" s="96" t="s">
        <v>8513</v>
      </c>
      <c r="F820" s="93" t="str">
        <f t="shared" si="30"/>
        <v xml:space="preserve">PRESTAR SUS SERVICIOS PROFESIONALES ORIENTANDO LAS ACTIVIDADES RELACIONADAS CON LA ATENCIÓN OPORTUNA Y EFICIENTE DE LAS PETICIONES QUE DEBAN SER ATENDIDAS EN LA VICEPRESIDENCIA DE FONDOS EN ADMINISTRACIÓN; ASÍ COMO EN LA GESTIÓN DE CONDONACIONES DERIVADAS DE LOS FONDOS ADMINISTRADOS POR LA VICEPRESIDENCIA.
</v>
      </c>
    </row>
    <row r="821" spans="1:33" ht="22.5" customHeight="1">
      <c r="A821" s="53" t="s">
        <v>7633</v>
      </c>
      <c r="B821" s="51" t="s">
        <v>8514</v>
      </c>
      <c r="C821" s="53">
        <v>2024</v>
      </c>
      <c r="D821" s="52" t="str">
        <f t="shared" si="29"/>
        <v>CD-820-2024</v>
      </c>
      <c r="E821" s="96" t="s">
        <v>6554</v>
      </c>
      <c r="F821" s="93" t="str">
        <f t="shared" si="30"/>
        <v>PRESTAR LOS SERVICIOS PROFESIONALES ESPECIALIZADOS PARA GESTIONAR Y APOYAR LA ACTIVIDAD CONTRACTUAL Y POSTCONTRACTUAL, ASÍ COMO CONTRIBUIR A MEJORAR LA OPORTUNIDAD DE LOS SERVICIOS QUE PRESTA LA ENTIDAD, EN EL MARCO DEL PROYECTO DE FORTALECIMIENTO ORGANIZACIONAL Y LA IMPLEMENTACIÓN DE LA POLÍTICA DE COMPRAS PÚBLICAS Y DE CONTRATACIÓN.</v>
      </c>
    </row>
    <row r="822" spans="1:33" ht="22.5" customHeight="1">
      <c r="A822" s="53" t="s">
        <v>7633</v>
      </c>
      <c r="B822" s="51" t="s">
        <v>8515</v>
      </c>
      <c r="C822" s="53">
        <v>2024</v>
      </c>
      <c r="D822" s="52" t="str">
        <f t="shared" si="29"/>
        <v>CD-821-2024</v>
      </c>
      <c r="E822" s="96" t="s">
        <v>5291</v>
      </c>
      <c r="F822" s="93" t="str">
        <f>UPPER(E822)</f>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823" spans="1:33" ht="22.5" customHeight="1">
      <c r="A823" s="53" t="s">
        <v>7633</v>
      </c>
      <c r="B823" s="51" t="s">
        <v>8516</v>
      </c>
      <c r="C823" s="53">
        <v>2024</v>
      </c>
      <c r="D823" s="52" t="str">
        <f>CONCATENATE(A823,"-",B823,"-",C823)</f>
        <v>CD-822-2024</v>
      </c>
      <c r="E823" s="96" t="s">
        <v>1622</v>
      </c>
      <c r="F823" s="93" t="str">
        <f>UPPER(E823)</f>
        <v>PRESTAR LOS SERVICIOS PROFESIONALES ESPECIALIZADOS EN EL DESARROLLO Y SEGUIMIENTO DE LOS ACUERDOS ESTRATÉGICOS EN EL MARCO DEL PROYECTO DE FORTALECIMIENTO ORGANIZACIONAL, CON MIRAS AL CUMPLIMIENTO DEL PLAN ESTRATÉGICO 2020-2024.</v>
      </c>
    </row>
    <row r="824" spans="1:33" ht="22.5" customHeight="1">
      <c r="A824" s="53" t="s">
        <v>7633</v>
      </c>
      <c r="B824" s="51" t="s">
        <v>8517</v>
      </c>
      <c r="C824" s="53">
        <v>2024</v>
      </c>
      <c r="D824" s="52" t="str">
        <f t="shared" si="29"/>
        <v>CD-823-2024</v>
      </c>
      <c r="E824" s="96" t="s">
        <v>5291</v>
      </c>
      <c r="F824" s="93" t="str">
        <f t="shared" si="30"/>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row>
    <row r="825" spans="1:33" ht="22.5" customHeight="1">
      <c r="A825" s="53" t="s">
        <v>7633</v>
      </c>
      <c r="B825" s="51" t="s">
        <v>8518</v>
      </c>
      <c r="C825" s="53">
        <v>2024</v>
      </c>
      <c r="D825" s="52" t="str">
        <f t="shared" si="29"/>
        <v>CD-824-2024</v>
      </c>
      <c r="E825" s="96" t="s">
        <v>6576</v>
      </c>
      <c r="F825" s="93" t="str">
        <f t="shared" si="30"/>
        <v>PRESTAR LOS SERVICIOS DE MIGRACIÓN, CAPACITACIONES Y HORAS POR CONTROL DE CAMBIOS PARA DESARROLLO O CONSTRUCCIÓN DE SERVICIOS PARA INTEROPERABILIDAD Y/O PROCESOS DOCUMENTALES EN BPMN EN EL SOFTWARE CONTROLDOC® ADQUIRIDO COMO SERVICIO ANUAL POR EL ICETEX, DE ACUERDO AL SOFTWARE POR CATÁLOGO NO. CCE- 139-1AD-2020.</v>
      </c>
    </row>
    <row r="826" spans="1:33" ht="22.5" customHeight="1">
      <c r="A826" s="53" t="s">
        <v>8401</v>
      </c>
      <c r="B826" s="51" t="s">
        <v>8519</v>
      </c>
      <c r="C826" s="53">
        <v>2024</v>
      </c>
      <c r="D826" s="52" t="str">
        <f t="shared" si="29"/>
        <v>IP-825-2024</v>
      </c>
      <c r="E826" s="96" t="s">
        <v>6773</v>
      </c>
      <c r="F826" s="93" t="str">
        <f t="shared" si="30"/>
        <v>RENOVACIÓN DEL LICENCIAMIENTO DE MICROSOFT PARA EL ICETEX</v>
      </c>
    </row>
    <row r="827" spans="1:33" ht="22.5" customHeight="1">
      <c r="A827" s="53" t="s">
        <v>8401</v>
      </c>
      <c r="B827" s="51" t="s">
        <v>8520</v>
      </c>
      <c r="C827" s="53">
        <v>2024</v>
      </c>
      <c r="D827" s="52" t="str">
        <f t="shared" si="29"/>
        <v>IP-826-2024</v>
      </c>
      <c r="E827" s="96" t="s">
        <v>7062</v>
      </c>
      <c r="F827" s="93" t="str">
        <f t="shared" si="30"/>
        <v>PRESTAR LOS SERVICIOS ESPECIALIZADOS DE CENTRO DE CONTACTO O BPO PARA EL PROCESO DE RECUPERACIÓN DE CARTERA EN GESTIÓN ADMINISTRATIVA</v>
      </c>
    </row>
    <row r="828" spans="1:33" ht="22.5" customHeight="1">
      <c r="A828" s="53" t="s">
        <v>7633</v>
      </c>
      <c r="B828" s="51" t="s">
        <v>8521</v>
      </c>
      <c r="C828" s="53">
        <v>2024</v>
      </c>
      <c r="D828" s="52" t="str">
        <f t="shared" si="29"/>
        <v>CD-827-2024</v>
      </c>
      <c r="E828" s="96" t="s">
        <v>1387</v>
      </c>
      <c r="F828" s="93" t="str">
        <f t="shared" si="30"/>
        <v>PRESTAR SUS SERVICIOS PROFESIONALES PARA LA ATENCIÓN DE PQRSD, ACCIONES JUDICIALES Y DEMÁS TRÁMITES A CARGO DE LA VICEPRESIDENCIA DE FONDOS EN ADMINISTRACIÓN</v>
      </c>
    </row>
    <row r="829" spans="1:33" ht="22.5" customHeight="1">
      <c r="A829" s="53" t="s">
        <v>7691</v>
      </c>
      <c r="B829" s="51" t="s">
        <v>8522</v>
      </c>
      <c r="C829" s="53">
        <v>2024</v>
      </c>
      <c r="D829" s="52" t="str">
        <f t="shared" si="29"/>
        <v>IMC-828-2024</v>
      </c>
      <c r="E829" s="96" t="s">
        <v>6802</v>
      </c>
      <c r="F829" s="93" t="str">
        <f t="shared" si="30"/>
        <v>SOPORTE INTEGRAL ESPECIALIZADO PARA LA PLATAFORMA DE CONTENEDORES Y BUS DE SERVICIOS DEL ICETEX</v>
      </c>
    </row>
    <row r="830" spans="1:33" ht="22.5" customHeight="1">
      <c r="A830" s="53" t="s">
        <v>7633</v>
      </c>
      <c r="B830" s="51" t="s">
        <v>8523</v>
      </c>
      <c r="C830" s="53">
        <v>2024</v>
      </c>
      <c r="D830" s="52" t="str">
        <f t="shared" si="29"/>
        <v>CD-829-2024</v>
      </c>
      <c r="E830" s="96" t="s">
        <v>6591</v>
      </c>
      <c r="F830" s="93" t="str">
        <f t="shared" si="30"/>
        <v>MANTENIMIENTO ANUAL DE LA LICENCIA DEL SOFTWARE SPSS STATISTICS UTILIZADA POR LA OFICINA DE RIESGOS.</v>
      </c>
    </row>
    <row r="831" spans="1:33" ht="22.5" customHeight="1">
      <c r="A831" s="53" t="s">
        <v>7633</v>
      </c>
      <c r="B831" s="51" t="s">
        <v>8524</v>
      </c>
      <c r="C831" s="53">
        <v>2024</v>
      </c>
      <c r="D831" s="52" t="str">
        <f t="shared" si="29"/>
        <v>CD-830-2024</v>
      </c>
      <c r="E831" s="96" t="s">
        <v>6603</v>
      </c>
      <c r="F831" s="93" t="str">
        <f t="shared" si="30"/>
        <v>PRESTAR APOYO TÉCNICO ELECTRICISTA DEL PROYECTO DE INVERSIÓN DENOMINADO “MEJORAMIENTO DE SEDES”, CORRESPONDIENTE A LA GESTIÓN DEL GRUPO DE ADMINISTRACIÓN DE RECURSOS FÍSICOS.</v>
      </c>
    </row>
    <row r="832" spans="1:33" ht="22.5" customHeight="1">
      <c r="A832" s="53" t="s">
        <v>8401</v>
      </c>
      <c r="B832" s="51" t="s">
        <v>8525</v>
      </c>
      <c r="C832" s="53">
        <v>2024</v>
      </c>
      <c r="D832" s="52" t="str">
        <f t="shared" si="29"/>
        <v>IP-831-2024</v>
      </c>
      <c r="E832" s="96" t="s">
        <v>8526</v>
      </c>
      <c r="F832" s="93" t="str">
        <f t="shared" si="30"/>
        <v>CONTRATAR EL SERVICIO ESPECIALIZADO DE VIGILANCIA Y SEGURIDAD PRIVADA ARMADA,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v>
      </c>
    </row>
    <row r="833" spans="1:33" ht="22.5" customHeight="1">
      <c r="A833" s="53" t="s">
        <v>7633</v>
      </c>
      <c r="B833" s="51" t="s">
        <v>8527</v>
      </c>
      <c r="C833" s="53">
        <v>2024</v>
      </c>
      <c r="D833" s="52" t="str">
        <f t="shared" si="29"/>
        <v>CD-832-2024</v>
      </c>
      <c r="E833" s="96" t="s">
        <v>6630</v>
      </c>
      <c r="F833" s="93" t="str">
        <f t="shared" si="30"/>
        <v>PRESTAR SUS SERVICIOS PROFESIONALES APOYANDO LAS ACTIVIDADES JURÍDICAS A CARGO DEL DESPACHO DE PRESIDENCIA DEL ICETEX.</v>
      </c>
    </row>
    <row r="834" spans="1:33" ht="22.5" customHeight="1">
      <c r="A834" s="53" t="s">
        <v>7633</v>
      </c>
      <c r="B834" s="51" t="s">
        <v>8528</v>
      </c>
      <c r="C834" s="53">
        <v>2024</v>
      </c>
      <c r="D834" s="52" t="str">
        <f t="shared" ref="D834:D897" si="31">CONCATENATE(A834,"-",B834,"-",C834)</f>
        <v>CD-833-2024</v>
      </c>
      <c r="E834" s="96" t="s">
        <v>6638</v>
      </c>
      <c r="F834" s="93" t="str">
        <f>UPPER(E834)</f>
        <v>PRESTAR SUS SERVICIOS PROFESIONALES PARA LA ATENCIÓN DE PQRSD, ACCIONES JUDICIALES Y DEMÁS TRÁMITES A CARGO DE LA VICEPRESIDENCIA DE FONDOS EN ADMINISTRACIÓN.</v>
      </c>
    </row>
    <row r="835" spans="1:33" ht="22.5" customHeight="1">
      <c r="A835" s="53" t="s">
        <v>7633</v>
      </c>
      <c r="B835" s="51" t="s">
        <v>8529</v>
      </c>
      <c r="C835" s="53">
        <v>2024</v>
      </c>
      <c r="D835" s="52" t="str">
        <f>CONCATENATE(A835,"-",B835,"-",C835)</f>
        <v>CD-834-2024</v>
      </c>
      <c r="E835" s="96" t="s">
        <v>6645</v>
      </c>
      <c r="F835" s="93" t="str">
        <f t="shared" ref="F835:F896" si="32">UPPER(E835)</f>
        <v>IMPLEMENTAR ESTRATEGIAS PARA LA EJECUCIÓN DEL PLAN COMERCIAL DE LA TERRITORIAL NOROCCIDENTE ASOCIADAS AL PORTAFOLIO DE SERVICIOS DE ICETEX EN LA REGIÓN, EN ARTICULACIÓN CON LA OFICINA COMERCIAL Y DE MERCADEO DEL NIVEL CENTRAL.</v>
      </c>
    </row>
    <row r="836" spans="1:33" ht="22.5" customHeight="1">
      <c r="A836" s="53" t="s">
        <v>7633</v>
      </c>
      <c r="B836" s="51" t="s">
        <v>8530</v>
      </c>
      <c r="C836" s="53">
        <v>2024</v>
      </c>
      <c r="D836" s="52" t="str">
        <f t="shared" si="31"/>
        <v>CD-835-2024</v>
      </c>
      <c r="E836" s="96" t="s">
        <v>8531</v>
      </c>
      <c r="F836" s="93" t="str">
        <f t="shared" si="32"/>
        <v xml:space="preserve">PRESTAR SUS SERVICIOS PROFESIONALES APOYANDO LA ESTRUCTURACIÓN DE PROPUESTAS Y PROYECTOS DE FINANCIACIÓN ORIENTADOS A FOMENTAR EL ACCESO Y PERMANENCIA EDUCATIVA CONFORME LAS POLÍTICAS Y PROCEDIMIENTOS DEL ICETEX.
</v>
      </c>
    </row>
    <row r="837" spans="1:33" ht="22.5" customHeight="1">
      <c r="A837" s="53" t="s">
        <v>7633</v>
      </c>
      <c r="B837" s="51" t="s">
        <v>8532</v>
      </c>
      <c r="C837" s="53">
        <v>2024</v>
      </c>
      <c r="D837" s="52" t="str">
        <f t="shared" si="31"/>
        <v>CD-836-2024</v>
      </c>
      <c r="E837" s="96" t="s">
        <v>6666</v>
      </c>
      <c r="F837" s="93" t="str">
        <f t="shared" si="32"/>
        <v>PRESTAR SUS SERVICIOS PROFESIONALES APOYANDO ACTIVIDADES RELACIONADAS CON EL ANÁLISIS Y REPORTE DE INFORMACIÓN ESTADÍSTICA DERIVADA DE LOS FONDOS ADMINISTRADOS POR LA VICEPRESIDENCIA DE FONDOS EN ADMINISTRACIÓN</v>
      </c>
    </row>
    <row r="838" spans="1:33" s="151" customFormat="1" ht="22.5" customHeight="1">
      <c r="A838" s="53" t="s">
        <v>7633</v>
      </c>
      <c r="B838" s="51" t="s">
        <v>8533</v>
      </c>
      <c r="C838" s="53">
        <v>2024</v>
      </c>
      <c r="D838" s="52" t="str">
        <f t="shared" si="31"/>
        <v>CD-837-2024</v>
      </c>
      <c r="E838" s="96" t="s">
        <v>6674</v>
      </c>
      <c r="F838" s="93" t="str">
        <f t="shared" si="32"/>
        <v>ACUERDO ESTRATÉGICO PARA IMPLEMENTAR LA ESTRATEGIA 1 “SISTEMAS DE EDUCACIÓN MEDIA Y SUPERIOR SIMES - TRIANGULO DE TELEMBÍ.”, DERIVADO DEL FONDO ADMINISTRADO POR EL ICETEX, PARA PROMOVER ESTRATEGIAS QUE PERMITAN LA CALIDAD, EL ACCESO, EL REINTEGRO, Y LA PERMANENCIA AL SISTEMA EDUCATIVO DE LAS Y LOS JÓVENES DEL PAÍS Y FAVOREZCAN EL TRÁNSITO A LA EDUCACIÓN POSMEDIA Y SUPERIOR.</v>
      </c>
      <c r="G838"/>
      <c r="H838"/>
      <c r="I838"/>
      <c r="J838"/>
      <c r="K838"/>
      <c r="L838"/>
      <c r="M838"/>
      <c r="N838"/>
      <c r="O838"/>
      <c r="P838"/>
      <c r="Q838"/>
      <c r="R838"/>
      <c r="S838"/>
      <c r="T838"/>
      <c r="U838"/>
      <c r="V838"/>
      <c r="W838"/>
      <c r="X838"/>
      <c r="Y838"/>
      <c r="Z838"/>
      <c r="AA838"/>
      <c r="AB838"/>
      <c r="AC838"/>
      <c r="AD838"/>
      <c r="AE838"/>
      <c r="AF838"/>
      <c r="AG838"/>
    </row>
    <row r="839" spans="1:33" ht="22.5" customHeight="1">
      <c r="A839" s="53" t="s">
        <v>7691</v>
      </c>
      <c r="B839" s="51" t="s">
        <v>8534</v>
      </c>
      <c r="C839" s="53">
        <v>2024</v>
      </c>
      <c r="D839" s="52" t="str">
        <f t="shared" si="31"/>
        <v>IMC-838-2024</v>
      </c>
      <c r="E839" s="96" t="s">
        <v>8535</v>
      </c>
      <c r="F839" s="93" t="str">
        <f t="shared" si="32"/>
        <v>RENOVACIÓN DE LA SUSCRIPCIÓN Y SOPORTE DE LOS SISTEMAS OPERATIVOS LINUX Y PLATAFORMA DE CONTENEDORES OPENSHIF DE RED HAT PARA LOS SISTEMAS PRODUCTIVOS DEL ICETEX</v>
      </c>
    </row>
    <row r="840" spans="1:33" ht="22.5" customHeight="1">
      <c r="A840" s="53" t="s">
        <v>7633</v>
      </c>
      <c r="B840" s="51" t="s">
        <v>8536</v>
      </c>
      <c r="C840" s="53">
        <v>2024</v>
      </c>
      <c r="D840" s="52" t="str">
        <f t="shared" si="31"/>
        <v>CD-839-2024</v>
      </c>
      <c r="E840" s="96" t="s">
        <v>5702</v>
      </c>
      <c r="F840" s="93" t="str">
        <f t="shared" si="32"/>
        <v>PRESTAR LOS SERVICIOS PROFESIONALES PARA APOYAR LAS ACTIVIDADES DE CONTROL Y AUTOCONTROL DE LOS PROCESOS Y PROCEDIMIENTOS ASOCIADOS A LA OFICINA COMERCIAL Y DE MERCADEO, COMO TAMBIÉN LA RESPUESTA A LOS REQUERIMIENTOS NORMATIVOS DE LOS ORGANISMOS DE CONTROL</v>
      </c>
    </row>
    <row r="841" spans="1:33" ht="22.5" customHeight="1">
      <c r="A841" s="53" t="s">
        <v>7633</v>
      </c>
      <c r="B841" s="51" t="s">
        <v>8537</v>
      </c>
      <c r="C841" s="53">
        <v>2024</v>
      </c>
      <c r="D841" s="52" t="str">
        <f t="shared" si="31"/>
        <v>CD-840-2024</v>
      </c>
      <c r="E841" s="96" t="s">
        <v>6695</v>
      </c>
      <c r="F841" s="93" t="str">
        <f t="shared" si="32"/>
        <v>PRESTAR SUS SERVICIOS PROFESIONALES APOYANDO LAS ACTIVIDADES ADMINISTRATIVAS A CARGO DEL DESPACHO DE PRESIDENCIA DEL ICETEX</v>
      </c>
    </row>
    <row r="842" spans="1:33" ht="22.5" customHeight="1">
      <c r="A842" s="53" t="s">
        <v>7633</v>
      </c>
      <c r="B842" s="51" t="s">
        <v>8538</v>
      </c>
      <c r="C842" s="53">
        <v>2024</v>
      </c>
      <c r="D842" s="52" t="str">
        <f t="shared" si="31"/>
        <v>CD-841-2024</v>
      </c>
      <c r="E842" s="96" t="s">
        <v>6713</v>
      </c>
      <c r="F842" s="93" t="str">
        <f t="shared" si="32"/>
        <v>ENTREGAR A TÍTULO DE COMODATO O PRÉSTAMO DE USO A LA RAMA JUDICIAL QUIBDÓ - CHOCÓ, EL PREDIO UBICADO EN LA CIUDAD DE QUIBDÓ UBICADOS EN LA CARRERA 2 NO. 24-14, OFICINAS 209 Y 210 DE PROPIEDAD DEL INSTITUTO COLOMBIANO DE CRÉDITO EDUCATIVO Y ESTUDIOS EN EL EXTERIOR “MARIANO OSPINA PÉREZ” -ICETEX– .</v>
      </c>
    </row>
    <row r="843" spans="1:33" ht="22.5" customHeight="1">
      <c r="A843" s="53" t="s">
        <v>7691</v>
      </c>
      <c r="B843" s="51" t="s">
        <v>8539</v>
      </c>
      <c r="C843" s="53">
        <v>2024</v>
      </c>
      <c r="D843" s="52" t="str">
        <f t="shared" si="31"/>
        <v>IMC-842-2024</v>
      </c>
      <c r="E843" s="96" t="s">
        <v>7014</v>
      </c>
      <c r="F843" s="93" t="str">
        <f t="shared" si="32"/>
        <v>SERVICIOS ESPECIALIZADOS PARA LA ADMINISTRACIÓN DE LOS SERVIDORES, PLATAFORMAS Y AMBIENTES QUE SOPORTAN LOS SERVICIOS DE VIRTUALIZACIÓN DEL ICETEX</v>
      </c>
    </row>
    <row r="844" spans="1:33" ht="22.5" customHeight="1">
      <c r="A844" s="53" t="s">
        <v>8363</v>
      </c>
      <c r="B844" s="51" t="s">
        <v>8540</v>
      </c>
      <c r="C844" s="53">
        <v>2024</v>
      </c>
      <c r="D844" s="52" t="str">
        <f t="shared" si="31"/>
        <v>IS-843-2024</v>
      </c>
      <c r="E844" s="96" t="s">
        <v>6940</v>
      </c>
      <c r="F844" s="93" t="str">
        <f t="shared" si="32"/>
        <v>CONTRATAR EL MANTENIMIENTO PREVENTIVO Y CORRECTIVO DE LAS PLANTAS ELÉCTRICAS DE ICETEX, ASÍ COMO EL SUMINISTRO DE LOS REPUESTOS QUE SEAN NECESARIOS PARA SU CORRECTO FUNCIONAMIENTO.</v>
      </c>
    </row>
    <row r="845" spans="1:33" ht="22.5" customHeight="1">
      <c r="A845" s="53" t="s">
        <v>7633</v>
      </c>
      <c r="B845" s="51" t="s">
        <v>8541</v>
      </c>
      <c r="C845" s="53">
        <v>2024</v>
      </c>
      <c r="D845" s="52" t="str">
        <f t="shared" si="31"/>
        <v>CD-844-2024</v>
      </c>
      <c r="E845" s="96" t="s">
        <v>6720</v>
      </c>
      <c r="F845" s="93" t="str">
        <f t="shared" si="32"/>
        <v>RENOVACIÓN DEL SOPORTE Y ACTUALIZACIÓN DE VERSIONES VIGIA RIESGOS Y MONITOREO Y CONTROL DE ICETEX</v>
      </c>
    </row>
    <row r="846" spans="1:33" ht="22.5" customHeight="1">
      <c r="A846" s="53" t="s">
        <v>7633</v>
      </c>
      <c r="B846" s="51" t="s">
        <v>8542</v>
      </c>
      <c r="C846" s="53">
        <v>2024</v>
      </c>
      <c r="D846" s="52" t="str">
        <f t="shared" si="31"/>
        <v>CD-845-2024</v>
      </c>
      <c r="E846" s="96" t="s">
        <v>6725</v>
      </c>
      <c r="F846" s="93" t="str">
        <f t="shared" si="32"/>
        <v>PRESTAR LOS SERVICIOS PROFESIONALES ESPECIALIZADOS PARA EL DISEÑO, IMPLEMENTACIÓN, EJECUCIÓN, SUPERVISIÓN, CONTROL Y MEJORA CONTINUA DE ESTRATEGIAS COMERCIALES ORIENTADAS A LA PROMOCIÓN Y OTORGAMIENTO DE LOS CRÉDITOS EDUCATIVOS DEL ICETEX A TRAVÉS DE FONDOS EN ADMINISTRACIÓN, CON EL FIN DE FOMENTAR EL ACCESO A LA EDUCACIÓN MEDIANTE EL FINANCIAMIENTO ADECUADO PARA LOS ESTUDIANTES</v>
      </c>
    </row>
    <row r="847" spans="1:33" s="85" customFormat="1" ht="22.5" customHeight="1">
      <c r="A847" s="53" t="s">
        <v>7633</v>
      </c>
      <c r="B847" s="51" t="s">
        <v>8543</v>
      </c>
      <c r="C847" s="53">
        <v>2024</v>
      </c>
      <c r="D847" s="52" t="str">
        <f t="shared" si="31"/>
        <v>CD-846-2024</v>
      </c>
      <c r="E847" s="96" t="s">
        <v>6731</v>
      </c>
      <c r="F847" s="93" t="str">
        <f t="shared" si="32"/>
        <v>PRESTAR SERVICIOS PROFESIONALES ESPECIALIZADOS PARA LA GESTIÓN DEL TALENTO HUMANO Y EL SEGUIMIENTO PRESUPUESTAL EN PROCURA DEL MEJORAMIENTO CONTINUO Y EN EL MARCO DE LA POLÍTICA DE GESTIÓN DEL TALENTO HUMANO</v>
      </c>
      <c r="G847"/>
      <c r="H847"/>
      <c r="I847"/>
      <c r="J847"/>
      <c r="K847"/>
      <c r="L847"/>
      <c r="M847"/>
      <c r="N847"/>
      <c r="O847"/>
      <c r="P847"/>
      <c r="Q847"/>
      <c r="R847"/>
      <c r="S847"/>
      <c r="T847"/>
      <c r="U847"/>
      <c r="V847"/>
      <c r="W847"/>
      <c r="X847"/>
      <c r="Y847"/>
      <c r="Z847"/>
      <c r="AA847"/>
      <c r="AB847"/>
      <c r="AC847"/>
      <c r="AD847"/>
      <c r="AE847"/>
      <c r="AF847"/>
      <c r="AG847"/>
    </row>
    <row r="848" spans="1:33" ht="22.5" customHeight="1">
      <c r="A848" s="53" t="s">
        <v>7633</v>
      </c>
      <c r="B848" s="51" t="s">
        <v>8544</v>
      </c>
      <c r="C848" s="53">
        <v>2024</v>
      </c>
      <c r="D848" s="52" t="str">
        <f t="shared" si="31"/>
        <v>CD-847-2024</v>
      </c>
      <c r="E848" s="96" t="s">
        <v>6739</v>
      </c>
      <c r="F848" s="93" t="str">
        <f t="shared" si="32"/>
        <v>PRESTAR LOS SERVICIOS PROFESIONALES PARA APOYAR A LA OFICINA DE RELACIONES INTERNACIONALES DEL ICETEX EN EL DESARROLLO DE ACTIVIDADES POSCONTRACTUALES PARA EL CIERRE Y/O LIQUIDACIÓN DE CONVENIOS, ACUERDOS ESTRATÉGICOS Y CONTRATOS</v>
      </c>
    </row>
    <row r="849" spans="1:33" ht="22.5" customHeight="1">
      <c r="A849" s="53" t="s">
        <v>7633</v>
      </c>
      <c r="B849" s="51" t="s">
        <v>8545</v>
      </c>
      <c r="C849" s="53">
        <v>2024</v>
      </c>
      <c r="D849" s="52" t="str">
        <f t="shared" si="31"/>
        <v>CD-848-2024</v>
      </c>
      <c r="E849" s="96" t="s">
        <v>8546</v>
      </c>
      <c r="F849" s="93" t="str">
        <f t="shared" si="32"/>
        <v>PRESTAR LOS SERVICIOS PROFESIONALES EN EL DESARROLLO Y EJECUCIÓN TÉCNICA DEL PROYECTO DE INVERSIÓN
DENOMINADO “MEJORAMIENTO DE SEDES” CORRESPONDIENTE A LA GESTIÓN DEL GRUPO DE ADMINISTRACIÓN
DE RECURSOS FÍSICOS PARA EL APOYO DE LOS SUBPROYECTOS EN LA INFRAESTRUCTURA TENDIENTE A CONTRIBUIR
Y MEJORAR LA OPORTUNIDAD DE LOS SERVICIOS QUE PRESTA LA ENTIDAD.</v>
      </c>
    </row>
    <row r="850" spans="1:33" ht="22.5" customHeight="1">
      <c r="A850" s="53" t="s">
        <v>7633</v>
      </c>
      <c r="B850" s="51" t="s">
        <v>8547</v>
      </c>
      <c r="C850" s="53">
        <v>2024</v>
      </c>
      <c r="D850" s="52" t="str">
        <f t="shared" si="31"/>
        <v>CD-849-2024</v>
      </c>
      <c r="E850" s="96" t="s">
        <v>8548</v>
      </c>
      <c r="F850" s="93" t="str">
        <f t="shared" si="32"/>
        <v>PRESTAR LOS SERVICIOS PROFESIONALES ESPECIALIZADOS PARA GESTIONAR Y APOYAR TÉCNICAMENTE LA GESTIÓN
DEL GRUPO DE ADMINISTRACIÓN DE RECURSOS FÍSICOS EN EL MARCO DEL PROYECTO DE INVERSIÓN DENOMINADO
“MEJORAMIENTO DE SEDES”, SIMPLIFICACIÓN DE PROCESOS Y CONTRIBUIR A LA MEJORA DE LOS SERVICIOS QUE
PRESTA LA ENTIDAD</v>
      </c>
    </row>
    <row r="851" spans="1:33" ht="22.5" customHeight="1">
      <c r="A851" s="53" t="s">
        <v>7633</v>
      </c>
      <c r="B851" s="51" t="s">
        <v>8549</v>
      </c>
      <c r="C851" s="53">
        <v>2024</v>
      </c>
      <c r="D851" s="52" t="str">
        <f t="shared" si="31"/>
        <v>CD-850-2024</v>
      </c>
      <c r="E851" s="96" t="s">
        <v>6761</v>
      </c>
      <c r="F851" s="93" t="str">
        <f t="shared" si="32"/>
        <v>SERVICIO DE MANTENIMIENTO, ACTUALIZACIONES Y SOPORTE DEL SOFTWARE INPROCESS - GESTIÓN DE CALIDAD DE ICETEX</v>
      </c>
    </row>
    <row r="852" spans="1:33" ht="22.5" customHeight="1">
      <c r="A852" s="53" t="s">
        <v>8363</v>
      </c>
      <c r="B852" s="51" t="s">
        <v>8550</v>
      </c>
      <c r="C852" s="53">
        <v>2024</v>
      </c>
      <c r="D852" s="52" t="str">
        <f t="shared" si="31"/>
        <v>IS-851-2024</v>
      </c>
      <c r="E852" s="96" t="s">
        <v>7102</v>
      </c>
      <c r="F852" s="93" t="str">
        <f t="shared" si="32"/>
        <v>SUMINISTRAR LOS ELEMENTOS DE PROTECCIÓN, EMERGENCIAS Y DE SEGURIDAD INDUSTRIAL PARA DAR CUMPLIMIENTO AL SISTEMA DE GESTIÓN DE SEGURIDAD Y SALUD EN EL TRABAJO DEL ICETEX</v>
      </c>
    </row>
    <row r="853" spans="1:33" s="85" customFormat="1" ht="22.5" customHeight="1">
      <c r="A853" s="53" t="s">
        <v>7633</v>
      </c>
      <c r="B853" s="51" t="s">
        <v>8551</v>
      </c>
      <c r="C853" s="53">
        <v>2024</v>
      </c>
      <c r="D853" s="52" t="str">
        <f>CONCATENATE(A853,"-",B853,"-",C853)</f>
        <v>CD-852-2024</v>
      </c>
      <c r="E853" s="96" t="s">
        <v>5291</v>
      </c>
      <c r="F853" s="93" t="str">
        <f t="shared" si="32"/>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853"/>
      <c r="H853"/>
      <c r="I853"/>
      <c r="J853"/>
      <c r="K853"/>
      <c r="L853"/>
      <c r="M853"/>
      <c r="N853"/>
      <c r="O853"/>
      <c r="P853"/>
      <c r="Q853"/>
      <c r="R853"/>
      <c r="S853"/>
      <c r="T853"/>
      <c r="U853"/>
      <c r="V853"/>
      <c r="W853"/>
      <c r="X853"/>
      <c r="Y853"/>
      <c r="Z853"/>
      <c r="AA853"/>
      <c r="AB853"/>
      <c r="AC853"/>
      <c r="AD853"/>
      <c r="AE853"/>
      <c r="AF853"/>
      <c r="AG853"/>
    </row>
    <row r="854" spans="1:33" ht="22.5" customHeight="1">
      <c r="A854" s="53" t="s">
        <v>7633</v>
      </c>
      <c r="B854" s="51" t="s">
        <v>8552</v>
      </c>
      <c r="C854" s="53">
        <v>2024</v>
      </c>
      <c r="D854" s="52" t="str">
        <f t="shared" si="31"/>
        <v>CD-853-2024</v>
      </c>
      <c r="E854" s="96" t="s">
        <v>6785</v>
      </c>
      <c r="F854" s="93" t="str">
        <f t="shared" si="32"/>
        <v>PRESTAR LOS SERVICIOS PROFESIONALES PARA LA ACTUALIZACIÓN Y PUBLICACIÓN DE CONTENIDOS DENTRO DEL PORTAL WEB DE ICETEX</v>
      </c>
    </row>
    <row r="855" spans="1:33" ht="22.5" customHeight="1">
      <c r="A855" s="53" t="s">
        <v>7633</v>
      </c>
      <c r="B855" s="51" t="s">
        <v>8553</v>
      </c>
      <c r="C855" s="53">
        <v>2024</v>
      </c>
      <c r="D855" s="52" t="str">
        <f t="shared" si="31"/>
        <v>CD-854-2024</v>
      </c>
      <c r="E855" s="96" t="s">
        <v>6793</v>
      </c>
      <c r="F855" s="93" t="str">
        <f t="shared" si="32"/>
        <v xml:space="preserve">
PRESTAR LOS SERVICIOS PROFESIONALES PARA LA OPTIMIZACIÓN DE LAS FUNCIONES FINANCIERAS ASOCIADAS A CUENTAS ABANDONADAS Y LOS PROCESOS DE OPERACIONES TESORALES, A PARTIR DE LA SISTEMATIZACIÓN Y ANÁLISIS DE INFORMACIÓN FINANCIERA EN EL MARCO DEL PROYECTO DE INVERSIÓN DE BANCA ABIERTA Y TRANSPARENTE E INHOUSE BANKING
</v>
      </c>
    </row>
    <row r="856" spans="1:33" ht="22.5" customHeight="1">
      <c r="A856" s="53" t="s">
        <v>7633</v>
      </c>
      <c r="B856" s="51" t="s">
        <v>8554</v>
      </c>
      <c r="C856" s="53">
        <v>2024</v>
      </c>
      <c r="D856" s="52" t="str">
        <f t="shared" si="31"/>
        <v>CD-855-2024</v>
      </c>
      <c r="E856" s="96" t="s">
        <v>6812</v>
      </c>
      <c r="F856" s="93" t="str">
        <f t="shared" si="32"/>
        <v>SUSCRIPCIÓN AL SUMINISTRO DE INFORMACIÓN DE NOTICIAS, INFORMACIÓN FINANCIERA Y OTRAS FUNCIONES TRANSACCIONALES PARA LA NEGOCIACIÓN DE DIVISAS Y DE VALORES DE RENTA FIJA EN EL MERCADO LOCAL EN LA PLATAFORMA DE BLOOMBERG PROFESSIONAL.</v>
      </c>
    </row>
    <row r="857" spans="1:33" ht="22.5" customHeight="1">
      <c r="A857" s="53" t="s">
        <v>7633</v>
      </c>
      <c r="B857" s="51" t="s">
        <v>8555</v>
      </c>
      <c r="C857" s="53">
        <v>2024</v>
      </c>
      <c r="D857" s="52" t="str">
        <f t="shared" si="31"/>
        <v>CD-856-2024</v>
      </c>
      <c r="E857" s="96" t="s">
        <v>6818</v>
      </c>
      <c r="F857" s="93" t="str">
        <f t="shared" si="32"/>
        <v>PRESTAR SUS SERVICIOS PROFESIONALES APOYANDO LAS ACTIVIDADES RELACIONADAS CON LOS FONDOS, CONVENIOS, CONTRATOS, ALIANZAS Y/O PROYECTOS, A CARGO DE LA VICEPRESIDENCIA DE FONDOS EN ADMINISTRACIÓN, ESPECIALMENTE EN LO RELACIONADO CON LOS TRÁMITES DE CARTERA, CONFORME LOS PROCEDIMIENTOS ESTABLECIDOS POR EL ICETEX</v>
      </c>
    </row>
    <row r="858" spans="1:33" ht="22.5" customHeight="1">
      <c r="A858" s="53"/>
      <c r="B858" s="51" t="s">
        <v>8556</v>
      </c>
      <c r="C858" s="53">
        <v>2024</v>
      </c>
      <c r="D858" s="52" t="str">
        <f t="shared" si="31"/>
        <v>-857-2024</v>
      </c>
      <c r="E858" s="96"/>
      <c r="F858" s="93" t="str">
        <f t="shared" si="32"/>
        <v/>
      </c>
    </row>
    <row r="859" spans="1:33" s="85" customFormat="1" ht="22.5" customHeight="1">
      <c r="A859" s="53" t="s">
        <v>7633</v>
      </c>
      <c r="B859" s="51" t="s">
        <v>8557</v>
      </c>
      <c r="C859" s="53">
        <v>2024</v>
      </c>
      <c r="D859" s="52" t="str">
        <f t="shared" si="31"/>
        <v>CD-858-2024</v>
      </c>
      <c r="E859" s="96" t="s">
        <v>6827</v>
      </c>
      <c r="F859" s="93" t="str">
        <f t="shared" si="32"/>
        <v>EL OBJETO DEL PRESENTE CONVENIO ES CONSTITUIR UNA ALIANZA ESTRATÉGICA ENTRE EL ICETEX Y LA INSTITUCIÓN DE EDUCACIÓN SUPERIOR – 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v>
      </c>
      <c r="G859"/>
      <c r="H859"/>
      <c r="I859"/>
      <c r="J859"/>
      <c r="K859"/>
      <c r="L859"/>
      <c r="M859"/>
      <c r="N859"/>
      <c r="O859"/>
      <c r="P859"/>
      <c r="Q859"/>
      <c r="R859"/>
      <c r="S859"/>
      <c r="T859"/>
      <c r="U859"/>
      <c r="V859"/>
      <c r="W859"/>
      <c r="X859"/>
      <c r="Y859"/>
      <c r="Z859"/>
      <c r="AA859"/>
      <c r="AB859"/>
      <c r="AC859"/>
      <c r="AD859"/>
      <c r="AE859"/>
      <c r="AF859"/>
      <c r="AG859"/>
    </row>
    <row r="860" spans="1:33" ht="22.5" customHeight="1">
      <c r="A860" s="53" t="s">
        <v>7633</v>
      </c>
      <c r="B860" s="51" t="s">
        <v>8558</v>
      </c>
      <c r="C860" s="53">
        <v>2024</v>
      </c>
      <c r="D860" s="52" t="str">
        <f t="shared" si="31"/>
        <v>CD-859-2024</v>
      </c>
      <c r="E860" s="96" t="s">
        <v>6832</v>
      </c>
      <c r="F860" s="93" t="str">
        <f t="shared" si="32"/>
        <v>PRESTAR LOS SERVICIOS PROFESIONALES ESPECIALIZADOS PARA APOYAR LA GESTIÓN FINANCIERA A PARTIR DEL ANÁLISIS Y SISTEMATIZACIÓN DE INFORMACIÓN PARA LA TOMA DE DECISIONES BASADA EN EVIDENCIAS Y NUEVOS MODELOS DE NEGOCIO, EN EL MARCO DE LA MODERNIZACIÓN DE LAS FUNCIONES FINANCIERAS DEL INSTITUTO</v>
      </c>
    </row>
    <row r="861" spans="1:33" ht="22.5" customHeight="1">
      <c r="A861" s="53" t="s">
        <v>8401</v>
      </c>
      <c r="B861" s="51" t="s">
        <v>8559</v>
      </c>
      <c r="C861" s="53">
        <v>2024</v>
      </c>
      <c r="D861" s="52" t="str">
        <f t="shared" si="31"/>
        <v>IP-860-2024</v>
      </c>
      <c r="E861" s="96" t="s">
        <v>8526</v>
      </c>
      <c r="F861" s="93" t="str">
        <f t="shared" si="32"/>
        <v>CONTRATAR EL SERVICIO ESPECIALIZADO DE VIGILANCIA Y SEGURIDAD PRIVADA ARMADA,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v>
      </c>
    </row>
    <row r="862" spans="1:33" ht="22.5" customHeight="1">
      <c r="A862" s="53" t="s">
        <v>8363</v>
      </c>
      <c r="B862" s="51" t="s">
        <v>8560</v>
      </c>
      <c r="C862" s="53">
        <v>2024</v>
      </c>
      <c r="D862" s="52" t="str">
        <f t="shared" si="31"/>
        <v>IS-861-2024</v>
      </c>
      <c r="E862" s="96" t="s">
        <v>8561</v>
      </c>
      <c r="F862" s="93" t="str">
        <f t="shared" si="32"/>
        <v>PRESTAR SERVICIOS PARA EL DISEÑO, PLANEACIÓN Y EJECUCIÓN DE LAS ACTIVIDADES DE LA SEMANA DE LA SEGURIDAD Y LA SALUD EN EL TRABAJO DEL INSTITUTO COLOMBIANO DE CRÉDITO EDUCATIVO Y ESTUDIOS TÉCNICOS EN EL EXTERIOR – ICETEX</v>
      </c>
    </row>
    <row r="863" spans="1:33" ht="22.5" customHeight="1">
      <c r="A863" s="53" t="s">
        <v>7633</v>
      </c>
      <c r="B863" s="51" t="s">
        <v>8562</v>
      </c>
      <c r="C863" s="53">
        <v>2024</v>
      </c>
      <c r="D863" s="52" t="str">
        <f t="shared" si="31"/>
        <v>CD-862-2024</v>
      </c>
      <c r="E863" s="96" t="s">
        <v>2243</v>
      </c>
      <c r="F863" s="93" t="str">
        <f t="shared" si="32"/>
        <v>PRESTAR SUS SERVICIOS PROFESIONALES ESPECIALIZADOS APOYANDO LA GESTIÓN, ADMINISTRACIÓN, SEGUIMIENTO Y CONTROL DE LOS CONVENIOS, CONTRATOS, FONDOS, ALIANZAS Y/O PROYECTOS A CARGO DE LA VICEPRESIDENCIA DE FONDOS EN ADMINISTRACIÓN CONFORME LOS PROCEDIMIENTOS ESTABLECIDOS POR EL ICETEX.</v>
      </c>
    </row>
    <row r="864" spans="1:33" s="85" customFormat="1" ht="22.5" customHeight="1">
      <c r="A864" s="53" t="s">
        <v>7633</v>
      </c>
      <c r="B864" s="51" t="s">
        <v>8563</v>
      </c>
      <c r="C864" s="53">
        <v>2024</v>
      </c>
      <c r="D864" s="52" t="str">
        <f t="shared" si="31"/>
        <v>CD-863-2024</v>
      </c>
      <c r="E864" s="96" t="s">
        <v>6844</v>
      </c>
      <c r="F864" s="93" t="str">
        <f t="shared" si="32"/>
        <v>ACUERDO ESTRATÉGICO PARA IMPLEMENTAR LA ESTRATEGIA 1 “SISTEMAS DE EDUCACIÓN MEDIA Y SUPERIOR SIMES – GUAINÍA.” DERIVADA DEL FONDO ADMINISTRADO POR EL ICETEX, PARA PROMOVER ESTRATEGIAS QUE PERMITAN LA CALIDAD, EL ACCESO, EL REINTEGRO, Y LA PERMANENCIA AL SISTEMA EDUCATIVO DE LAS Y LOS JÓVENES DEL PAÍS Y FAVOREZCAN EL TRÁNSITO A LA EDUCACIÓN POSMEDIA Y SUPERIOR.</v>
      </c>
      <c r="G864"/>
      <c r="H864"/>
      <c r="I864"/>
      <c r="J864"/>
      <c r="K864"/>
      <c r="L864"/>
      <c r="M864"/>
      <c r="N864"/>
      <c r="O864"/>
      <c r="P864"/>
      <c r="Q864"/>
      <c r="R864"/>
      <c r="S864"/>
      <c r="T864"/>
      <c r="U864"/>
      <c r="V864"/>
      <c r="W864"/>
      <c r="X864"/>
      <c r="Y864"/>
      <c r="Z864"/>
      <c r="AA864"/>
      <c r="AB864"/>
      <c r="AC864"/>
      <c r="AD864"/>
      <c r="AE864"/>
      <c r="AF864"/>
      <c r="AG864"/>
    </row>
    <row r="865" spans="1:6" ht="22.5" customHeight="1">
      <c r="A865" s="53" t="s">
        <v>7633</v>
      </c>
      <c r="B865" s="51" t="s">
        <v>8564</v>
      </c>
      <c r="C865" s="53">
        <v>2024</v>
      </c>
      <c r="D865" s="52" t="str">
        <f t="shared" si="31"/>
        <v>CD-864-2024</v>
      </c>
      <c r="E865" s="96" t="s">
        <v>6849</v>
      </c>
      <c r="F865" s="93" t="str">
        <f t="shared" si="32"/>
        <v>PRESTAR LOS SERVICIOS PROFESIONALES ESPECIALIZADOS EN EL GRUPO DE ADMINISTRACIÓN DE RECURSOS FÍSICOS DE LA SECRETARÍA GENERAL, APOYANDO LA IDENTIFICACIÓN, REALIZACIÓN, SEGUIMIENTO Y EJECUCIÓN DE LOS PROCESOS ADMINISTRATIVOS DEL ICETEX.</v>
      </c>
    </row>
    <row r="866" spans="1:6" ht="22.5" customHeight="1">
      <c r="A866" s="53" t="s">
        <v>7633</v>
      </c>
      <c r="B866" s="51" t="s">
        <v>8565</v>
      </c>
      <c r="C866" s="53">
        <v>2024</v>
      </c>
      <c r="D866" s="52" t="str">
        <f t="shared" si="31"/>
        <v>CD-865-2024</v>
      </c>
      <c r="E866" s="96" t="s">
        <v>1866</v>
      </c>
      <c r="F866" s="93" t="str">
        <f t="shared" si="32"/>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867" spans="1:6" ht="22.5" customHeight="1">
      <c r="A867" s="53" t="s">
        <v>7633</v>
      </c>
      <c r="B867" s="51" t="s">
        <v>8566</v>
      </c>
      <c r="C867" s="53">
        <v>2024</v>
      </c>
      <c r="D867" s="52" t="str">
        <f t="shared" si="31"/>
        <v>CD-866-2024</v>
      </c>
      <c r="E867" s="96" t="s">
        <v>6864</v>
      </c>
      <c r="F867" s="93" t="str">
        <f t="shared" si="32"/>
        <v>PRESTAR LOS SERVICIOS PROFESIONALES PARA APOYAR A LA OFICINA DE RELACIONES INTERNACIONALES DEL ICETEX EN EL DESARROLLO DE ACTIVIDADES POSCONTRACTUALES PARA EL CIERRE Y/O LIQUIDACIÓN DE CONVENIOS, ACUERDOS ESTRATÉGICOS Y CONTRATOS.</v>
      </c>
    </row>
    <row r="868" spans="1:6" ht="22.5" customHeight="1">
      <c r="A868" s="53" t="s">
        <v>7633</v>
      </c>
      <c r="B868" s="51" t="s">
        <v>8567</v>
      </c>
      <c r="C868" s="53">
        <v>2024</v>
      </c>
      <c r="D868" s="52" t="str">
        <f t="shared" si="31"/>
        <v>CD-867-2024</v>
      </c>
      <c r="E868" s="96" t="s">
        <v>6872</v>
      </c>
      <c r="F868" s="93" t="str">
        <f t="shared" si="32"/>
        <v>PRESTAR SUS SERVICIOS PROFESIONALES APOYANDO EL LEVANTAMIENTO DE PROCESOS ASOCIADOS A LA ADMINISTRACIÓN DE FONDOS CON RECURSOS DE TERCEROS ASÍ, COMO LA IDENTIFICACIÓN DE OPORTUNIDADES DE MEJORA QUE CONTRIBUYAN A LA EFICIENCIA DE LOS MISMOS</v>
      </c>
    </row>
    <row r="869" spans="1:6" ht="22.5" customHeight="1">
      <c r="A869" s="53" t="s">
        <v>7633</v>
      </c>
      <c r="B869" s="51" t="s">
        <v>8568</v>
      </c>
      <c r="C869" s="53">
        <v>2024</v>
      </c>
      <c r="D869" s="52" t="str">
        <f t="shared" si="31"/>
        <v>CD-868-2024</v>
      </c>
      <c r="E869" s="96" t="s">
        <v>6878</v>
      </c>
      <c r="F869" s="93" t="str">
        <f t="shared" si="32"/>
        <v>PRESTAR SERVICIOS PROFESIONALES PARA APOYAR AL GRUPO DE GESTIÓN ESTRATÉGICA DE PQRS O AL QUE LO REEMPLACE, EN LAS ACTIVIDADES NECESARIAS PARA LA IDENTIFICACIÓN, ARTICULACIÓN Y ELABORACIÓN DE TABLEROS DE CONTROL Y ANÁLISIS DE DATA EN LAS ACTIVIDADES DE APOYO A LA SUPERVISIÓN DE LOS CONTRATOS A CARGO DE ESTE GRUPO Y DEL SEGUIMIENTO DE PQRS, DESDE EL FRENTE DE TECNOLOGÍA</v>
      </c>
    </row>
    <row r="870" spans="1:6" ht="22.5" customHeight="1">
      <c r="A870" s="53" t="s">
        <v>7633</v>
      </c>
      <c r="B870" s="51" t="s">
        <v>8569</v>
      </c>
      <c r="C870" s="53">
        <v>2024</v>
      </c>
      <c r="D870" s="52" t="str">
        <f t="shared" si="31"/>
        <v>CD-869-2024</v>
      </c>
      <c r="E870" s="96" t="s">
        <v>6886</v>
      </c>
      <c r="F870" s="93" t="str">
        <f t="shared" si="32"/>
        <v>PRESTAR SERVICIOS PROFESIONALES ESPECIALIZADOS PARA APOYAR AL GRUPO DE GESTIÓN ESTRATÉGICA DE PQRS O AL QUE LO REEMPLACE, EN LAS ACTIVIDADES NECESARIAS PARA LA IDENTIFICACIÓN, ARTICULACIÓN, DOCUMENTACIÓN Y ELABORACIÓN DE PLANES DE EJECUCIÓN DE LAS POLÍTICAS DE SERVICIO AL CIUDADANO.</v>
      </c>
    </row>
    <row r="871" spans="1:6" ht="22.5" customHeight="1">
      <c r="A871" s="53" t="s">
        <v>7633</v>
      </c>
      <c r="B871" s="51" t="s">
        <v>8570</v>
      </c>
      <c r="C871" s="53">
        <v>2024</v>
      </c>
      <c r="D871" s="52" t="str">
        <f t="shared" si="31"/>
        <v>CD-870-2024</v>
      </c>
      <c r="E871" s="96" t="s">
        <v>2172</v>
      </c>
      <c r="F871" s="93" t="str">
        <f t="shared" si="32"/>
        <v>PRESTAR SERVICIOS TÉCNICOS PARA APOYAR EN LA EJECUCIÓN DE LOS PROCEDIMIENTOS DE ADMINISTRACIÓN DE ARCHIVO DE GESTIÓN, TRANSFERENCIAS DOCUMENTALES, CONSULTAS Y DIGITALIZACIÓN DE EXPEDIENTES, ASÍ COMO CONTRIBUIR A MEJORAR LA OPORTUNIDAD DE LOS SERVICIOS QUE PRESTA LA ENTIDAD.</v>
      </c>
    </row>
    <row r="872" spans="1:6" ht="22.5" customHeight="1">
      <c r="A872" s="53" t="s">
        <v>7633</v>
      </c>
      <c r="B872" s="51" t="s">
        <v>8571</v>
      </c>
      <c r="C872" s="53">
        <v>2024</v>
      </c>
      <c r="D872" s="52" t="str">
        <f t="shared" si="31"/>
        <v>CD-871-2024</v>
      </c>
      <c r="E872" s="96" t="s">
        <v>6904</v>
      </c>
      <c r="F872" s="93" t="str">
        <f t="shared" si="32"/>
        <v>PRESTACIÓN DE SERVICIOS PROFESIONALES ESPECIALIZADOS Y DE ASESORÍA PARA EL ACOMPAÑAMIENTO EN TEMAS SINDICALES DEL INSTITUTO COLOMBIANO DE CRÉDITO EDUCATIVO Y ESTUDIOS TÉCNICOS EN EL EXTERIOR –ICETEX.</v>
      </c>
    </row>
    <row r="873" spans="1:6" ht="22.5" customHeight="1">
      <c r="A873" s="53" t="s">
        <v>7633</v>
      </c>
      <c r="B873" s="51" t="s">
        <v>8572</v>
      </c>
      <c r="C873" s="53">
        <v>2024</v>
      </c>
      <c r="D873" s="52" t="str">
        <f t="shared" si="31"/>
        <v>CD-872-2024</v>
      </c>
      <c r="E873" s="96" t="s">
        <v>6912</v>
      </c>
      <c r="F873" s="93" t="str">
        <f t="shared" si="32"/>
        <v>PRESTAR SUS SERVICIOS PROFESIONALES APOYANDO EL PROCESO DE SENSIBILIZACIÓN, APROPIACIÓN Y EN LA EJECUCIÓN DE LOS FONDOS A CARGO DE LA VICEPRESIDENCIA DE FONDOS EN ADMINISTRACIÓN.</v>
      </c>
    </row>
    <row r="874" spans="1:6" ht="22.5" customHeight="1">
      <c r="A874" s="53" t="s">
        <v>7633</v>
      </c>
      <c r="B874" s="51" t="s">
        <v>8573</v>
      </c>
      <c r="C874" s="53">
        <v>2024</v>
      </c>
      <c r="D874" s="52" t="str">
        <f t="shared" si="31"/>
        <v>CD-873-2024</v>
      </c>
      <c r="E874" s="96" t="s">
        <v>1866</v>
      </c>
      <c r="F874" s="93" t="str">
        <f t="shared" si="32"/>
        <v>PRESTAR SUS SERVICIOS PROFESIONALES APOYANDO LAS ACTIVIDADES ADMINISTRATIVAS, OPERATIVAS, FINANCIERAS RELACIONADAS CON LOS FONDOS, CONVENIOS, CONTRATOS, ALIANZAS Y/O PROYECTOS ADMINISTRADOS POR LA VICEPRESIDENCIA DE FONDOS EN ADMINISTRACIÓN CONFORME LOS PROCEDIMIENTOS ESTABLECIDOS POR EL ICETEX.</v>
      </c>
    </row>
    <row r="875" spans="1:6" ht="22.5" customHeight="1">
      <c r="A875" s="53" t="s">
        <v>7633</v>
      </c>
      <c r="B875" s="51" t="s">
        <v>8574</v>
      </c>
      <c r="C875" s="53">
        <v>2024</v>
      </c>
      <c r="D875" s="52" t="str">
        <f t="shared" si="31"/>
        <v>CD-874-2024</v>
      </c>
      <c r="E875" s="96" t="s">
        <v>6925</v>
      </c>
      <c r="F875" s="93" t="str">
        <f t="shared" si="32"/>
        <v>PRESTAR SERVICIOS PROFESIONALES ESPECIALIZADOS PARA APOYAR AL GRUPO DE GESTIÓN ESTRATÉGICA DE PQRS O AL QUE LO REEMPLACE, EN LAS ACTIVIDADES DE VIGILANCIA JURÍDICA PARA LA SUPERVISIÓN DEL CONTRATO DE INTERVENTORÍA AL CONTRATO DE ATENCIÓN AL USUARIO Y DEMÁS ACTIVIDADES RELACIONADAS ADSCRITAS AL GRUPO</v>
      </c>
    </row>
    <row r="876" spans="1:6" ht="22.5" customHeight="1">
      <c r="A876" s="53" t="s">
        <v>7633</v>
      </c>
      <c r="B876" s="51" t="s">
        <v>8575</v>
      </c>
      <c r="C876" s="53">
        <v>2024</v>
      </c>
      <c r="D876" s="52" t="str">
        <f t="shared" si="31"/>
        <v>CD-875-2024</v>
      </c>
      <c r="E876" s="96" t="s">
        <v>6932</v>
      </c>
      <c r="F876" s="93" t="str">
        <f t="shared" si="32"/>
        <v>PRESTAR SERVICIOS PROFESIONALES PARA APOYAR AL GRUPO DE GESTIÓN ESTRATÉGICA DE PQRS O AL QUE LO REEMPLACE, EN LAS ACTIVIDADES NECESARIAS PARA LA ELABORACIÓN Y SEGUIMIENTO DE PLANES DE TRABAJO QUE PERMITAN LA EJECUCIÓN DE LAS POLÍTICAS DE SERVICIO AL CIUDADANO EN LA ENTIDAD.</v>
      </c>
    </row>
    <row r="877" spans="1:6" ht="22.5" customHeight="1">
      <c r="A877" s="53" t="s">
        <v>8401</v>
      </c>
      <c r="B877" s="51" t="s">
        <v>8576</v>
      </c>
      <c r="C877" s="53">
        <v>2024</v>
      </c>
      <c r="D877" s="52" t="str">
        <f t="shared" si="31"/>
        <v>IP-876-2024</v>
      </c>
      <c r="E877" s="96" t="s">
        <v>7259</v>
      </c>
      <c r="F877" s="93" t="str">
        <f t="shared" si="32"/>
        <v>CONTRATAR EL MANTENIMIENTO PREVENTIVO, CORRECTIVO, REPARACIONES LOCATIVAS DE LAS SEDES DEL INSTITUTO COLOMBIANO DE CRÉDITO EDUCATIVO Y ESTUDIOS TÉCNICOS EN EL EXTERIOR "MARIANO OSPINA PÉREZ</v>
      </c>
    </row>
    <row r="878" spans="1:6" ht="22.5" customHeight="1">
      <c r="A878" s="53" t="s">
        <v>8363</v>
      </c>
      <c r="B878" s="51" t="s">
        <v>8577</v>
      </c>
      <c r="C878" s="53">
        <v>2024</v>
      </c>
      <c r="D878" s="52" t="str">
        <f t="shared" si="31"/>
        <v>IS-877-2024</v>
      </c>
      <c r="E878" s="96" t="s">
        <v>7021</v>
      </c>
      <c r="F878" s="93" t="str">
        <f t="shared" si="32"/>
        <v>CONTRATAR EL MANTENIMIENTO PREVENTIVO Y CORRECTIVO, LAVADO Y REVISIÓN TÉCNICO-MECÁNICA, INCLUIDA MANO DE OBRA, SUMINISTRO DE REPUESTOS ORIGINALES NUEVOS Y DEMÁS SERVICIOS COMPLEMENTARIOS DE MANTENIMIENTO REQUERIDOS PARA EL PARQUE AUTOMOTOR DE ICETEX.</v>
      </c>
    </row>
    <row r="879" spans="1:6" ht="22.5" customHeight="1">
      <c r="A879" s="53" t="s">
        <v>7633</v>
      </c>
      <c r="B879" s="51" t="s">
        <v>8578</v>
      </c>
      <c r="C879" s="53">
        <v>2024</v>
      </c>
      <c r="D879" s="52" t="str">
        <f t="shared" si="31"/>
        <v>CD-878-2024</v>
      </c>
      <c r="E879" s="96" t="s">
        <v>6948</v>
      </c>
      <c r="F879" s="93" t="str">
        <f t="shared" si="32"/>
        <v> PRESTAR SERVICIOS PROFESIONALES ESPECIALIZADOS PARA APOYAR AL GRUPO DE GESTIÓN ESTRATÉGICA DE PQRS O AL QUE LO REEMPLACE, EN LAS ACTIVIDADES DE VIGILANCIA ADMINISTRATIVA PARA LA SUPERVISIÓN DEL CONTRATO DE INTERVENTORÍA AL CONTRATO DE ATENCIÓN AL USUARIO Y DEMÁS ACTIVIDADES RELACIONADAS ADSCRITAS AL GRUPO</v>
      </c>
    </row>
    <row r="880" spans="1:6" ht="22.5" customHeight="1">
      <c r="A880" s="53" t="s">
        <v>7633</v>
      </c>
      <c r="B880" s="51" t="s">
        <v>8579</v>
      </c>
      <c r="C880" s="53">
        <v>2024</v>
      </c>
      <c r="D880" s="52" t="str">
        <f t="shared" si="31"/>
        <v>CD-879-2024</v>
      </c>
      <c r="E880" s="96" t="s">
        <v>6955</v>
      </c>
      <c r="F880" s="93" t="str">
        <f t="shared" si="32"/>
        <v xml:space="preserve">PRESTAR SERVICIOS TÉCNICOS PARA APOYAR AL GRUPO DE GESTIÓN ESTRATÉGICA DE PQRS O AL QUE LO REEMPLACE, EN LAS ACTIVIDADES DE GESTIÓN DOCUMENTAL Y TAREAS ADMINISTRATIVAS QUE ASEGUREN LOS EXPEDIENTES Y CUMPLIMIENTO DE LAS ACTIVIDADES DE APOYO PARA LA SUPERVISIÓN DEL CONTRATO DE INTERVENTORÍA DEL CONTRATO DE ATENCIÓN AL USUARIO </v>
      </c>
    </row>
    <row r="881" spans="1:33" ht="22.5" customHeight="1">
      <c r="A881" s="53" t="s">
        <v>7633</v>
      </c>
      <c r="B881" s="51" t="s">
        <v>8580</v>
      </c>
      <c r="C881" s="53">
        <v>2024</v>
      </c>
      <c r="D881" s="52" t="str">
        <f t="shared" si="31"/>
        <v>CD-880-2024</v>
      </c>
      <c r="E881" s="96" t="s">
        <v>6971</v>
      </c>
      <c r="F881" s="93" t="str">
        <f t="shared" si="32"/>
        <v>SERVICIO DE MANTENIMIENTO, ACTUALIZACIONES Y SOPORTE DE SERVICIO DE ACTUALIZACIÓN, MANTENIMIENTO Y SOPORTE A DISTANCIA DEL SISTEMA FINANCIERO APOTEOSYS DEL ICETEX.</v>
      </c>
    </row>
    <row r="882" spans="1:33" ht="22.5" customHeight="1">
      <c r="A882" s="53" t="s">
        <v>7633</v>
      </c>
      <c r="B882" s="51" t="s">
        <v>8581</v>
      </c>
      <c r="C882" s="53">
        <v>2024</v>
      </c>
      <c r="D882" s="52" t="str">
        <f t="shared" si="31"/>
        <v>CD-881-2024</v>
      </c>
      <c r="E882" s="96" t="s">
        <v>6985</v>
      </c>
      <c r="F882" s="93" t="str">
        <f t="shared" si="32"/>
        <v>PRESTAR SERVICIOS PROFESIONALES PARA APOYAR AL GRUPO DE GESTIÓN ESTRATEGICA DE PQRS O AL QUE LO REEMPLACE, EN LAS ACTIVIDADES NECESARIAS PARA LA VIGILANCIA ADMINISTRATIVA DEL CONTRATO DE LA INTEVENTORÍA AL CONTRATO DE ATENCIÓN AL USUARIO Y LA DOCUMENTACIÓN Y SEGUIMIENTO DE LOS PLANES DE IMPLEMENTACIÓN DE LAS POLÍTICAS DE SERVICIO AL CIUDADANO.</v>
      </c>
    </row>
    <row r="883" spans="1:33" ht="22.5" customHeight="1">
      <c r="A883" s="53" t="s">
        <v>7633</v>
      </c>
      <c r="B883" s="51" t="s">
        <v>8582</v>
      </c>
      <c r="C883" s="53">
        <v>2024</v>
      </c>
      <c r="D883" s="52" t="str">
        <f t="shared" si="31"/>
        <v>CD-882-2024</v>
      </c>
      <c r="E883" s="96" t="s">
        <v>6979</v>
      </c>
      <c r="F883" s="93" t="str">
        <f t="shared" si="32"/>
        <v>ACUERDO ESTRATÉGICO PARA EL OTORGAMIENTO DE BECAS QUE PERMITAN REALIZAR ESTUDIOS EN LA UNIVERSIDAD DE ZARAGOZA (UZ) EN EL MARCO DE LA IMPLEMENTACIÓN DEL PROGRAMA DE BECAS INSTITUCIONALES ICETEX – FUNDACIÓN CAROLINA COLOMBIA</v>
      </c>
    </row>
    <row r="884" spans="1:33" ht="22.5" customHeight="1">
      <c r="A884" s="53" t="s">
        <v>7633</v>
      </c>
      <c r="B884" s="51" t="s">
        <v>8583</v>
      </c>
      <c r="C884" s="53">
        <v>2024</v>
      </c>
      <c r="D884" s="52" t="str">
        <f t="shared" si="31"/>
        <v>CD-883-2024</v>
      </c>
      <c r="E884" s="96" t="s">
        <v>8584</v>
      </c>
      <c r="F884" s="93" t="str">
        <f t="shared" si="32"/>
        <v>PRESTACIÓN DE SERVICIOS PROFESIONALES PARA LA GESTIÓN DE LOS SERVICIOS DE TECNOLOGÍA EN SISTEMAS DE INFORMACIÓN DE LA DIRECCIÓN DE TECNOLOGÍA DE LA VICEPRESIDENCIA DE OPERACIONES Y TECNOLOGÍA DEL ICETEX.</v>
      </c>
    </row>
    <row r="885" spans="1:33" ht="22.5" customHeight="1">
      <c r="A885" s="53" t="s">
        <v>7633</v>
      </c>
      <c r="B885" s="51" t="s">
        <v>8585</v>
      </c>
      <c r="C885" s="53">
        <v>2024</v>
      </c>
      <c r="D885" s="52" t="str">
        <f t="shared" si="31"/>
        <v>CD-884-2024</v>
      </c>
      <c r="E885" s="96" t="s">
        <v>7000</v>
      </c>
      <c r="F885" s="93" t="str">
        <f t="shared" si="32"/>
        <v>PRESTAR SERVICIOS PROFESIONALES ESPECIALIZADOS PARA APOYAR AL GRUPO DE GESTIÓN ESTRATÉGICA DE PQRS O AL QUE LO REEMPLACE EN LAS ACTIVIDADES DE VIGILANCIA TECNOLÓGICA PARA LA SUPERVISIÓN DEL CONTRATO DE INTERVENTORÍA AL CONTRATO DE ATENCIÓN AL USUARIO Y DEMÁS ACTIVIDADES RELACIONADAS ADSCRITAS AL GRUPO</v>
      </c>
    </row>
    <row r="886" spans="1:33" s="85" customFormat="1" ht="22.5" customHeight="1">
      <c r="A886" s="53" t="s">
        <v>8363</v>
      </c>
      <c r="B886" s="51" t="s">
        <v>8586</v>
      </c>
      <c r="C886" s="53">
        <v>2024</v>
      </c>
      <c r="D886" s="52" t="str">
        <f t="shared" si="31"/>
        <v>IS-885-2024</v>
      </c>
      <c r="E886" s="96" t="s">
        <v>8587</v>
      </c>
      <c r="F886" s="93" t="str">
        <f t="shared" si="32"/>
        <v xml:space="preserve">PRESTAR SERVICIOS PARA LA REALIZACIÓN DE LOS ENTRENAMIENTOS EN PISTA, EN MANEJO DE EQUIPOS DE EMERGENCIA Y EN MANEJO DE SIMULACROS PARA LA BRIGADA DE EMERGENCIAS DEL ICETEX </v>
      </c>
      <c r="G886"/>
      <c r="H886"/>
      <c r="I886"/>
      <c r="J886"/>
      <c r="K886"/>
      <c r="L886"/>
      <c r="M886"/>
      <c r="N886"/>
      <c r="O886"/>
      <c r="P886"/>
      <c r="Q886"/>
      <c r="R886"/>
      <c r="S886"/>
      <c r="T886"/>
      <c r="U886"/>
      <c r="V886"/>
      <c r="W886"/>
      <c r="X886"/>
      <c r="Y886"/>
      <c r="Z886"/>
      <c r="AA886"/>
      <c r="AB886"/>
      <c r="AC886"/>
      <c r="AD886"/>
      <c r="AE886"/>
      <c r="AF886"/>
      <c r="AG886"/>
    </row>
    <row r="887" spans="1:33" s="85" customFormat="1" ht="22.5" customHeight="1">
      <c r="A887" s="53" t="s">
        <v>7633</v>
      </c>
      <c r="B887" s="51" t="s">
        <v>8588</v>
      </c>
      <c r="C887" s="53">
        <v>2024</v>
      </c>
      <c r="D887" s="52" t="str">
        <f t="shared" si="31"/>
        <v>CD-886-2024</v>
      </c>
      <c r="E887" s="96" t="s">
        <v>7009</v>
      </c>
      <c r="F887" s="93" t="str">
        <f t="shared" si="32"/>
        <v>ACUERDO ESTRATÉGICO ENTRE EL ICETEX Y FULBRIGHT COLOMBIA, PARA EL FOMENTO DE LA INTERNACIONALIZACIÓN DE LA EDUCACIÓN SUPERIOR EN COLOMBIA A TRAVÉS DE LA CAPACITACIÓN Y MOVILIDAD ACADÉMICA DE CIUDADANOS ESTADOUNIDENSES Y COLOMBIANOS A TRAVÉS DE LOS PROGRAMAS US SCHOLAR, US STUDENT, US SPECIALIST, ENGLISH TEACHING ASSISTANT (ETA) PARA LA VIGENCIA 2024-2025.</v>
      </c>
      <c r="G887"/>
      <c r="H887"/>
      <c r="I887"/>
      <c r="J887"/>
      <c r="K887"/>
      <c r="L887"/>
      <c r="M887"/>
      <c r="N887"/>
      <c r="O887"/>
      <c r="P887"/>
      <c r="Q887"/>
      <c r="R887"/>
      <c r="S887"/>
      <c r="T887"/>
      <c r="U887"/>
      <c r="V887"/>
      <c r="W887"/>
      <c r="X887"/>
      <c r="Y887"/>
      <c r="Z887"/>
      <c r="AA887"/>
      <c r="AB887"/>
      <c r="AC887"/>
      <c r="AD887"/>
      <c r="AE887"/>
      <c r="AF887"/>
      <c r="AG887"/>
    </row>
    <row r="888" spans="1:33" ht="22.5" customHeight="1">
      <c r="A888" s="53" t="s">
        <v>7691</v>
      </c>
      <c r="B888" s="51" t="s">
        <v>8589</v>
      </c>
      <c r="C888" s="53">
        <v>2024</v>
      </c>
      <c r="D888" s="52" t="str">
        <f t="shared" si="31"/>
        <v>IMC-887-2024</v>
      </c>
      <c r="E888" s="96" t="s">
        <v>7243</v>
      </c>
      <c r="F888" s="93" t="str">
        <f t="shared" si="32"/>
        <v>CONTRATAR LA INTERVENTORÍA PARA EL CONTRATO DE MANTENIMIENTO PREVENTIVO, CORRECTIVO, REPARACIONES LOCATIVAS DE LAS SEDES DEL INSTITUTO COLOMBIANO DE CRÉDITO EDUCATIVO Y ESTUDIOS TÉCNICOS EN EL EXTERIOR “MARIANO OSPINA PÉREZ” – ICETEX, ASÍ COMO LA ADECUACIÓN DE LOS MISMOS.</v>
      </c>
    </row>
    <row r="889" spans="1:33" ht="22.5" customHeight="1">
      <c r="A889" s="53"/>
      <c r="B889" s="51" t="s">
        <v>8590</v>
      </c>
      <c r="C889" s="53">
        <v>2024</v>
      </c>
      <c r="D889" s="52" t="str">
        <f t="shared" si="31"/>
        <v>-888-2024</v>
      </c>
      <c r="E889" s="96" t="s">
        <v>8591</v>
      </c>
      <c r="F889" s="93" t="str">
        <f t="shared" si="32"/>
        <v>RENOVACIÓN DE LA SUSCRIPCIÓN Y SOPORTE DE LOS SISTEMAS OPERATIVOS LINUX Y PLATAFORMA DE CONTENEDORES OPENSHIF DE RED HAT, PARA LOS SISTEMAS PRODUCTIVOS DEL ICETEX</v>
      </c>
    </row>
    <row r="890" spans="1:33" ht="22.5" customHeight="1">
      <c r="A890" s="53" t="s">
        <v>7633</v>
      </c>
      <c r="B890" s="51" t="s">
        <v>8592</v>
      </c>
      <c r="C890" s="53">
        <v>2024</v>
      </c>
      <c r="D890" s="52" t="str">
        <f t="shared" si="31"/>
        <v>CD-889-2024</v>
      </c>
      <c r="E890" s="96" t="s">
        <v>8593</v>
      </c>
      <c r="F890" s="93" t="str">
        <f t="shared" si="32"/>
        <v>EL OBJETO DEL PRESENTE ACUERDO ESTRATÉGICO ES AUNAR ESFUERZOS ENTRE EL ICETEX, LA IES UNIVERSIDAD COLEGIO MAYOR NUESTRA SEÑORA DEL ROSARIO Y LA ONIC, PARA PROMOVER Y GARANTIZAR EL ACCESO Y PERMANENCIA EN LOS PROGRAMAS DE EDUCACIÓN SUPERIOR DE PREGRADO QUE OFRECE LA INSTITUCIÓN DE EDUCACIÓN SUPERIOR COLEGIO MAYOR DE NUESTRA SEÑORA DEL ROSARIO A ESTUDIANTES PERTENECIENTES A LAS COMUNIDADES INDÍGENAS DE COLOMBIA, EN CONDICIONES DE RECONOCIMIENTO Y RESPETO DE SUS LÓGICAS, FORMAS DE VIDA, VALORES Y SABERES, A TRAVÉS DE UN MODELO DE FINANCIACIÓN EN EL CUAL SE COFINANCIE EL 100% DEL VALOR DE LA MATRÍCULA, PARA LA CONTINUIDAD Y PROGRESO EN LA EDUCACIÓN SUPERIOR.</v>
      </c>
    </row>
    <row r="891" spans="1:33" ht="22.5" customHeight="1">
      <c r="A891" s="53" t="s">
        <v>7633</v>
      </c>
      <c r="B891" s="51" t="s">
        <v>8594</v>
      </c>
      <c r="C891" s="53">
        <v>2024</v>
      </c>
      <c r="D891" s="52" t="str">
        <f t="shared" si="31"/>
        <v>CD-890-2024</v>
      </c>
      <c r="E891" s="96" t="s">
        <v>7046</v>
      </c>
      <c r="F891" s="93" t="str">
        <f t="shared" si="32"/>
        <v>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v>
      </c>
    </row>
    <row r="892" spans="1:33" ht="22.5" customHeight="1">
      <c r="A892" s="53" t="s">
        <v>7633</v>
      </c>
      <c r="B892" s="51" t="s">
        <v>8595</v>
      </c>
      <c r="C892" s="53">
        <v>2024</v>
      </c>
      <c r="D892" s="52" t="str">
        <f t="shared" si="31"/>
        <v>CD-891-2024</v>
      </c>
      <c r="E892" s="96" t="s">
        <v>7051</v>
      </c>
      <c r="F892" s="93" t="str">
        <f t="shared" si="32"/>
        <v>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v>
      </c>
    </row>
    <row r="893" spans="1:33" s="85" customFormat="1" ht="22.5" customHeight="1">
      <c r="A893" s="121" t="s">
        <v>7633</v>
      </c>
      <c r="B893" s="122" t="s">
        <v>8596</v>
      </c>
      <c r="C893" s="121">
        <v>2024</v>
      </c>
      <c r="D893" s="108" t="str">
        <f t="shared" si="31"/>
        <v>CD-892-2024</v>
      </c>
      <c r="E893" s="112" t="s">
        <v>7051</v>
      </c>
      <c r="F893" s="123" t="str">
        <f>UPPER(E893)</f>
        <v>POR MEDIO DE ESTE CONTRATO LA SOCIEDAD ADMINISTRADORA PRESTARÁ EL SERVICIO DE DEPÓSITO Y ADMINISTRACIÓN DESMATERIALIZADA DE VALORES REGULADO EN LA LEY 27 DE 1.990, LEY 964 DE 2005,  EL DECRETO 2555 DE 2010, Y LAS DEMÁS NORMAS QUE SE OCUPEN O SE LLEGAREN A OCUPAR DEL TEMA. IGUALMENTE, ESTE CONTRATO SE RIGE POR EL REGLAMENTO DE OPERACIONES APROBADO POR LA SUPERINTENDENCIA FINANCIERA DE COLOMBIA Y LOS ACUERDOS DE CUSTODIA INTERNACIONAL QUE SUSCRIBA LA SOCIEDAD ADMINISTRADORA PARA EL DESARROLLO DE SU OBJETO SOCIAL. ESTAS NORMAS ESTÁN PUBLICADAS EN LA PÁGINA WEB DE LA SOCIEDAD ADMINISTRADORA Y FORMAN PARTE INTEGRAL DEL PRESENTE CONTRATO</v>
      </c>
    </row>
    <row r="894" spans="1:33" ht="22.5" customHeight="1">
      <c r="A894" s="53" t="s">
        <v>7633</v>
      </c>
      <c r="B894" s="51" t="s">
        <v>8597</v>
      </c>
      <c r="C894" s="53">
        <v>2024</v>
      </c>
      <c r="D894" s="52" t="str">
        <f t="shared" si="31"/>
        <v>CD-893-2024</v>
      </c>
      <c r="E894" s="96" t="s">
        <v>7079</v>
      </c>
      <c r="F894" s="93" t="str">
        <f t="shared" si="32"/>
        <v>PRESTACIÓN DE SERVICIOS PROFESIONALES ESPECIALIZADOS PARA LA CALIFICACIÓN DEL RIESGO CREDITICIO DE CORTO Y LARGO PLAZO DEL INSTITUTO, LA REVISIÓN DE LA CALIFICACIÓN DE EMISIONES EN CIRCULACIÓN DE BONOS ORDINARIOS Y CALIFICACIÓN INICIAL DE LAS EMISIONES CON CARGO AL PROGRAMA DE EMISIÓN Y COLOCACIÓN - PEC DEL ICETEX EN EL MERCADO LOCAL COLOMBIANO, CONFORME A LAS METODOLOGÍAS DEBIDAMENTE APROBADAS POR LA CALIFICADORA Y LA REGULACIÓN VIGENTE.</v>
      </c>
    </row>
    <row r="895" spans="1:33" ht="22.5" customHeight="1">
      <c r="A895" s="53" t="s">
        <v>8363</v>
      </c>
      <c r="B895" s="51" t="s">
        <v>8598</v>
      </c>
      <c r="C895" s="53">
        <v>2024</v>
      </c>
      <c r="D895" s="52" t="str">
        <f t="shared" si="31"/>
        <v>IS-894-2024</v>
      </c>
      <c r="E895" s="96" t="s">
        <v>7268</v>
      </c>
      <c r="F895" s="93" t="str">
        <f t="shared" si="32"/>
        <v>CONTRATAR EL SUMINISTRO DE PAPELERÍA, EQUIPOS, ÚTILES Y ACCESORIOS DE OFICINA, NECESARIOS PARA EL NORMAL FUNCIONAMIENTO DE ICETEX</v>
      </c>
    </row>
    <row r="896" spans="1:33" s="85" customFormat="1" ht="22.5" customHeight="1">
      <c r="A896" s="53" t="s">
        <v>7633</v>
      </c>
      <c r="B896" s="51" t="s">
        <v>8599</v>
      </c>
      <c r="C896" s="53">
        <v>2024</v>
      </c>
      <c r="D896" s="52" t="str">
        <f t="shared" si="31"/>
        <v>CD-895-2024</v>
      </c>
      <c r="E896" s="96" t="s">
        <v>7071</v>
      </c>
      <c r="F896" s="93" t="str">
        <f t="shared" si="32"/>
        <v>ACUERDO ESTRATÉGICO ENTRE EL ICETEX Y LA IES, CON EL FIN DE GENERAR UN BENEFICIO ECONÓMICO PARA LA FINANCIACIÓN DE LA EDUCACIÓN SUPERIOR, DENOMINADO "APORTE EN TASA IES", DIRIGIDO A ESTUDIANTES DE PREGRADO Y POSGRADO EN COLOMBIA CON CRÉDITOS REEMBOLSABLES OTORGADOS POR EL INSTITUTO COLOMBIANO DE CRÉDITO EDUCATIVO Y ESTUDIOS TÉCNICOS EN EL EXTERIOR "MARIANO OSPINA PÉREZ" ICETEX</v>
      </c>
      <c r="G896"/>
      <c r="H896"/>
      <c r="I896"/>
      <c r="J896"/>
      <c r="K896"/>
      <c r="L896"/>
      <c r="M896"/>
      <c r="N896"/>
      <c r="O896"/>
      <c r="P896"/>
      <c r="Q896"/>
      <c r="R896"/>
      <c r="S896"/>
      <c r="T896"/>
      <c r="U896"/>
      <c r="V896"/>
      <c r="W896"/>
      <c r="X896"/>
      <c r="Y896"/>
      <c r="Z896"/>
      <c r="AA896"/>
      <c r="AB896"/>
      <c r="AC896"/>
      <c r="AD896"/>
      <c r="AE896"/>
      <c r="AF896"/>
      <c r="AG896"/>
    </row>
    <row r="897" spans="1:6" ht="22.5" customHeight="1">
      <c r="A897" s="53" t="s">
        <v>8401</v>
      </c>
      <c r="B897" s="51" t="s">
        <v>8600</v>
      </c>
      <c r="C897" s="53">
        <v>2024</v>
      </c>
      <c r="D897" s="52" t="str">
        <f t="shared" si="31"/>
        <v>IP-896-2024</v>
      </c>
      <c r="E897" s="96" t="s">
        <v>8601</v>
      </c>
      <c r="F897" s="93" t="str">
        <f>UPPER(E897)</f>
        <v>SISTEMA DE OBSERVACIÓN AUTOMÁTICA E INTELIGENTE PARA LOS SERVICIOS Y SISTEMAS DEL ICETEX</v>
      </c>
    </row>
    <row r="898" spans="1:6" ht="38.25">
      <c r="A898" s="53" t="s">
        <v>8363</v>
      </c>
      <c r="B898" s="51" t="s">
        <v>8602</v>
      </c>
      <c r="C898" s="53">
        <v>2024</v>
      </c>
      <c r="D898" s="52" t="str">
        <f t="shared" ref="D898:D961" si="33">CONCATENATE(A898,"-",B898,"-",C898)</f>
        <v>IS-897-2024</v>
      </c>
      <c r="E898" s="96" t="s">
        <v>7316</v>
      </c>
      <c r="F898" s="93" t="str">
        <f t="shared" ref="F898:F961" si="34">UPPER(E898)</f>
        <v xml:space="preserve">PRESTAR SERVICIOS PARA EL DISEÑO, PLANEACIÓN Y EJECUCIÓN DEL PLAN DE INTERVENCIÓN DEL RIESGO PSICOSOCIAL, CON BASE EN LOS RESULTADOS DE LA EVALUACIÓN DE FACTORES DE RIESGO </v>
      </c>
    </row>
    <row r="899" spans="1:6" ht="37.5" customHeight="1">
      <c r="A899" s="53" t="s">
        <v>7633</v>
      </c>
      <c r="B899" s="51" t="s">
        <v>8603</v>
      </c>
      <c r="C899" s="53">
        <v>2024</v>
      </c>
      <c r="D899" s="52" t="str">
        <f t="shared" si="33"/>
        <v>CD-898-2024</v>
      </c>
      <c r="E899" s="96" t="s">
        <v>6827</v>
      </c>
      <c r="F899" s="93" t="str">
        <f t="shared" si="34"/>
        <v>EL OBJETO DEL PRESENTE CONVENIO ES CONSTITUIR UNA ALIANZA ESTRATÉGICA ENTRE EL ICETEX Y LA INSTITUCIÓN DE EDUCACIÓN SUPERIOR – 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v>
      </c>
    </row>
    <row r="900" spans="1:6" ht="51">
      <c r="A900" s="53" t="s">
        <v>7633</v>
      </c>
      <c r="B900" s="51" t="s">
        <v>8604</v>
      </c>
      <c r="C900" s="53">
        <v>2024</v>
      </c>
      <c r="D900" s="52" t="str">
        <f t="shared" si="33"/>
        <v>CD-899-2024</v>
      </c>
      <c r="E900" s="96" t="s">
        <v>7093</v>
      </c>
      <c r="F900" s="93" t="str">
        <f t="shared" si="34"/>
        <v>ACUERDO ESTRATÉGICO PARA APOYAR EL ACCESO AL PORTAFOLIO DE SERVICIOS DEL ICETEX DE LAS Y LOS JÓVENES, UBICADOS EN LA ZONA RURAL DEL DISTRITO DE BUENAVENTURA Y SUS ZONAS ALEDAÑAS</v>
      </c>
    </row>
    <row r="901" spans="1:6" ht="25.5">
      <c r="A901" s="96" t="s">
        <v>7691</v>
      </c>
      <c r="B901" s="51" t="s">
        <v>8605</v>
      </c>
      <c r="C901" s="53">
        <v>2024</v>
      </c>
      <c r="D901" s="52" t="str">
        <f t="shared" si="33"/>
        <v>IMC-900-2024</v>
      </c>
      <c r="E901" s="96" t="s">
        <v>7302</v>
      </c>
      <c r="F901" s="93" t="str">
        <f t="shared" si="34"/>
        <v>SERVICIOS ESPECIALIZADOS PARA EL GESTOR DE CONTENIDOS (LIFERAY) DE LOS PORTALES ICETEX.</v>
      </c>
    </row>
    <row r="902" spans="1:6" s="85" customFormat="1" ht="63.75">
      <c r="A902" s="96" t="s">
        <v>7633</v>
      </c>
      <c r="B902" s="51" t="s">
        <v>8606</v>
      </c>
      <c r="C902" s="53">
        <v>2024</v>
      </c>
      <c r="D902" s="52" t="str">
        <f t="shared" si="33"/>
        <v>CD-901-2024</v>
      </c>
      <c r="E902" s="96" t="s">
        <v>7111</v>
      </c>
      <c r="F902" s="93" t="str">
        <f t="shared" si="34"/>
        <v>PRESTAR LOS SERVICIOS DEL DANE PARA REALIZAR LA EVALUACIÓN DE LA CALIDAD DEL PROCESO ESTADÍSTICO IMPLEMENTADO EN LA OPERACIÓN DE CRÉDITO EDUCATIVO A CARGO DE ICETEX, EN EL MARCO DE LOS REQUISITOS ESTABLECIDOS EN LA NORMA TÉCNICA DE LA CALIDAD DEL PROCESO ESTADÍSTICO (NTC PE 1000:2020).</v>
      </c>
    </row>
    <row r="903" spans="1:6" ht="51">
      <c r="A903" s="53" t="s">
        <v>7633</v>
      </c>
      <c r="B903" s="51" t="s">
        <v>8607</v>
      </c>
      <c r="C903" s="53">
        <v>2024</v>
      </c>
      <c r="D903" s="52" t="str">
        <f t="shared" si="33"/>
        <v>CD-902-2024</v>
      </c>
      <c r="E903" s="20" t="s">
        <v>8608</v>
      </c>
      <c r="F903" s="93" t="str">
        <f t="shared" si="34"/>
        <v>AUNAR ESFUERZOS PARA LA IMPLEMENTACION DE PROGRAMAS QUE PERMITAN A CIUDADANOS COLOMBIANOS, MEDIANTE EL ACCESO A BECAS Y AYUDAS FINANCIERAS, REALIZAR ESTUDIOS EN EDUCACION EN IHE DELFT</v>
      </c>
    </row>
    <row r="904" spans="1:6" s="85" customFormat="1" ht="51">
      <c r="A904" s="53" t="s">
        <v>7633</v>
      </c>
      <c r="B904" s="51" t="s">
        <v>8609</v>
      </c>
      <c r="C904" s="53">
        <v>2024</v>
      </c>
      <c r="D904" s="52" t="str">
        <f t="shared" si="33"/>
        <v>CD-903-2024</v>
      </c>
      <c r="E904" s="20" t="s">
        <v>7125</v>
      </c>
      <c r="F904" s="93" t="str">
        <f t="shared" si="34"/>
        <v>AUNAR ESFUERZOS PARA LA IMPLEMENTACIÓN DE PROGRAMAS QUE PERMITAN A CIUDADANOS COLOMBIANOS, MEDIANTE EL ACCESO A BECAS Y AYUDAS FINANCIERAS, REALIZAR ESTUDIOS EN EDUCACIÓN SUPERIOR EN WHITECLIFFE COLLEGE.</v>
      </c>
    </row>
    <row r="905" spans="1:6" ht="51">
      <c r="A905" s="53" t="s">
        <v>7633</v>
      </c>
      <c r="B905" s="51" t="s">
        <v>8610</v>
      </c>
      <c r="C905" s="53">
        <v>2024</v>
      </c>
      <c r="D905" s="52" t="str">
        <f t="shared" si="33"/>
        <v>CD-904-2024</v>
      </c>
      <c r="E905" s="20" t="s">
        <v>7132</v>
      </c>
      <c r="F905" s="93" t="str">
        <f t="shared" si="34"/>
        <v>PRESTAR SERVICIO DE AUDITORÍA DE SEGUIMIENTO DEL CERTIFICADO NO. SC7150-1, PARA EL SISTEMA DE GESTIÓN DE CALIDAD DEL ICETEX BAJO LA NORMA ISO 9001:2015, EN LA VIGENCIA 2024.</v>
      </c>
    </row>
    <row r="906" spans="1:6" ht="38.25">
      <c r="A906" s="53" t="s">
        <v>8363</v>
      </c>
      <c r="B906" s="51" t="s">
        <v>8611</v>
      </c>
      <c r="C906" s="53">
        <v>2024</v>
      </c>
      <c r="D906" s="52" t="str">
        <f t="shared" si="33"/>
        <v>IS-905-2024</v>
      </c>
      <c r="E906" s="96" t="s">
        <v>8612</v>
      </c>
      <c r="F906" s="93" t="str">
        <f t="shared" si="34"/>
        <v>SERVICIOS DE ACCESO A LA BASE DE DATOS DE LISTAS DE CONTROL ON-LINE PARA CONSULTA, ACTUALIZACIÓN, SOPORTE Y CRUCES BATCH DE LOS CLIENTES DE LA ENTIDAD.</v>
      </c>
    </row>
    <row r="907" spans="1:6" ht="90">
      <c r="A907" s="53" t="s">
        <v>7633</v>
      </c>
      <c r="B907" s="51" t="s">
        <v>8613</v>
      </c>
      <c r="C907" s="53">
        <v>2024</v>
      </c>
      <c r="D907" s="52" t="str">
        <f t="shared" si="33"/>
        <v>CD-906-2024</v>
      </c>
      <c r="E907" s="107" t="s">
        <v>7146</v>
      </c>
      <c r="F907" s="93" t="str">
        <f t="shared" si="34"/>
        <v>SOPORTE, MANTENIMIENTO Y ACTUALIZACIÓN CONFORME LAS NORMAS IMPARTIDAS POR LOS ENTES DE CONTROL Y VIGILANCIA DE LOS SERVICIOS CONTRATADOS A IGSEVINPRO (SISTEMAS DE ADMINISTRACIÓN Y VALORACIÓN DE PORTAFOLIO) E IGMETRICA (SISTEMA DE ADMINISTRACIÓN DE RIESGOS DE MERCADO Y LIQUIDEZ).</v>
      </c>
    </row>
    <row r="908" spans="1:6" ht="127.5">
      <c r="A908" s="53" t="s">
        <v>7633</v>
      </c>
      <c r="B908" s="51" t="s">
        <v>8614</v>
      </c>
      <c r="C908" s="53">
        <v>2024</v>
      </c>
      <c r="D908" s="52" t="str">
        <f t="shared" si="33"/>
        <v>CD-907-2024</v>
      </c>
      <c r="E908" s="96" t="s">
        <v>7140</v>
      </c>
      <c r="F908" s="93" t="str">
        <f t="shared" si="34"/>
        <v>EL OBJETO DEL PRESENTE CONVENIO ES CONSTITUIR UNA ALIANZA ESTRATÉGICA ENTRE EL ICETEX Y LA INSTITUCIÓN DE EDUCACIÓN SUPERIOR-IES,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v>
      </c>
    </row>
    <row r="909" spans="1:6" ht="127.5">
      <c r="A909" s="53" t="s">
        <v>7633</v>
      </c>
      <c r="B909" s="51" t="s">
        <v>8615</v>
      </c>
      <c r="C909" s="53">
        <v>2024</v>
      </c>
      <c r="D909" s="52" t="str">
        <f t="shared" si="33"/>
        <v>CD-908-2024</v>
      </c>
      <c r="E909" s="96" t="s">
        <v>6827</v>
      </c>
      <c r="F909" s="93" t="str">
        <f t="shared" si="34"/>
        <v>EL OBJETO DEL PRESENTE CONVENIO ES CONSTITUIR UNA ALIANZA ESTRATÉGICA ENTRE EL ICETEX Y LA INSTITUCIÓN DE EDUCACIÓN SUPERIOR – IES, PARA EL ACCESO, LA FINANCIACIÓN Y PERMANENCIA EN LA EDUCACIÓN SUPERIOR Y FORMACIÓN PARA LA VIDA PROFESIONAL Y EL DESARROLLO HUMANO, EN COLOMBIA Y EN EL EXTERIOR A TRAVÉS DEL CRÉDITO EDUCATIVO Y LOS DIFERENTES INSTRUMENTOS FINANCIEROS Y MECANISMOS ESTABLECIDOS EN ICETEX; ASÍ COMO IMPLEMENTAR ESTRATEGIAS PARA FACILITAR LA TRANSICIÓN HACIA EL ÁMBITO PROFESIONAL Y LABORAL (EMPLEO Y EMPRENDIMIENTO).</v>
      </c>
    </row>
    <row r="910" spans="1:6" ht="51">
      <c r="A910" s="53" t="s">
        <v>7633</v>
      </c>
      <c r="B910" s="51" t="s">
        <v>8616</v>
      </c>
      <c r="C910" s="53">
        <v>2024</v>
      </c>
      <c r="D910" s="52" t="str">
        <f t="shared" si="33"/>
        <v>CD-909-2024</v>
      </c>
      <c r="E910" s="96" t="s">
        <v>7159</v>
      </c>
      <c r="F910" s="93" t="str">
        <f t="shared" si="34"/>
        <v>ACUERDO ESTRATÉGICO PARA GUIAR A LOS BENEFICIARIOS DE ICETEX EN EL DESARROLLO DE SU PROPIO PLAN DE CARRERA, PROYECCIÓN PROFESIONAL Y HABILIDADES FUNDAMENTALES PARA LA EMPLEABILIDAD.</v>
      </c>
    </row>
    <row r="911" spans="1:6" ht="51">
      <c r="A911" s="53" t="s">
        <v>7633</v>
      </c>
      <c r="B911" s="51" t="s">
        <v>8617</v>
      </c>
      <c r="C911" s="53">
        <v>2024</v>
      </c>
      <c r="D911" s="52" t="str">
        <f t="shared" si="33"/>
        <v>CD-910-2024</v>
      </c>
      <c r="E911" s="96" t="s">
        <v>7167</v>
      </c>
      <c r="F911" s="93" t="str">
        <f t="shared" si="34"/>
        <v>ACUERDO ESTRATÉGICO PARA CONSTRUIR E IMPLEMENTAR ESTRATEGIAS DE EDUCACIÓN FINANCIERA PARA LOS USUARIOS DE COMUNIDAD ICETEX Y SUS FAMILIAS, A LO LARGO DEL TERRITORIO NACIONAL.</v>
      </c>
    </row>
    <row r="912" spans="1:6" ht="242.25">
      <c r="A912" s="53" t="s">
        <v>7633</v>
      </c>
      <c r="B912" s="51" t="s">
        <v>8618</v>
      </c>
      <c r="C912" s="53">
        <v>2024</v>
      </c>
      <c r="D912" s="52" t="str">
        <f t="shared" si="33"/>
        <v>CD-911-2024</v>
      </c>
      <c r="E912" s="96" t="s">
        <v>7176</v>
      </c>
      <c r="F912" s="93" t="str">
        <f t="shared" si="34"/>
        <v>POR MEDIO DEL PRESENTE DOCUMENTO EL DEPOSITANTE CONFIERE A EL DEPOSITARIO LA FACULTAD EXPRESA DE REALIZAR LAS OPERACIONES QUE SE DERIVAN DE UN ENDOSO EN ADMINISTRACIÓN EN RELACIÓN CON LOS VALORES REPRESENTADOS EN DERECHOS QUE SE CONSTITUYAN PRIMARIAMENTE Y LOS QUE LE SEAN TRANSFERIDOS COMO RESULTADO DE OPERACIONES CON OTROS DEPOSITANTES VINCULADOS CON EL DEPÓSITO CENTRAL DE VALORES DEL BANCO DE LA REPÚBLICA. CUANDO SE TRATE DE TÍTULOS FÍSICOS QUE DEBAN SER TRANSFORMADOS EN DERECHOS, EL DEPOSITANTE HARÁ LA ENTREGA DE CADA UNO DE ELLOS, DEBIDAMENTE ENDOSADOS EN ADMINISTRACIÓN A FAVOR DEL BANCO DE LA REPÚBLICA - DEPÓSITO CENTRAL DE VALORES. SI ALGUNO DE LOS TÍTULOS FUERE ADQUIRIDO EN EL MERCADO SECUNDARIO A TRAVÉS DE SISTEMAS DE NEGOCIACIÓN DE VALORES O DE REGISTRO DE OPERACIONES SOBRE VALORES Y NO SE ENCUENTRA EN EL DEPÓSITO CENTRAL DE VALORES DEL BANCO DE LA REPÚBLICA, EL COMPRADOR, AL TENER LA CALIDAD DE DEPOSITANTE DIRECTO COMO CONSECUENCIA DEL PRESENTE CONTRATO, SERÁ QUIEN ENDOSE Y ENTREGUE EL TÍTULO AL DEPÓSITO</v>
      </c>
    </row>
    <row r="913" spans="1:6" ht="191.25">
      <c r="A913" s="53" t="s">
        <v>7633</v>
      </c>
      <c r="B913" s="51" t="s">
        <v>8619</v>
      </c>
      <c r="C913" s="53">
        <v>2024</v>
      </c>
      <c r="D913" s="52" t="str">
        <f t="shared" si="33"/>
        <v>CD-912-2024</v>
      </c>
      <c r="E913" s="96" t="s">
        <v>7184</v>
      </c>
      <c r="F913" s="93" t="str">
        <f t="shared" si="34"/>
        <v>EN VIRTUD DEL PRESENTE CONTRATO, EL DEPOSITANTE ADQUIERE LA FACULTAD DE ABRIR Y MANEJAR CUENTAS DE DEPÓSITO EN EL BANCO, PARA DEPOSITAR EN ELLAS SUMAS DE DINERO EN MONEDA LEGAL COLOMBIANA, A TRAVÉS DE TRANSFERENCIAS DE FONDOS, CONSIGNACIONES EN EFECTIVO SUJETAS A VERIFICACIÓN DE ACUERDO CON LOS PROCEDIMIENTOS QUE ESTABLEZCA EL BANCO PARA TAL FIN O A TRAVÉS DE CUALQUIER OTRO MECANISMO QUE SE ESTABLEZCA EN EL FUTURO Y DISPONER TOTAL O PARCIALMENTE DE SUS SALDOS POR LOS MEDIOS PREVISTOS EN ESTE CONTRATO, QUE NO INCLUYE EL GIRO DE CHEQUES LIBRADOS CONTRA EL BANCO. NO SE RECIBIRÁN EN LAS CUENTAS DE DEPÓSITO DE EL DEPOSITANTE CONSIGNACIONES O ACREDITACIONES EN CHEQUE O CUALQUIER OTRO INSTRUMENTO DE PAGO COMPENSABLE, NI CONSIGNACIONES EN EFECTIVO A TRAVÉS DE LAS VENTANILLAS DE SERVICIO AL PÚBLICO DE EL BANCO.</v>
      </c>
    </row>
    <row r="914" spans="1:6" ht="25.5">
      <c r="A914" s="53" t="s">
        <v>7633</v>
      </c>
      <c r="B914" s="51" t="s">
        <v>8620</v>
      </c>
      <c r="C914" s="53">
        <v>2024</v>
      </c>
      <c r="D914" s="52" t="str">
        <f t="shared" si="33"/>
        <v>CD-913-2024</v>
      </c>
      <c r="E914" s="96" t="s">
        <v>7197</v>
      </c>
      <c r="F914" s="93" t="str">
        <f t="shared" si="34"/>
        <v>ADQUISICIÓN, RENOVACIÓN Y SOPORTE DE CERTIFICADOS DIGITALES SSL PARA LOS SERVICIOS TIPO WEB DE ICETEX</v>
      </c>
    </row>
    <row r="915" spans="1:6" ht="89.25">
      <c r="A915" s="53" t="s">
        <v>7633</v>
      </c>
      <c r="B915" s="51" t="s">
        <v>8621</v>
      </c>
      <c r="C915" s="53">
        <v>2024</v>
      </c>
      <c r="D915" s="52" t="str">
        <f t="shared" si="33"/>
        <v>CD-914-2024</v>
      </c>
      <c r="E915" s="96" t="s">
        <v>7212</v>
      </c>
      <c r="F915" s="93" t="str">
        <f t="shared" si="34"/>
        <v>PRESTAR EL SERVICIO DE CUSTODIA DE LOS TÍTULOS VALORES DESMATERIALIZADOS CONFIADOS EN DEPÓSITO POR EL ICETEX Y LOS QUE LE SEAN TRANSFERIDOS COMO RESULTADO DE LAS OPERACIONES CON OTROS DEPOSITANTES, A TRAVÉS DEL ENDOSO DE LOS FÍSICOS U ORDEN DE ABONO O CARGO POR ANOTACIÓN EN CUENTA DE LOS TÍTULOS VALORES O VALORES DESMATERIALIZADOS U OTROS DERECHOS FINANCIEROS POR PARTE DEL ICETEX.</v>
      </c>
    </row>
    <row r="916" spans="1:6" ht="229.5">
      <c r="A916" s="53" t="s">
        <v>7633</v>
      </c>
      <c r="B916" s="51" t="s">
        <v>8622</v>
      </c>
      <c r="C916" s="53">
        <v>2024</v>
      </c>
      <c r="D916" s="52" t="str">
        <f t="shared" si="33"/>
        <v>CD-915-2024</v>
      </c>
      <c r="E916" s="96" t="s">
        <v>7221</v>
      </c>
      <c r="F916" s="93" t="str">
        <f t="shared" si="34"/>
        <v>EL OBJETO ES LA PRESTACIÓN POR PARTE DE EL BANCO DEL SERVICIO DE RECAUDO DE LAS SUMAS QUE CANCELEN LOS DEUDORES Y/O USUARIOS POR LOS CRÉDITOS EDUCATIVOS, SEAN O NO CLIENTES DE EL BANCO, A TRAVÉS DEL USO DE EL SOFTWARE O PLATAFORMA INTEGRAL (EL CUAL INCLUYE LICENCIA DE USO, SOPORTE, MANTENIMIENTO Y ACTUALIZACIONES) DE EL PROVEEDOR, BAJO EL MODELO GATEWAY, QUE PERMITE LA OPTIMIZACIÓN DEL PROCESO DE RECAUDO ELECTRÓNICO CON INTEGRACIÓN AL BOTÓN PSE, LA NOTIFICACIÓN Y CONCILIACIÓN AUTOMATIZADA DE LAS TRANSACCIONES, CUALQUIERA QUE FUERE EL MONTO DEL PAGO Y SIN CARGO ALGUNO PARA LOS DEUDORES Y/O USUARIOS, LOGRANDO UNA MAYOR EFICIENCIA EN LOS PROCESOS DE CONCILIACIÓN TRANSACCIONAL Y DE TESORERÍA DE LAS OPERACIONES QUE EJECUTEN. EL SERVICIO DE RECAUDO ELECTRÓNICO DE LOS CRÉDITOS EDUCATIVOS SE PRESTARÁ A TRAVÉS DEL BOTÓN PSE Y SE HARÁ SOBRE UN PROMEDIO DE OPERACIONES MENSUALES ACORDE CON LO SEÑALADO EN LA CLÁUSULA DÉCIMA PRIMERA DEL PRESENTE CONVENIO.</v>
      </c>
    </row>
    <row r="917" spans="1:6" ht="38.25">
      <c r="A917" s="53" t="s">
        <v>7633</v>
      </c>
      <c r="B917" s="51" t="s">
        <v>8623</v>
      </c>
      <c r="C917" s="53">
        <v>2024</v>
      </c>
      <c r="D917" s="52" t="str">
        <f t="shared" si="33"/>
        <v>CD-916-2024</v>
      </c>
      <c r="E917" s="96" t="s">
        <v>7228</v>
      </c>
      <c r="F917" s="93" t="str">
        <f t="shared" si="34"/>
        <v>ARRENDAR UN INMUEBLE EN LA CIUDAD DE YOPAL, EL CUAL SERÁ EXCLUSIVAMENTE DESTINADO PARA LA OFICINA DEL PUNTO DE ATENCIÓN AL CLIENTE DEL ICETEX.</v>
      </c>
    </row>
    <row r="918" spans="1:6" ht="51">
      <c r="A918" s="53" t="s">
        <v>7633</v>
      </c>
      <c r="B918" s="51" t="s">
        <v>8624</v>
      </c>
      <c r="C918" s="53">
        <v>2024</v>
      </c>
      <c r="D918" s="52" t="str">
        <f t="shared" si="33"/>
        <v>CD-917-2024</v>
      </c>
      <c r="E918" s="96" t="s">
        <v>7236</v>
      </c>
      <c r="F918" s="93" t="str">
        <f t="shared" si="34"/>
        <v>EN VIRTUD DEL PRESENTE CONTRATO, EL BANCO SE COMPROMETE A PERMITIR A EL USUARIO EL ACCESO Y LA UTILIZACIÓN DEL SISTEMA DENOMINADO SERVICIOS ELECTRÓNICOS DEL BANCO DE LA REPÚBLICA, SEBRA.</v>
      </c>
    </row>
    <row r="919" spans="1:6" ht="127.5">
      <c r="A919" s="53" t="s">
        <v>7633</v>
      </c>
      <c r="B919" s="51" t="s">
        <v>8625</v>
      </c>
      <c r="C919" s="53">
        <v>2024</v>
      </c>
      <c r="D919" s="52" t="str">
        <f t="shared" si="33"/>
        <v>CD-918-2024</v>
      </c>
      <c r="E919" s="96" t="s">
        <v>7249</v>
      </c>
      <c r="F919" s="93" t="str">
        <f t="shared" si="34"/>
        <v>PRESTAR EL SERVICIO DE ADMINISTRACIÓN DEL PROCESO DE EMISIÓN DE PAGARÉS DESMATERIALIZADOS QUE FUNGEN COMO
GARANTÍA DE LOS CRÉDITOS EDUCATIVOS QUE OTORGA EL ICETEX, ASÍ COMO SU CUSTODIA Y ADMINISTRACIÓN POR CUENTA PROPIA Y/O DE TERCEROS Y REGISTRO DE LOS TÍTULOS BAJO EL SISTEMA DE ANOTACIÓN EN CUENTA, DE CONFORMIDAD CON LO REGULADO EN LAS LEYES 27 DE 1990, 527 DE 1999, 964 DE 2005, EL DECRETO 2555 DE 2010, EL REGLAMENTO DE OPERACIONES DE DECEVAL Y DEMÁS NORMAS QUE SE OCUPEN O SE LLEGAREN A OCUPAR DEL TEMA</v>
      </c>
    </row>
    <row r="920" spans="1:6" ht="114.75">
      <c r="A920" s="53" t="s">
        <v>8401</v>
      </c>
      <c r="B920" s="51" t="s">
        <v>8626</v>
      </c>
      <c r="C920" s="53">
        <v>2024</v>
      </c>
      <c r="D920" s="52" t="str">
        <f t="shared" si="33"/>
        <v>IP-919-2024</v>
      </c>
      <c r="E920" s="96" t="s">
        <v>7334</v>
      </c>
      <c r="F920" s="93" t="str">
        <f t="shared" si="34"/>
        <v>CONTRATAR UNA O VARIAS COMPAÑÍAS DE SEGUROS PARA LA ADQUISICIÓN DE LAS PÓLIZAS QUE CONFORMAN EL PROGRAMA DE SEGUROS QUE CUBRA LOS BIENES E INTERESES PATRIMONIALES DEL INSTITUTO COLOMBIANO DE CRÉDITO EDUCATIVO Y ESTUDIOS TÉCNICOS EN EL EXTERIOR "MARIANO OSPINA PÉREZ" - ICETEX Y AQUELLOS POR LOS CUALES SEA O LLEGARE A SER LEGALMENTE RESPONSABLE DENTRO Y FUERA DEL TERRITORIO NACIONAL, Y CUALQUIER OTRA PÓLIZA QUE REQUIERA LA ENTIDAD EN EL DESARROLLO DE SU ACTIVIDAD.</v>
      </c>
    </row>
    <row r="921" spans="1:6" s="85" customFormat="1" ht="51">
      <c r="A921" s="53" t="s">
        <v>8363</v>
      </c>
      <c r="B921" s="51" t="s">
        <v>8627</v>
      </c>
      <c r="C921" s="53">
        <v>2024</v>
      </c>
      <c r="D921" s="52" t="str">
        <f t="shared" si="33"/>
        <v>IS-920-2024</v>
      </c>
      <c r="E921" s="96" t="s">
        <v>7368</v>
      </c>
      <c r="F921" s="93" t="str">
        <f t="shared" si="34"/>
        <v>PRESTAR EL SERVICIO PARA ACCEDER A LOS ARCHIVOS DE RENTA FIJA, NECESARIOS PARA LA VALORACIÓN DE LOS TÍTULOS VALORES QUE TIENE VIGENTES EL ICETEX, MEDIANTE EL ACCESO A TRAVÉS DE LA PÁGINA WEB DEL PROVEEDOR.</v>
      </c>
    </row>
    <row r="922" spans="1:6" ht="102">
      <c r="A922" s="53" t="s">
        <v>7633</v>
      </c>
      <c r="B922" s="51" t="s">
        <v>8628</v>
      </c>
      <c r="C922" s="53">
        <v>2024</v>
      </c>
      <c r="D922" s="52" t="str">
        <f t="shared" si="33"/>
        <v>CD-921-2024</v>
      </c>
      <c r="E922" s="96" t="s">
        <v>8629</v>
      </c>
      <c r="F922" s="93" t="str">
        <f t="shared" si="34"/>
        <v>ACUERDO ESTRATÉGICO PARA IMPLEMENTAR LA ESTRATEGIA 2 “TRÁNSITO
EDUCATIVO CON PERTINENCIA EN ZONAS RURALES” DERIVADA DEL FONDO ADMINISTRADO POR EL ICETEX, PARA PROMOVER ESTRATEGIAS QUE PERMITAN LA CALIDAD, EL ACCESO, EL REINTEGRO, Y LA PERMANENCIA AL SISTEMA EDUCATIVO DE LAS Y LOS JÓVENES DEL PAÍS Y FAVOREZCAN EL TRÁNSITO A LA EDUCACIÓN POSMEDIA Y SUPERIOR.</v>
      </c>
    </row>
    <row r="923" spans="1:6" ht="25.5">
      <c r="A923" s="53" t="s">
        <v>7633</v>
      </c>
      <c r="B923" s="51" t="s">
        <v>8630</v>
      </c>
      <c r="C923" s="53">
        <v>2024</v>
      </c>
      <c r="D923" s="52" t="str">
        <f t="shared" si="33"/>
        <v>CD-922-2024</v>
      </c>
      <c r="E923" s="96" t="s">
        <v>7284</v>
      </c>
      <c r="F923" s="93" t="str">
        <f t="shared" si="34"/>
        <v>MANTENIMIENTO DE LA LICENCIA DEL SOFTWARE MODELER (PASW) PARA LA OFICINA DE RIESGOS DE ICETEX.</v>
      </c>
    </row>
    <row r="924" spans="1:6" ht="38.25">
      <c r="A924" s="53" t="s">
        <v>7633</v>
      </c>
      <c r="B924" s="51" t="s">
        <v>8631</v>
      </c>
      <c r="C924" s="53">
        <v>2024</v>
      </c>
      <c r="D924" s="52" t="str">
        <f t="shared" si="33"/>
        <v>CD-923-2024</v>
      </c>
      <c r="E924" s="96" t="s">
        <v>7293</v>
      </c>
      <c r="F924" s="93" t="str">
        <f t="shared" si="34"/>
        <v>SERVICIOS DE ACCESO A LA BASE DE DATOS DE LISTAS DE CONTROL ON-LINE PARA CONSULTA, ACTUALIZACIÓN, SOPORTE Y CRUCES BATCH DE LOS CLIENTES DE ICETEX</v>
      </c>
    </row>
    <row r="925" spans="1:6" s="85" customFormat="1" ht="76.5">
      <c r="A925" s="53" t="s">
        <v>7633</v>
      </c>
      <c r="B925" s="51" t="s">
        <v>8632</v>
      </c>
      <c r="C925" s="53">
        <v>2024</v>
      </c>
      <c r="D925" s="52" t="str">
        <f t="shared" si="33"/>
        <v>CD-924-2024</v>
      </c>
      <c r="E925" s="96" t="s">
        <v>8633</v>
      </c>
      <c r="F925" s="93" t="str">
        <f t="shared" si="34"/>
        <v>PRESTACIÓN DE SERVICIOS PROFESIONALES ESPECIALIZADOS PARA SOPORTE Y CONTINUIDAD EN LA IMPLEMENTACIÓN DE LA PLATAFORMA DE ARANDA SERVICE MANAGEMENT SUITE VIGENTE, ASSET MANAGEMENT, DEVICE MANAGEMENT Y LA CMDB, QUE PERMITE APOYAR LA GESTIÓN Y ESTANDARIZACIÓN DE LOS PROCESOS DE TI</v>
      </c>
    </row>
    <row r="926" spans="1:6" ht="114.75">
      <c r="A926" s="53" t="s">
        <v>8401</v>
      </c>
      <c r="B926" s="51" t="s">
        <v>8634</v>
      </c>
      <c r="C926" s="53">
        <v>2024</v>
      </c>
      <c r="D926" s="52" t="str">
        <f t="shared" si="33"/>
        <v>IP-925-2024</v>
      </c>
      <c r="E926" s="96" t="s">
        <v>7486</v>
      </c>
      <c r="F926" s="93" t="str">
        <f t="shared" si="34"/>
        <v>CONTRATAR EL SERVICIO ESPECIALIZADO DE VIGILANCIA Y SEGURIDAD PRIVADA ARMADA, PARA LA PROTECCIÓN Y CUSTODIA DE LOS BIENES MUEBLES E INMUEBLES DE PROPIEDAD DE ICETEX Y DE AQUELLOS POR LOS CUALES SEA O LLEGARE A SER LEGALMENTE RESPONSABLE Y DE LAS PERSONAS QUE LABORAN EN LA PLANTA O POR CONTRATO A NIVEL NACIONAL Y ADMINISTRACIÓN DEL CENTRO DE MONITOREO, INCLUIDO EL MANTENIMIENTO PREVENTIVO Y CORRECTIVO DEL SISTEMA INTEGRADO DE SEGURIDAD DE LAS SEDES DE ICETEX</v>
      </c>
    </row>
    <row r="927" spans="1:6" ht="165.75">
      <c r="A927" s="53" t="s">
        <v>7691</v>
      </c>
      <c r="B927" s="51" t="s">
        <v>8635</v>
      </c>
      <c r="C927" s="53">
        <v>2024</v>
      </c>
      <c r="D927" s="52" t="str">
        <f t="shared" si="33"/>
        <v>IMC-926-2024</v>
      </c>
      <c r="E927" s="96" t="s">
        <v>8636</v>
      </c>
      <c r="F927" s="93" t="str">
        <f t="shared" si="34"/>
        <v>EMITIR UNA OPINIÓN PROFESIONAL (O UNA ASEVERACIÓN ACERCA DE LA IMPOSIBILIDAD DE EXPRESAR LA MISMA SI ELLO FUERA NECESARIO) SOBRE SI LOS ESTADOS FINANCIEROS DE PROPÓSITO ESPECIAL DEL PRÉSTAMO BIRF 8836-CO Y RECURSOS DE CONTRAPARTIDA), HAN SIDO PREPARADOS, EN TODOS SUS ASPECTOS IMPORTANTES, DE CONFORMIDAD CON LOS REQUERIMIENTOS DEL MARCO DE INFORMACIÓN FINANCIERA APLICABLE Y DE ACUERDO CON LOS REQUISITOS DE LOS CONTRATOS DE PRÉSTAMOS CON EL BANCO MUNDIAL Y EL ICETEX; Y EVALUAR Y CONCEPTUAR SOBRE LA EFECTIVIDAD DEL SISTEMA DE CONTROL INTERNO QUE DEBERÁ EFECTUAR CON EL ALCANCE PREVISTO EN LAS NORMAS INTERNACIONALES DE AUDITORÍA PARA LAS VIGENCIAS 2024, 2025 Y EL PERIODO DE GRACIA</v>
      </c>
    </row>
    <row r="928" spans="1:6" ht="38.25">
      <c r="A928" s="53" t="s">
        <v>7633</v>
      </c>
      <c r="B928" s="51" t="s">
        <v>8637</v>
      </c>
      <c r="C928" s="53">
        <v>2024</v>
      </c>
      <c r="D928" s="52" t="str">
        <f t="shared" si="33"/>
        <v>CD-927-2024</v>
      </c>
      <c r="E928" s="96" t="s">
        <v>8638</v>
      </c>
      <c r="F928" s="93" t="str">
        <f t="shared" si="34"/>
        <v>PRESTACIÓN DE SERVICIOS PROFESIONALES ESPECIALIZADOS PARA LA ADMINISTRACIÓN, ACTUALIZACIÓN, DESARROLLO Y SOPORTE TÉCNICO DEL CRM MICROSOFT DYNAMICS DE ICETEX.</v>
      </c>
    </row>
    <row r="929" spans="1:33" ht="25.5">
      <c r="A929" s="53" t="s">
        <v>7691</v>
      </c>
      <c r="B929" s="51" t="s">
        <v>8639</v>
      </c>
      <c r="C929" s="53">
        <v>2024</v>
      </c>
      <c r="D929" s="52" t="str">
        <f t="shared" si="33"/>
        <v>IMC-928-2024</v>
      </c>
      <c r="E929" s="96" t="s">
        <v>8640</v>
      </c>
      <c r="F929" s="93" t="str">
        <f t="shared" si="34"/>
        <v>CONTRATAR LA INSTALACIÓN DEL SISTEMA DE CONTROL, DETECCIÓN Y EXTINCIÓN DE INCENDIOS DE ICETEX</v>
      </c>
    </row>
    <row r="930" spans="1:33" s="151" customFormat="1" ht="51">
      <c r="A930" s="53" t="s">
        <v>7633</v>
      </c>
      <c r="B930" s="51" t="s">
        <v>8641</v>
      </c>
      <c r="C930" s="53">
        <v>2024</v>
      </c>
      <c r="D930" s="52" t="str">
        <f t="shared" si="33"/>
        <v>CD-929-2024</v>
      </c>
      <c r="E930" s="96" t="s">
        <v>8642</v>
      </c>
      <c r="F930" s="93" t="str">
        <f t="shared" si="34"/>
        <v>AUNAR ESFUERZOS PARA LA IMPLEMENTACION DE PROGRMAS QUE PERMITAN A CIUDADANOS COLOMBIANOS, MEDIANTE EL ACCESO A BECAS, REALIZAR ESTUDIOS EN EDUCACION SUPERIOR EN MONROE COLLEGE.</v>
      </c>
    </row>
    <row r="931" spans="1:33" ht="25.5">
      <c r="A931" s="53" t="s">
        <v>7691</v>
      </c>
      <c r="B931" s="51" t="s">
        <v>8643</v>
      </c>
      <c r="C931" s="53">
        <v>2024</v>
      </c>
      <c r="D931" s="52" t="str">
        <f t="shared" si="33"/>
        <v>IMC-930-2024</v>
      </c>
      <c r="E931" s="96" t="s">
        <v>8644</v>
      </c>
      <c r="F931" s="93" t="str">
        <f t="shared" si="34"/>
        <v>SUSCRIPCIONES HERRAMIENTAS TECNOLÓGICAS OFICINA COMERCIAL Y DE MERCADEO</v>
      </c>
    </row>
    <row r="932" spans="1:33" ht="25.5">
      <c r="A932" s="53" t="s">
        <v>7691</v>
      </c>
      <c r="B932" s="51" t="s">
        <v>8645</v>
      </c>
      <c r="C932" s="53">
        <v>2024</v>
      </c>
      <c r="D932" s="52" t="str">
        <f t="shared" si="33"/>
        <v>IMC-931-2024</v>
      </c>
      <c r="E932" s="96" t="s">
        <v>8640</v>
      </c>
      <c r="F932" s="93" t="str">
        <f t="shared" si="34"/>
        <v>CONTRATAR LA INSTALACIÓN DEL SISTEMA DE CONTROL, DETECCIÓN Y EXTINCIÓN DE INCENDIOS DE ICETEX</v>
      </c>
    </row>
    <row r="933" spans="1:33" ht="25.5">
      <c r="A933" s="53" t="s">
        <v>7633</v>
      </c>
      <c r="B933" s="51" t="s">
        <v>8646</v>
      </c>
      <c r="C933" s="53">
        <v>2024</v>
      </c>
      <c r="D933" s="52" t="str">
        <f t="shared" si="33"/>
        <v>CD-932-2024</v>
      </c>
      <c r="E933" s="96" t="s">
        <v>7377</v>
      </c>
      <c r="F933" s="93" t="str">
        <f t="shared" si="34"/>
        <v>SERVICIO DE MANTENIMIENTO A DISTANCIA DEL SISTEMA DE INFORMACIÓN KACTUS-HCM</v>
      </c>
    </row>
    <row r="934" spans="1:33" ht="51">
      <c r="A934" s="53" t="s">
        <v>7691</v>
      </c>
      <c r="B934" s="51" t="s">
        <v>8647</v>
      </c>
      <c r="C934" s="53">
        <v>2024</v>
      </c>
      <c r="D934" s="52" t="str">
        <f t="shared" si="33"/>
        <v>IMC-933-2024</v>
      </c>
      <c r="E934" s="96" t="s">
        <v>8648</v>
      </c>
      <c r="F934" s="93" t="str">
        <f t="shared" si="34"/>
        <v>PRESTACIÓN DE SERVICIOS PARA LA RECEPCIÓN, CONFIGURACIÓN Y ENVÍO DEL RECIBO DE PAGO, COMUNICACIONES Y CAMPAÑAS POR CORREO ELECTRÓNICO U OTROS MEDIOS DIGITALES BAJO LAS POLÍTICAS Y PARÁMETROS FIJADOS POR EL ICETEX</v>
      </c>
    </row>
    <row r="935" spans="1:33" ht="38.25">
      <c r="A935" s="53" t="s">
        <v>7633</v>
      </c>
      <c r="B935" s="51" t="s">
        <v>8649</v>
      </c>
      <c r="C935" s="53">
        <v>2024</v>
      </c>
      <c r="D935" s="52" t="str">
        <f t="shared" si="33"/>
        <v>CD-934-2024</v>
      </c>
      <c r="E935" s="96" t="s">
        <v>7384</v>
      </c>
      <c r="F935" s="93" t="str">
        <f t="shared" si="34"/>
        <v>ARRENDAR UN INMUEBLE EN LA CIUDAD DE ARAUCA, EL CUAL SERÁ EXCLUSIVAMENTE DESTINADO PARA LA OFICINA DEL PUNTO DE ATENCIÓN AL CLIENTE DEL ICETEX</v>
      </c>
    </row>
    <row r="936" spans="1:33" ht="51">
      <c r="A936" s="251" t="s">
        <v>8363</v>
      </c>
      <c r="B936" s="252" t="s">
        <v>8650</v>
      </c>
      <c r="C936" s="251">
        <v>2024</v>
      </c>
      <c r="D936" s="253" t="s">
        <v>7511</v>
      </c>
      <c r="E936" s="114" t="s">
        <v>7515</v>
      </c>
      <c r="F936" s="254" t="str">
        <f t="shared" si="34"/>
        <v>COMPRA DE BONOS DE CARBONO VERIFICADOS COMO MEDIDA DE COMPENSACIÓN DE LA HUELLA DE CARBONO CORPORATIVA, GENERADA POR EL DESARROLLO DE LAS ACTIVIDADES MISIONALES EN LAS SEDES DE BOGOTÁ DURANTE EL AÑO 2022</v>
      </c>
      <c r="G936" s="53"/>
      <c r="H936" s="51"/>
      <c r="I936" s="53"/>
      <c r="J936" s="52"/>
      <c r="K936" s="96"/>
      <c r="L936" s="93"/>
      <c r="M936" s="53"/>
      <c r="N936" s="51"/>
      <c r="O936" s="53"/>
      <c r="P936" s="52"/>
      <c r="Q936" s="96"/>
      <c r="R936" s="93"/>
      <c r="S936" s="53"/>
      <c r="T936" s="51"/>
      <c r="U936" s="53"/>
      <c r="V936" s="52"/>
      <c r="W936" s="96"/>
      <c r="X936" s="93"/>
      <c r="Y936" s="53"/>
      <c r="Z936" s="51"/>
      <c r="AA936" s="53"/>
      <c r="AB936" s="52"/>
      <c r="AC936" s="96"/>
      <c r="AD936" s="93"/>
      <c r="AE936" s="53"/>
      <c r="AF936" s="51"/>
      <c r="AG936" s="53"/>
    </row>
    <row r="937" spans="1:33" ht="38.25">
      <c r="A937" s="53" t="s">
        <v>7691</v>
      </c>
      <c r="B937" s="51" t="s">
        <v>8651</v>
      </c>
      <c r="C937" s="53">
        <v>2024</v>
      </c>
      <c r="D937" s="52" t="str">
        <f t="shared" si="33"/>
        <v>IMC-936-2024</v>
      </c>
      <c r="E937" s="96" t="s">
        <v>7543</v>
      </c>
      <c r="F937" s="93" t="str">
        <f>UPPER(E937)</f>
        <v>RENOVACIÓN DEL LICENCIAMIENTO DE PRODUCTOS WSO2 PARA LOS SERVICIOS DE INTEROPERABILIDAD DE LA PLATAFORMA DE CONTENEDORES Y BUS DE SERVICIOS DEL ICETEX.</v>
      </c>
    </row>
    <row r="938" spans="1:33" ht="63.75">
      <c r="A938" s="53" t="s">
        <v>7633</v>
      </c>
      <c r="B938" s="51" t="s">
        <v>8652</v>
      </c>
      <c r="C938" s="53">
        <v>2024</v>
      </c>
      <c r="D938" s="52" t="str">
        <f t="shared" si="33"/>
        <v>CD-937-2024</v>
      </c>
      <c r="E938" s="96" t="s">
        <v>7399</v>
      </c>
      <c r="F938" s="93" t="str">
        <f>UPPER(E938)</f>
        <v xml:space="preserve">SUSCRIPCIÓN AL SUMINISTRO DE INFORMACIÓN EN ACTUALIZACIÓN NORMATIVA Y EL CUMPLIMIENTO DE OBLIGACIONES TRIBUTARIAS TERRITORIALES, A TRAVÉS DE LA PLATAFORMA SIMPLICA, CON DISPONIBILIDAD PARA LOS USUARIOS REQUERIDOS POR EL ICETEX. </v>
      </c>
    </row>
    <row r="939" spans="1:33" ht="64.5">
      <c r="A939" s="53" t="s">
        <v>8363</v>
      </c>
      <c r="B939" s="51" t="s">
        <v>8653</v>
      </c>
      <c r="C939" s="53">
        <v>2024</v>
      </c>
      <c r="D939" s="249" t="str">
        <f t="shared" si="33"/>
        <v>IS-938-2024</v>
      </c>
      <c r="E939" s="250" t="s">
        <v>8654</v>
      </c>
      <c r="F939" s="93" t="str">
        <f t="shared" si="34"/>
        <v>CONTRATAR LA INSTALACIÓN Y PUESTA EN FUNCIONAMIENTO DEL SISTEMA DE ACCESO Y SEGURIDAD (PUERTA) PARA EL PRIMER PISO Y SEGUNDO PISO DE LA SEDE AGUAS DEL INSTITUTO COLOMBIANO DE CRÉDITO EDUCATIVO Y ESTUDIOS TÉCNICOS EN EL EXTERIOR "MARIANO OSPINA PÉREZ" - ICETEX, UBICADA EN BOGOTÁ.</v>
      </c>
    </row>
    <row r="940" spans="1:33" ht="38.25">
      <c r="A940" s="53" t="s">
        <v>7633</v>
      </c>
      <c r="B940" s="51" t="s">
        <v>8655</v>
      </c>
      <c r="C940" s="53">
        <v>2024</v>
      </c>
      <c r="D940" s="52" t="str">
        <f t="shared" si="33"/>
        <v>CD-939-2024</v>
      </c>
      <c r="E940" s="96" t="s">
        <v>7410</v>
      </c>
      <c r="F940" s="93" t="str">
        <f t="shared" si="34"/>
        <v>CONTRATAR EL ARRENDAMIENTO DE UN INMUEBLE COMPLETAMENTE ADECUADO PARA EL PUNTO DE ATENCIÓN AL USUARIO DE ICETEX EN LA CIUDAD DE CALI</v>
      </c>
    </row>
    <row r="941" spans="1:33" ht="38.25">
      <c r="A941" s="53" t="s">
        <v>7633</v>
      </c>
      <c r="B941" s="51" t="s">
        <v>8656</v>
      </c>
      <c r="C941" s="53">
        <v>2024</v>
      </c>
      <c r="D941" s="52" t="str">
        <f t="shared" si="33"/>
        <v>CD-940-2024</v>
      </c>
      <c r="E941" s="96" t="s">
        <v>7417</v>
      </c>
      <c r="F941" s="93" t="str">
        <f t="shared" si="34"/>
        <v>CONTRATAR EL ARRENDAMIENTO DE UN INMUEBLE PARA EL FUNCIONAMIENTO DE LAS OFICINAS DE LA ASOCIACIÓN PANAMERICANA DE INSTITUCIONES DE CRÉDITO EDUCATIVO – APICE.</v>
      </c>
    </row>
    <row r="942" spans="1:33" s="85" customFormat="1" ht="51">
      <c r="A942" s="53" t="s">
        <v>7633</v>
      </c>
      <c r="B942" s="51" t="s">
        <v>8657</v>
      </c>
      <c r="C942" s="53">
        <v>2024</v>
      </c>
      <c r="D942" s="52" t="str">
        <f t="shared" si="33"/>
        <v>CD-941-2024</v>
      </c>
      <c r="E942" s="96" t="s">
        <v>7438</v>
      </c>
      <c r="F942" s="93" t="str">
        <f t="shared" si="34"/>
        <v>PRESTAR SERVICIOS PROFESIONALES ESPECIALIZADOS PARA APOYAR Y BRINDAR ASESORÍA JURÍDICA EN EL DESARROLLO, SEGUIMIENTO Y REVISIÓN DE LOS ASUNTOS DE COMPETENCIA DE LA PRESIDENCIA DEL ICETEX.</v>
      </c>
      <c r="G942"/>
      <c r="H942"/>
      <c r="I942"/>
      <c r="J942"/>
      <c r="K942"/>
      <c r="L942"/>
      <c r="M942"/>
      <c r="N942"/>
      <c r="O942"/>
      <c r="P942"/>
      <c r="Q942"/>
      <c r="R942"/>
      <c r="S942"/>
      <c r="T942"/>
      <c r="U942"/>
      <c r="V942"/>
      <c r="W942"/>
      <c r="X942"/>
      <c r="Y942"/>
      <c r="Z942"/>
      <c r="AA942"/>
      <c r="AB942"/>
      <c r="AC942"/>
      <c r="AD942"/>
      <c r="AE942"/>
      <c r="AF942"/>
      <c r="AG942"/>
    </row>
    <row r="943" spans="1:33" ht="38.25">
      <c r="A943" s="121" t="s">
        <v>7633</v>
      </c>
      <c r="B943" s="122" t="s">
        <v>8658</v>
      </c>
      <c r="C943" s="121">
        <v>2024</v>
      </c>
      <c r="D943" s="108" t="str">
        <f t="shared" si="33"/>
        <v>CD-942-2024</v>
      </c>
      <c r="E943" s="112" t="s">
        <v>7446</v>
      </c>
      <c r="F943" s="93" t="str">
        <f t="shared" si="34"/>
        <v>AUNAR ESFUERZOS PARA EL OTORGAMIENTO DE BECAS TOTALES Y/O PARCIALES EN PROGRAMAS ACADÉMICOS QUE PERMITAN A CIUDADANOS COLOMBIANOS, REALIZAR ESTUDIOS EN EL ITESM</v>
      </c>
    </row>
    <row r="944" spans="1:33" ht="38.25">
      <c r="A944" s="53" t="s">
        <v>7633</v>
      </c>
      <c r="B944" s="51" t="s">
        <v>8659</v>
      </c>
      <c r="C944" s="53">
        <v>2024</v>
      </c>
      <c r="D944" s="52" t="str">
        <f t="shared" si="33"/>
        <v>CD-943-2024</v>
      </c>
      <c r="E944" s="96" t="s">
        <v>7452</v>
      </c>
      <c r="F944" s="93" t="str">
        <f t="shared" si="34"/>
        <v>RENOVAR EL SERVICIO DE SOPORTE AL SISTEMA DE GRABADOR DE LLAMADAS PARA EL SEGUIMIENTO A LAS TRANSACCIONES FINANCIERAS DEL ICETEX.</v>
      </c>
    </row>
    <row r="945" spans="1:33" s="151" customFormat="1" ht="51">
      <c r="A945" s="53" t="s">
        <v>7633</v>
      </c>
      <c r="B945" s="51" t="s">
        <v>8660</v>
      </c>
      <c r="C945" s="53">
        <v>2024</v>
      </c>
      <c r="D945" s="52" t="str">
        <f t="shared" si="33"/>
        <v>CD-944-2024</v>
      </c>
      <c r="E945" s="96" t="s">
        <v>7458</v>
      </c>
      <c r="F945" s="93" t="str">
        <f t="shared" si="34"/>
        <v>PRESTAR SERVICIOS PROFESIONALES ESPECIALIZADOS PARA BRINDAR ASESORÍA A LA PRESIDENCIA DEL ICETEX EN LA GESTIÓN Y TRÁMITE DEL RELACIONAMIENTO DE LA ENTIDAD CON DIFERENTES ACTORES ESTRATÉGICOS.</v>
      </c>
    </row>
    <row r="946" spans="1:33" s="85" customFormat="1" ht="63.75">
      <c r="A946" s="121" t="s">
        <v>7633</v>
      </c>
      <c r="B946" s="122" t="s">
        <v>8661</v>
      </c>
      <c r="C946" s="121">
        <v>2024</v>
      </c>
      <c r="D946" s="108" t="str">
        <f t="shared" si="33"/>
        <v>CD-945-2024</v>
      </c>
      <c r="E946" s="112" t="s">
        <v>7465</v>
      </c>
      <c r="F946" s="123" t="str">
        <f t="shared" si="34"/>
        <v>PRESTAR SERVICIOS PROFESIONALES PARA BRINDAR APOYO EN EL SEGUIMIENTO INTEGRAL Y ATENCIÓN ADMINISTRATIVA DE LAS DIFERENTES ACTIVIDADES A CARGO DE LA PRESIDENCIA DEL ICETEX CON EL FIN DE FORTALECER EL CUMPLIMIENTO DE LA EJECUCIÓN DEL PLAN ESTRATÉGICO DE LA ENTIDAD</v>
      </c>
    </row>
    <row r="947" spans="1:33" ht="38.25">
      <c r="A947" s="53" t="s">
        <v>7633</v>
      </c>
      <c r="B947" s="51" t="s">
        <v>8662</v>
      </c>
      <c r="C947" s="53">
        <v>2024</v>
      </c>
      <c r="D947" s="52" t="str">
        <f t="shared" si="33"/>
        <v>CD-946-2024</v>
      </c>
      <c r="E947" s="96" t="s">
        <v>8663</v>
      </c>
      <c r="F947" s="93" t="str">
        <f t="shared" si="34"/>
        <v>RENOVACIÓN DEL SOPORTE Y LICENCIAMIENTO DE LA PLATAFORMA DE TRANSFERENCIA SEGURA DE ARCHIVOS ENTRE ENTIDADES GOANYWHERE DEL ICETEX.</v>
      </c>
    </row>
    <row r="948" spans="1:33">
      <c r="A948" s="53" t="s">
        <v>7633</v>
      </c>
      <c r="B948" s="51" t="s">
        <v>8664</v>
      </c>
      <c r="C948" s="53">
        <v>2024</v>
      </c>
      <c r="D948" s="52" t="str">
        <f t="shared" si="33"/>
        <v>CD-947-2024</v>
      </c>
      <c r="E948" t="s">
        <v>7473</v>
      </c>
      <c r="F948" s="93" t="str">
        <f t="shared" si="34"/>
        <v>AUNAR ESFUERZOS PARA LA IMPLEMENTACIÓN DE PROGRAMAS QUE PERMITAN A CIUDADANOS COLOMBIANOS, MEDIANTE EL ACCESO A BECAS Y AYUDAS FINANCIERAS, REALIZAR ESTUDIOS EN EDUCACIÓN SUPERIOR EN CESTE, ESCUELA INTERNACIONAL DE NEGOCIOS.</v>
      </c>
    </row>
    <row r="949" spans="1:33" ht="38.25">
      <c r="A949" s="53" t="s">
        <v>7633</v>
      </c>
      <c r="B949" s="51" t="s">
        <v>8665</v>
      </c>
      <c r="C949" s="53">
        <v>2024</v>
      </c>
      <c r="D949" s="52" t="str">
        <f t="shared" si="33"/>
        <v>CD-948-2024</v>
      </c>
      <c r="E949" s="96" t="s">
        <v>7495</v>
      </c>
      <c r="F949" s="93" t="str">
        <f t="shared" si="34"/>
        <v>RENOVACIÓN DE LAS LICENCIAS DE SUSCRIPCIÓN ANUAL POR USUARIO PARA USO DEL GESTOR DOCUMENTAL SGDEA - CONTROLDOC</v>
      </c>
    </row>
    <row r="950" spans="1:33">
      <c r="A950" s="53" t="s">
        <v>7633</v>
      </c>
      <c r="B950" s="51" t="s">
        <v>8666</v>
      </c>
      <c r="C950" s="53">
        <v>2024</v>
      </c>
      <c r="D950" s="52" t="str">
        <f t="shared" si="33"/>
        <v>CD-949-2024</v>
      </c>
      <c r="E950" t="s">
        <v>7276</v>
      </c>
      <c r="F950" s="93" t="str">
        <f t="shared" si="34"/>
        <v>ACUERDO ESTRATÉGICO PARA IMPLEMENTAR LA ESTRATEGIA 2 “TRÁNSITO EDUCATIVO CON PERTINENCIA EN ZONAS RURALES” DERIVADA DEL FONDO ADMINISTRADO POR EL ICETEX, PARA PROMOVER ESTRATEGIAS QUE PERMITAN LA CALIDAD, EL ACCESO, EL REINTEGRO, Y LA PERMANENCIA AL SISTEMA EDUCATIVO DE LAS Y LOS JÓVENES DEL PAÍS Y FAVOREZCAN EL TRÁNSITO A LA EDUCACIÓN POSMEDIA Y SUPERIOR.</v>
      </c>
    </row>
    <row r="951" spans="1:33" ht="38.25">
      <c r="A951" s="53" t="s">
        <v>7633</v>
      </c>
      <c r="B951" s="51" t="s">
        <v>8667</v>
      </c>
      <c r="C951" s="53">
        <v>2024</v>
      </c>
      <c r="D951" s="52" t="str">
        <f t="shared" si="33"/>
        <v>CD-950-2024</v>
      </c>
      <c r="E951" s="96" t="s">
        <v>7506</v>
      </c>
      <c r="F951" s="93" t="str">
        <f t="shared" si="34"/>
        <v>CONTRATAR EL ARRENDAMIENTO DE UN INMUEBLE COMPLETAMENTE ADECUADO PARA EL PUNTO DE ATENCIÓN AL USUARIO DE ICETEX EN LA CIUDAD DE POPAYÁN</v>
      </c>
    </row>
    <row r="952" spans="1:33" ht="38.25">
      <c r="A952" s="53" t="s">
        <v>7633</v>
      </c>
      <c r="B952" s="51" t="s">
        <v>8668</v>
      </c>
      <c r="C952" s="53">
        <v>2024</v>
      </c>
      <c r="D952" s="52" t="str">
        <f t="shared" si="33"/>
        <v>CD-951-2024</v>
      </c>
      <c r="E952" s="96" t="s">
        <v>7521</v>
      </c>
      <c r="F952" s="93" t="str">
        <f t="shared" si="34"/>
        <v>CONTRATAR EL ARRENDAMIENTO DE UN INMUEBLE COMPLETAMENTE ADECUADO PARA EL PUNTO DE ATENCIÓN AL USUARIO DE ICETEX EN LETICIA</v>
      </c>
    </row>
    <row r="953" spans="1:33" ht="38.25">
      <c r="A953" s="53" t="s">
        <v>7633</v>
      </c>
      <c r="B953" s="51" t="s">
        <v>8669</v>
      </c>
      <c r="C953" s="53">
        <v>2024</v>
      </c>
      <c r="D953" s="52" t="str">
        <f t="shared" si="33"/>
        <v>CD-952-2024</v>
      </c>
      <c r="E953" s="96" t="s">
        <v>7529</v>
      </c>
      <c r="F953" s="93" t="str">
        <f t="shared" si="34"/>
        <v>ADQUISICIÓN DE CERTIFICADOS PARA LAS FIRMAS DIGITALES Y LOS COMPONENTES TECNOLÓGICOS NECESARIOS PARA LA OPERACIÓN DEL PROCESO DE FIRMADO DIGITAL EN EL ICETEX</v>
      </c>
    </row>
    <row r="954" spans="1:33" ht="38.25">
      <c r="A954" s="53" t="s">
        <v>7633</v>
      </c>
      <c r="B954" s="51" t="s">
        <v>8670</v>
      </c>
      <c r="C954" s="53">
        <v>2024</v>
      </c>
      <c r="D954" s="52" t="str">
        <f t="shared" si="33"/>
        <v>CD-953-2024</v>
      </c>
      <c r="E954" s="96" t="s">
        <v>7536</v>
      </c>
      <c r="F954" s="93" t="str">
        <f t="shared" si="34"/>
        <v>CONTRATAR EL ARRENDAMIENTO DE UN INMUEBLE COMPLETAMENTE ADECUADO PARA EL PUNTO DE ATENCIÓN AL USUARIO DE ICETEX EN LA CIUDAD DE SAN ANDRÉS</v>
      </c>
    </row>
    <row r="955" spans="1:33" ht="51">
      <c r="A955" s="53" t="s">
        <v>7633</v>
      </c>
      <c r="B955" s="51" t="s">
        <v>8671</v>
      </c>
      <c r="C955" s="53">
        <v>2024</v>
      </c>
      <c r="D955" s="52" t="str">
        <f t="shared" si="33"/>
        <v>CD-954-2024</v>
      </c>
      <c r="E955" s="96" t="s">
        <v>7567</v>
      </c>
      <c r="F955" s="93" t="str">
        <f t="shared" si="34"/>
        <v>ARRENDAR UN INMUEBLE EN LA CIUDAD DE BUENAVENTURA, EL CUAL SERÁ EXCLUSIVAMENTE DESTINADO PARA LA OFICINA DEL PUNTO DE ATENCIÓN AL CLIENTE DE ICETEX EN BUENAVENTURA, VALLE DEL CAUCA.</v>
      </c>
      <c r="G955" s="53"/>
      <c r="H955" s="51"/>
      <c r="I955" s="53"/>
      <c r="J955" s="52"/>
      <c r="K955" s="96"/>
      <c r="L955" s="93"/>
      <c r="M955" s="53"/>
      <c r="N955" s="51"/>
      <c r="O955" s="53"/>
      <c r="P955" s="52"/>
      <c r="Q955" s="96"/>
      <c r="R955" s="93"/>
      <c r="S955" s="53"/>
      <c r="T955" s="51"/>
      <c r="U955" s="53"/>
      <c r="V955" s="52"/>
      <c r="W955" s="96"/>
      <c r="X955" s="93"/>
      <c r="Y955" s="53"/>
      <c r="Z955" s="51"/>
      <c r="AA955" s="53"/>
      <c r="AB955" s="52"/>
      <c r="AC955" s="96"/>
      <c r="AD955" s="93"/>
      <c r="AE955" s="53"/>
      <c r="AF955" s="51"/>
      <c r="AG955" s="53"/>
    </row>
    <row r="956" spans="1:33" ht="38.25">
      <c r="A956" s="53" t="s">
        <v>7633</v>
      </c>
      <c r="B956" s="51" t="s">
        <v>8672</v>
      </c>
      <c r="C956" s="53">
        <v>2024</v>
      </c>
      <c r="D956" s="52" t="str">
        <f t="shared" si="33"/>
        <v>CD-955-2024</v>
      </c>
      <c r="E956" s="96" t="s">
        <v>7579</v>
      </c>
      <c r="F956" s="93" t="str">
        <f>UPPER(E956)</f>
        <v>CONTRATAR EL ARRENDAMIENTO DE LA OFICINA CON PARQUEADEROS PARA EL FUNCIONAMIENTO DE LA SEDE ALTERNA DE ICETEX</v>
      </c>
      <c r="G956" s="53"/>
      <c r="H956" s="51"/>
      <c r="I956" s="53"/>
      <c r="J956" s="52"/>
      <c r="K956" s="96"/>
      <c r="L956" s="93"/>
      <c r="M956" s="53"/>
      <c r="N956" s="51"/>
      <c r="O956" s="53"/>
      <c r="P956" s="52"/>
      <c r="Q956" s="96"/>
      <c r="R956" s="93"/>
      <c r="S956" s="53"/>
      <c r="T956" s="51"/>
      <c r="U956" s="53"/>
      <c r="V956" s="52"/>
      <c r="W956" s="96"/>
      <c r="X956" s="93"/>
      <c r="Y956" s="53"/>
      <c r="Z956" s="51"/>
      <c r="AA956" s="53"/>
      <c r="AB956" s="52"/>
      <c r="AC956" s="96"/>
      <c r="AD956" s="93"/>
      <c r="AE956" s="53"/>
      <c r="AF956" s="51"/>
      <c r="AG956" s="53"/>
    </row>
    <row r="957" spans="1:33" s="85" customFormat="1" ht="38.25">
      <c r="A957" s="53" t="s">
        <v>7633</v>
      </c>
      <c r="B957" s="51" t="s">
        <v>8673</v>
      </c>
      <c r="C957" s="53">
        <v>2024</v>
      </c>
      <c r="D957" s="52" t="str">
        <f t="shared" si="33"/>
        <v>CD-956-2024</v>
      </c>
      <c r="E957" s="96" t="s">
        <v>7587</v>
      </c>
      <c r="F957" s="93" t="str">
        <f>UPPER(E957)</f>
        <v>CONTRATAR EL ARRENDAMIENTO DE UN INMUEBLE COMPLETAMENTE ADECUADO PARA EL PUNTO DE ATENCIÓN AL USUARIO DE ICETEX EN QUIBDÓ</v>
      </c>
      <c r="G957" s="53"/>
      <c r="H957" s="51"/>
      <c r="I957" s="53"/>
      <c r="J957" s="52"/>
      <c r="K957" s="96"/>
      <c r="L957" s="93"/>
      <c r="M957" s="53"/>
      <c r="N957" s="51"/>
      <c r="O957" s="53"/>
      <c r="P957" s="52"/>
      <c r="Q957" s="96"/>
      <c r="R957" s="93"/>
      <c r="S957" s="53"/>
      <c r="T957" s="51"/>
      <c r="U957" s="53"/>
      <c r="V957" s="52"/>
      <c r="W957" s="96"/>
      <c r="X957" s="93"/>
      <c r="Y957" s="53"/>
      <c r="Z957" s="51"/>
      <c r="AA957" s="53"/>
      <c r="AB957" s="52"/>
      <c r="AC957" s="96"/>
      <c r="AD957" s="93"/>
      <c r="AE957" s="53"/>
      <c r="AF957" s="51"/>
      <c r="AG957" s="53"/>
    </row>
    <row r="958" spans="1:33" s="85" customFormat="1" ht="38.25">
      <c r="A958" s="53" t="s">
        <v>7633</v>
      </c>
      <c r="B958" s="51" t="s">
        <v>8674</v>
      </c>
      <c r="C958" s="53">
        <v>2024</v>
      </c>
      <c r="D958" s="52" t="str">
        <f t="shared" si="33"/>
        <v>CD-957-2024</v>
      </c>
      <c r="E958" s="96" t="s">
        <v>7596</v>
      </c>
      <c r="F958" s="93" t="str">
        <f>UPPER(E958)</f>
        <v>CONTRATAR EL ARRENDAMIENTO DE UN INMUEBLE COMPLETAMENTE ADECUADO PARA EL PUNTO DE ATENCIÓN AL USUARIO DE ICETEX EN LA CIUDAD DE RIOHACHA</v>
      </c>
      <c r="G958" s="53"/>
      <c r="H958" s="51"/>
      <c r="I958" s="53"/>
      <c r="J958" s="52"/>
      <c r="K958" s="96"/>
      <c r="L958" s="93"/>
      <c r="M958" s="53"/>
      <c r="N958" s="51"/>
      <c r="O958" s="53"/>
      <c r="P958" s="52"/>
      <c r="Q958" s="96"/>
      <c r="R958" s="93"/>
      <c r="S958" s="53"/>
      <c r="T958" s="51"/>
      <c r="U958" s="53"/>
      <c r="V958" s="52"/>
      <c r="W958" s="96"/>
      <c r="X958" s="93"/>
      <c r="Y958" s="53"/>
      <c r="Z958" s="51"/>
      <c r="AA958" s="53"/>
      <c r="AB958" s="52"/>
      <c r="AC958" s="96"/>
      <c r="AD958" s="93"/>
      <c r="AE958" s="53"/>
      <c r="AF958" s="51"/>
      <c r="AG958" s="53"/>
    </row>
    <row r="959" spans="1:33">
      <c r="A959" s="53" t="s">
        <v>7633</v>
      </c>
      <c r="B959" s="51" t="s">
        <v>8675</v>
      </c>
      <c r="C959" s="53">
        <v>2024</v>
      </c>
      <c r="D959" s="52" t="str">
        <f t="shared" si="33"/>
        <v>CD-958-2024</v>
      </c>
      <c r="E959" s="96" t="s">
        <v>8676</v>
      </c>
      <c r="F959" s="93" t="str">
        <f t="shared" si="34"/>
        <v>INPEC</v>
      </c>
    </row>
    <row r="960" spans="1:33">
      <c r="A960" s="53"/>
      <c r="B960" s="51" t="s">
        <v>8677</v>
      </c>
      <c r="C960" s="53">
        <v>2024</v>
      </c>
      <c r="D960" s="52" t="str">
        <f t="shared" si="33"/>
        <v>-959-2024</v>
      </c>
      <c r="E960" s="96"/>
      <c r="F960" s="93" t="str">
        <f t="shared" si="34"/>
        <v/>
      </c>
    </row>
    <row r="961" spans="1:6">
      <c r="A961" s="53"/>
      <c r="B961" s="51" t="s">
        <v>8678</v>
      </c>
      <c r="C961" s="53">
        <v>2024</v>
      </c>
      <c r="D961" s="52" t="str">
        <f t="shared" si="33"/>
        <v>-960-2024</v>
      </c>
      <c r="E961" s="96"/>
      <c r="F961" s="93" t="str">
        <f t="shared" si="34"/>
        <v/>
      </c>
    </row>
    <row r="962" spans="1:6">
      <c r="A962" s="53"/>
      <c r="B962" s="51" t="s">
        <v>8679</v>
      </c>
      <c r="C962" s="53">
        <v>2024</v>
      </c>
      <c r="D962" s="52" t="str">
        <f t="shared" ref="D962:D999" si="35">CONCATENATE(A962,"-",B962,"-",C962)</f>
        <v>-961-2024</v>
      </c>
      <c r="E962" s="96"/>
      <c r="F962" s="93" t="str">
        <f t="shared" ref="F962:F1000" si="36">UPPER(E962)</f>
        <v/>
      </c>
    </row>
    <row r="963" spans="1:6">
      <c r="A963" s="53"/>
      <c r="B963" s="51" t="s">
        <v>8680</v>
      </c>
      <c r="C963" s="53">
        <v>2024</v>
      </c>
      <c r="D963" s="52" t="str">
        <f t="shared" si="35"/>
        <v>-962-2024</v>
      </c>
      <c r="E963" s="96"/>
      <c r="F963" s="93" t="str">
        <f t="shared" si="36"/>
        <v/>
      </c>
    </row>
    <row r="964" spans="1:6">
      <c r="A964" s="53"/>
      <c r="B964" s="51" t="s">
        <v>8681</v>
      </c>
      <c r="C964" s="53">
        <v>2024</v>
      </c>
      <c r="D964" s="52" t="str">
        <f t="shared" si="35"/>
        <v>-963-2024</v>
      </c>
      <c r="E964" s="96"/>
      <c r="F964" s="93" t="str">
        <f t="shared" si="36"/>
        <v/>
      </c>
    </row>
    <row r="965" spans="1:6">
      <c r="A965" s="53"/>
      <c r="B965" s="51" t="s">
        <v>8682</v>
      </c>
      <c r="C965" s="53">
        <v>2024</v>
      </c>
      <c r="D965" s="52" t="str">
        <f t="shared" si="35"/>
        <v>-964-2024</v>
      </c>
      <c r="E965" s="96"/>
      <c r="F965" s="93" t="str">
        <f t="shared" si="36"/>
        <v/>
      </c>
    </row>
    <row r="966" spans="1:6">
      <c r="A966" s="53"/>
      <c r="B966" s="51" t="s">
        <v>8683</v>
      </c>
      <c r="C966" s="53">
        <v>2024</v>
      </c>
      <c r="D966" s="52" t="str">
        <f t="shared" si="35"/>
        <v>-965-2024</v>
      </c>
      <c r="E966" s="96"/>
      <c r="F966" s="93" t="str">
        <f t="shared" si="36"/>
        <v/>
      </c>
    </row>
    <row r="967" spans="1:6">
      <c r="A967" s="53"/>
      <c r="B967" s="51" t="s">
        <v>8684</v>
      </c>
      <c r="C967" s="53">
        <v>2024</v>
      </c>
      <c r="D967" s="52" t="str">
        <f t="shared" si="35"/>
        <v>-966-2024</v>
      </c>
      <c r="E967" s="96"/>
      <c r="F967" s="93" t="str">
        <f t="shared" si="36"/>
        <v/>
      </c>
    </row>
    <row r="968" spans="1:6">
      <c r="A968" s="53"/>
      <c r="B968" s="51" t="s">
        <v>8685</v>
      </c>
      <c r="C968" s="53">
        <v>2024</v>
      </c>
      <c r="D968" s="52" t="str">
        <f t="shared" si="35"/>
        <v>-967-2024</v>
      </c>
      <c r="E968" s="96"/>
      <c r="F968" s="93" t="str">
        <f t="shared" si="36"/>
        <v/>
      </c>
    </row>
    <row r="969" spans="1:6">
      <c r="A969" s="53"/>
      <c r="B969" s="51" t="s">
        <v>8686</v>
      </c>
      <c r="C969" s="53">
        <v>2024</v>
      </c>
      <c r="D969" s="52" t="str">
        <f t="shared" si="35"/>
        <v>-968-2024</v>
      </c>
      <c r="E969" s="96"/>
      <c r="F969" s="93" t="str">
        <f t="shared" si="36"/>
        <v/>
      </c>
    </row>
    <row r="970" spans="1:6">
      <c r="A970" s="53"/>
      <c r="B970" s="51" t="s">
        <v>8687</v>
      </c>
      <c r="C970" s="53">
        <v>2024</v>
      </c>
      <c r="D970" s="52" t="str">
        <f t="shared" si="35"/>
        <v>-969-2024</v>
      </c>
      <c r="E970" s="96"/>
      <c r="F970" s="93" t="str">
        <f t="shared" si="36"/>
        <v/>
      </c>
    </row>
    <row r="971" spans="1:6">
      <c r="A971" s="53"/>
      <c r="B971" s="51" t="s">
        <v>8688</v>
      </c>
      <c r="C971" s="53">
        <v>2024</v>
      </c>
      <c r="D971" s="52" t="str">
        <f t="shared" si="35"/>
        <v>-970-2024</v>
      </c>
      <c r="E971" s="96"/>
      <c r="F971" s="93" t="str">
        <f t="shared" si="36"/>
        <v/>
      </c>
    </row>
    <row r="972" spans="1:6">
      <c r="A972" s="53"/>
      <c r="B972" s="51" t="s">
        <v>8689</v>
      </c>
      <c r="C972" s="53">
        <v>2024</v>
      </c>
      <c r="D972" s="52" t="str">
        <f t="shared" si="35"/>
        <v>-971-2024</v>
      </c>
      <c r="E972" s="96"/>
      <c r="F972" s="93" t="str">
        <f t="shared" si="36"/>
        <v/>
      </c>
    </row>
    <row r="973" spans="1:6">
      <c r="A973" s="53"/>
      <c r="B973" s="51" t="s">
        <v>8690</v>
      </c>
      <c r="C973" s="53">
        <v>2024</v>
      </c>
      <c r="D973" s="52" t="str">
        <f t="shared" si="35"/>
        <v>-972-2024</v>
      </c>
      <c r="E973" s="96"/>
      <c r="F973" s="93" t="str">
        <f t="shared" si="36"/>
        <v/>
      </c>
    </row>
    <row r="974" spans="1:6">
      <c r="A974" s="53"/>
      <c r="B974" s="51" t="s">
        <v>8691</v>
      </c>
      <c r="C974" s="53">
        <v>2024</v>
      </c>
      <c r="D974" s="52" t="str">
        <f t="shared" si="35"/>
        <v>-973-2024</v>
      </c>
      <c r="E974" s="96"/>
      <c r="F974" s="93" t="str">
        <f t="shared" si="36"/>
        <v/>
      </c>
    </row>
    <row r="975" spans="1:6">
      <c r="A975" s="53"/>
      <c r="B975" s="51" t="s">
        <v>8692</v>
      </c>
      <c r="C975" s="53">
        <v>2024</v>
      </c>
      <c r="D975" s="52" t="str">
        <f t="shared" si="35"/>
        <v>-974-2024</v>
      </c>
      <c r="E975" s="96"/>
      <c r="F975" s="93" t="str">
        <f t="shared" si="36"/>
        <v/>
      </c>
    </row>
    <row r="976" spans="1:6">
      <c r="A976" s="53"/>
      <c r="B976" s="51" t="s">
        <v>8693</v>
      </c>
      <c r="C976" s="53">
        <v>2024</v>
      </c>
      <c r="D976" s="52" t="str">
        <f t="shared" si="35"/>
        <v>-975-2024</v>
      </c>
      <c r="E976" s="96"/>
      <c r="F976" s="93" t="str">
        <f t="shared" si="36"/>
        <v/>
      </c>
    </row>
    <row r="977" spans="1:6">
      <c r="A977" s="53"/>
      <c r="B977" s="51" t="s">
        <v>8694</v>
      </c>
      <c r="C977" s="53">
        <v>2024</v>
      </c>
      <c r="D977" s="52" t="str">
        <f t="shared" si="35"/>
        <v>-976-2024</v>
      </c>
      <c r="E977" s="96"/>
      <c r="F977" s="93" t="str">
        <f t="shared" si="36"/>
        <v/>
      </c>
    </row>
    <row r="978" spans="1:6">
      <c r="A978" s="53"/>
      <c r="B978" s="51" t="s">
        <v>8695</v>
      </c>
      <c r="C978" s="53">
        <v>2024</v>
      </c>
      <c r="D978" s="52" t="str">
        <f t="shared" si="35"/>
        <v>-977-2024</v>
      </c>
      <c r="E978" s="96"/>
      <c r="F978" s="93" t="str">
        <f t="shared" si="36"/>
        <v/>
      </c>
    </row>
    <row r="979" spans="1:6">
      <c r="A979" s="53"/>
      <c r="B979" s="51" t="s">
        <v>8696</v>
      </c>
      <c r="C979" s="53">
        <v>2024</v>
      </c>
      <c r="D979" s="52" t="str">
        <f t="shared" si="35"/>
        <v>-978-2024</v>
      </c>
      <c r="E979" s="96"/>
      <c r="F979" s="93" t="str">
        <f t="shared" si="36"/>
        <v/>
      </c>
    </row>
    <row r="980" spans="1:6">
      <c r="A980" s="53"/>
      <c r="B980" s="51" t="s">
        <v>8697</v>
      </c>
      <c r="C980" s="53">
        <v>2024</v>
      </c>
      <c r="D980" s="52" t="str">
        <f t="shared" si="35"/>
        <v>-979-2024</v>
      </c>
      <c r="E980" s="255"/>
      <c r="F980" s="93" t="str">
        <f t="shared" si="36"/>
        <v/>
      </c>
    </row>
    <row r="981" spans="1:6">
      <c r="A981" s="53"/>
      <c r="B981" s="51" t="s">
        <v>8698</v>
      </c>
      <c r="C981" s="53">
        <v>2024</v>
      </c>
      <c r="D981" s="52" t="str">
        <f t="shared" si="35"/>
        <v>-980-2024</v>
      </c>
      <c r="E981" s="96"/>
      <c r="F981" s="93" t="str">
        <f t="shared" si="36"/>
        <v/>
      </c>
    </row>
    <row r="982" spans="1:6">
      <c r="A982" s="53"/>
      <c r="B982" s="51" t="s">
        <v>8699</v>
      </c>
      <c r="C982" s="53">
        <v>2024</v>
      </c>
      <c r="D982" s="52" t="str">
        <f t="shared" si="35"/>
        <v>-981-2024</v>
      </c>
      <c r="E982" s="96"/>
      <c r="F982" s="93" t="str">
        <f t="shared" si="36"/>
        <v/>
      </c>
    </row>
    <row r="983" spans="1:6">
      <c r="A983" s="53"/>
      <c r="B983" s="51" t="s">
        <v>8700</v>
      </c>
      <c r="C983" s="53">
        <v>2024</v>
      </c>
      <c r="D983" s="52" t="str">
        <f t="shared" si="35"/>
        <v>-982-2024</v>
      </c>
      <c r="E983" s="96"/>
      <c r="F983" s="93" t="str">
        <f t="shared" si="36"/>
        <v/>
      </c>
    </row>
    <row r="984" spans="1:6">
      <c r="A984" s="53"/>
      <c r="B984" s="51" t="s">
        <v>8701</v>
      </c>
      <c r="C984" s="53">
        <v>2024</v>
      </c>
      <c r="D984" s="52" t="str">
        <f t="shared" si="35"/>
        <v>-983-2024</v>
      </c>
      <c r="E984" s="96"/>
      <c r="F984" s="93" t="str">
        <f t="shared" si="36"/>
        <v/>
      </c>
    </row>
    <row r="985" spans="1:6">
      <c r="A985" s="53"/>
      <c r="B985" s="51" t="s">
        <v>8702</v>
      </c>
      <c r="C985" s="53">
        <v>2024</v>
      </c>
      <c r="D985" s="52" t="str">
        <f t="shared" si="35"/>
        <v>-984-2024</v>
      </c>
      <c r="E985" s="96"/>
      <c r="F985" s="93" t="str">
        <f t="shared" si="36"/>
        <v/>
      </c>
    </row>
    <row r="986" spans="1:6">
      <c r="A986" s="53"/>
      <c r="B986" s="51" t="s">
        <v>8703</v>
      </c>
      <c r="C986" s="53">
        <v>2024</v>
      </c>
      <c r="D986" s="52" t="str">
        <f t="shared" si="35"/>
        <v>-985-2024</v>
      </c>
      <c r="E986" s="96"/>
      <c r="F986" s="93" t="str">
        <f t="shared" si="36"/>
        <v/>
      </c>
    </row>
    <row r="987" spans="1:6">
      <c r="A987" s="53"/>
      <c r="B987" s="51" t="s">
        <v>8704</v>
      </c>
      <c r="C987" s="53">
        <v>2024</v>
      </c>
      <c r="D987" s="52" t="str">
        <f t="shared" si="35"/>
        <v>-986-2024</v>
      </c>
      <c r="E987" s="96"/>
      <c r="F987" s="93" t="str">
        <f t="shared" si="36"/>
        <v/>
      </c>
    </row>
    <row r="988" spans="1:6">
      <c r="A988" s="53"/>
      <c r="B988" s="51" t="s">
        <v>8705</v>
      </c>
      <c r="C988" s="53">
        <v>2024</v>
      </c>
      <c r="D988" s="52" t="str">
        <f t="shared" si="35"/>
        <v>-987-2024</v>
      </c>
      <c r="E988" s="96"/>
      <c r="F988" s="93" t="str">
        <f t="shared" si="36"/>
        <v/>
      </c>
    </row>
    <row r="989" spans="1:6">
      <c r="A989" s="53"/>
      <c r="B989" s="51" t="s">
        <v>8706</v>
      </c>
      <c r="C989" s="53">
        <v>2024</v>
      </c>
      <c r="D989" s="52" t="str">
        <f t="shared" si="35"/>
        <v>-988-2024</v>
      </c>
      <c r="E989" s="96"/>
      <c r="F989" s="93" t="str">
        <f t="shared" si="36"/>
        <v/>
      </c>
    </row>
    <row r="990" spans="1:6">
      <c r="A990" s="53"/>
      <c r="B990" s="51" t="s">
        <v>8707</v>
      </c>
      <c r="C990" s="53">
        <v>2024</v>
      </c>
      <c r="D990" s="52" t="str">
        <f t="shared" si="35"/>
        <v>-989-2024</v>
      </c>
      <c r="E990" s="96"/>
      <c r="F990" s="93" t="str">
        <f t="shared" si="36"/>
        <v/>
      </c>
    </row>
    <row r="991" spans="1:6">
      <c r="A991" s="53"/>
      <c r="B991" s="51" t="s">
        <v>8708</v>
      </c>
      <c r="C991" s="53">
        <v>2024</v>
      </c>
      <c r="D991" s="52" t="str">
        <f t="shared" si="35"/>
        <v>-990-2024</v>
      </c>
      <c r="E991" s="96"/>
      <c r="F991" s="93" t="str">
        <f t="shared" si="36"/>
        <v/>
      </c>
    </row>
    <row r="992" spans="1:6">
      <c r="A992" s="53"/>
      <c r="B992" s="51" t="s">
        <v>8709</v>
      </c>
      <c r="C992" s="53">
        <v>2024</v>
      </c>
      <c r="D992" s="52" t="str">
        <f t="shared" si="35"/>
        <v>-991-2024</v>
      </c>
      <c r="E992" s="96"/>
      <c r="F992" s="93" t="str">
        <f t="shared" si="36"/>
        <v/>
      </c>
    </row>
    <row r="993" spans="1:6">
      <c r="A993" s="53"/>
      <c r="B993" s="51" t="s">
        <v>8710</v>
      </c>
      <c r="C993" s="53">
        <v>2024</v>
      </c>
      <c r="D993" s="52" t="str">
        <f t="shared" si="35"/>
        <v>-992-2024</v>
      </c>
      <c r="E993" s="96"/>
      <c r="F993" s="93" t="str">
        <f t="shared" si="36"/>
        <v/>
      </c>
    </row>
    <row r="994" spans="1:6">
      <c r="A994" s="53"/>
      <c r="B994" s="51" t="s">
        <v>8711</v>
      </c>
      <c r="C994" s="53">
        <v>2024</v>
      </c>
      <c r="D994" s="52" t="str">
        <f t="shared" si="35"/>
        <v>-993-2024</v>
      </c>
      <c r="E994" s="96"/>
      <c r="F994" s="93" t="str">
        <f t="shared" si="36"/>
        <v/>
      </c>
    </row>
    <row r="995" spans="1:6">
      <c r="A995" s="53"/>
      <c r="B995" s="51" t="s">
        <v>8712</v>
      </c>
      <c r="C995" s="53">
        <v>2024</v>
      </c>
      <c r="D995" s="52" t="str">
        <f t="shared" si="35"/>
        <v>-994-2024</v>
      </c>
      <c r="E995" s="96"/>
      <c r="F995" s="93" t="str">
        <f t="shared" si="36"/>
        <v/>
      </c>
    </row>
    <row r="996" spans="1:6">
      <c r="A996" s="53"/>
      <c r="B996" s="51" t="s">
        <v>8713</v>
      </c>
      <c r="C996" s="53">
        <v>2024</v>
      </c>
      <c r="D996" s="52" t="str">
        <f t="shared" si="35"/>
        <v>-995-2024</v>
      </c>
      <c r="E996" s="96"/>
      <c r="F996" s="93" t="str">
        <f t="shared" si="36"/>
        <v/>
      </c>
    </row>
    <row r="997" spans="1:6">
      <c r="A997" s="53"/>
      <c r="B997" s="51" t="s">
        <v>8714</v>
      </c>
      <c r="C997" s="53">
        <v>2024</v>
      </c>
      <c r="D997" s="52" t="str">
        <f t="shared" si="35"/>
        <v>-996-2024</v>
      </c>
      <c r="E997" s="96"/>
      <c r="F997" s="93" t="str">
        <f t="shared" si="36"/>
        <v/>
      </c>
    </row>
    <row r="998" spans="1:6">
      <c r="A998" s="53"/>
      <c r="B998" s="51" t="s">
        <v>8715</v>
      </c>
      <c r="C998" s="53">
        <v>2024</v>
      </c>
      <c r="D998" s="52" t="str">
        <f t="shared" si="35"/>
        <v>-997-2024</v>
      </c>
      <c r="E998" s="96"/>
      <c r="F998" s="93" t="str">
        <f t="shared" si="36"/>
        <v/>
      </c>
    </row>
    <row r="999" spans="1:6">
      <c r="A999" s="53"/>
      <c r="B999" s="51" t="s">
        <v>8716</v>
      </c>
      <c r="C999" s="53">
        <v>2024</v>
      </c>
      <c r="D999" s="52" t="str">
        <f t="shared" si="35"/>
        <v>-998-2024</v>
      </c>
      <c r="E999" s="96"/>
      <c r="F999" s="93" t="str">
        <f t="shared" si="36"/>
        <v/>
      </c>
    </row>
    <row r="1000" spans="1:6">
      <c r="F1000" s="93" t="str">
        <f t="shared" si="36"/>
        <v/>
      </c>
    </row>
  </sheetData>
  <autoFilter ref="A1:F1000" xr:uid="{E9A42A43-A88E-4CED-85F6-93862ECB89AB}"/>
  <phoneticPr fontId="18"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5065A46B-2F36-48BC-9380-164152FC8847}">
          <x14:formula1>
            <xm:f>Listas!$AQ$2:$AQ$6</xm:f>
          </x14:formula1>
          <xm:sqref>A2:A52 A82:A98 A100:A603</xm:sqref>
        </x14:dataValidation>
        <x14:dataValidation type="list" allowBlank="1" showInputMessage="1" showErrorMessage="1" xr:uid="{9E73D889-ADA4-4714-BD8F-88C97405828F}">
          <x14:formula1>
            <xm:f>Listas!$AQ$2:$AQ$8</xm:f>
          </x14:formula1>
          <xm:sqref>A604:A675</xm:sqref>
        </x14:dataValidation>
        <x14:dataValidation type="list" allowBlank="1" showInputMessage="1" showErrorMessage="1" xr:uid="{01A7D720-C87A-49AA-9148-5F03FF8C44FF}">
          <x14:formula1>
            <xm:f>Listas!$AQ$2:$AQ$7</xm:f>
          </x14:formula1>
          <xm:sqref>A53:A81</xm:sqref>
        </x14:dataValidation>
        <x14:dataValidation type="list" showInputMessage="1" showErrorMessage="1" xr:uid="{3FD9B948-FCBB-4725-80B0-351BFFC6E6B2}">
          <x14:formula1>
            <xm:f>Listas!$AQ$2:$AQ$7</xm:f>
          </x14:formula1>
          <xm:sqref>A99</xm:sqref>
        </x14:dataValidation>
        <x14:dataValidation type="list" allowBlank="1" showInputMessage="1" showErrorMessage="1" xr:uid="{38E6C7F5-D944-4B51-B0E3-D7C0D8EDC235}">
          <x14:formula1>
            <xm:f>Listas!$AQ$2:$AQ$9</xm:f>
          </x14:formula1>
          <xm:sqref>A676:A1000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45A7-63EA-486D-9D83-E3CA336EDAC5}">
  <dimension ref="A1:CJ178"/>
  <sheetViews>
    <sheetView workbookViewId="0">
      <pane xSplit="1" ySplit="1" topLeftCell="B31" activePane="bottomRight" state="frozen"/>
      <selection pane="bottomRight" activeCell="A33" sqref="A33"/>
      <selection pane="bottomLeft" activeCell="A2" sqref="A2"/>
      <selection pane="topRight" activeCell="B1" sqref="B1"/>
    </sheetView>
  </sheetViews>
  <sheetFormatPr defaultColWidth="11.42578125" defaultRowHeight="15"/>
  <cols>
    <col min="1" max="1" width="15.42578125" customWidth="1"/>
    <col min="2" max="2" width="11.42578125" customWidth="1"/>
    <col min="3" max="3" width="18.140625" customWidth="1"/>
    <col min="4" max="4" width="24.5703125" customWidth="1"/>
    <col min="5" max="5" width="23.85546875" customWidth="1"/>
    <col min="6" max="6" width="24.140625" customWidth="1"/>
    <col min="7" max="7" width="14.28515625" customWidth="1"/>
    <col min="8" max="8" width="27.5703125" customWidth="1"/>
    <col min="9" max="9" width="69.28515625" customWidth="1"/>
    <col min="10" max="10" width="13.7109375" customWidth="1"/>
    <col min="11" max="12" width="11.42578125" customWidth="1"/>
    <col min="13" max="14" width="14.85546875" customWidth="1"/>
    <col min="15" max="17" width="11.42578125" customWidth="1"/>
    <col min="18" max="18" width="18" customWidth="1"/>
    <col min="19" max="19" width="20.7109375" customWidth="1"/>
    <col min="20" max="20" width="19.140625" customWidth="1"/>
    <col min="21" max="21" width="19.7109375" style="72" customWidth="1"/>
    <col min="22" max="22" width="27.42578125" customWidth="1"/>
    <col min="23" max="27" width="21.42578125" customWidth="1"/>
    <col min="28" max="28" width="31.140625" customWidth="1"/>
    <col min="29" max="29" width="32.140625" customWidth="1"/>
    <col min="30" max="31" width="30.140625" customWidth="1"/>
    <col min="33" max="33" width="13.42578125" customWidth="1"/>
    <col min="36" max="36" width="20" customWidth="1"/>
    <col min="37" max="37" width="18" customWidth="1"/>
    <col min="38" max="38" width="16.85546875" customWidth="1"/>
    <col min="39" max="39" width="20" style="1" customWidth="1"/>
  </cols>
  <sheetData>
    <row r="1" spans="1:88" s="88" customFormat="1" ht="67.5">
      <c r="A1" s="3" t="s">
        <v>7</v>
      </c>
      <c r="B1" s="3" t="s">
        <v>8717</v>
      </c>
      <c r="C1" s="3" t="s">
        <v>8</v>
      </c>
      <c r="D1" s="3" t="s">
        <v>10</v>
      </c>
      <c r="E1" s="3" t="s">
        <v>8718</v>
      </c>
      <c r="F1" s="3" t="s">
        <v>8719</v>
      </c>
      <c r="G1" s="3" t="s">
        <v>8720</v>
      </c>
      <c r="H1" s="3" t="s">
        <v>8721</v>
      </c>
      <c r="I1" s="3" t="s">
        <v>17</v>
      </c>
      <c r="J1" s="3" t="s">
        <v>8722</v>
      </c>
      <c r="K1" s="3" t="s">
        <v>8723</v>
      </c>
      <c r="L1" s="3" t="s">
        <v>8724</v>
      </c>
      <c r="M1" s="3" t="s">
        <v>21</v>
      </c>
      <c r="N1" s="3" t="s">
        <v>67</v>
      </c>
      <c r="O1" s="3" t="s">
        <v>8725</v>
      </c>
      <c r="P1" s="3" t="s">
        <v>8726</v>
      </c>
      <c r="Q1" s="3" t="s">
        <v>8727</v>
      </c>
      <c r="R1" s="3" t="s">
        <v>8728</v>
      </c>
      <c r="S1" s="3" t="s">
        <v>8729</v>
      </c>
      <c r="T1" s="3" t="s">
        <v>8730</v>
      </c>
      <c r="U1" s="3" t="s">
        <v>8731</v>
      </c>
      <c r="V1" s="3" t="s">
        <v>8732</v>
      </c>
      <c r="W1" s="3" t="s">
        <v>32</v>
      </c>
      <c r="X1" s="3" t="s">
        <v>33</v>
      </c>
      <c r="Y1" s="3" t="s">
        <v>34</v>
      </c>
      <c r="Z1" s="3" t="s">
        <v>35</v>
      </c>
      <c r="AA1" s="3" t="s">
        <v>36</v>
      </c>
      <c r="AB1" s="3" t="s">
        <v>37</v>
      </c>
      <c r="AC1" s="3" t="s">
        <v>38</v>
      </c>
      <c r="AD1" s="3" t="s">
        <v>8733</v>
      </c>
      <c r="AE1" s="3" t="s">
        <v>47</v>
      </c>
      <c r="AF1" s="3" t="s">
        <v>91</v>
      </c>
      <c r="AG1" s="3" t="s">
        <v>92</v>
      </c>
      <c r="AH1" s="3" t="s">
        <v>93</v>
      </c>
      <c r="AI1" s="3" t="s">
        <v>94</v>
      </c>
      <c r="AJ1" s="3" t="s">
        <v>8734</v>
      </c>
      <c r="AK1" s="3" t="s">
        <v>8735</v>
      </c>
      <c r="AL1" s="3" t="s">
        <v>8736</v>
      </c>
      <c r="AM1" s="3" t="s">
        <v>8737</v>
      </c>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row>
    <row r="2" spans="1:88" ht="30">
      <c r="A2" s="54" t="s">
        <v>8738</v>
      </c>
      <c r="B2" s="17" t="s">
        <v>8739</v>
      </c>
      <c r="C2" s="17" t="s">
        <v>104</v>
      </c>
      <c r="D2" s="17" t="s">
        <v>106</v>
      </c>
      <c r="E2" s="17" t="s">
        <v>1426</v>
      </c>
      <c r="F2" s="17" t="s">
        <v>1427</v>
      </c>
      <c r="G2" s="16" t="s">
        <v>8740</v>
      </c>
      <c r="H2" s="16" t="s">
        <v>8741</v>
      </c>
      <c r="I2" s="16" t="s">
        <v>8742</v>
      </c>
      <c r="J2" s="58">
        <v>45373</v>
      </c>
      <c r="K2" s="58">
        <v>45121</v>
      </c>
      <c r="L2" s="58">
        <v>45126</v>
      </c>
      <c r="M2" s="27">
        <v>45291</v>
      </c>
      <c r="N2" s="58">
        <v>45473</v>
      </c>
      <c r="O2" s="54">
        <f>M2-L2</f>
        <v>165</v>
      </c>
      <c r="P2" s="54">
        <f>N2-L2</f>
        <v>347</v>
      </c>
      <c r="Q2" s="54">
        <v>91</v>
      </c>
      <c r="R2" s="54" t="s">
        <v>8743</v>
      </c>
      <c r="S2" s="57">
        <v>148750000</v>
      </c>
      <c r="T2" s="57">
        <v>0</v>
      </c>
      <c r="U2" s="71" t="s">
        <v>1424</v>
      </c>
      <c r="V2" s="57">
        <v>148750000</v>
      </c>
      <c r="W2" s="17" t="s">
        <v>217</v>
      </c>
      <c r="X2" s="23" t="str">
        <f>IFERROR(VLOOKUP(W2,Listas!$A$1:$C$13,2,FALSE),"")</f>
        <v>EDGAR ANTONIO GÓMEZ ÁLVAREZ</v>
      </c>
      <c r="Y2" s="23">
        <f>IFERROR(VLOOKUP(W2,Listas!$A$1:$C$13,3,FALSE),"")</f>
        <v>2231755</v>
      </c>
      <c r="Z2" s="17" t="s">
        <v>217</v>
      </c>
      <c r="AA2" s="17" t="s">
        <v>265</v>
      </c>
      <c r="AB2" s="23" t="str">
        <f>IFERROR(VLOOKUP(AA2,Listas!$AD$1:$AF$65,2,FALSE),"")</f>
        <v>EDGAR ANTONIO GÓMEZ ÁLVAREZ</v>
      </c>
      <c r="AC2" s="23">
        <f>IFERROR(VLOOKUP(AA2,Listas!$AD$1:$AF$65,3,FALSE),"")</f>
        <v>2231755</v>
      </c>
      <c r="AD2" s="26" t="s">
        <v>3501</v>
      </c>
      <c r="AE2" s="26" t="s">
        <v>2937</v>
      </c>
      <c r="AF2" s="100">
        <f ca="1">IF(TODAY()&gt;N2,1,+(DAYS360(L2,TODAY())/DAYS360(L2,N2)))*100</f>
        <v>100</v>
      </c>
      <c r="AG2" s="100">
        <f ca="1">+IF(AK2&gt;0,DAYS360(L2,AK2)/DAYS360(L2,N2),AF2)</f>
        <v>100</v>
      </c>
      <c r="AH2" s="101">
        <f ca="1">IFERROR((AL2/V2)*100,"")</f>
        <v>237.46397694524495</v>
      </c>
      <c r="AI2" s="101">
        <f>IFERROR((AJ2/V2)*100,"")</f>
        <v>60</v>
      </c>
      <c r="AJ2" s="59">
        <v>89250000</v>
      </c>
      <c r="AK2" s="54"/>
      <c r="AL2" s="54">
        <f ca="1">IFERROR((V2/P2)*(TODAY()-L2),"")</f>
        <v>353227665.70605189</v>
      </c>
      <c r="AM2" s="53"/>
    </row>
    <row r="3" spans="1:88" ht="39.75" customHeight="1">
      <c r="A3" s="54" t="s">
        <v>8744</v>
      </c>
      <c r="B3" s="17" t="s">
        <v>8745</v>
      </c>
      <c r="C3" s="17" t="s">
        <v>104</v>
      </c>
      <c r="D3" s="17" t="s">
        <v>106</v>
      </c>
      <c r="E3" s="17" t="s">
        <v>1426</v>
      </c>
      <c r="F3" s="17" t="s">
        <v>1427</v>
      </c>
      <c r="G3" s="16" t="s">
        <v>8746</v>
      </c>
      <c r="H3" s="16" t="s">
        <v>8747</v>
      </c>
      <c r="I3" s="16" t="s">
        <v>8748</v>
      </c>
      <c r="J3" s="58">
        <v>45366</v>
      </c>
      <c r="K3" s="58">
        <v>44894</v>
      </c>
      <c r="L3" s="58">
        <v>44923</v>
      </c>
      <c r="M3" s="27">
        <v>45366</v>
      </c>
      <c r="N3" s="58">
        <v>45427</v>
      </c>
      <c r="O3" s="54">
        <f t="shared" ref="O3:O8" si="0">M3-L3</f>
        <v>443</v>
      </c>
      <c r="P3" s="54">
        <f t="shared" ref="P3:P6" si="1">N3-L3</f>
        <v>504</v>
      </c>
      <c r="Q3" s="54">
        <v>91</v>
      </c>
      <c r="R3" s="54" t="s">
        <v>8749</v>
      </c>
      <c r="S3" s="57">
        <v>1679473424</v>
      </c>
      <c r="T3" s="57">
        <v>221187706</v>
      </c>
      <c r="U3" s="71" t="s">
        <v>8749</v>
      </c>
      <c r="V3" s="57">
        <f>S3+T3</f>
        <v>1900661130</v>
      </c>
      <c r="W3" s="17" t="s">
        <v>116</v>
      </c>
      <c r="X3" s="23" t="str">
        <f>IFERROR(VLOOKUP(W3,Listas!$A$1:$C$13,2,FALSE),"")</f>
        <v>FREDY CÉSPEDES VILLA</v>
      </c>
      <c r="Y3" s="23">
        <f>IFERROR(VLOOKUP(W3,Listas!$A$1:$C$13,3,FALSE),"")</f>
        <v>93363483</v>
      </c>
      <c r="Z3" s="17" t="s">
        <v>116</v>
      </c>
      <c r="AA3" s="17" t="s">
        <v>659</v>
      </c>
      <c r="AB3" s="23" t="str">
        <f>IFERROR(VLOOKUP(AA3,Listas!$AD$1:$AF$65,2,FALSE),"")</f>
        <v>TATIANA FORERO TORRES</v>
      </c>
      <c r="AC3" s="23">
        <f>IFERROR(VLOOKUP(AA3,Listas!$AD$1:$AF$65,3,FALSE),"")</f>
        <v>1072446921</v>
      </c>
      <c r="AD3" s="26" t="s">
        <v>886</v>
      </c>
      <c r="AE3" s="26" t="s">
        <v>121</v>
      </c>
      <c r="AF3" s="100">
        <f t="shared" ref="AF3" ca="1" si="2">IF(TODAY()&gt;N3,1,+(DAYS360(L3,TODAY())/DAYS360(L3,N3)))*100</f>
        <v>100</v>
      </c>
      <c r="AG3" s="100">
        <f t="shared" ref="AG3:AG11" ca="1" si="3">+IF(AK3&gt;0,DAYS360(L3,AK3)/DAYS360(L3,N3),AF3)</f>
        <v>100</v>
      </c>
      <c r="AH3" s="101">
        <f t="shared" ref="AH3:AH5" ca="1" si="4">IFERROR((AL3/V3)*100,"")</f>
        <v>203.76984126984129</v>
      </c>
      <c r="AI3" s="101" t="str">
        <f t="shared" ref="AI3" si="5">IFERROR((AJ3/V3)*100,"")</f>
        <v/>
      </c>
      <c r="AJ3" s="59" t="s">
        <v>8750</v>
      </c>
      <c r="AK3" s="54"/>
      <c r="AL3" s="54">
        <f ca="1">IFERROR((V3/P3)*(TODAY()-L3),"")</f>
        <v>3872974167.6785717</v>
      </c>
      <c r="AM3" s="53"/>
    </row>
    <row r="4" spans="1:88" ht="39.75" customHeight="1">
      <c r="A4" s="54" t="s">
        <v>8751</v>
      </c>
      <c r="B4" s="17" t="s">
        <v>8752</v>
      </c>
      <c r="C4" s="17" t="s">
        <v>104</v>
      </c>
      <c r="D4" s="17" t="s">
        <v>106</v>
      </c>
      <c r="E4" s="17" t="s">
        <v>1426</v>
      </c>
      <c r="F4" s="17" t="s">
        <v>1427</v>
      </c>
      <c r="G4" s="16" t="s">
        <v>8753</v>
      </c>
      <c r="H4" s="16" t="s">
        <v>8754</v>
      </c>
      <c r="I4" s="16" t="s">
        <v>8755</v>
      </c>
      <c r="J4" s="58">
        <v>45352</v>
      </c>
      <c r="K4" s="58">
        <v>45061</v>
      </c>
      <c r="L4" s="58">
        <v>45108</v>
      </c>
      <c r="M4" s="27">
        <v>46203</v>
      </c>
      <c r="N4" s="58">
        <v>46203</v>
      </c>
      <c r="O4" s="54">
        <f>M4-L4</f>
        <v>1095</v>
      </c>
      <c r="P4" s="54">
        <f>N4-L4</f>
        <v>1095</v>
      </c>
      <c r="Q4" s="54">
        <v>91</v>
      </c>
      <c r="R4" s="54" t="s">
        <v>8756</v>
      </c>
      <c r="S4" s="57">
        <v>25286640397</v>
      </c>
      <c r="T4" s="57">
        <v>151768492</v>
      </c>
      <c r="U4" s="71" t="s">
        <v>8757</v>
      </c>
      <c r="V4" s="57">
        <f>S4+T4</f>
        <v>25438408889</v>
      </c>
      <c r="W4" s="17" t="s">
        <v>116</v>
      </c>
      <c r="X4" s="23" t="str">
        <f>IFERROR(VLOOKUP(W4,Listas!$A$1:$C$13,2,FALSE),"")</f>
        <v>FREDY CÉSPEDES VILLA</v>
      </c>
      <c r="Y4" s="23">
        <f>IFERROR(VLOOKUP(W4,Listas!$A$1:$C$13,3,FALSE),"")</f>
        <v>93363483</v>
      </c>
      <c r="Z4" s="17" t="s">
        <v>406</v>
      </c>
      <c r="AA4" s="17" t="s">
        <v>407</v>
      </c>
      <c r="AB4" s="23" t="str">
        <f>IFERROR(VLOOKUP(AA4,Listas!$AD$1:$AF$65,2,FALSE),"")</f>
        <v>MARÍA VICTORIA CAMARGO CORTÉS</v>
      </c>
      <c r="AC4" s="23">
        <f>IFERROR(VLOOKUP(AA4,Listas!$AD$1:$AF$65,3,FALSE),"")</f>
        <v>52496497</v>
      </c>
      <c r="AD4" s="26" t="s">
        <v>409</v>
      </c>
      <c r="AE4" s="26" t="s">
        <v>121</v>
      </c>
      <c r="AF4" s="100">
        <f ca="1">IF(TODAY()&gt;N4,1,+(DAYS360(L4,TODAY())/DAYS360(L4,N4)))*100</f>
        <v>76.830398517145511</v>
      </c>
      <c r="AG4" s="100">
        <f t="shared" ca="1" si="3"/>
        <v>76.830398517145511</v>
      </c>
      <c r="AH4" s="101">
        <f t="shared" ca="1" si="4"/>
        <v>76.894977168949779</v>
      </c>
      <c r="AI4" s="101">
        <f t="shared" ref="AI4:AI36" si="6">IFERROR((AJ4/V4)*100,"")</f>
        <v>0</v>
      </c>
      <c r="AJ4" s="59"/>
      <c r="AK4" s="54"/>
      <c r="AL4" s="54">
        <f t="shared" ref="AL4:AL6" ca="1" si="7">IFERROR((V4/P4)*(TODAY()-L4),"")</f>
        <v>19560858707.340641</v>
      </c>
      <c r="AM4" s="53"/>
    </row>
    <row r="5" spans="1:88" ht="39.75" customHeight="1">
      <c r="A5" s="54" t="s">
        <v>8751</v>
      </c>
      <c r="B5" s="17" t="s">
        <v>8752</v>
      </c>
      <c r="C5" s="17" t="s">
        <v>104</v>
      </c>
      <c r="D5" s="17" t="s">
        <v>106</v>
      </c>
      <c r="E5" s="17" t="s">
        <v>1426</v>
      </c>
      <c r="F5" s="17" t="s">
        <v>1427</v>
      </c>
      <c r="G5" s="16" t="s">
        <v>8753</v>
      </c>
      <c r="H5" s="16" t="s">
        <v>8754</v>
      </c>
      <c r="I5" s="16" t="s">
        <v>8758</v>
      </c>
      <c r="J5" s="58">
        <v>45370</v>
      </c>
      <c r="K5" s="58">
        <v>45061</v>
      </c>
      <c r="L5" s="58">
        <v>45108</v>
      </c>
      <c r="M5" s="27">
        <v>46203</v>
      </c>
      <c r="N5" s="58">
        <v>46203</v>
      </c>
      <c r="O5" s="54">
        <f t="shared" si="0"/>
        <v>1095</v>
      </c>
      <c r="P5" s="54">
        <f t="shared" si="1"/>
        <v>1095</v>
      </c>
      <c r="Q5" s="54">
        <v>91</v>
      </c>
      <c r="R5" s="54" t="s">
        <v>8759</v>
      </c>
      <c r="S5" s="57">
        <v>25438408889</v>
      </c>
      <c r="T5" s="57">
        <v>1035300000</v>
      </c>
      <c r="U5" s="71" t="s">
        <v>8760</v>
      </c>
      <c r="V5" s="57">
        <f>S5+T5</f>
        <v>26473708889</v>
      </c>
      <c r="W5" s="17" t="s">
        <v>116</v>
      </c>
      <c r="X5" s="23" t="str">
        <f>IFERROR(VLOOKUP(W5,Listas!$A$1:$C$13,2,FALSE),"")</f>
        <v>FREDY CÉSPEDES VILLA</v>
      </c>
      <c r="Y5" s="23">
        <f>IFERROR(VLOOKUP(W5,Listas!$A$1:$C$13,3,FALSE),"")</f>
        <v>93363483</v>
      </c>
      <c r="Z5" s="17" t="s">
        <v>406</v>
      </c>
      <c r="AA5" s="17" t="s">
        <v>407</v>
      </c>
      <c r="AB5" s="23" t="str">
        <f>IFERROR(VLOOKUP(AA5,Listas!$AD$1:$AF$65,2,FALSE),"")</f>
        <v>MARÍA VICTORIA CAMARGO CORTÉS</v>
      </c>
      <c r="AC5" s="23">
        <f>IFERROR(VLOOKUP(AA5,Listas!$AD$1:$AF$65,3,FALSE),"")</f>
        <v>52496497</v>
      </c>
      <c r="AD5" s="26" t="s">
        <v>409</v>
      </c>
      <c r="AE5" s="26" t="s">
        <v>121</v>
      </c>
      <c r="AF5" s="100">
        <f t="shared" ref="AF5:AF23" ca="1" si="8">IF(TODAY()&gt;N5,1,+(DAYS360(L5,TODAY())/DAYS360(L5,N5)))*100</f>
        <v>76.830398517145511</v>
      </c>
      <c r="AG5" s="100">
        <f t="shared" ca="1" si="3"/>
        <v>76.830398517145511</v>
      </c>
      <c r="AH5" s="101">
        <f t="shared" ca="1" si="4"/>
        <v>76.894977168949779</v>
      </c>
      <c r="AI5" s="101">
        <f t="shared" si="6"/>
        <v>0</v>
      </c>
      <c r="AJ5" s="59"/>
      <c r="AK5" s="54"/>
      <c r="AL5" s="54">
        <f t="shared" ca="1" si="7"/>
        <v>20356952405.970776</v>
      </c>
      <c r="AM5" s="53"/>
    </row>
    <row r="6" spans="1:88" ht="39.75" customHeight="1">
      <c r="A6" s="54" t="s">
        <v>8761</v>
      </c>
      <c r="B6" s="17" t="s">
        <v>5814</v>
      </c>
      <c r="C6" s="17" t="s">
        <v>104</v>
      </c>
      <c r="D6" s="17" t="s">
        <v>106</v>
      </c>
      <c r="E6" s="17" t="s">
        <v>1426</v>
      </c>
      <c r="F6" s="17" t="s">
        <v>1427</v>
      </c>
      <c r="G6" s="16">
        <v>63496290</v>
      </c>
      <c r="H6" s="16" t="s">
        <v>8762</v>
      </c>
      <c r="I6" s="16" t="s">
        <v>8763</v>
      </c>
      <c r="J6" s="58">
        <v>45378</v>
      </c>
      <c r="K6" s="58">
        <v>45028</v>
      </c>
      <c r="L6" s="58">
        <v>45033</v>
      </c>
      <c r="M6" s="27">
        <v>45381</v>
      </c>
      <c r="N6" s="58">
        <v>45412</v>
      </c>
      <c r="O6" s="54">
        <f t="shared" si="0"/>
        <v>348</v>
      </c>
      <c r="P6" s="54">
        <f t="shared" si="1"/>
        <v>379</v>
      </c>
      <c r="Q6" s="54">
        <f>N6-M6</f>
        <v>31</v>
      </c>
      <c r="R6" s="54" t="s">
        <v>8764</v>
      </c>
      <c r="S6" s="57">
        <v>52395000</v>
      </c>
      <c r="T6" s="57">
        <v>0</v>
      </c>
      <c r="U6" s="71"/>
      <c r="V6" s="57">
        <f>S6+T6</f>
        <v>52395000</v>
      </c>
      <c r="W6" s="17" t="s">
        <v>116</v>
      </c>
      <c r="X6" s="23" t="str">
        <f>IFERROR(VLOOKUP(W6,Listas!$A$1:$C$13,2,FALSE),"")</f>
        <v>FREDY CÉSPEDES VILLA</v>
      </c>
      <c r="Y6" s="23">
        <f>IFERROR(VLOOKUP(W6,Listas!$A$1:$C$13,3,FALSE),"")</f>
        <v>93363483</v>
      </c>
      <c r="Z6" s="17" t="s">
        <v>116</v>
      </c>
      <c r="AA6" s="17" t="s">
        <v>2309</v>
      </c>
      <c r="AB6" s="23" t="str">
        <f>IFERROR(VLOOKUP(AA6,Listas!$AD$1:$AF$65,2,FALSE),"")</f>
        <v>YURY NAYIBE LADINO</v>
      </c>
      <c r="AC6" s="23">
        <f>IFERROR(VLOOKUP(AA6,Listas!$AD$1:$AF$65,3,FALSE),"")</f>
        <v>1013587191</v>
      </c>
      <c r="AD6" s="26" t="s">
        <v>486</v>
      </c>
      <c r="AE6" s="26" t="s">
        <v>121</v>
      </c>
      <c r="AF6" s="100">
        <f t="shared" ca="1" si="8"/>
        <v>100</v>
      </c>
      <c r="AG6" s="100">
        <f t="shared" ca="1" si="3"/>
        <v>100</v>
      </c>
      <c r="AH6" s="101">
        <f t="shared" ref="AH6:AH11" ca="1" si="9">IFERROR((AL6/V6)*100,"")</f>
        <v>241.95250659630605</v>
      </c>
      <c r="AI6" s="101">
        <f t="shared" si="6"/>
        <v>0</v>
      </c>
      <c r="AJ6" s="59"/>
      <c r="AK6" s="54"/>
      <c r="AL6" s="54">
        <f t="shared" ca="1" si="7"/>
        <v>126771015.83113456</v>
      </c>
      <c r="AM6" s="53"/>
    </row>
    <row r="7" spans="1:88" ht="39.75" customHeight="1">
      <c r="A7" s="54" t="s">
        <v>8765</v>
      </c>
      <c r="B7" s="17" t="s">
        <v>8745</v>
      </c>
      <c r="C7" s="17" t="s">
        <v>104</v>
      </c>
      <c r="D7" s="17" t="s">
        <v>106</v>
      </c>
      <c r="E7" s="17" t="s">
        <v>1426</v>
      </c>
      <c r="F7" s="17" t="s">
        <v>1427</v>
      </c>
      <c r="G7" s="16" t="s">
        <v>8766</v>
      </c>
      <c r="H7" s="16" t="s">
        <v>8767</v>
      </c>
      <c r="I7" s="16" t="s">
        <v>8768</v>
      </c>
      <c r="J7" s="58">
        <v>45404</v>
      </c>
      <c r="K7" s="58">
        <v>45126</v>
      </c>
      <c r="L7" s="58">
        <v>45128</v>
      </c>
      <c r="M7" s="27">
        <v>45412</v>
      </c>
      <c r="N7" s="58">
        <v>45473</v>
      </c>
      <c r="O7" s="54">
        <f t="shared" si="0"/>
        <v>284</v>
      </c>
      <c r="P7" s="54">
        <f>N7-L7</f>
        <v>345</v>
      </c>
      <c r="Q7" s="54">
        <f>N7-M7</f>
        <v>61</v>
      </c>
      <c r="R7" s="54" t="s">
        <v>8769</v>
      </c>
      <c r="S7" s="57">
        <v>3203907033</v>
      </c>
      <c r="T7" s="57">
        <v>497000000</v>
      </c>
      <c r="U7" s="71" t="s">
        <v>8769</v>
      </c>
      <c r="V7" s="57">
        <f>S7+T7</f>
        <v>3700907033</v>
      </c>
      <c r="W7" s="17" t="s">
        <v>116</v>
      </c>
      <c r="X7" s="23" t="str">
        <f>IFERROR(VLOOKUP(W7,Listas!$A$1:$C$13,2,FALSE),"")</f>
        <v>FREDY CÉSPEDES VILLA</v>
      </c>
      <c r="Y7" s="23">
        <f>IFERROR(VLOOKUP(W7,Listas!$A$1:$C$13,3,FALSE),"")</f>
        <v>93363483</v>
      </c>
      <c r="Z7" s="17" t="s">
        <v>607</v>
      </c>
      <c r="AA7" s="17" t="s">
        <v>1155</v>
      </c>
      <c r="AB7" s="23" t="str">
        <f>IFERROR(VLOOKUP(AA7,Listas!$AD$1:$AF$65,2,FALSE),"")</f>
        <v>MARÍA FRANCISCA CEPEDA QUINTERO</v>
      </c>
      <c r="AC7" s="23">
        <f>IFERROR(VLOOKUP(AA7,Listas!$AD$1:$AF$65,3,FALSE),"")</f>
        <v>53062608</v>
      </c>
      <c r="AD7" s="26" t="s">
        <v>122</v>
      </c>
      <c r="AE7" s="26" t="s">
        <v>121</v>
      </c>
      <c r="AF7" s="100">
        <f t="shared" ca="1" si="8"/>
        <v>100</v>
      </c>
      <c r="AG7" s="100">
        <f t="shared" ca="1" si="3"/>
        <v>100</v>
      </c>
      <c r="AH7" s="101">
        <f ca="1">IFERROR((AL7/V7)*100,"")</f>
        <v>238.2608695652174</v>
      </c>
      <c r="AI7" s="101">
        <f t="shared" si="6"/>
        <v>0</v>
      </c>
      <c r="AJ7" s="59"/>
      <c r="AK7" s="54"/>
      <c r="AL7" s="54">
        <f ca="1">IFERROR((V7/P7)*(TODAY()-L7),"")</f>
        <v>8817813278.6260872</v>
      </c>
      <c r="AM7" s="53"/>
    </row>
    <row r="8" spans="1:88" ht="39.75" customHeight="1">
      <c r="A8" s="178" t="s">
        <v>8770</v>
      </c>
      <c r="B8" s="17" t="s">
        <v>8752</v>
      </c>
      <c r="C8" s="17" t="s">
        <v>104</v>
      </c>
      <c r="D8" s="17" t="s">
        <v>106</v>
      </c>
      <c r="E8" s="17" t="s">
        <v>1426</v>
      </c>
      <c r="F8" s="17" t="s">
        <v>1427</v>
      </c>
      <c r="G8" s="16" t="s">
        <v>8771</v>
      </c>
      <c r="H8" s="16" t="s">
        <v>8772</v>
      </c>
      <c r="I8" s="16" t="s">
        <v>8773</v>
      </c>
      <c r="J8" s="58">
        <v>45436</v>
      </c>
      <c r="K8" s="58">
        <v>45436</v>
      </c>
      <c r="L8" s="58">
        <v>45436</v>
      </c>
      <c r="M8" s="27">
        <v>45622</v>
      </c>
      <c r="N8" s="27">
        <v>45622</v>
      </c>
      <c r="O8" s="54">
        <f t="shared" si="0"/>
        <v>186</v>
      </c>
      <c r="P8" s="54">
        <f>N8-L8</f>
        <v>186</v>
      </c>
      <c r="Q8" s="54"/>
      <c r="R8" s="54"/>
      <c r="S8" s="57">
        <v>1907569011</v>
      </c>
      <c r="T8" s="57">
        <v>9674304</v>
      </c>
      <c r="U8" s="54" t="s">
        <v>8774</v>
      </c>
      <c r="V8" s="57">
        <v>1907569011</v>
      </c>
      <c r="W8" s="17" t="s">
        <v>116</v>
      </c>
      <c r="X8" s="23" t="str">
        <f>IFERROR(VLOOKUP(W8,Listas!$A$1:$C$13,2,FALSE),"")</f>
        <v>FREDY CÉSPEDES VILLA</v>
      </c>
      <c r="Y8" s="23">
        <f>IFERROR(VLOOKUP(W8,Listas!$A$1:$C$13,3,FALSE),"")</f>
        <v>93363483</v>
      </c>
      <c r="Z8" s="17" t="s">
        <v>116</v>
      </c>
      <c r="AA8" s="17" t="s">
        <v>659</v>
      </c>
      <c r="AB8" s="23" t="str">
        <f>IFERROR(VLOOKUP(AA8,Listas!$AD$1:$AF$65,2,FALSE),"")</f>
        <v>TATIANA FORERO TORRES</v>
      </c>
      <c r="AC8" s="23">
        <f>IFERROR(VLOOKUP(AA8,Listas!$AD$1:$AF$65,3,FALSE),"")</f>
        <v>1072446921</v>
      </c>
      <c r="AD8" s="26" t="s">
        <v>819</v>
      </c>
      <c r="AE8" s="26" t="s">
        <v>121</v>
      </c>
      <c r="AF8" s="100">
        <f t="shared" ca="1" si="8"/>
        <v>100</v>
      </c>
      <c r="AG8" s="100">
        <f t="shared" ca="1" si="3"/>
        <v>100</v>
      </c>
      <c r="AH8" s="101">
        <f t="shared" si="9"/>
        <v>0</v>
      </c>
      <c r="AI8" s="101">
        <f t="shared" si="6"/>
        <v>0</v>
      </c>
      <c r="AJ8" s="59"/>
      <c r="AK8" s="54"/>
      <c r="AL8" s="54"/>
      <c r="AM8" s="53"/>
    </row>
    <row r="9" spans="1:88" ht="39.75" customHeight="1">
      <c r="A9" s="54" t="s">
        <v>8744</v>
      </c>
      <c r="B9" s="17" t="s">
        <v>8745</v>
      </c>
      <c r="C9" s="17" t="s">
        <v>104</v>
      </c>
      <c r="D9" s="17" t="s">
        <v>106</v>
      </c>
      <c r="E9" s="17" t="s">
        <v>1426</v>
      </c>
      <c r="F9" s="17" t="s">
        <v>1427</v>
      </c>
      <c r="G9" s="16" t="s">
        <v>8746</v>
      </c>
      <c r="H9" s="16" t="s">
        <v>8747</v>
      </c>
      <c r="I9" s="16" t="s">
        <v>8748</v>
      </c>
      <c r="J9" s="58">
        <v>45366</v>
      </c>
      <c r="K9" s="58">
        <v>44894</v>
      </c>
      <c r="L9" s="58">
        <v>44923</v>
      </c>
      <c r="M9" s="27">
        <v>45366</v>
      </c>
      <c r="N9" s="58">
        <v>45427</v>
      </c>
      <c r="O9" s="54">
        <v>443</v>
      </c>
      <c r="P9" s="54">
        <f t="shared" ref="P9:P10" si="10">N9-L9</f>
        <v>504</v>
      </c>
      <c r="Q9" s="54">
        <v>91</v>
      </c>
      <c r="R9" s="54" t="s">
        <v>8749</v>
      </c>
      <c r="S9" s="57" t="s">
        <v>8775</v>
      </c>
      <c r="T9" s="57" t="s">
        <v>8776</v>
      </c>
      <c r="U9" s="71" t="s">
        <v>8777</v>
      </c>
      <c r="V9" s="57" t="s">
        <v>8778</v>
      </c>
      <c r="W9" s="17" t="s">
        <v>116</v>
      </c>
      <c r="X9" s="23" t="s">
        <v>4078</v>
      </c>
      <c r="Y9" s="23">
        <v>93363483</v>
      </c>
      <c r="Z9" s="17" t="s">
        <v>116</v>
      </c>
      <c r="AA9" s="17" t="s">
        <v>659</v>
      </c>
      <c r="AB9" s="23" t="str">
        <f>IFERROR(VLOOKUP(AA9,Listas!$AD$1:$AF$65,2,FALSE),"")</f>
        <v>TATIANA FORERO TORRES</v>
      </c>
      <c r="AC9" s="23">
        <f>IFERROR(VLOOKUP(AA9,Listas!$AD$1:$AF$65,3,FALSE),"")</f>
        <v>1072446921</v>
      </c>
      <c r="AD9" s="26" t="s">
        <v>886</v>
      </c>
      <c r="AE9" s="26" t="s">
        <v>121</v>
      </c>
      <c r="AF9" s="100">
        <f t="shared" ca="1" si="8"/>
        <v>100</v>
      </c>
      <c r="AG9" s="100" t="e">
        <f t="shared" si="3"/>
        <v>#VALUE!</v>
      </c>
      <c r="AH9" s="101" t="str">
        <f t="shared" si="9"/>
        <v/>
      </c>
      <c r="AI9" s="101" t="str">
        <f t="shared" si="6"/>
        <v/>
      </c>
      <c r="AJ9" s="59" t="s">
        <v>8779</v>
      </c>
      <c r="AK9" s="54" t="s">
        <v>4077</v>
      </c>
      <c r="AL9" s="54">
        <v>2081676476</v>
      </c>
      <c r="AM9" s="53" t="s">
        <v>4077</v>
      </c>
    </row>
    <row r="10" spans="1:88" ht="39.75" customHeight="1">
      <c r="A10" s="54" t="s">
        <v>8780</v>
      </c>
      <c r="B10" s="17" t="s">
        <v>8745</v>
      </c>
      <c r="C10" s="17" t="s">
        <v>104</v>
      </c>
      <c r="D10" s="17" t="s">
        <v>106</v>
      </c>
      <c r="E10" s="17" t="s">
        <v>1426</v>
      </c>
      <c r="F10" s="17" t="s">
        <v>1427</v>
      </c>
      <c r="G10" s="16" t="s">
        <v>8781</v>
      </c>
      <c r="H10" s="16" t="s">
        <v>8782</v>
      </c>
      <c r="I10" s="16" t="s">
        <v>8783</v>
      </c>
      <c r="J10" s="58">
        <v>45428</v>
      </c>
      <c r="K10" s="58">
        <v>45000</v>
      </c>
      <c r="L10" s="58">
        <v>45001</v>
      </c>
      <c r="M10" s="27">
        <v>45427</v>
      </c>
      <c r="N10" s="58">
        <v>45488</v>
      </c>
      <c r="O10" s="54">
        <v>426</v>
      </c>
      <c r="P10" s="54">
        <f t="shared" si="10"/>
        <v>487</v>
      </c>
      <c r="Q10" s="54">
        <v>61</v>
      </c>
      <c r="R10" s="54" t="s">
        <v>8784</v>
      </c>
      <c r="S10" s="57">
        <v>4197071097</v>
      </c>
      <c r="T10" s="57">
        <v>560000000</v>
      </c>
      <c r="U10" s="71" t="s">
        <v>8784</v>
      </c>
      <c r="V10" s="57">
        <v>4757071097</v>
      </c>
      <c r="W10" s="17" t="s">
        <v>116</v>
      </c>
      <c r="X10" s="23" t="s">
        <v>4078</v>
      </c>
      <c r="Y10" s="23">
        <v>93363483</v>
      </c>
      <c r="Z10" s="17" t="s">
        <v>116</v>
      </c>
      <c r="AA10" s="17" t="s">
        <v>659</v>
      </c>
      <c r="AB10" s="23" t="str">
        <f>IFERROR(VLOOKUP(AA10,Listas!$AD$1:$AF$65,2,FALSE),"")</f>
        <v>TATIANA FORERO TORRES</v>
      </c>
      <c r="AC10" s="23">
        <f>IFERROR(VLOOKUP(AA10,Listas!$AD$1:$AF$65,3,FALSE),"")</f>
        <v>1072446921</v>
      </c>
      <c r="AD10" s="26" t="s">
        <v>8785</v>
      </c>
      <c r="AE10" s="26" t="s">
        <v>121</v>
      </c>
      <c r="AF10" s="100">
        <f t="shared" ca="1" si="8"/>
        <v>100</v>
      </c>
      <c r="AG10" s="100" t="e">
        <f t="shared" si="3"/>
        <v>#VALUE!</v>
      </c>
      <c r="AH10" s="101" t="str">
        <f t="shared" si="9"/>
        <v/>
      </c>
      <c r="AI10" s="101" t="str">
        <f t="shared" si="6"/>
        <v/>
      </c>
      <c r="AJ10" s="59" t="s">
        <v>8786</v>
      </c>
      <c r="AK10" s="54" t="s">
        <v>4077</v>
      </c>
      <c r="AL10" s="54" t="s">
        <v>4077</v>
      </c>
      <c r="AM10" s="53" t="s">
        <v>4077</v>
      </c>
    </row>
    <row r="11" spans="1:88" ht="39.75" customHeight="1">
      <c r="A11" s="54" t="s">
        <v>8787</v>
      </c>
      <c r="B11" s="17" t="s">
        <v>8745</v>
      </c>
      <c r="C11" s="17" t="s">
        <v>8788</v>
      </c>
      <c r="D11" s="17" t="s">
        <v>3178</v>
      </c>
      <c r="E11" s="17" t="s">
        <v>1426</v>
      </c>
      <c r="F11" s="17" t="s">
        <v>1427</v>
      </c>
      <c r="G11" s="16" t="s">
        <v>8789</v>
      </c>
      <c r="H11" s="16" t="s">
        <v>8790</v>
      </c>
      <c r="I11" s="16" t="s">
        <v>8791</v>
      </c>
      <c r="J11" s="58">
        <v>45471</v>
      </c>
      <c r="K11" s="58">
        <v>45107</v>
      </c>
      <c r="L11" s="58">
        <v>45107</v>
      </c>
      <c r="M11" s="27">
        <v>45472</v>
      </c>
      <c r="N11" s="58">
        <v>45565</v>
      </c>
      <c r="O11" s="54">
        <v>365</v>
      </c>
      <c r="P11" s="54">
        <f t="shared" ref="P11:P16" si="11">N11-L11</f>
        <v>458</v>
      </c>
      <c r="Q11" s="54">
        <v>90</v>
      </c>
      <c r="R11" s="54" t="s">
        <v>8792</v>
      </c>
      <c r="S11" s="57">
        <v>171360000</v>
      </c>
      <c r="T11" s="57">
        <v>43192109</v>
      </c>
      <c r="U11" s="54" t="s">
        <v>8793</v>
      </c>
      <c r="V11" s="57">
        <f>S11+T11</f>
        <v>214552109</v>
      </c>
      <c r="W11" s="17" t="s">
        <v>116</v>
      </c>
      <c r="X11" s="23" t="str">
        <f>IFERROR(VLOOKUP(W11,Listas!$A$1:$C$13,2,FALSE),"")</f>
        <v>FREDY CÉSPEDES VILLA</v>
      </c>
      <c r="Y11" s="23">
        <f>IFERROR(VLOOKUP(W11,Listas!$A$1:$C$13,3,FALSE),"")</f>
        <v>93363483</v>
      </c>
      <c r="Z11" s="17" t="s">
        <v>116</v>
      </c>
      <c r="AA11" s="17" t="s">
        <v>659</v>
      </c>
      <c r="AB11" s="23" t="str">
        <f>IFERROR(VLOOKUP(AA11,Listas!$AD$1:$AF$65,2,FALSE),"")</f>
        <v>TATIANA FORERO TORRES</v>
      </c>
      <c r="AC11" s="23">
        <f>IFERROR(VLOOKUP(AA11,Listas!$AD$1:$AF$65,3,FALSE),"")</f>
        <v>1072446921</v>
      </c>
      <c r="AD11" s="26" t="s">
        <v>220</v>
      </c>
      <c r="AE11" s="26" t="s">
        <v>121</v>
      </c>
      <c r="AF11" s="100">
        <f t="shared" ca="1" si="8"/>
        <v>100</v>
      </c>
      <c r="AG11" s="100">
        <f t="shared" ca="1" si="3"/>
        <v>100</v>
      </c>
      <c r="AH11" s="101" t="str">
        <f t="shared" ca="1" si="9"/>
        <v/>
      </c>
      <c r="AI11" s="101">
        <f t="shared" si="6"/>
        <v>0</v>
      </c>
      <c r="AJ11" s="59"/>
      <c r="AK11" s="54"/>
      <c r="AL11" s="54" t="str">
        <f ca="1">IFERROR((V11/P11)*(TODAY()-#REF!),"")</f>
        <v/>
      </c>
      <c r="AM11" s="53"/>
    </row>
    <row r="12" spans="1:88" ht="39.75" customHeight="1">
      <c r="A12" s="54" t="s">
        <v>8761</v>
      </c>
      <c r="B12" s="17" t="s">
        <v>5814</v>
      </c>
      <c r="C12" s="17" t="s">
        <v>104</v>
      </c>
      <c r="D12" s="17" t="s">
        <v>106</v>
      </c>
      <c r="E12" s="17" t="s">
        <v>1426</v>
      </c>
      <c r="F12" s="17" t="s">
        <v>1427</v>
      </c>
      <c r="G12" s="16" t="s">
        <v>8794</v>
      </c>
      <c r="H12" s="16" t="s">
        <v>8762</v>
      </c>
      <c r="I12" s="16" t="s">
        <v>8795</v>
      </c>
      <c r="J12" s="58"/>
      <c r="K12" s="58">
        <v>45028</v>
      </c>
      <c r="L12" s="58">
        <v>45033</v>
      </c>
      <c r="M12" s="27">
        <v>45381</v>
      </c>
      <c r="N12" s="58">
        <v>45473</v>
      </c>
      <c r="O12" s="54">
        <f>M12-L12</f>
        <v>348</v>
      </c>
      <c r="P12" s="54">
        <f t="shared" si="11"/>
        <v>440</v>
      </c>
      <c r="Q12" s="54">
        <f>N12-M12</f>
        <v>92</v>
      </c>
      <c r="R12" s="54" t="s">
        <v>8764</v>
      </c>
      <c r="S12" s="57">
        <v>52395000</v>
      </c>
      <c r="T12" s="57">
        <v>0</v>
      </c>
      <c r="U12" s="54"/>
      <c r="V12" s="57">
        <f>S12+T12</f>
        <v>52395000</v>
      </c>
      <c r="W12" s="17" t="s">
        <v>116</v>
      </c>
      <c r="X12" s="23" t="str">
        <f>IFERROR(VLOOKUP(W12,Listas!$A$1:$C$13,2,FALSE),"")</f>
        <v>FREDY CÉSPEDES VILLA</v>
      </c>
      <c r="Y12" s="23">
        <f>IFERROR(VLOOKUP(W12,Listas!$A$1:$C$13,3,FALSE),"")</f>
        <v>93363483</v>
      </c>
      <c r="Z12" s="17" t="s">
        <v>116</v>
      </c>
      <c r="AA12" s="17" t="s">
        <v>2309</v>
      </c>
      <c r="AB12" s="23" t="str">
        <f>IFERROR(VLOOKUP(AA12,Listas!$AD$1:$AF$65,2,FALSE),"")</f>
        <v>YURY NAYIBE LADINO</v>
      </c>
      <c r="AC12" s="23">
        <f>IFERROR(VLOOKUP(AA12,Listas!$AD$1:$AF$65,3,FALSE),"")</f>
        <v>1013587191</v>
      </c>
      <c r="AD12" s="26" t="s">
        <v>486</v>
      </c>
      <c r="AE12" s="26" t="s">
        <v>121</v>
      </c>
      <c r="AF12" s="100">
        <f t="shared" ca="1" si="8"/>
        <v>100</v>
      </c>
      <c r="AG12" s="100">
        <f ca="1">+IF(AK12&gt;0,DAYS360(L12,AK12)/DAYS360(L12,N12),AF12)</f>
        <v>100</v>
      </c>
      <c r="AH12" s="101">
        <f ca="1">IFERROR((AL12/V12)*100,"")</f>
        <v>208.40909090909091</v>
      </c>
      <c r="AI12" s="101">
        <f t="shared" si="6"/>
        <v>0</v>
      </c>
      <c r="AJ12" s="59"/>
      <c r="AK12" s="54"/>
      <c r="AL12" s="54">
        <f t="shared" ref="AL12" ca="1" si="12">IFERROR((V12/P12)*(TODAY()-L12),"")</f>
        <v>109195943.18181819</v>
      </c>
      <c r="AM12" s="53"/>
    </row>
    <row r="13" spans="1:88" ht="39.75" customHeight="1">
      <c r="A13" s="54" t="s">
        <v>8770</v>
      </c>
      <c r="B13" s="17" t="s">
        <v>104</v>
      </c>
      <c r="C13" s="17" t="s">
        <v>8788</v>
      </c>
      <c r="D13" s="17" t="s">
        <v>3178</v>
      </c>
      <c r="E13" s="17" t="s">
        <v>1426</v>
      </c>
      <c r="F13" s="17" t="s">
        <v>1427</v>
      </c>
      <c r="G13" s="16" t="s">
        <v>8796</v>
      </c>
      <c r="H13" s="16" t="s">
        <v>8797</v>
      </c>
      <c r="I13" s="16" t="s">
        <v>8798</v>
      </c>
      <c r="J13" s="58"/>
      <c r="K13" s="58">
        <v>45106</v>
      </c>
      <c r="L13" s="58">
        <v>45107</v>
      </c>
      <c r="M13" s="27">
        <v>45622</v>
      </c>
      <c r="N13" s="58">
        <v>45622</v>
      </c>
      <c r="O13" s="54">
        <f>M13-L13</f>
        <v>515</v>
      </c>
      <c r="P13" s="54">
        <f t="shared" si="11"/>
        <v>515</v>
      </c>
      <c r="Q13" s="54">
        <f>N13-M13</f>
        <v>0</v>
      </c>
      <c r="R13" s="54" t="s">
        <v>8792</v>
      </c>
      <c r="S13" s="57">
        <v>1897894707</v>
      </c>
      <c r="T13" s="57">
        <v>9674304</v>
      </c>
      <c r="U13" s="54" t="s">
        <v>8799</v>
      </c>
      <c r="V13" s="57">
        <f>S13+T13</f>
        <v>1907569011</v>
      </c>
      <c r="W13" s="17" t="s">
        <v>116</v>
      </c>
      <c r="X13" s="23" t="str">
        <f>IFERROR(VLOOKUP(W13,Listas!$A$1:$C$13,2,FALSE),"")</f>
        <v>FREDY CÉSPEDES VILLA</v>
      </c>
      <c r="Y13" s="23">
        <f>IFERROR(VLOOKUP(W13,Listas!$A$1:$C$13,3,FALSE),"")</f>
        <v>93363483</v>
      </c>
      <c r="Z13" s="17" t="s">
        <v>116</v>
      </c>
      <c r="AA13" s="17" t="s">
        <v>659</v>
      </c>
      <c r="AB13" s="23" t="str">
        <f>IFERROR(VLOOKUP(AA13,Listas!$AD$1:$AF$65,2,FALSE),"")</f>
        <v>TATIANA FORERO TORRES</v>
      </c>
      <c r="AC13" s="23">
        <f>IFERROR(VLOOKUP(AA13,Listas!$AD$1:$AF$65,3,FALSE),"")</f>
        <v>1072446921</v>
      </c>
      <c r="AD13" s="26" t="s">
        <v>819</v>
      </c>
      <c r="AE13" s="26" t="s">
        <v>121</v>
      </c>
      <c r="AF13" s="100">
        <f t="shared" ca="1" si="8"/>
        <v>100</v>
      </c>
      <c r="AG13" s="100">
        <f ca="1">+IF(AK13&gt;0,DAYS360(L13,AK13)/DAYS360(L13,N13),AF13)</f>
        <v>100</v>
      </c>
      <c r="AH13" s="101">
        <f t="shared" ref="AH13:AH19" si="13">IFERROR((AL13/V13)*100,"")</f>
        <v>0</v>
      </c>
      <c r="AI13" s="101">
        <f t="shared" si="6"/>
        <v>0</v>
      </c>
      <c r="AJ13" s="59"/>
      <c r="AK13" s="54"/>
      <c r="AL13" s="54"/>
      <c r="AM13" s="53"/>
    </row>
    <row r="14" spans="1:88" ht="39.75" customHeight="1">
      <c r="A14" s="54" t="s">
        <v>8780</v>
      </c>
      <c r="B14" s="17" t="s">
        <v>8745</v>
      </c>
      <c r="C14" s="17" t="s">
        <v>104</v>
      </c>
      <c r="D14" s="17" t="s">
        <v>106</v>
      </c>
      <c r="E14" s="17" t="s">
        <v>1426</v>
      </c>
      <c r="F14" s="17" t="s">
        <v>1427</v>
      </c>
      <c r="G14" s="16" t="s">
        <v>8800</v>
      </c>
      <c r="H14" s="16" t="s">
        <v>8782</v>
      </c>
      <c r="I14" s="16" t="s">
        <v>8801</v>
      </c>
      <c r="J14" s="58" t="s">
        <v>8802</v>
      </c>
      <c r="K14" s="58">
        <v>45000</v>
      </c>
      <c r="L14" s="58">
        <v>45001</v>
      </c>
      <c r="M14" s="27">
        <v>45488</v>
      </c>
      <c r="N14" s="58">
        <v>45550</v>
      </c>
      <c r="O14" s="54">
        <f>M14-L14</f>
        <v>487</v>
      </c>
      <c r="P14" s="54">
        <f t="shared" si="11"/>
        <v>549</v>
      </c>
      <c r="Q14" s="54">
        <f>N14-M14</f>
        <v>62</v>
      </c>
      <c r="R14" s="54" t="s">
        <v>8784</v>
      </c>
      <c r="S14" s="57">
        <v>4757071097</v>
      </c>
      <c r="T14" s="57">
        <v>569080900</v>
      </c>
      <c r="U14" s="54" t="s">
        <v>8784</v>
      </c>
      <c r="V14" s="57">
        <f>S14+T14</f>
        <v>5326151997</v>
      </c>
      <c r="W14" s="17" t="s">
        <v>116</v>
      </c>
      <c r="X14" s="23" t="s">
        <v>4078</v>
      </c>
      <c r="Y14" s="23">
        <v>93363483</v>
      </c>
      <c r="Z14" s="17" t="s">
        <v>116</v>
      </c>
      <c r="AA14" s="17" t="s">
        <v>659</v>
      </c>
      <c r="AB14" s="23" t="str">
        <f>IFERROR(VLOOKUP(AA14,Listas!$AD$1:$AF$65,2,FALSE),"")</f>
        <v>TATIANA FORERO TORRES</v>
      </c>
      <c r="AC14" s="23">
        <f>IFERROR(VLOOKUP(AA14,Listas!$AD$1:$AF$65,3,FALSE),"")</f>
        <v>1072446921</v>
      </c>
      <c r="AD14" s="26" t="s">
        <v>8785</v>
      </c>
      <c r="AE14" s="26" t="s">
        <v>121</v>
      </c>
      <c r="AF14" s="100">
        <f t="shared" ca="1" si="8"/>
        <v>100</v>
      </c>
      <c r="AG14" s="100" t="e">
        <f>+IF(AK14&gt;0,DAYS360(L14,AK14)/DAYS360(L14,N14),AF14)</f>
        <v>#VALUE!</v>
      </c>
      <c r="AH14" s="101" t="str">
        <f t="shared" si="13"/>
        <v/>
      </c>
      <c r="AI14" s="101">
        <f t="shared" si="6"/>
        <v>0</v>
      </c>
      <c r="AJ14" s="59"/>
      <c r="AK14" s="54" t="s">
        <v>4077</v>
      </c>
      <c r="AL14" s="54" t="s">
        <v>4077</v>
      </c>
      <c r="AM14" s="53" t="s">
        <v>4077</v>
      </c>
    </row>
    <row r="15" spans="1:88" ht="39.75" customHeight="1">
      <c r="A15" s="54" t="s">
        <v>8787</v>
      </c>
      <c r="B15" s="17" t="s">
        <v>8745</v>
      </c>
      <c r="C15" s="17" t="s">
        <v>8788</v>
      </c>
      <c r="D15" s="17" t="s">
        <v>3178</v>
      </c>
      <c r="E15" s="17" t="s">
        <v>1426</v>
      </c>
      <c r="F15" s="17" t="s">
        <v>1427</v>
      </c>
      <c r="G15" s="16" t="s">
        <v>8789</v>
      </c>
      <c r="H15" s="16" t="s">
        <v>8790</v>
      </c>
      <c r="I15" s="16" t="s">
        <v>8791</v>
      </c>
      <c r="J15" s="58">
        <v>45565</v>
      </c>
      <c r="K15" s="58">
        <v>45107</v>
      </c>
      <c r="L15" s="58">
        <v>45107</v>
      </c>
      <c r="M15" s="27">
        <v>45565</v>
      </c>
      <c r="N15" s="58">
        <v>45621</v>
      </c>
      <c r="O15" s="54">
        <f t="shared" ref="O15:O16" si="14">M15-L15</f>
        <v>458</v>
      </c>
      <c r="P15" s="54">
        <f t="shared" si="11"/>
        <v>514</v>
      </c>
      <c r="Q15" s="54">
        <f t="shared" ref="Q15:Q16" si="15">N15-M15</f>
        <v>56</v>
      </c>
      <c r="R15" s="54" t="s">
        <v>8803</v>
      </c>
      <c r="S15" s="57">
        <v>214552109</v>
      </c>
      <c r="T15" s="57">
        <v>26290850</v>
      </c>
      <c r="U15" s="54" t="s">
        <v>8804</v>
      </c>
      <c r="V15" s="57">
        <f>S15+T15</f>
        <v>240842959</v>
      </c>
      <c r="W15" s="17" t="s">
        <v>116</v>
      </c>
      <c r="X15" s="23" t="str">
        <f>IFERROR(VLOOKUP(W15,Listas!$A$1:$C$13,2,FALSE),"")</f>
        <v>FREDY CÉSPEDES VILLA</v>
      </c>
      <c r="Y15" s="23">
        <f>IFERROR(VLOOKUP(W15,Listas!$A$1:$C$13,3,FALSE),"")</f>
        <v>93363483</v>
      </c>
      <c r="Z15" s="17" t="s">
        <v>116</v>
      </c>
      <c r="AA15" s="17" t="s">
        <v>659</v>
      </c>
      <c r="AB15" s="23" t="str">
        <f>IFERROR(VLOOKUP(AA15,Listas!$AD$1:$AF$65,2,FALSE),"")</f>
        <v>TATIANA FORERO TORRES</v>
      </c>
      <c r="AC15" s="23">
        <f>IFERROR(VLOOKUP(AA15,Listas!$AD$1:$AF$65,3,FALSE),"")</f>
        <v>1072446921</v>
      </c>
      <c r="AD15" s="26" t="s">
        <v>220</v>
      </c>
      <c r="AE15" s="26" t="s">
        <v>121</v>
      </c>
      <c r="AF15" s="100">
        <f t="shared" ca="1" si="8"/>
        <v>100</v>
      </c>
      <c r="AG15" s="100">
        <f t="shared" ref="AG15:AG28" si="16">+IF(AK15&gt;0,DAYS360(L15,AK15)/DAYS360(L15,N15),AF15)</f>
        <v>1</v>
      </c>
      <c r="AH15" s="101">
        <f>IFERROR((AL15/V15)*100,"")</f>
        <v>17.93372294516611</v>
      </c>
      <c r="AI15" s="101" t="str">
        <f t="shared" si="6"/>
        <v/>
      </c>
      <c r="AJ15" s="59" t="s">
        <v>8805</v>
      </c>
      <c r="AK15" s="54">
        <v>45621</v>
      </c>
      <c r="AL15" s="54">
        <v>43192109</v>
      </c>
      <c r="AM15" s="53"/>
    </row>
    <row r="16" spans="1:88" ht="39.75" customHeight="1">
      <c r="A16" s="54" t="s">
        <v>8806</v>
      </c>
      <c r="B16" s="17" t="s">
        <v>8745</v>
      </c>
      <c r="C16" s="17" t="s">
        <v>8807</v>
      </c>
      <c r="D16" s="17" t="s">
        <v>106</v>
      </c>
      <c r="E16" s="17" t="s">
        <v>1426</v>
      </c>
      <c r="F16" s="17" t="s">
        <v>1427</v>
      </c>
      <c r="G16" s="16" t="s">
        <v>6417</v>
      </c>
      <c r="H16" s="16" t="s">
        <v>8808</v>
      </c>
      <c r="I16" s="16" t="s">
        <v>8809</v>
      </c>
      <c r="J16" s="58"/>
      <c r="K16" s="58">
        <v>45009</v>
      </c>
      <c r="L16" s="58">
        <v>45048</v>
      </c>
      <c r="M16" s="27">
        <v>45565</v>
      </c>
      <c r="N16" s="58">
        <v>45657</v>
      </c>
      <c r="O16" s="54">
        <f t="shared" si="14"/>
        <v>517</v>
      </c>
      <c r="P16" s="54">
        <f t="shared" si="11"/>
        <v>609</v>
      </c>
      <c r="Q16" s="54">
        <f t="shared" si="15"/>
        <v>92</v>
      </c>
      <c r="R16" s="54" t="s">
        <v>8810</v>
      </c>
      <c r="S16" s="57">
        <v>29773800</v>
      </c>
      <c r="T16" s="57"/>
      <c r="U16" s="54"/>
      <c r="V16" s="57"/>
      <c r="W16" s="17" t="s">
        <v>116</v>
      </c>
      <c r="X16" s="23" t="str">
        <f>IFERROR(VLOOKUP(W16,Listas!$A$1:$C$13,2,FALSE),"")</f>
        <v>FREDY CÉSPEDES VILLA</v>
      </c>
      <c r="Y16" s="23">
        <f>IFERROR(VLOOKUP(W16,Listas!$A$1:$C$13,3,FALSE),"")</f>
        <v>93363483</v>
      </c>
      <c r="Z16" s="17" t="s">
        <v>116</v>
      </c>
      <c r="AA16" s="17" t="s">
        <v>117</v>
      </c>
      <c r="AB16" s="23" t="str">
        <f>IFERROR(VLOOKUP(AA16,Listas!$AD$1:$AF$65,2,FALSE),"")</f>
        <v>DIANA BARRERA MEDINA</v>
      </c>
      <c r="AC16" s="23">
        <f>IFERROR(VLOOKUP(AA16,Listas!$AD$1:$AF$65,3,FALSE),"")</f>
        <v>52964360</v>
      </c>
      <c r="AD16" s="26" t="s">
        <v>122</v>
      </c>
      <c r="AE16" s="26" t="s">
        <v>121</v>
      </c>
      <c r="AF16" s="100">
        <f t="shared" ca="1" si="8"/>
        <v>100</v>
      </c>
      <c r="AG16" s="100">
        <f t="shared" ca="1" si="16"/>
        <v>100</v>
      </c>
      <c r="AH16" s="101" t="str">
        <f>IFERROR((AL16/V16)*100,"")</f>
        <v/>
      </c>
      <c r="AI16" s="101" t="str">
        <f t="shared" si="6"/>
        <v/>
      </c>
      <c r="AJ16" s="59" t="s">
        <v>8811</v>
      </c>
      <c r="AK16" s="54"/>
      <c r="AL16" s="54">
        <v>5234482</v>
      </c>
      <c r="AM16" s="53"/>
      <c r="AN16" s="54"/>
      <c r="AO16" s="16"/>
      <c r="AP16" s="16"/>
      <c r="AQ16" s="16"/>
      <c r="AR16" s="16"/>
      <c r="AS16" s="16"/>
      <c r="AT16" s="16"/>
      <c r="AU16" s="16"/>
      <c r="AV16" s="16"/>
      <c r="AW16" s="58"/>
      <c r="AX16" s="58"/>
      <c r="AY16" s="58"/>
      <c r="AZ16" s="27"/>
      <c r="BA16" s="58"/>
      <c r="BB16" s="54"/>
      <c r="BC16" s="54"/>
      <c r="BD16" s="54"/>
      <c r="BE16" s="54"/>
      <c r="BF16" s="137"/>
      <c r="BG16" s="137"/>
      <c r="BH16" s="54"/>
      <c r="BI16" s="137"/>
      <c r="BJ16" s="16"/>
      <c r="BK16" s="124"/>
      <c r="BL16" s="124"/>
      <c r="BM16" s="16"/>
      <c r="BN16" s="16"/>
      <c r="BO16" s="124"/>
      <c r="BP16" s="124"/>
      <c r="BQ16" s="174"/>
      <c r="BR16" s="174"/>
      <c r="BS16" s="54"/>
      <c r="BT16" s="54"/>
      <c r="BU16" s="179"/>
      <c r="BV16" s="179"/>
      <c r="BW16" s="59"/>
      <c r="BX16" s="54"/>
      <c r="BY16" s="54"/>
      <c r="BZ16" s="53"/>
      <c r="CA16" s="54"/>
      <c r="CB16" s="16"/>
      <c r="CC16" s="16"/>
      <c r="CD16" s="16"/>
      <c r="CE16" s="16"/>
      <c r="CF16" s="16"/>
      <c r="CG16" s="16"/>
      <c r="CH16" s="16"/>
      <c r="CI16" s="16"/>
      <c r="CJ16" s="58"/>
    </row>
    <row r="17" spans="1:88" ht="39.75" customHeight="1">
      <c r="A17" s="247" t="s">
        <v>8780</v>
      </c>
      <c r="B17" s="17" t="s">
        <v>8745</v>
      </c>
      <c r="C17" s="17" t="s">
        <v>104</v>
      </c>
      <c r="D17" s="17" t="s">
        <v>106</v>
      </c>
      <c r="E17" s="17" t="s">
        <v>1426</v>
      </c>
      <c r="F17" s="17" t="s">
        <v>1427</v>
      </c>
      <c r="G17" s="16" t="s">
        <v>8800</v>
      </c>
      <c r="H17" s="16" t="s">
        <v>8782</v>
      </c>
      <c r="I17" s="16" t="s">
        <v>8812</v>
      </c>
      <c r="J17" s="58">
        <v>45548</v>
      </c>
      <c r="K17" s="58">
        <v>45000</v>
      </c>
      <c r="L17" s="58">
        <v>45001</v>
      </c>
      <c r="M17" s="58">
        <v>45550</v>
      </c>
      <c r="N17" s="58">
        <v>45567</v>
      </c>
      <c r="O17" s="54">
        <f>M17-L17</f>
        <v>549</v>
      </c>
      <c r="P17" s="54">
        <f>N17-L17</f>
        <v>566</v>
      </c>
      <c r="Q17" s="54">
        <f>N17-M17</f>
        <v>17</v>
      </c>
      <c r="R17" s="54" t="s">
        <v>8784</v>
      </c>
      <c r="S17" s="57">
        <v>5326151997</v>
      </c>
      <c r="T17" s="57">
        <v>177300967.31999999</v>
      </c>
      <c r="U17" s="54" t="s">
        <v>8784</v>
      </c>
      <c r="V17" s="57">
        <f>S17+T17</f>
        <v>5503452964.3199997</v>
      </c>
      <c r="W17" s="17" t="s">
        <v>116</v>
      </c>
      <c r="X17" s="23" t="s">
        <v>4078</v>
      </c>
      <c r="Y17" s="23">
        <v>93363483</v>
      </c>
      <c r="Z17" s="17" t="s">
        <v>116</v>
      </c>
      <c r="AA17" s="17" t="s">
        <v>659</v>
      </c>
      <c r="AB17" s="23" t="str">
        <f>IFERROR(VLOOKUP(AA17,Listas!$AD$1:$AF$65,2,FALSE),"")</f>
        <v>TATIANA FORERO TORRES</v>
      </c>
      <c r="AC17" s="23">
        <f>IFERROR(VLOOKUP(AA17,Listas!$AD$1:$AF$65,3,FALSE),"")</f>
        <v>1072446921</v>
      </c>
      <c r="AD17" s="26" t="s">
        <v>8785</v>
      </c>
      <c r="AE17" s="26" t="s">
        <v>121</v>
      </c>
      <c r="AF17" s="100">
        <f t="shared" ca="1" si="8"/>
        <v>100</v>
      </c>
      <c r="AG17" s="100" t="e">
        <f>+IF(AK17&gt;0,DAYS360(L17,AK17)/DAYS360(L17,N17),AF17)</f>
        <v>#VALUE!</v>
      </c>
      <c r="AH17" s="101" t="str">
        <f t="shared" si="13"/>
        <v/>
      </c>
      <c r="AI17" s="101" t="str">
        <f t="shared" si="6"/>
        <v/>
      </c>
      <c r="AJ17" s="59" t="s">
        <v>8813</v>
      </c>
      <c r="AK17" s="54" t="s">
        <v>4077</v>
      </c>
      <c r="AL17" s="54" t="s">
        <v>4077</v>
      </c>
      <c r="AM17" s="53" t="s">
        <v>4077</v>
      </c>
    </row>
    <row r="18" spans="1:88" ht="39.75" customHeight="1">
      <c r="A18" s="247" t="s">
        <v>8780</v>
      </c>
      <c r="B18" s="17" t="s">
        <v>8745</v>
      </c>
      <c r="C18" s="17" t="s">
        <v>104</v>
      </c>
      <c r="D18" s="17" t="s">
        <v>106</v>
      </c>
      <c r="E18" s="17" t="s">
        <v>1426</v>
      </c>
      <c r="F18" s="17" t="s">
        <v>1427</v>
      </c>
      <c r="G18" s="16" t="s">
        <v>8800</v>
      </c>
      <c r="H18" s="16" t="s">
        <v>8782</v>
      </c>
      <c r="I18" s="16" t="s">
        <v>8814</v>
      </c>
      <c r="J18" s="58">
        <v>45567</v>
      </c>
      <c r="K18" s="58">
        <v>45000</v>
      </c>
      <c r="L18" s="58">
        <v>45001</v>
      </c>
      <c r="M18" s="58">
        <v>45567</v>
      </c>
      <c r="N18" s="58">
        <v>45596</v>
      </c>
      <c r="O18" s="54">
        <f>M18-L18</f>
        <v>566</v>
      </c>
      <c r="P18" s="54">
        <f>N18-L18</f>
        <v>595</v>
      </c>
      <c r="Q18" s="54">
        <f t="shared" ref="Q18" si="17">N18-M18</f>
        <v>29</v>
      </c>
      <c r="R18" s="54" t="s">
        <v>8784</v>
      </c>
      <c r="S18" s="57">
        <v>5503452964.3199997</v>
      </c>
      <c r="T18" s="57">
        <v>355077825</v>
      </c>
      <c r="U18" s="54" t="s">
        <v>8815</v>
      </c>
      <c r="V18" s="57">
        <f>S18+T18</f>
        <v>5858530789.3199997</v>
      </c>
      <c r="W18" s="17" t="s">
        <v>116</v>
      </c>
      <c r="X18" s="23" t="s">
        <v>4078</v>
      </c>
      <c r="Y18" s="23">
        <v>93363483</v>
      </c>
      <c r="Z18" s="17" t="s">
        <v>116</v>
      </c>
      <c r="AA18" s="17" t="s">
        <v>659</v>
      </c>
      <c r="AB18" s="23" t="str">
        <f>IFERROR(VLOOKUP(AA18,Listas!$AD$1:$AF$65,2,FALSE),"")</f>
        <v>TATIANA FORERO TORRES</v>
      </c>
      <c r="AC18" s="23">
        <f>IFERROR(VLOOKUP(AA18,Listas!$AD$1:$AF$65,3,FALSE),"")</f>
        <v>1072446921</v>
      </c>
      <c r="AD18" s="26" t="s">
        <v>8785</v>
      </c>
      <c r="AE18" s="26" t="s">
        <v>121</v>
      </c>
      <c r="AF18" s="100">
        <f t="shared" ca="1" si="8"/>
        <v>100</v>
      </c>
      <c r="AG18" s="100" t="e">
        <f>+IF(AK18&gt;0,DAYS360(L18,AK18)/DAYS360(L18,N18),AF18)</f>
        <v>#VALUE!</v>
      </c>
      <c r="AH18" s="101" t="str">
        <f t="shared" si="13"/>
        <v/>
      </c>
      <c r="AI18" s="101" t="str">
        <f t="shared" si="6"/>
        <v/>
      </c>
      <c r="AJ18" s="59" t="s">
        <v>8816</v>
      </c>
      <c r="AK18" s="54" t="s">
        <v>4077</v>
      </c>
      <c r="AL18" s="54" t="s">
        <v>4077</v>
      </c>
      <c r="AM18" s="53" t="s">
        <v>4077</v>
      </c>
    </row>
    <row r="19" spans="1:88" ht="39.75" customHeight="1">
      <c r="A19" s="247" t="s">
        <v>8780</v>
      </c>
      <c r="B19" s="17" t="s">
        <v>8745</v>
      </c>
      <c r="C19" s="17" t="s">
        <v>104</v>
      </c>
      <c r="D19" s="17" t="s">
        <v>106</v>
      </c>
      <c r="E19" s="17" t="s">
        <v>1426</v>
      </c>
      <c r="F19" s="17" t="s">
        <v>1427</v>
      </c>
      <c r="G19" s="16" t="s">
        <v>8800</v>
      </c>
      <c r="H19" s="16" t="s">
        <v>8782</v>
      </c>
      <c r="I19" s="16" t="s">
        <v>8817</v>
      </c>
      <c r="J19" s="58">
        <v>45596</v>
      </c>
      <c r="K19" s="58">
        <v>45000</v>
      </c>
      <c r="L19" s="58">
        <v>45001</v>
      </c>
      <c r="M19" s="58">
        <v>45596</v>
      </c>
      <c r="N19" s="58">
        <v>45646</v>
      </c>
      <c r="O19" s="54">
        <f>M19-L19</f>
        <v>595</v>
      </c>
      <c r="P19" s="54">
        <f>N19-L19</f>
        <v>645</v>
      </c>
      <c r="Q19" s="54">
        <f>N19-M19</f>
        <v>50</v>
      </c>
      <c r="R19" s="54" t="s">
        <v>8784</v>
      </c>
      <c r="S19" s="57">
        <v>5858530789.3199997</v>
      </c>
      <c r="T19" s="57">
        <v>538138602.15999997</v>
      </c>
      <c r="U19" s="54" t="s">
        <v>8818</v>
      </c>
      <c r="V19" s="57">
        <f>S19+T19</f>
        <v>6396669391.4799995</v>
      </c>
      <c r="W19" s="17" t="s">
        <v>116</v>
      </c>
      <c r="X19" s="23" t="s">
        <v>4078</v>
      </c>
      <c r="Y19" s="23">
        <v>93363483</v>
      </c>
      <c r="Z19" s="17" t="s">
        <v>116</v>
      </c>
      <c r="AA19" s="17" t="s">
        <v>659</v>
      </c>
      <c r="AB19" s="23" t="str">
        <f>IFERROR(VLOOKUP(AA19,Listas!$AD$1:$AF$65,2,FALSE),"")</f>
        <v>TATIANA FORERO TORRES</v>
      </c>
      <c r="AC19" s="23">
        <f>IFERROR(VLOOKUP(AA19,Listas!$AD$1:$AF$65,3,FALSE),"")</f>
        <v>1072446921</v>
      </c>
      <c r="AD19" s="26" t="s">
        <v>8785</v>
      </c>
      <c r="AE19" s="26" t="s">
        <v>121</v>
      </c>
      <c r="AF19" s="100">
        <f t="shared" ca="1" si="8"/>
        <v>100</v>
      </c>
      <c r="AG19" s="100" t="e">
        <f t="shared" si="16"/>
        <v>#VALUE!</v>
      </c>
      <c r="AH19" s="101" t="str">
        <f t="shared" si="13"/>
        <v/>
      </c>
      <c r="AI19" s="101" t="str">
        <f t="shared" si="6"/>
        <v/>
      </c>
      <c r="AJ19" s="59" t="s">
        <v>8819</v>
      </c>
      <c r="AK19" s="54" t="s">
        <v>4077</v>
      </c>
      <c r="AL19" s="54" t="s">
        <v>4077</v>
      </c>
      <c r="AM19" s="53" t="s">
        <v>4077</v>
      </c>
    </row>
    <row r="20" spans="1:88" ht="39.75" customHeight="1">
      <c r="A20" s="247" t="s">
        <v>8820</v>
      </c>
      <c r="B20" s="17" t="s">
        <v>104</v>
      </c>
      <c r="C20" s="17" t="s">
        <v>8821</v>
      </c>
      <c r="D20" s="17" t="s">
        <v>106</v>
      </c>
      <c r="E20" s="17" t="s">
        <v>1426</v>
      </c>
      <c r="F20" s="17" t="s">
        <v>1427</v>
      </c>
      <c r="G20" s="16" t="s">
        <v>8822</v>
      </c>
      <c r="H20" s="16" t="s">
        <v>8823</v>
      </c>
      <c r="I20" s="245" t="s">
        <v>8824</v>
      </c>
      <c r="J20" s="27">
        <v>45208</v>
      </c>
      <c r="K20" s="58">
        <v>45208</v>
      </c>
      <c r="L20" s="58">
        <v>45212</v>
      </c>
      <c r="M20" s="58">
        <v>45568</v>
      </c>
      <c r="N20" s="58">
        <v>45608</v>
      </c>
      <c r="O20" s="54">
        <f>M20-L20</f>
        <v>356</v>
      </c>
      <c r="P20" s="54">
        <f>N20-L20</f>
        <v>396</v>
      </c>
      <c r="Q20" s="54">
        <f>P20-O20</f>
        <v>40</v>
      </c>
      <c r="R20" s="54" t="s">
        <v>8825</v>
      </c>
      <c r="S20" s="56">
        <v>17770750</v>
      </c>
      <c r="T20" s="57">
        <v>1089843</v>
      </c>
      <c r="U20" s="71" t="s">
        <v>8826</v>
      </c>
      <c r="V20" s="57">
        <f>S20+T20</f>
        <v>18860593</v>
      </c>
      <c r="W20" s="17" t="s">
        <v>116</v>
      </c>
      <c r="X20" s="23" t="s">
        <v>4078</v>
      </c>
      <c r="Y20" s="23">
        <v>93363484</v>
      </c>
      <c r="Z20" s="17" t="s">
        <v>282</v>
      </c>
      <c r="AA20" s="17" t="s">
        <v>2513</v>
      </c>
      <c r="AB20" s="23" t="str">
        <f>IFERROR(VLOOKUP(AA20,Listas!$AD$1:$AF$65,2,FALSE),"")</f>
        <v>SANDRA MIREYA ARÉVALO RODRÍGUEZ</v>
      </c>
      <c r="AC20" s="23">
        <f>IFERROR(VLOOKUP(AA20,Listas!$AD$1:$AF$65,3,FALSE),"")</f>
        <v>51917861</v>
      </c>
      <c r="AD20" s="26" t="s">
        <v>886</v>
      </c>
      <c r="AE20" s="26" t="s">
        <v>121</v>
      </c>
      <c r="AF20" s="100">
        <f t="shared" ca="1" si="8"/>
        <v>100</v>
      </c>
      <c r="AG20" s="100">
        <f t="shared" ca="1" si="16"/>
        <v>100</v>
      </c>
      <c r="AH20" s="101" t="str">
        <f ca="1">IFERROR((AL20/V20)*100,"")</f>
        <v/>
      </c>
      <c r="AI20" s="101" t="str">
        <f t="shared" si="6"/>
        <v/>
      </c>
      <c r="AJ20" s="59" t="s">
        <v>8827</v>
      </c>
      <c r="AK20" s="54"/>
      <c r="AL20" s="54" t="str">
        <f ca="1">IFERROR((S20/P20)*(TODAY()-#REF!),"")</f>
        <v/>
      </c>
      <c r="AM20" s="53"/>
    </row>
    <row r="21" spans="1:88" ht="39.75" customHeight="1">
      <c r="A21" s="248" t="s">
        <v>8828</v>
      </c>
      <c r="B21" s="17" t="s">
        <v>8739</v>
      </c>
      <c r="C21" s="17" t="s">
        <v>1424</v>
      </c>
      <c r="D21" s="17" t="s">
        <v>1425</v>
      </c>
      <c r="E21" s="17" t="s">
        <v>1426</v>
      </c>
      <c r="F21" s="17" t="s">
        <v>1427</v>
      </c>
      <c r="G21" s="16" t="s">
        <v>8829</v>
      </c>
      <c r="H21" s="16" t="s">
        <v>8830</v>
      </c>
      <c r="I21" s="16" t="s">
        <v>8831</v>
      </c>
      <c r="J21" s="27">
        <v>45581</v>
      </c>
      <c r="K21" s="27">
        <v>45208</v>
      </c>
      <c r="L21" s="58">
        <v>45216</v>
      </c>
      <c r="M21" s="58">
        <v>45580</v>
      </c>
      <c r="N21" s="58">
        <v>45642</v>
      </c>
      <c r="O21" s="54">
        <f>M21-L21</f>
        <v>364</v>
      </c>
      <c r="P21" s="54">
        <f>N21-L21</f>
        <v>426</v>
      </c>
      <c r="Q21" s="54">
        <f>P21-O21</f>
        <v>62</v>
      </c>
      <c r="R21" s="54" t="s">
        <v>8832</v>
      </c>
      <c r="S21" s="56">
        <v>399609234</v>
      </c>
      <c r="T21" s="57">
        <v>0</v>
      </c>
      <c r="U21" s="71">
        <v>0</v>
      </c>
      <c r="V21" s="57">
        <f>S21+T21</f>
        <v>399609234</v>
      </c>
      <c r="W21" s="17" t="s">
        <v>116</v>
      </c>
      <c r="X21" s="23" t="s">
        <v>4078</v>
      </c>
      <c r="Y21" s="23">
        <v>93363484</v>
      </c>
      <c r="Z21" s="17" t="s">
        <v>816</v>
      </c>
      <c r="AA21" s="17" t="s">
        <v>4513</v>
      </c>
      <c r="AB21" s="23" t="str">
        <f>IFERROR(VLOOKUP(AA21,Listas!$AD$1:$AF$65,2,FALSE),"")</f>
        <v>PEDRO JOSÉ CARRILLO BERMUDEZ</v>
      </c>
      <c r="AC21" s="23">
        <f>IFERROR(VLOOKUP(AA21,Listas!$AD$1:$AF$65,3,FALSE),"")</f>
        <v>19490879</v>
      </c>
      <c r="AD21" s="26" t="s">
        <v>220</v>
      </c>
      <c r="AE21" s="26" t="s">
        <v>121</v>
      </c>
      <c r="AF21" s="100">
        <f t="shared" ca="1" si="8"/>
        <v>100</v>
      </c>
      <c r="AG21" s="100">
        <f t="shared" ca="1" si="16"/>
        <v>100</v>
      </c>
      <c r="AH21" s="101" t="str">
        <f ca="1">IFERROR((AL21/S21)*100,"")</f>
        <v/>
      </c>
      <c r="AI21" s="101" t="str">
        <f t="shared" si="6"/>
        <v/>
      </c>
      <c r="AJ21" s="59" t="s">
        <v>8833</v>
      </c>
      <c r="AK21" s="54"/>
      <c r="AL21" s="54" t="str">
        <f ca="1">IFERROR((S21/P21)*(TODAY()-#REF!),"")</f>
        <v/>
      </c>
      <c r="AM21" s="53"/>
    </row>
    <row r="22" spans="1:88" ht="39.75" customHeight="1">
      <c r="A22" s="247" t="s">
        <v>8834</v>
      </c>
      <c r="B22" s="17" t="s">
        <v>5814</v>
      </c>
      <c r="C22" s="17" t="s">
        <v>8835</v>
      </c>
      <c r="D22" s="17" t="s">
        <v>106</v>
      </c>
      <c r="E22" s="17" t="s">
        <v>1426</v>
      </c>
      <c r="F22" s="17" t="s">
        <v>1427</v>
      </c>
      <c r="G22" s="16" t="s">
        <v>8836</v>
      </c>
      <c r="H22" s="16" t="s">
        <v>8837</v>
      </c>
      <c r="I22" s="58" t="s">
        <v>8838</v>
      </c>
      <c r="J22" s="58">
        <v>45603</v>
      </c>
      <c r="K22" s="27">
        <v>44764</v>
      </c>
      <c r="L22" s="58">
        <v>44784</v>
      </c>
      <c r="M22" s="27">
        <v>44764</v>
      </c>
      <c r="N22" s="58">
        <v>44784</v>
      </c>
      <c r="O22" s="58">
        <v>44925</v>
      </c>
      <c r="P22" s="54">
        <f t="shared" ref="P22:P33" si="18">N22-L22</f>
        <v>0</v>
      </c>
      <c r="Q22" s="54"/>
      <c r="R22" s="54"/>
      <c r="S22" s="57"/>
      <c r="T22" s="57"/>
      <c r="U22" s="71"/>
      <c r="V22" s="56"/>
      <c r="W22" s="17" t="s">
        <v>116</v>
      </c>
      <c r="X22" s="23" t="str">
        <f>IFERROR(VLOOKUP(W22,Listas!$A$1:$C$13,2,FALSE),"")</f>
        <v>FREDY CÉSPEDES VILLA</v>
      </c>
      <c r="Y22" s="23">
        <f>IFERROR(VLOOKUP(W22,Listas!$A$1:$C$13,3,FALSE),"")</f>
        <v>93363483</v>
      </c>
      <c r="Z22" s="17" t="s">
        <v>116</v>
      </c>
      <c r="AA22" s="17" t="s">
        <v>659</v>
      </c>
      <c r="AB22" s="23" t="str">
        <f>IFERROR(VLOOKUP(AA22,Listas!$AD$1:$AF$65,2,FALSE),"")</f>
        <v>TATIANA FORERO TORRES</v>
      </c>
      <c r="AC22" s="23">
        <f>IFERROR(VLOOKUP(AA22,Listas!$AD$1:$AF$65,3,FALSE),"")</f>
        <v>1072446921</v>
      </c>
      <c r="AD22" s="26" t="s">
        <v>347</v>
      </c>
      <c r="AE22" s="26" t="s">
        <v>121</v>
      </c>
      <c r="AF22" s="100">
        <f t="shared" ca="1" si="8"/>
        <v>100</v>
      </c>
      <c r="AG22" s="100">
        <f t="shared" ca="1" si="16"/>
        <v>100</v>
      </c>
      <c r="AH22" s="101" t="str">
        <f t="shared" ref="AH22:AH30" ca="1" si="19">IFERROR((AL22/V22)*100,"")</f>
        <v/>
      </c>
      <c r="AI22" s="101" t="str">
        <f t="shared" si="6"/>
        <v/>
      </c>
      <c r="AJ22" s="59"/>
      <c r="AK22" s="54"/>
      <c r="AL22" s="54" t="str">
        <f t="shared" ref="AL22:AL26" ca="1" si="20">IFERROR((V22/P22)*(TODAY()-L22),"")</f>
        <v/>
      </c>
      <c r="AM22" s="53"/>
    </row>
    <row r="23" spans="1:88" ht="39.75" customHeight="1">
      <c r="A23" s="54"/>
      <c r="B23" s="17" t="s">
        <v>5814</v>
      </c>
      <c r="C23" s="17"/>
      <c r="D23" s="17"/>
      <c r="E23" s="17"/>
      <c r="F23" s="17"/>
      <c r="G23" s="16"/>
      <c r="H23" s="16"/>
      <c r="I23" s="16" t="s">
        <v>8838</v>
      </c>
      <c r="J23" s="58"/>
      <c r="K23" s="58"/>
      <c r="L23" s="58"/>
      <c r="M23" s="27"/>
      <c r="N23" s="58"/>
      <c r="O23" s="54"/>
      <c r="P23" s="54">
        <f t="shared" si="18"/>
        <v>0</v>
      </c>
      <c r="Q23" s="54"/>
      <c r="R23" s="54"/>
      <c r="S23" s="57"/>
      <c r="T23" s="57"/>
      <c r="U23" s="71"/>
      <c r="V23" s="56"/>
      <c r="W23" s="17"/>
      <c r="X23" s="23" t="str">
        <f>IFERROR(VLOOKUP(W23,Listas!$A$1:$C$13,2,FALSE),"")</f>
        <v/>
      </c>
      <c r="Y23" s="23" t="str">
        <f>IFERROR(VLOOKUP(W23,Listas!$A$1:$C$13,3,FALSE),"")</f>
        <v/>
      </c>
      <c r="Z23" s="17"/>
      <c r="AA23" s="17"/>
      <c r="AB23" s="23" t="str">
        <f>IFERROR(VLOOKUP(AA23,Listas!$AD$1:$AF$65,2,FALSE),"")</f>
        <v/>
      </c>
      <c r="AC23" s="23" t="str">
        <f>IFERROR(VLOOKUP(AA23,Listas!$AD$1:$AF$65,3,FALSE),"")</f>
        <v/>
      </c>
      <c r="AD23" s="26"/>
      <c r="AE23" s="26"/>
      <c r="AF23" s="100">
        <f t="shared" ca="1" si="8"/>
        <v>100</v>
      </c>
      <c r="AG23" s="100">
        <f t="shared" ca="1" si="16"/>
        <v>100</v>
      </c>
      <c r="AH23" s="101" t="str">
        <f t="shared" ca="1" si="19"/>
        <v/>
      </c>
      <c r="AI23" s="101" t="str">
        <f t="shared" si="6"/>
        <v/>
      </c>
      <c r="AJ23" s="59"/>
      <c r="AK23" s="54"/>
      <c r="AL23" s="54" t="str">
        <f t="shared" ca="1" si="20"/>
        <v/>
      </c>
      <c r="AM23" s="53"/>
    </row>
    <row r="24" spans="1:88" s="88" customFormat="1" ht="39.75" customHeight="1">
      <c r="A24" s="54" t="s">
        <v>8839</v>
      </c>
      <c r="B24" s="17" t="s">
        <v>8752</v>
      </c>
      <c r="C24" s="17"/>
      <c r="D24" s="17" t="s">
        <v>8840</v>
      </c>
      <c r="E24" s="17" t="s">
        <v>1426</v>
      </c>
      <c r="F24" s="17" t="s">
        <v>1427</v>
      </c>
      <c r="G24" s="16" t="s">
        <v>8841</v>
      </c>
      <c r="H24" s="16" t="s">
        <v>8842</v>
      </c>
      <c r="I24" s="16" t="s">
        <v>8843</v>
      </c>
      <c r="J24" s="58"/>
      <c r="K24" s="262">
        <v>45075</v>
      </c>
      <c r="L24" s="262">
        <v>45078</v>
      </c>
      <c r="M24" s="262">
        <v>46172</v>
      </c>
      <c r="N24" s="58"/>
      <c r="O24" s="54"/>
      <c r="P24" s="54">
        <f t="shared" si="18"/>
        <v>-45078</v>
      </c>
      <c r="Q24" s="54"/>
      <c r="R24" s="174" t="s">
        <v>8844</v>
      </c>
      <c r="S24" s="57">
        <f>T24+V24</f>
        <v>9115358100</v>
      </c>
      <c r="T24" s="57">
        <v>541187114</v>
      </c>
      <c r="U24" s="71"/>
      <c r="V24" s="56">
        <v>8574170986</v>
      </c>
      <c r="W24" s="17" t="s">
        <v>116</v>
      </c>
      <c r="X24" s="23" t="s">
        <v>4078</v>
      </c>
      <c r="Y24" s="23">
        <v>93363483</v>
      </c>
      <c r="Z24" s="17" t="s">
        <v>116</v>
      </c>
      <c r="AA24" s="17" t="s">
        <v>940</v>
      </c>
      <c r="AB24" s="23" t="str">
        <f>IFERROR(VLOOKUP(AA24,Listas!$AD$1:$AF$65,2,FALSE),"")</f>
        <v>GERARDO ALONSO RODRÍGUEZ PINEDA</v>
      </c>
      <c r="AC24" s="23">
        <f>IFERROR(VLOOKUP(AA24,Listas!$AD$1:$AF$65,3,FALSE),"")</f>
        <v>79466595</v>
      </c>
      <c r="AD24" s="26"/>
      <c r="AE24" s="26" t="s">
        <v>121</v>
      </c>
      <c r="AF24" s="100">
        <f ca="1">IF(TODAY()&gt;K24,1,+(DAYS360(#REF!,TODAY())/DAYS360(#REF!,K24)))*100</f>
        <v>100</v>
      </c>
      <c r="AG24" s="100">
        <f ca="1">+IF(AK24&gt;0,DAYS360(#REF!,AK24)/DAYS360(#REF!,K24),AF24)</f>
        <v>100</v>
      </c>
      <c r="AH24" s="101" t="str">
        <f t="shared" ca="1" si="19"/>
        <v/>
      </c>
      <c r="AI24" s="101">
        <f t="shared" si="6"/>
        <v>57.929071079992099</v>
      </c>
      <c r="AJ24" s="59">
        <v>4966937605</v>
      </c>
      <c r="AK24" s="54"/>
      <c r="AL24" s="54" t="str">
        <f ca="1">IFERROR((V24/P24)*(TODAY()-#REF!),"")</f>
        <v/>
      </c>
      <c r="AM24" s="53"/>
    </row>
    <row r="25" spans="1:88" s="88" customFormat="1" ht="45">
      <c r="A25" s="54" t="s">
        <v>2386</v>
      </c>
      <c r="B25" s="17" t="s">
        <v>8745</v>
      </c>
      <c r="C25" s="17" t="s">
        <v>104</v>
      </c>
      <c r="D25" s="17" t="s">
        <v>106</v>
      </c>
      <c r="E25" s="17" t="s">
        <v>107</v>
      </c>
      <c r="F25" s="17" t="s">
        <v>108</v>
      </c>
      <c r="G25" s="16">
        <v>52816943</v>
      </c>
      <c r="H25" s="16" t="s">
        <v>2388</v>
      </c>
      <c r="I25" s="16" t="s">
        <v>2389</v>
      </c>
      <c r="J25" s="58">
        <v>45622</v>
      </c>
      <c r="K25" s="262">
        <v>45314</v>
      </c>
      <c r="L25" s="262">
        <v>45314</v>
      </c>
      <c r="M25" s="262">
        <v>45626</v>
      </c>
      <c r="N25" s="58">
        <v>45626</v>
      </c>
      <c r="O25" s="54">
        <v>312</v>
      </c>
      <c r="P25" s="54">
        <f>N25-L25</f>
        <v>312</v>
      </c>
      <c r="Q25" s="54"/>
      <c r="R25" s="174"/>
      <c r="S25" s="57">
        <f>T25+V25</f>
        <v>156490000</v>
      </c>
      <c r="T25" s="57">
        <v>13750000</v>
      </c>
      <c r="U25" s="71"/>
      <c r="V25" s="56">
        <v>142740000</v>
      </c>
      <c r="W25" s="17" t="s">
        <v>116</v>
      </c>
      <c r="X25" s="23" t="s">
        <v>4078</v>
      </c>
      <c r="Y25" s="23">
        <v>93363483</v>
      </c>
      <c r="Z25" s="17" t="s">
        <v>816</v>
      </c>
      <c r="AA25" s="17" t="s">
        <v>1450</v>
      </c>
      <c r="AB25" s="23" t="s">
        <v>8845</v>
      </c>
      <c r="AC25" s="23">
        <v>52423537</v>
      </c>
      <c r="AD25" s="26"/>
      <c r="AE25" s="26" t="s">
        <v>121</v>
      </c>
      <c r="AF25" s="100">
        <f ca="1">IF(TODAY()&gt;N25,1,+(DAYS360(L25,TODAY())/DAYS360(L25,N25)))*100</f>
        <v>100</v>
      </c>
      <c r="AG25" s="100">
        <f ca="1">+IF(AK25&gt;0,DAYS360(L25,AK25)/DAYS360(L25,N25),AF25)</f>
        <v>100</v>
      </c>
      <c r="AH25" s="101">
        <f ca="1">IFERROR((AL25/V25)*100,"")</f>
        <v>203.84615384615384</v>
      </c>
      <c r="AI25" s="101">
        <f>IFERROR((AJ25/V25)*100,"")</f>
        <v>0</v>
      </c>
      <c r="AJ25" s="59"/>
      <c r="AK25" s="54"/>
      <c r="AL25" s="54">
        <f ca="1">IFERROR((V25/P25)*(TODAY()-L25),"")</f>
        <v>290970000</v>
      </c>
      <c r="AM25" s="53"/>
    </row>
    <row r="26" spans="1:88" s="88" customFormat="1" ht="39.75" customHeight="1">
      <c r="A26" s="237" t="s">
        <v>8846</v>
      </c>
      <c r="B26" s="17" t="s">
        <v>8739</v>
      </c>
      <c r="C26" s="17" t="s">
        <v>104</v>
      </c>
      <c r="D26" s="17" t="s">
        <v>3178</v>
      </c>
      <c r="E26" s="17" t="s">
        <v>1426</v>
      </c>
      <c r="F26" s="17" t="s">
        <v>1427</v>
      </c>
      <c r="G26" s="16" t="s">
        <v>3179</v>
      </c>
      <c r="H26" s="16" t="s">
        <v>8847</v>
      </c>
      <c r="I26" s="16" t="s">
        <v>3182</v>
      </c>
      <c r="J26" s="58">
        <v>45644</v>
      </c>
      <c r="K26" s="262">
        <v>45321</v>
      </c>
      <c r="L26" s="262">
        <v>45328</v>
      </c>
      <c r="M26" s="262">
        <v>45656</v>
      </c>
      <c r="N26" s="58">
        <v>45656</v>
      </c>
      <c r="O26" s="54">
        <v>336</v>
      </c>
      <c r="P26" s="54">
        <f t="shared" si="18"/>
        <v>328</v>
      </c>
      <c r="Q26" s="54"/>
      <c r="R26" s="174"/>
      <c r="S26" s="57"/>
      <c r="T26" s="57"/>
      <c r="U26" s="71"/>
      <c r="V26" s="56">
        <v>700000000</v>
      </c>
      <c r="W26" s="17" t="s">
        <v>116</v>
      </c>
      <c r="X26" s="23" t="s">
        <v>4078</v>
      </c>
      <c r="Y26" s="23">
        <v>93363483</v>
      </c>
      <c r="Z26" s="17" t="s">
        <v>607</v>
      </c>
      <c r="AA26" s="17" t="s">
        <v>1155</v>
      </c>
      <c r="AB26" s="23" t="s">
        <v>8848</v>
      </c>
      <c r="AC26" s="23">
        <v>53062608</v>
      </c>
      <c r="AD26" s="26"/>
      <c r="AE26" s="26" t="s">
        <v>121</v>
      </c>
      <c r="AF26" s="100">
        <f t="shared" ref="AF26:AF31" ca="1" si="21">IF(TODAY()&gt;N26,1,+(DAYS360(L26,TODAY())/DAYS360(L26,N26)))*100</f>
        <v>100</v>
      </c>
      <c r="AG26" s="100">
        <f t="shared" ca="1" si="16"/>
        <v>100</v>
      </c>
      <c r="AH26" s="101">
        <f t="shared" ca="1" si="19"/>
        <v>189.63414634146341</v>
      </c>
      <c r="AI26" s="101">
        <f t="shared" si="6"/>
        <v>100</v>
      </c>
      <c r="AJ26" s="59">
        <v>700000000</v>
      </c>
      <c r="AK26" s="54"/>
      <c r="AL26" s="54">
        <f t="shared" ca="1" si="20"/>
        <v>1327439024.3902438</v>
      </c>
      <c r="AM26" s="53"/>
      <c r="AN26" s="237"/>
      <c r="AO26" s="17"/>
      <c r="AP26" s="17"/>
      <c r="AQ26" s="17"/>
      <c r="AR26" s="17"/>
      <c r="AS26" s="17"/>
      <c r="AT26" s="16"/>
      <c r="AU26" s="16"/>
      <c r="AV26" s="16"/>
      <c r="AW26" s="58"/>
      <c r="AX26" s="262"/>
      <c r="AY26" s="262"/>
      <c r="AZ26" s="262"/>
      <c r="BB26" s="54"/>
      <c r="BC26" s="54"/>
      <c r="BD26" s="54"/>
      <c r="BE26" s="174"/>
      <c r="BF26" s="57"/>
      <c r="BG26" s="57"/>
      <c r="BH26" s="71"/>
      <c r="BI26" s="56"/>
      <c r="BJ26" s="17"/>
      <c r="BK26" s="23"/>
      <c r="BL26" s="23"/>
      <c r="BM26" s="17"/>
      <c r="BN26" s="17"/>
      <c r="BO26" s="23"/>
      <c r="BP26" s="23"/>
      <c r="BQ26" s="26"/>
      <c r="BR26" s="26"/>
      <c r="BS26" s="100"/>
      <c r="BT26" s="100"/>
      <c r="BU26" s="101"/>
      <c r="BV26" s="101"/>
      <c r="BW26" s="59"/>
      <c r="BX26" s="54"/>
      <c r="BY26" s="54"/>
      <c r="BZ26" s="53"/>
      <c r="CA26" s="237"/>
      <c r="CB26" s="17"/>
      <c r="CC26" s="17"/>
      <c r="CD26" s="17"/>
      <c r="CE26" s="17"/>
      <c r="CF26" s="17"/>
      <c r="CG26" s="16"/>
      <c r="CH26" s="16"/>
      <c r="CI26" s="16"/>
      <c r="CJ26" s="58"/>
    </row>
    <row r="27" spans="1:88" s="88" customFormat="1" ht="39.75" customHeight="1">
      <c r="A27" s="237" t="s">
        <v>8849</v>
      </c>
      <c r="B27" s="17" t="s">
        <v>8739</v>
      </c>
      <c r="C27" s="17" t="s">
        <v>104</v>
      </c>
      <c r="D27" s="17" t="s">
        <v>106</v>
      </c>
      <c r="E27" s="17" t="s">
        <v>1426</v>
      </c>
      <c r="F27" s="17" t="s">
        <v>1427</v>
      </c>
      <c r="G27" s="16" t="s">
        <v>8850</v>
      </c>
      <c r="H27" s="16" t="s">
        <v>8851</v>
      </c>
      <c r="I27" s="190" t="s">
        <v>8852</v>
      </c>
      <c r="J27" s="58">
        <v>45639</v>
      </c>
      <c r="K27" s="262">
        <v>45282</v>
      </c>
      <c r="L27" s="262">
        <v>45282</v>
      </c>
      <c r="M27" s="262">
        <v>45647</v>
      </c>
      <c r="N27" s="58">
        <v>45829</v>
      </c>
      <c r="O27" s="54">
        <f t="shared" ref="O27:O43" si="22">M27-L27</f>
        <v>365</v>
      </c>
      <c r="P27" s="54">
        <f t="shared" si="18"/>
        <v>547</v>
      </c>
      <c r="Q27" s="54">
        <v>182</v>
      </c>
      <c r="R27" s="174" t="s">
        <v>1424</v>
      </c>
      <c r="S27" s="57">
        <v>0</v>
      </c>
      <c r="T27" s="57">
        <v>0</v>
      </c>
      <c r="U27" s="71">
        <v>0</v>
      </c>
      <c r="V27" s="56">
        <v>0</v>
      </c>
      <c r="W27" s="17" t="s">
        <v>116</v>
      </c>
      <c r="X27" s="23" t="str">
        <f>IFERROR(VLOOKUP(W27,Listas!$A$1:$C$13,2,FALSE),"")</f>
        <v>FREDY CÉSPEDES VILLA</v>
      </c>
      <c r="Y27" s="23">
        <f>IFERROR(VLOOKUP(W27,Listas!$A$1:$C$13,3,FALSE),"")</f>
        <v>93363483</v>
      </c>
      <c r="Z27" s="17" t="s">
        <v>116</v>
      </c>
      <c r="AA27" s="17" t="s">
        <v>659</v>
      </c>
      <c r="AB27" s="23" t="str">
        <f>IFERROR(VLOOKUP(AA27,Listas!$AD$1:$AF$65,2,FALSE),"")</f>
        <v>TATIANA FORERO TORRES</v>
      </c>
      <c r="AC27" s="23">
        <f>IFERROR(VLOOKUP(AA27,Listas!$AD$1:$AF$65,3,FALSE),"")</f>
        <v>1072446921</v>
      </c>
      <c r="AD27" s="26"/>
      <c r="AE27" s="26" t="s">
        <v>121</v>
      </c>
      <c r="AF27" s="100">
        <v>0</v>
      </c>
      <c r="AG27" s="100">
        <v>0</v>
      </c>
      <c r="AH27" s="101">
        <v>0</v>
      </c>
      <c r="AI27" s="101">
        <v>0</v>
      </c>
      <c r="AJ27" s="59">
        <v>0</v>
      </c>
      <c r="AK27" s="54"/>
      <c r="AL27" s="54">
        <f t="shared" ref="AL27:AL51" ca="1" si="23">IFERROR((V27/P27)*(TODAY()-L27),"")</f>
        <v>0</v>
      </c>
      <c r="AM27" s="53"/>
      <c r="AN27" s="237"/>
      <c r="AO27" s="17"/>
      <c r="AP27" s="17"/>
      <c r="AQ27" s="17"/>
      <c r="AR27" s="17"/>
      <c r="AS27" s="17"/>
      <c r="AT27" s="16"/>
      <c r="AU27" s="16"/>
      <c r="AV27" s="16"/>
      <c r="AW27" s="58"/>
      <c r="AX27" s="262"/>
      <c r="AY27" s="262"/>
      <c r="AZ27" s="262"/>
      <c r="BB27" s="54"/>
      <c r="BC27" s="54"/>
      <c r="BD27" s="54"/>
      <c r="BE27" s="174"/>
      <c r="BF27" s="57"/>
      <c r="BG27" s="57"/>
      <c r="BH27" s="71"/>
      <c r="BI27" s="56"/>
      <c r="BJ27" s="17"/>
      <c r="BK27" s="23"/>
      <c r="BL27" s="23"/>
      <c r="BM27" s="17"/>
      <c r="BN27" s="17"/>
      <c r="BO27" s="23"/>
      <c r="BP27" s="23"/>
      <c r="BQ27" s="26"/>
      <c r="BR27" s="26"/>
      <c r="BS27" s="100"/>
      <c r="BT27" s="100"/>
      <c r="BU27" s="101"/>
      <c r="BV27" s="101"/>
      <c r="BW27" s="59"/>
      <c r="BX27" s="54"/>
      <c r="BY27" s="54"/>
      <c r="BZ27" s="53"/>
      <c r="CA27" s="237"/>
      <c r="CB27" s="17"/>
      <c r="CC27" s="17"/>
      <c r="CD27" s="17"/>
      <c r="CE27" s="17"/>
      <c r="CF27" s="17"/>
      <c r="CG27" s="16"/>
      <c r="CH27" s="16"/>
      <c r="CI27" s="16"/>
      <c r="CJ27" s="58"/>
    </row>
    <row r="28" spans="1:88" s="88" customFormat="1" ht="39.75" customHeight="1">
      <c r="A28" s="237" t="s">
        <v>8780</v>
      </c>
      <c r="B28" s="17" t="s">
        <v>8745</v>
      </c>
      <c r="C28" s="17" t="s">
        <v>104</v>
      </c>
      <c r="D28" s="17" t="s">
        <v>106</v>
      </c>
      <c r="E28" s="17" t="s">
        <v>1426</v>
      </c>
      <c r="F28" s="17" t="s">
        <v>1427</v>
      </c>
      <c r="G28" s="16" t="s">
        <v>8800</v>
      </c>
      <c r="H28" s="16" t="s">
        <v>8853</v>
      </c>
      <c r="I28" s="16" t="s">
        <v>8817</v>
      </c>
      <c r="J28" s="58">
        <v>45646</v>
      </c>
      <c r="K28" s="262">
        <v>45002</v>
      </c>
      <c r="L28" s="262">
        <v>45002</v>
      </c>
      <c r="M28" s="262">
        <v>45646</v>
      </c>
      <c r="N28" s="58">
        <v>45653</v>
      </c>
      <c r="O28" s="54">
        <f t="shared" si="22"/>
        <v>644</v>
      </c>
      <c r="P28" s="54">
        <f t="shared" si="18"/>
        <v>651</v>
      </c>
      <c r="Q28" s="54">
        <v>7</v>
      </c>
      <c r="R28" s="174"/>
      <c r="S28" s="57">
        <f ca="1">T28+V28</f>
        <v>6470443087.7699995</v>
      </c>
      <c r="T28" s="57">
        <v>73773696.290000007</v>
      </c>
      <c r="U28" s="71"/>
      <c r="V28" s="57">
        <f ca="1">S28+T28</f>
        <v>6396669391.4799995</v>
      </c>
      <c r="W28" s="17" t="s">
        <v>116</v>
      </c>
      <c r="X28" s="23" t="str">
        <f>IFERROR(VLOOKUP(W28,Listas!$A$1:$C$13,2,FALSE),"")</f>
        <v>FREDY CÉSPEDES VILLA</v>
      </c>
      <c r="Y28" s="23">
        <f>IFERROR(VLOOKUP(W28,Listas!$A$1:$C$13,3,FALSE),"")</f>
        <v>93363483</v>
      </c>
      <c r="Z28" s="17" t="s">
        <v>116</v>
      </c>
      <c r="AA28" s="17" t="s">
        <v>659</v>
      </c>
      <c r="AB28" s="23" t="str">
        <f>IFERROR(VLOOKUP(AA28,Listas!$AD$1:$AF$65,2,FALSE),"")</f>
        <v>TATIANA FORERO TORRES</v>
      </c>
      <c r="AC28" s="23">
        <f>IFERROR(VLOOKUP(AA28,Listas!$AD$1:$AF$65,3,FALSE),"")</f>
        <v>1072446921</v>
      </c>
      <c r="AD28" s="26" t="s">
        <v>8785</v>
      </c>
      <c r="AE28" s="26" t="s">
        <v>121</v>
      </c>
      <c r="AF28" s="100">
        <f t="shared" ca="1" si="21"/>
        <v>100</v>
      </c>
      <c r="AG28" s="100">
        <f t="shared" ca="1" si="16"/>
        <v>100</v>
      </c>
      <c r="AH28" s="101" t="str">
        <f t="shared" ca="1" si="19"/>
        <v/>
      </c>
      <c r="AI28" s="101">
        <f t="shared" ca="1" si="6"/>
        <v>0</v>
      </c>
      <c r="AJ28" s="59">
        <v>6031097601</v>
      </c>
      <c r="AK28" s="54"/>
      <c r="AL28" s="54" t="str">
        <f t="shared" ca="1" si="23"/>
        <v/>
      </c>
      <c r="AM28" s="53"/>
      <c r="AN28" s="237"/>
      <c r="AO28" s="17"/>
      <c r="AP28" s="17"/>
      <c r="AQ28" s="17"/>
      <c r="AR28" s="17"/>
      <c r="AS28" s="17"/>
      <c r="AT28" s="16"/>
      <c r="AU28" s="16"/>
      <c r="AV28" s="16"/>
      <c r="AW28" s="58"/>
      <c r="AX28" s="262"/>
      <c r="AY28" s="262"/>
      <c r="AZ28" s="262"/>
      <c r="BB28" s="54"/>
      <c r="BC28" s="54"/>
      <c r="BD28" s="54"/>
      <c r="BE28" s="174"/>
      <c r="BF28" s="57"/>
      <c r="BG28" s="57"/>
      <c r="BH28" s="71"/>
      <c r="BI28" s="56"/>
      <c r="BJ28" s="17"/>
      <c r="BK28" s="23"/>
      <c r="BL28" s="23"/>
      <c r="BM28" s="17"/>
      <c r="BN28" s="17"/>
      <c r="BO28" s="23"/>
      <c r="BP28" s="23"/>
      <c r="BQ28" s="26"/>
      <c r="BR28" s="26"/>
      <c r="BS28" s="100"/>
      <c r="BT28" s="100"/>
      <c r="BU28" s="101"/>
      <c r="BV28" s="101"/>
      <c r="BW28" s="59"/>
      <c r="BX28" s="54"/>
      <c r="BY28" s="54"/>
      <c r="BZ28" s="53"/>
      <c r="CA28" s="237"/>
      <c r="CB28" s="17"/>
      <c r="CC28" s="17"/>
      <c r="CD28" s="17"/>
      <c r="CE28" s="17"/>
      <c r="CF28" s="17"/>
      <c r="CG28" s="16"/>
      <c r="CH28" s="16"/>
      <c r="CI28" s="16"/>
      <c r="CJ28" s="58"/>
    </row>
    <row r="29" spans="1:88" s="88" customFormat="1" ht="39.75" customHeight="1">
      <c r="A29" s="237" t="s">
        <v>5618</v>
      </c>
      <c r="B29" s="17" t="s">
        <v>8739</v>
      </c>
      <c r="C29" s="17" t="s">
        <v>104</v>
      </c>
      <c r="D29" s="17" t="s">
        <v>106</v>
      </c>
      <c r="E29" s="17" t="s">
        <v>1426</v>
      </c>
      <c r="F29" s="17" t="s">
        <v>1427</v>
      </c>
      <c r="G29" s="16" t="s">
        <v>5620</v>
      </c>
      <c r="H29" s="16" t="s">
        <v>8854</v>
      </c>
      <c r="I29" s="16" t="s">
        <v>5623</v>
      </c>
      <c r="J29" s="58">
        <v>45657</v>
      </c>
      <c r="K29" s="262">
        <v>45366</v>
      </c>
      <c r="L29" s="262">
        <v>45366</v>
      </c>
      <c r="M29" s="262">
        <v>45657</v>
      </c>
      <c r="N29" s="58">
        <v>45930</v>
      </c>
      <c r="O29" s="54">
        <f>M29-L29</f>
        <v>291</v>
      </c>
      <c r="P29" s="54">
        <f t="shared" si="18"/>
        <v>564</v>
      </c>
      <c r="Q29" s="54">
        <v>273</v>
      </c>
      <c r="R29" s="117" t="s">
        <v>5624</v>
      </c>
      <c r="S29" s="57">
        <v>0</v>
      </c>
      <c r="T29" s="57">
        <v>0</v>
      </c>
      <c r="U29" s="71">
        <v>0</v>
      </c>
      <c r="V29" s="56">
        <v>49504000</v>
      </c>
      <c r="W29" s="17" t="s">
        <v>116</v>
      </c>
      <c r="X29" s="23" t="s">
        <v>4078</v>
      </c>
      <c r="Y29" s="23">
        <v>93363483</v>
      </c>
      <c r="Z29" s="17" t="s">
        <v>217</v>
      </c>
      <c r="AA29" s="17" t="s">
        <v>265</v>
      </c>
      <c r="AB29" s="23" t="s">
        <v>8855</v>
      </c>
      <c r="AC29" s="23">
        <v>2231755</v>
      </c>
      <c r="AD29" s="26"/>
      <c r="AE29" s="26" t="s">
        <v>121</v>
      </c>
      <c r="AF29" s="100">
        <f ca="1">IF(TODAY()&gt;N29,1,+(DAYS360(L29,TODAY())/DAYS360(L29,N29)))*100</f>
        <v>100</v>
      </c>
      <c r="AG29" s="100">
        <f ca="1">+IF(AK29&gt;0,DAYS360(L29,AK29)/DAYS360(L29,N29),AF29)</f>
        <v>100</v>
      </c>
      <c r="AH29" s="101">
        <f ca="1">IFERROR((AL29/V29)*100,"")</f>
        <v>103.54609929078013</v>
      </c>
      <c r="AI29" s="101">
        <v>53</v>
      </c>
      <c r="AJ29" s="59"/>
      <c r="AK29" s="54"/>
      <c r="AL29" s="54">
        <f ca="1">IFERROR((V29/P29)*(TODAY()-L29),"")</f>
        <v>51259460.9929078</v>
      </c>
      <c r="AM29" s="53"/>
      <c r="AN29" s="237"/>
      <c r="AO29" s="17"/>
      <c r="AP29" s="17"/>
      <c r="AQ29" s="17"/>
      <c r="AR29" s="17"/>
      <c r="AS29" s="17"/>
      <c r="AT29" s="16"/>
      <c r="AU29" s="16"/>
      <c r="AV29" s="16"/>
      <c r="AW29" s="58"/>
      <c r="AX29" s="262"/>
      <c r="AY29" s="262"/>
      <c r="AZ29" s="262"/>
      <c r="BB29" s="54"/>
      <c r="BC29" s="54"/>
      <c r="BD29" s="54"/>
      <c r="BE29" s="174"/>
      <c r="BF29" s="57"/>
      <c r="BG29" s="57"/>
      <c r="BH29" s="71"/>
      <c r="BI29" s="56"/>
      <c r="BJ29" s="17"/>
      <c r="BK29" s="23"/>
      <c r="BL29" s="23"/>
      <c r="BM29" s="17"/>
      <c r="BN29" s="17"/>
      <c r="BO29" s="23"/>
      <c r="BP29" s="23"/>
      <c r="BQ29" s="26"/>
      <c r="BR29" s="26"/>
      <c r="BS29" s="100"/>
      <c r="BT29" s="100"/>
      <c r="BU29" s="101"/>
      <c r="BV29" s="101"/>
      <c r="BW29" s="59"/>
      <c r="BX29" s="54"/>
      <c r="BY29" s="54"/>
      <c r="BZ29" s="53"/>
      <c r="CA29" s="237"/>
      <c r="CB29" s="17"/>
      <c r="CC29" s="17"/>
      <c r="CD29" s="17"/>
      <c r="CE29" s="17"/>
      <c r="CF29" s="17"/>
      <c r="CG29" s="16"/>
      <c r="CH29" s="16"/>
      <c r="CI29" s="16"/>
      <c r="CJ29" s="58"/>
    </row>
    <row r="30" spans="1:88" s="88" customFormat="1" ht="39.75" customHeight="1">
      <c r="A30" s="237" t="s">
        <v>5707</v>
      </c>
      <c r="B30" s="17" t="s">
        <v>8739</v>
      </c>
      <c r="C30" s="17" t="s">
        <v>104</v>
      </c>
      <c r="D30" s="17" t="s">
        <v>4162</v>
      </c>
      <c r="E30" s="17" t="s">
        <v>1426</v>
      </c>
      <c r="F30" s="17" t="s">
        <v>1427</v>
      </c>
      <c r="G30" s="16" t="s">
        <v>5709</v>
      </c>
      <c r="H30" s="16" t="s">
        <v>8856</v>
      </c>
      <c r="I30" s="16" t="s">
        <v>5712</v>
      </c>
      <c r="J30" s="58">
        <v>45657</v>
      </c>
      <c r="K30" s="262">
        <v>45386</v>
      </c>
      <c r="L30" s="262">
        <v>45387</v>
      </c>
      <c r="M30" s="262">
        <v>45657</v>
      </c>
      <c r="N30" s="58">
        <v>45930</v>
      </c>
      <c r="O30" s="54">
        <v>270</v>
      </c>
      <c r="P30" s="54">
        <f t="shared" si="18"/>
        <v>543</v>
      </c>
      <c r="Q30" s="54">
        <v>273</v>
      </c>
      <c r="R30" s="174"/>
      <c r="S30" s="57">
        <v>0</v>
      </c>
      <c r="T30" s="57">
        <v>0</v>
      </c>
      <c r="U30" s="71">
        <v>0</v>
      </c>
      <c r="V30" s="56">
        <v>99973388</v>
      </c>
      <c r="W30" s="17" t="s">
        <v>116</v>
      </c>
      <c r="X30" s="23" t="s">
        <v>8855</v>
      </c>
      <c r="Y30" s="23">
        <v>2231755</v>
      </c>
      <c r="Z30" s="17" t="s">
        <v>217</v>
      </c>
      <c r="AA30" s="17" t="s">
        <v>539</v>
      </c>
      <c r="AB30" s="23" t="s">
        <v>8857</v>
      </c>
      <c r="AC30" s="23">
        <v>52049845</v>
      </c>
      <c r="AD30" s="26"/>
      <c r="AE30" s="26" t="s">
        <v>121</v>
      </c>
      <c r="AF30" s="100">
        <f t="shared" ca="1" si="21"/>
        <v>100</v>
      </c>
      <c r="AG30" s="100">
        <f t="shared" ref="AG30:AG31" ca="1" si="24">+IF(AK30&gt;0,DAYS360(L30,AK30)/DAYS360(L30,N30),AF30)</f>
        <v>100</v>
      </c>
      <c r="AH30" s="101">
        <f t="shared" ca="1" si="19"/>
        <v>103.68324125230204</v>
      </c>
      <c r="AI30" s="101">
        <f t="shared" si="6"/>
        <v>0</v>
      </c>
      <c r="AJ30" s="59">
        <v>0</v>
      </c>
      <c r="AK30" s="54"/>
      <c r="AL30" s="54">
        <f t="shared" ca="1" si="23"/>
        <v>103655649.06813997</v>
      </c>
      <c r="AM30" s="53"/>
      <c r="AN30" s="237"/>
      <c r="AO30" s="17"/>
      <c r="AP30" s="17"/>
      <c r="AQ30" s="17"/>
      <c r="AR30" s="17"/>
      <c r="AS30" s="17"/>
      <c r="AT30" s="16"/>
      <c r="AU30" s="16"/>
      <c r="AV30" s="16"/>
      <c r="AW30" s="58"/>
      <c r="AX30" s="262"/>
      <c r="AY30" s="262"/>
      <c r="AZ30" s="262"/>
      <c r="BB30" s="54"/>
      <c r="BC30" s="54"/>
      <c r="BD30" s="54"/>
      <c r="BE30" s="174"/>
      <c r="BF30" s="57"/>
      <c r="BG30" s="57"/>
      <c r="BH30" s="71"/>
      <c r="BI30" s="56"/>
      <c r="BJ30" s="17"/>
      <c r="BK30" s="23"/>
      <c r="BL30" s="23"/>
      <c r="BM30" s="17"/>
      <c r="BN30" s="17"/>
      <c r="BO30" s="23"/>
      <c r="BP30" s="23"/>
      <c r="BQ30" s="26"/>
      <c r="BR30" s="26"/>
      <c r="BS30" s="100"/>
      <c r="BT30" s="100"/>
      <c r="BU30" s="101"/>
      <c r="BV30" s="101"/>
      <c r="BW30" s="59"/>
      <c r="BX30" s="54"/>
      <c r="BY30" s="54"/>
      <c r="BZ30" s="53"/>
      <c r="CA30" s="237"/>
      <c r="CB30" s="17"/>
      <c r="CC30" s="17"/>
      <c r="CD30" s="17"/>
      <c r="CE30" s="17"/>
      <c r="CF30" s="17"/>
      <c r="CG30" s="16"/>
      <c r="CH30" s="16"/>
      <c r="CI30" s="16"/>
      <c r="CJ30" s="58"/>
    </row>
    <row r="31" spans="1:88" s="88" customFormat="1" ht="39.75" customHeight="1">
      <c r="A31" s="237" t="s">
        <v>6936</v>
      </c>
      <c r="B31" s="17" t="s">
        <v>8752</v>
      </c>
      <c r="C31" s="17" t="s">
        <v>104</v>
      </c>
      <c r="D31" s="17" t="s">
        <v>106</v>
      </c>
      <c r="E31" s="17" t="s">
        <v>107</v>
      </c>
      <c r="F31" s="17" t="s">
        <v>108</v>
      </c>
      <c r="G31" s="16" t="s">
        <v>6938</v>
      </c>
      <c r="H31" s="16" t="s">
        <v>8858</v>
      </c>
      <c r="I31" s="16" t="s">
        <v>6940</v>
      </c>
      <c r="J31" s="58">
        <v>45653</v>
      </c>
      <c r="K31" s="262">
        <v>45546</v>
      </c>
      <c r="L31" s="262">
        <v>45553</v>
      </c>
      <c r="M31" s="262">
        <v>45656</v>
      </c>
      <c r="N31" s="58">
        <v>45656</v>
      </c>
      <c r="O31" s="54">
        <v>110</v>
      </c>
      <c r="P31" s="54">
        <f t="shared" si="18"/>
        <v>103</v>
      </c>
      <c r="Q31" s="54"/>
      <c r="R31" s="174"/>
      <c r="S31" s="57">
        <f>T31+V31</f>
        <v>10753000</v>
      </c>
      <c r="T31" s="57">
        <v>1501100</v>
      </c>
      <c r="U31" s="71"/>
      <c r="V31" s="56">
        <v>9251900</v>
      </c>
      <c r="W31" s="17" t="s">
        <v>116</v>
      </c>
      <c r="X31" s="23" t="s">
        <v>4078</v>
      </c>
      <c r="Y31" s="23">
        <v>93363483</v>
      </c>
      <c r="Z31" s="17" t="s">
        <v>116</v>
      </c>
      <c r="AA31" s="17" t="s">
        <v>659</v>
      </c>
      <c r="AB31" s="23" t="s">
        <v>8859</v>
      </c>
      <c r="AC31" s="23">
        <v>1072446921</v>
      </c>
      <c r="AD31" s="26"/>
      <c r="AE31" s="26" t="s">
        <v>121</v>
      </c>
      <c r="AF31" s="100">
        <f t="shared" ca="1" si="21"/>
        <v>100</v>
      </c>
      <c r="AG31" s="100">
        <f t="shared" ca="1" si="24"/>
        <v>100</v>
      </c>
      <c r="AH31" s="101">
        <v>100</v>
      </c>
      <c r="AI31" s="101">
        <v>100</v>
      </c>
      <c r="AJ31" s="59"/>
      <c r="AK31" s="54"/>
      <c r="AL31" s="54">
        <f t="shared" ca="1" si="23"/>
        <v>35660235.922330096</v>
      </c>
      <c r="AM31" s="53"/>
      <c r="AN31" s="237"/>
      <c r="AO31" s="17"/>
      <c r="AP31" s="17"/>
      <c r="AQ31" s="17"/>
      <c r="AR31" s="17"/>
      <c r="AS31" s="17"/>
      <c r="AT31" s="16"/>
      <c r="AU31" s="16"/>
      <c r="AV31" s="16"/>
      <c r="AW31" s="58"/>
      <c r="AX31" s="262"/>
      <c r="AY31" s="262"/>
      <c r="AZ31" s="262"/>
      <c r="BB31" s="54"/>
      <c r="BC31" s="54"/>
      <c r="BD31" s="54"/>
      <c r="BE31" s="174"/>
      <c r="BF31" s="57"/>
      <c r="BG31" s="57"/>
      <c r="BH31" s="71"/>
      <c r="BI31" s="56"/>
      <c r="BJ31" s="17"/>
      <c r="BK31" s="23"/>
      <c r="BL31" s="23"/>
      <c r="BM31" s="17"/>
      <c r="BN31" s="17"/>
      <c r="BO31" s="23"/>
      <c r="BP31" s="23"/>
      <c r="BQ31" s="26"/>
      <c r="BR31" s="26"/>
      <c r="BS31" s="100"/>
      <c r="BT31" s="100"/>
      <c r="BU31" s="101"/>
      <c r="BV31" s="101"/>
      <c r="BW31" s="59"/>
      <c r="BX31" s="54"/>
      <c r="BY31" s="54"/>
      <c r="BZ31" s="53"/>
      <c r="CA31" s="237"/>
      <c r="CB31" s="17"/>
      <c r="CC31" s="17"/>
      <c r="CD31" s="17"/>
      <c r="CE31" s="17"/>
      <c r="CF31" s="17"/>
      <c r="CG31" s="16"/>
      <c r="CH31" s="16"/>
      <c r="CI31" s="16"/>
      <c r="CJ31" s="58"/>
    </row>
    <row r="32" spans="1:88" s="88" customFormat="1" ht="39.75" customHeight="1">
      <c r="A32" s="237" t="s">
        <v>8860</v>
      </c>
      <c r="B32" s="17" t="s">
        <v>8752</v>
      </c>
      <c r="C32" s="17" t="s">
        <v>104</v>
      </c>
      <c r="D32" s="17" t="s">
        <v>106</v>
      </c>
      <c r="E32" s="17" t="s">
        <v>107</v>
      </c>
      <c r="F32" s="17" t="s">
        <v>108</v>
      </c>
      <c r="G32" s="16">
        <v>1118842413</v>
      </c>
      <c r="H32" s="16" t="s">
        <v>6089</v>
      </c>
      <c r="I32" s="16" t="s">
        <v>6090</v>
      </c>
      <c r="J32" s="58">
        <v>45653</v>
      </c>
      <c r="K32" s="262">
        <v>45426</v>
      </c>
      <c r="L32" s="262">
        <v>45428</v>
      </c>
      <c r="M32" s="262">
        <v>45657</v>
      </c>
      <c r="N32" s="58">
        <v>45657</v>
      </c>
      <c r="O32" s="54">
        <v>229</v>
      </c>
      <c r="P32" s="54">
        <f t="shared" si="18"/>
        <v>229</v>
      </c>
      <c r="Q32" s="54"/>
      <c r="R32" s="174"/>
      <c r="S32" s="57">
        <f>T32+V32</f>
        <v>87325627</v>
      </c>
      <c r="T32" s="57">
        <v>5821708</v>
      </c>
      <c r="U32" s="71"/>
      <c r="V32" s="56">
        <v>81503919</v>
      </c>
      <c r="W32" s="17" t="s">
        <v>116</v>
      </c>
      <c r="X32" s="23" t="s">
        <v>4078</v>
      </c>
      <c r="Y32" s="23">
        <v>93363483</v>
      </c>
      <c r="Z32" s="17" t="s">
        <v>304</v>
      </c>
      <c r="AA32" s="17" t="s">
        <v>305</v>
      </c>
      <c r="AB32" s="23" t="s">
        <v>8861</v>
      </c>
      <c r="AC32" s="23">
        <v>80505520</v>
      </c>
      <c r="AD32" s="26"/>
      <c r="AE32" s="26" t="s">
        <v>121</v>
      </c>
      <c r="AF32" s="100">
        <f t="shared" ref="AF32:AF43" ca="1" si="25">IF(TODAY()&gt;N32,1,+(DAYS360(L32,TODAY())/DAYS360(L32,N32)))*100</f>
        <v>100</v>
      </c>
      <c r="AG32" s="100">
        <f t="shared" ref="AG32:AG37" ca="1" si="26">+IF(AK32&gt;0,DAYS360(L32,AK32)/DAYS360(L32,N32),AF32)</f>
        <v>100</v>
      </c>
      <c r="AH32" s="101">
        <f t="shared" ref="AH32:AH41" ca="1" si="27">IFERROR((AL32/V32)*100,"")</f>
        <v>227.94759825327512</v>
      </c>
      <c r="AI32" s="101">
        <f t="shared" si="6"/>
        <v>107.1428565293897</v>
      </c>
      <c r="AJ32" s="59">
        <v>87325627</v>
      </c>
      <c r="AK32" s="54"/>
      <c r="AL32" s="54">
        <f t="shared" ca="1" si="23"/>
        <v>185786225.84279478</v>
      </c>
      <c r="AM32" s="53"/>
      <c r="AN32" s="237"/>
      <c r="AO32" s="17"/>
      <c r="AP32" s="17"/>
      <c r="AQ32" s="17"/>
      <c r="AR32" s="17"/>
      <c r="AS32" s="17"/>
      <c r="AT32" s="16"/>
      <c r="AU32" s="16"/>
      <c r="AV32" s="16"/>
      <c r="AW32" s="58"/>
      <c r="AX32" s="262"/>
      <c r="AY32" s="262"/>
      <c r="AZ32" s="262"/>
      <c r="BB32" s="54"/>
      <c r="BC32" s="54"/>
      <c r="BD32" s="54"/>
      <c r="BE32" s="174"/>
      <c r="BF32" s="57"/>
      <c r="BG32" s="57"/>
      <c r="BH32" s="71"/>
      <c r="BI32" s="56"/>
      <c r="BJ32" s="17"/>
      <c r="BK32" s="23"/>
      <c r="BL32" s="23"/>
      <c r="BM32" s="17"/>
      <c r="BN32" s="17"/>
      <c r="BO32" s="23"/>
      <c r="BP32" s="23"/>
      <c r="BQ32" s="26"/>
      <c r="BR32" s="26"/>
      <c r="BS32" s="100"/>
      <c r="BT32" s="100"/>
      <c r="BU32" s="101"/>
      <c r="BV32" s="101"/>
      <c r="BW32" s="59"/>
      <c r="BX32" s="54"/>
      <c r="BY32" s="54"/>
      <c r="BZ32" s="53"/>
      <c r="CA32" s="237"/>
      <c r="CB32" s="17"/>
      <c r="CC32" s="17"/>
      <c r="CD32" s="17"/>
      <c r="CE32" s="17"/>
      <c r="CF32" s="17"/>
      <c r="CG32" s="16"/>
      <c r="CH32" s="16"/>
      <c r="CI32" s="16"/>
      <c r="CJ32" s="58"/>
    </row>
    <row r="33" spans="1:88" s="263" customFormat="1" ht="39.75" customHeight="1">
      <c r="A33" s="237" t="s">
        <v>4825</v>
      </c>
      <c r="B33" s="17" t="s">
        <v>8745</v>
      </c>
      <c r="C33" s="17" t="s">
        <v>104</v>
      </c>
      <c r="D33" s="17" t="s">
        <v>1425</v>
      </c>
      <c r="E33" s="17" t="s">
        <v>1426</v>
      </c>
      <c r="F33" s="17" t="s">
        <v>1427</v>
      </c>
      <c r="G33" s="16" t="s">
        <v>4827</v>
      </c>
      <c r="H33" s="16" t="s">
        <v>8862</v>
      </c>
      <c r="I33" s="16" t="s">
        <v>4830</v>
      </c>
      <c r="J33" s="58">
        <v>45657</v>
      </c>
      <c r="K33" s="262">
        <v>45338</v>
      </c>
      <c r="L33" s="262">
        <v>45339</v>
      </c>
      <c r="M33" s="262">
        <v>45657</v>
      </c>
      <c r="N33" s="58">
        <v>45746</v>
      </c>
      <c r="O33" s="54">
        <v>316</v>
      </c>
      <c r="P33" s="54">
        <f t="shared" si="18"/>
        <v>407</v>
      </c>
      <c r="Q33" s="54">
        <v>89</v>
      </c>
      <c r="R33" s="174"/>
      <c r="S33" s="57">
        <f>T33+V33</f>
        <v>1421556513</v>
      </c>
      <c r="T33" s="57">
        <v>161556513</v>
      </c>
      <c r="U33" s="71"/>
      <c r="V33" s="56">
        <v>1260000000</v>
      </c>
      <c r="W33" s="17" t="s">
        <v>116</v>
      </c>
      <c r="X33" s="23" t="s">
        <v>4078</v>
      </c>
      <c r="Y33" s="23">
        <v>93363483</v>
      </c>
      <c r="Z33" s="17" t="s">
        <v>607</v>
      </c>
      <c r="AA33" s="17" t="s">
        <v>1155</v>
      </c>
      <c r="AB33" s="23" t="s">
        <v>8848</v>
      </c>
      <c r="AC33" s="23">
        <v>53062608</v>
      </c>
      <c r="AD33" s="26"/>
      <c r="AE33" s="26" t="s">
        <v>121</v>
      </c>
      <c r="AF33" s="100">
        <f ca="1">IF(TODAY()&gt;N33,1,+(DAYS360(L33,TODAY())/DAYS360(L33,N33)))*100</f>
        <v>100</v>
      </c>
      <c r="AG33" s="100">
        <f ca="1">+IF(AK33&gt;0,DAYS360(L33,AK33)/DAYS360(L33,N33),AF33)</f>
        <v>100</v>
      </c>
      <c r="AH33" s="101">
        <f ca="1">IFERROR((AL33/V33)*100,"")</f>
        <v>150.12285012285011</v>
      </c>
      <c r="AI33" s="101">
        <v>80</v>
      </c>
      <c r="AJ33" s="59"/>
      <c r="AK33" s="54"/>
      <c r="AL33" s="54">
        <f ca="1">IFERROR((V33/P33)*(TODAY()-L33),"")</f>
        <v>1891547911.5479114</v>
      </c>
      <c r="AM33" s="53"/>
      <c r="AN33" s="237"/>
      <c r="AO33" s="17"/>
      <c r="AP33" s="17"/>
      <c r="AQ33" s="17"/>
      <c r="AR33" s="17"/>
      <c r="AS33" s="17"/>
      <c r="AT33" s="16"/>
      <c r="AU33" s="16"/>
      <c r="AV33" s="16"/>
      <c r="AW33" s="58"/>
      <c r="AX33" s="262"/>
      <c r="AY33" s="262"/>
      <c r="AZ33" s="262"/>
      <c r="BA33" s="88"/>
      <c r="BB33" s="54"/>
      <c r="BC33" s="54"/>
      <c r="BD33" s="54"/>
      <c r="BE33" s="174"/>
      <c r="BF33" s="57"/>
      <c r="BG33" s="57"/>
      <c r="BH33" s="71"/>
      <c r="BI33" s="56"/>
      <c r="BJ33" s="17"/>
      <c r="BK33" s="23"/>
      <c r="BL33" s="23"/>
      <c r="BM33" s="17"/>
      <c r="BN33" s="17"/>
      <c r="BO33" s="23"/>
      <c r="BP33" s="23"/>
      <c r="BQ33" s="26"/>
      <c r="BR33" s="26"/>
      <c r="BS33" s="100"/>
      <c r="BT33" s="100"/>
      <c r="BU33" s="101"/>
      <c r="BV33" s="101"/>
      <c r="BW33" s="59"/>
      <c r="BX33" s="54"/>
      <c r="BY33" s="54"/>
      <c r="BZ33" s="53"/>
      <c r="CA33" s="237"/>
      <c r="CB33" s="17"/>
      <c r="CC33" s="17"/>
      <c r="CD33" s="17"/>
      <c r="CE33" s="17"/>
      <c r="CF33" s="17"/>
      <c r="CG33" s="16"/>
      <c r="CH33" s="16"/>
      <c r="CI33" s="16"/>
      <c r="CJ33" s="58"/>
    </row>
    <row r="34" spans="1:88" s="88" customFormat="1">
      <c r="A34" s="237"/>
      <c r="B34" s="17"/>
      <c r="C34" s="17"/>
      <c r="D34" s="17"/>
      <c r="E34" s="17"/>
      <c r="F34" s="17"/>
      <c r="G34" s="16"/>
      <c r="H34" s="16"/>
      <c r="I34" s="16"/>
      <c r="J34" s="58"/>
      <c r="K34" s="262"/>
      <c r="L34" s="262"/>
      <c r="M34" s="262"/>
      <c r="N34" s="58"/>
      <c r="O34" s="54"/>
      <c r="P34" s="54"/>
      <c r="Q34" s="54"/>
      <c r="R34" s="174"/>
      <c r="S34" s="57"/>
      <c r="T34" s="57"/>
      <c r="U34" s="71"/>
      <c r="V34" s="56"/>
      <c r="W34" s="17"/>
      <c r="X34" s="23"/>
      <c r="Y34" s="23"/>
      <c r="Z34" s="17"/>
      <c r="AA34" s="17"/>
      <c r="AB34" s="23"/>
      <c r="AC34" s="23"/>
      <c r="AD34" s="26"/>
      <c r="AE34" s="26"/>
      <c r="AF34" s="100"/>
      <c r="AG34" s="100"/>
      <c r="AH34" s="101"/>
      <c r="AI34" s="101"/>
      <c r="AJ34" s="59"/>
      <c r="AK34" s="54"/>
      <c r="AL34" s="54"/>
      <c r="AM34" s="53"/>
      <c r="AN34" s="237"/>
      <c r="AO34" s="17"/>
      <c r="AP34" s="17"/>
      <c r="AQ34" s="17"/>
      <c r="AR34" s="17"/>
      <c r="AS34" s="17"/>
      <c r="AT34" s="16"/>
      <c r="AU34" s="16"/>
      <c r="AV34" s="16"/>
      <c r="AW34" s="58"/>
      <c r="AX34" s="262"/>
      <c r="AY34" s="262"/>
      <c r="AZ34" s="262"/>
      <c r="BB34" s="54"/>
      <c r="BC34" s="54"/>
      <c r="BD34" s="54"/>
      <c r="BE34" s="174"/>
      <c r="BF34" s="57"/>
      <c r="BG34" s="57"/>
      <c r="BH34" s="71"/>
      <c r="BI34" s="56"/>
      <c r="BJ34" s="17"/>
      <c r="BK34" s="23"/>
      <c r="BL34" s="23"/>
      <c r="BM34" s="17"/>
      <c r="BN34" s="17"/>
      <c r="BO34" s="23"/>
      <c r="BP34" s="23"/>
      <c r="BQ34" s="26"/>
      <c r="BR34" s="26"/>
      <c r="BS34" s="100"/>
      <c r="BT34" s="100"/>
      <c r="BU34" s="101"/>
      <c r="BV34" s="101"/>
      <c r="BW34" s="59"/>
      <c r="BX34" s="54"/>
      <c r="BY34" s="54"/>
      <c r="BZ34" s="53"/>
      <c r="CA34" s="237"/>
      <c r="CB34" s="17"/>
      <c r="CC34" s="17"/>
      <c r="CD34" s="17"/>
      <c r="CE34" s="17"/>
      <c r="CF34" s="17"/>
      <c r="CG34" s="16"/>
      <c r="CH34" s="16"/>
      <c r="CI34" s="16"/>
      <c r="CJ34" s="58"/>
    </row>
    <row r="35" spans="1:88" s="88" customFormat="1">
      <c r="A35" s="54"/>
      <c r="B35" s="17"/>
      <c r="C35" s="17"/>
      <c r="D35" s="17"/>
      <c r="E35" s="17"/>
      <c r="F35" s="17"/>
      <c r="G35" s="16"/>
      <c r="H35" s="16"/>
      <c r="I35" s="16"/>
      <c r="J35" s="58"/>
      <c r="K35" s="58"/>
      <c r="L35" s="58"/>
      <c r="M35" s="27"/>
      <c r="N35" s="58"/>
      <c r="O35" s="54">
        <f t="shared" si="22"/>
        <v>0</v>
      </c>
      <c r="P35" s="54">
        <f t="shared" ref="P35:P43" si="28">N35-L35</f>
        <v>0</v>
      </c>
      <c r="Q35" s="54"/>
      <c r="R35" s="54"/>
      <c r="S35" s="57"/>
      <c r="T35" s="57"/>
      <c r="U35" s="71"/>
      <c r="V35" s="56"/>
      <c r="W35" s="17"/>
      <c r="X35" s="23" t="str">
        <f>IFERROR(VLOOKUP(W35,Listas!$A$1:$C$13,2,FALSE),"")</f>
        <v/>
      </c>
      <c r="Y35" s="23" t="str">
        <f>IFERROR(VLOOKUP(W35,Listas!$A$1:$C$13,3,FALSE),"")</f>
        <v/>
      </c>
      <c r="Z35" s="17"/>
      <c r="AA35" s="17"/>
      <c r="AB35" s="23" t="str">
        <f>IFERROR(VLOOKUP(AA35,Listas!$AD$1:$AF$65,2,FALSE),"")</f>
        <v/>
      </c>
      <c r="AC35" s="23" t="str">
        <f>IFERROR(VLOOKUP(AA35,Listas!$AD$1:$AF$65,3,FALSE),"")</f>
        <v/>
      </c>
      <c r="AD35" s="26"/>
      <c r="AE35" s="26"/>
      <c r="AF35" s="100">
        <f t="shared" ca="1" si="25"/>
        <v>100</v>
      </c>
      <c r="AG35" s="100">
        <f t="shared" ca="1" si="26"/>
        <v>100</v>
      </c>
      <c r="AH35" s="101" t="str">
        <f t="shared" ca="1" si="27"/>
        <v/>
      </c>
      <c r="AI35" s="101" t="str">
        <f t="shared" si="6"/>
        <v/>
      </c>
      <c r="AJ35" s="59"/>
      <c r="AK35" s="54"/>
      <c r="AL35" s="54" t="str">
        <f t="shared" ca="1" si="23"/>
        <v/>
      </c>
      <c r="AM35" s="53"/>
    </row>
    <row r="36" spans="1:88" s="88" customFormat="1">
      <c r="A36" s="54"/>
      <c r="B36" s="17"/>
      <c r="C36" s="17"/>
      <c r="D36" s="17"/>
      <c r="E36" s="17"/>
      <c r="F36" s="17"/>
      <c r="G36" s="16"/>
      <c r="H36" s="16"/>
      <c r="I36" s="16"/>
      <c r="J36" s="58"/>
      <c r="K36" s="58"/>
      <c r="L36" s="58"/>
      <c r="M36" s="27"/>
      <c r="N36" s="58"/>
      <c r="O36" s="54">
        <f t="shared" si="22"/>
        <v>0</v>
      </c>
      <c r="P36" s="54">
        <f t="shared" si="28"/>
        <v>0</v>
      </c>
      <c r="Q36" s="54"/>
      <c r="R36" s="54"/>
      <c r="S36" s="57"/>
      <c r="T36" s="57"/>
      <c r="U36" s="71"/>
      <c r="V36" s="56"/>
      <c r="W36" s="17"/>
      <c r="X36" s="23" t="str">
        <f>IFERROR(VLOOKUP(W36,Listas!$A$1:$C$13,2,FALSE),"")</f>
        <v/>
      </c>
      <c r="Y36" s="23" t="str">
        <f>IFERROR(VLOOKUP(W36,Listas!$A$1:$C$13,3,FALSE),"")</f>
        <v/>
      </c>
      <c r="Z36" s="17"/>
      <c r="AA36" s="17"/>
      <c r="AB36" s="23" t="str">
        <f>IFERROR(VLOOKUP(AA36,Listas!$AD$1:$AF$65,2,FALSE),"")</f>
        <v/>
      </c>
      <c r="AC36" s="23" t="str">
        <f>IFERROR(VLOOKUP(AA36,Listas!$AD$1:$AF$65,3,FALSE),"")</f>
        <v/>
      </c>
      <c r="AD36" s="26"/>
      <c r="AE36" s="26"/>
      <c r="AF36" s="100">
        <f t="shared" ca="1" si="25"/>
        <v>100</v>
      </c>
      <c r="AG36" s="100">
        <f t="shared" ca="1" si="26"/>
        <v>100</v>
      </c>
      <c r="AH36" s="101" t="str">
        <f t="shared" ca="1" si="27"/>
        <v/>
      </c>
      <c r="AI36" s="101" t="str">
        <f t="shared" si="6"/>
        <v/>
      </c>
      <c r="AJ36" s="59"/>
      <c r="AK36" s="54"/>
      <c r="AL36" s="54" t="str">
        <f t="shared" ca="1" si="23"/>
        <v/>
      </c>
      <c r="AM36" s="53"/>
    </row>
    <row r="37" spans="1:88" s="88" customFormat="1">
      <c r="A37" s="54"/>
      <c r="B37" s="17"/>
      <c r="C37" s="17"/>
      <c r="D37" s="17"/>
      <c r="E37" s="17"/>
      <c r="F37" s="17"/>
      <c r="G37" s="16"/>
      <c r="H37" s="16"/>
      <c r="I37" s="16"/>
      <c r="J37" s="58"/>
      <c r="K37" s="58"/>
      <c r="L37" s="58"/>
      <c r="M37" s="27"/>
      <c r="N37" s="58"/>
      <c r="O37" s="54">
        <f t="shared" si="22"/>
        <v>0</v>
      </c>
      <c r="P37" s="54">
        <f t="shared" si="28"/>
        <v>0</v>
      </c>
      <c r="Q37" s="54"/>
      <c r="R37" s="54"/>
      <c r="S37" s="57"/>
      <c r="T37" s="57"/>
      <c r="U37" s="71"/>
      <c r="V37" s="56"/>
      <c r="W37" s="17"/>
      <c r="X37" s="23" t="str">
        <f>IFERROR(VLOOKUP(W37,Listas!$A$1:$C$13,2,FALSE),"")</f>
        <v/>
      </c>
      <c r="Y37" s="23" t="str">
        <f>IFERROR(VLOOKUP(W37,Listas!$A$1:$C$13,3,FALSE),"")</f>
        <v/>
      </c>
      <c r="Z37" s="17"/>
      <c r="AA37" s="17"/>
      <c r="AB37" s="23" t="str">
        <f>IFERROR(VLOOKUP(AA37,Listas!$AD$1:$AF$65,2,FALSE),"")</f>
        <v/>
      </c>
      <c r="AC37" s="23" t="str">
        <f>IFERROR(VLOOKUP(AA37,Listas!$AD$1:$AF$65,3,FALSE),"")</f>
        <v/>
      </c>
      <c r="AD37" s="26"/>
      <c r="AE37" s="26"/>
      <c r="AF37" s="100">
        <f t="shared" ca="1" si="25"/>
        <v>100</v>
      </c>
      <c r="AG37" s="100">
        <f t="shared" ca="1" si="26"/>
        <v>100</v>
      </c>
      <c r="AH37" s="101" t="str">
        <f t="shared" ca="1" si="27"/>
        <v/>
      </c>
      <c r="AI37" s="101" t="str">
        <f t="shared" ref="AI37:AI43" si="29">IFERROR((AJ37/V37)*100,"")</f>
        <v/>
      </c>
      <c r="AJ37" s="59"/>
      <c r="AK37" s="54"/>
      <c r="AL37" s="54" t="str">
        <f t="shared" ca="1" si="23"/>
        <v/>
      </c>
      <c r="AM37" s="53"/>
    </row>
    <row r="38" spans="1:88" s="88" customFormat="1">
      <c r="A38" s="54"/>
      <c r="B38" s="17"/>
      <c r="C38" s="17"/>
      <c r="D38" s="17"/>
      <c r="E38" s="17"/>
      <c r="F38" s="17"/>
      <c r="G38" s="16"/>
      <c r="H38" s="16"/>
      <c r="I38" s="16"/>
      <c r="J38" s="58"/>
      <c r="K38" s="58"/>
      <c r="L38" s="58"/>
      <c r="M38" s="27"/>
      <c r="N38" s="58"/>
      <c r="O38" s="54">
        <f t="shared" si="22"/>
        <v>0</v>
      </c>
      <c r="P38" s="54">
        <f t="shared" si="28"/>
        <v>0</v>
      </c>
      <c r="Q38" s="54"/>
      <c r="R38" s="54"/>
      <c r="S38" s="57"/>
      <c r="T38" s="57"/>
      <c r="U38" s="71"/>
      <c r="V38" s="56"/>
      <c r="W38" s="17"/>
      <c r="X38" s="23" t="str">
        <f>IFERROR(VLOOKUP(W38,Listas!$A$1:$C$13,2,FALSE),"")</f>
        <v/>
      </c>
      <c r="Y38" s="23" t="str">
        <f>IFERROR(VLOOKUP(W38,Listas!$A$1:$C$13,3,FALSE),"")</f>
        <v/>
      </c>
      <c r="Z38" s="17"/>
      <c r="AA38" s="17"/>
      <c r="AB38" s="23" t="str">
        <f>IFERROR(VLOOKUP(AA38,Listas!$AD$1:$AF$65,2,FALSE),"")</f>
        <v/>
      </c>
      <c r="AC38" s="23" t="str">
        <f>IFERROR(VLOOKUP(AA38,Listas!$AD$1:$AF$65,3,FALSE),"")</f>
        <v/>
      </c>
      <c r="AD38" s="26"/>
      <c r="AE38" s="26"/>
      <c r="AF38" s="100">
        <f t="shared" ca="1" si="25"/>
        <v>100</v>
      </c>
      <c r="AG38" s="100">
        <f t="shared" ref="AG38:AG41" ca="1" si="30">+IF(AK38&gt;0,DAYS360(L38,AK38)/DAYS360(L38,N38),AF38)</f>
        <v>100</v>
      </c>
      <c r="AH38" s="101" t="str">
        <f t="shared" ca="1" si="27"/>
        <v/>
      </c>
      <c r="AI38" s="101" t="str">
        <f t="shared" si="29"/>
        <v/>
      </c>
      <c r="AJ38" s="59"/>
      <c r="AK38" s="54"/>
      <c r="AL38" s="54" t="str">
        <f t="shared" ca="1" si="23"/>
        <v/>
      </c>
      <c r="AM38" s="53"/>
    </row>
    <row r="39" spans="1:88" s="88" customFormat="1">
      <c r="A39" s="54"/>
      <c r="B39" s="17"/>
      <c r="C39" s="17"/>
      <c r="D39" s="17"/>
      <c r="E39" s="17"/>
      <c r="F39" s="17"/>
      <c r="G39" s="16"/>
      <c r="H39" s="16"/>
      <c r="I39" s="16"/>
      <c r="J39" s="58"/>
      <c r="K39" s="58"/>
      <c r="L39" s="58"/>
      <c r="M39" s="27"/>
      <c r="N39" s="58"/>
      <c r="O39" s="54">
        <f t="shared" si="22"/>
        <v>0</v>
      </c>
      <c r="P39" s="54">
        <f t="shared" si="28"/>
        <v>0</v>
      </c>
      <c r="Q39" s="54"/>
      <c r="R39" s="54"/>
      <c r="S39" s="57"/>
      <c r="T39" s="57"/>
      <c r="U39" s="71"/>
      <c r="V39" s="56"/>
      <c r="W39" s="17"/>
      <c r="X39" s="23" t="str">
        <f>IFERROR(VLOOKUP(W39,Listas!$A$1:$C$13,2,FALSE),"")</f>
        <v/>
      </c>
      <c r="Y39" s="23" t="str">
        <f>IFERROR(VLOOKUP(W39,Listas!$A$1:$C$13,3,FALSE),"")</f>
        <v/>
      </c>
      <c r="Z39" s="17"/>
      <c r="AA39" s="17"/>
      <c r="AB39" s="23" t="str">
        <f>IFERROR(VLOOKUP(AA39,Listas!$AD$1:$AF$65,2,FALSE),"")</f>
        <v/>
      </c>
      <c r="AC39" s="23" t="str">
        <f>IFERROR(VLOOKUP(AA39,Listas!$AD$1:$AF$65,3,FALSE),"")</f>
        <v/>
      </c>
      <c r="AD39" s="26"/>
      <c r="AE39" s="26"/>
      <c r="AF39" s="100">
        <f t="shared" ca="1" si="25"/>
        <v>100</v>
      </c>
      <c r="AG39" s="100">
        <f t="shared" ca="1" si="30"/>
        <v>100</v>
      </c>
      <c r="AH39" s="101" t="str">
        <f t="shared" ca="1" si="27"/>
        <v/>
      </c>
      <c r="AI39" s="101" t="str">
        <f t="shared" si="29"/>
        <v/>
      </c>
      <c r="AJ39" s="59"/>
      <c r="AK39" s="54"/>
      <c r="AL39" s="54" t="str">
        <f t="shared" ca="1" si="23"/>
        <v/>
      </c>
      <c r="AM39" s="53"/>
    </row>
    <row r="40" spans="1:88" s="88" customFormat="1">
      <c r="A40" s="54"/>
      <c r="B40" s="17"/>
      <c r="C40" s="17"/>
      <c r="D40" s="17"/>
      <c r="E40" s="17"/>
      <c r="F40" s="17"/>
      <c r="G40" s="16"/>
      <c r="H40" s="16"/>
      <c r="I40" s="16"/>
      <c r="J40" s="58"/>
      <c r="K40" s="58"/>
      <c r="L40" s="58"/>
      <c r="M40" s="27"/>
      <c r="N40" s="58"/>
      <c r="O40" s="54">
        <f t="shared" si="22"/>
        <v>0</v>
      </c>
      <c r="P40" s="54">
        <f t="shared" si="28"/>
        <v>0</v>
      </c>
      <c r="Q40" s="54"/>
      <c r="R40" s="54"/>
      <c r="S40" s="57"/>
      <c r="T40" s="57"/>
      <c r="U40" s="71"/>
      <c r="V40" s="56"/>
      <c r="W40" s="17"/>
      <c r="X40" s="23" t="str">
        <f>IFERROR(VLOOKUP(W40,Listas!$A$1:$C$13,2,FALSE),"")</f>
        <v/>
      </c>
      <c r="Y40" s="23" t="str">
        <f>IFERROR(VLOOKUP(W40,Listas!$A$1:$C$13,3,FALSE),"")</f>
        <v/>
      </c>
      <c r="Z40" s="17"/>
      <c r="AA40" s="17"/>
      <c r="AB40" s="23" t="str">
        <f>IFERROR(VLOOKUP(AA40,Listas!$AD$1:$AF$65,2,FALSE),"")</f>
        <v/>
      </c>
      <c r="AC40" s="23" t="str">
        <f>IFERROR(VLOOKUP(AA40,Listas!$AD$1:$AF$65,3,FALSE),"")</f>
        <v/>
      </c>
      <c r="AD40" s="26"/>
      <c r="AE40" s="26"/>
      <c r="AF40" s="100">
        <f t="shared" ca="1" si="25"/>
        <v>100</v>
      </c>
      <c r="AG40" s="100">
        <f t="shared" ca="1" si="30"/>
        <v>100</v>
      </c>
      <c r="AH40" s="101" t="str">
        <f t="shared" ca="1" si="27"/>
        <v/>
      </c>
      <c r="AI40" s="101" t="str">
        <f t="shared" si="29"/>
        <v/>
      </c>
      <c r="AJ40" s="59"/>
      <c r="AK40" s="54"/>
      <c r="AL40" s="54" t="str">
        <f t="shared" ca="1" si="23"/>
        <v/>
      </c>
      <c r="AM40" s="53"/>
    </row>
    <row r="41" spans="1:88" s="88" customFormat="1">
      <c r="A41" s="54"/>
      <c r="B41" s="17"/>
      <c r="C41" s="17"/>
      <c r="D41" s="17"/>
      <c r="E41" s="17"/>
      <c r="F41" s="17"/>
      <c r="G41" s="16"/>
      <c r="H41" s="16"/>
      <c r="I41" s="16"/>
      <c r="J41" s="58"/>
      <c r="K41" s="58"/>
      <c r="L41" s="58"/>
      <c r="M41" s="27"/>
      <c r="N41" s="58"/>
      <c r="O41" s="54">
        <f t="shared" si="22"/>
        <v>0</v>
      </c>
      <c r="P41" s="54">
        <f t="shared" si="28"/>
        <v>0</v>
      </c>
      <c r="Q41" s="54"/>
      <c r="R41" s="54"/>
      <c r="S41" s="57"/>
      <c r="T41" s="57"/>
      <c r="U41" s="71"/>
      <c r="V41" s="56"/>
      <c r="W41" s="17"/>
      <c r="X41" s="23" t="str">
        <f>IFERROR(VLOOKUP(W41,Listas!$A$1:$C$13,2,FALSE),"")</f>
        <v/>
      </c>
      <c r="Y41" s="23" t="str">
        <f>IFERROR(VLOOKUP(W41,Listas!$A$1:$C$13,3,FALSE),"")</f>
        <v/>
      </c>
      <c r="Z41" s="17"/>
      <c r="AA41" s="17"/>
      <c r="AB41" s="23" t="str">
        <f>IFERROR(VLOOKUP(AA41,Listas!$AD$1:$AF$65,2,FALSE),"")</f>
        <v/>
      </c>
      <c r="AC41" s="23" t="str">
        <f>IFERROR(VLOOKUP(AA41,Listas!$AD$1:$AF$65,3,FALSE),"")</f>
        <v/>
      </c>
      <c r="AD41" s="26"/>
      <c r="AE41" s="26"/>
      <c r="AF41" s="100">
        <f t="shared" ca="1" si="25"/>
        <v>100</v>
      </c>
      <c r="AG41" s="100">
        <f t="shared" ca="1" si="30"/>
        <v>100</v>
      </c>
      <c r="AH41" s="101" t="str">
        <f t="shared" ca="1" si="27"/>
        <v/>
      </c>
      <c r="AI41" s="101" t="str">
        <f t="shared" si="29"/>
        <v/>
      </c>
      <c r="AJ41" s="59"/>
      <c r="AK41" s="54"/>
      <c r="AL41" s="54" t="str">
        <f t="shared" ca="1" si="23"/>
        <v/>
      </c>
      <c r="AM41" s="53"/>
    </row>
    <row r="42" spans="1:88" s="88" customFormat="1">
      <c r="A42" s="54"/>
      <c r="B42" s="17"/>
      <c r="C42" s="17"/>
      <c r="D42" s="17"/>
      <c r="E42" s="17"/>
      <c r="F42" s="17"/>
      <c r="G42" s="16"/>
      <c r="H42" s="16"/>
      <c r="I42" s="16"/>
      <c r="J42" s="58"/>
      <c r="K42" s="58"/>
      <c r="L42" s="58"/>
      <c r="M42" s="27"/>
      <c r="N42" s="58"/>
      <c r="O42" s="54">
        <f t="shared" si="22"/>
        <v>0</v>
      </c>
      <c r="P42" s="54">
        <f t="shared" si="28"/>
        <v>0</v>
      </c>
      <c r="Q42" s="54"/>
      <c r="R42" s="54"/>
      <c r="S42" s="57"/>
      <c r="T42" s="57"/>
      <c r="U42" s="71"/>
      <c r="V42" s="56"/>
      <c r="W42" s="17"/>
      <c r="X42" s="23" t="str">
        <f>IFERROR(VLOOKUP(W42,Listas!$A$1:$C$13,2,FALSE),"")</f>
        <v/>
      </c>
      <c r="Y42" s="23" t="str">
        <f>IFERROR(VLOOKUP(W42,Listas!$A$1:$C$13,3,FALSE),"")</f>
        <v/>
      </c>
      <c r="Z42" s="17"/>
      <c r="AA42" s="17"/>
      <c r="AB42" s="23" t="str">
        <f>IFERROR(VLOOKUP(AA42,Listas!$AD$1:$AF$65,2,FALSE),"")</f>
        <v/>
      </c>
      <c r="AC42" s="23" t="str">
        <f>IFERROR(VLOOKUP(AA42,Listas!$AD$1:$AF$65,3,FALSE),"")</f>
        <v/>
      </c>
      <c r="AD42" s="26"/>
      <c r="AE42" s="26"/>
      <c r="AF42" s="100">
        <f t="shared" ca="1" si="25"/>
        <v>100</v>
      </c>
      <c r="AG42" s="100">
        <f t="shared" ref="AG42:AG73" ca="1" si="31">+IF(AK42&gt;0,DAYS360(L42,AK42)/DAYS360(L42,N42),AF42)</f>
        <v>100</v>
      </c>
      <c r="AH42" s="101" t="str">
        <f t="shared" ref="AH42:AH73" ca="1" si="32">IFERROR((AL42/V42)*100,"")</f>
        <v/>
      </c>
      <c r="AI42" s="101" t="str">
        <f t="shared" si="29"/>
        <v/>
      </c>
      <c r="AJ42" s="59"/>
      <c r="AK42" s="54"/>
      <c r="AL42" s="54" t="str">
        <f t="shared" ca="1" si="23"/>
        <v/>
      </c>
      <c r="AM42" s="53"/>
    </row>
    <row r="43" spans="1:88" s="88" customFormat="1">
      <c r="A43" s="54"/>
      <c r="B43" s="17"/>
      <c r="C43" s="17"/>
      <c r="D43" s="17"/>
      <c r="E43" s="17"/>
      <c r="F43" s="17"/>
      <c r="G43" s="16"/>
      <c r="H43" s="16"/>
      <c r="I43" s="16"/>
      <c r="J43" s="58"/>
      <c r="K43" s="58"/>
      <c r="L43" s="58"/>
      <c r="M43" s="27"/>
      <c r="N43" s="58"/>
      <c r="O43" s="54">
        <f t="shared" si="22"/>
        <v>0</v>
      </c>
      <c r="P43" s="54">
        <f t="shared" si="28"/>
        <v>0</v>
      </c>
      <c r="Q43" s="54"/>
      <c r="R43" s="54"/>
      <c r="S43" s="57"/>
      <c r="T43" s="57"/>
      <c r="U43" s="71"/>
      <c r="V43" s="56"/>
      <c r="W43" s="17"/>
      <c r="X43" s="23" t="str">
        <f>IFERROR(VLOOKUP(W43,Listas!$A$1:$C$13,2,FALSE),"")</f>
        <v/>
      </c>
      <c r="Y43" s="23" t="str">
        <f>IFERROR(VLOOKUP(W43,Listas!$A$1:$C$13,3,FALSE),"")</f>
        <v/>
      </c>
      <c r="Z43" s="17"/>
      <c r="AA43" s="17"/>
      <c r="AB43" s="23" t="str">
        <f>IFERROR(VLOOKUP(AA43,Listas!$AD$1:$AF$65,2,FALSE),"")</f>
        <v/>
      </c>
      <c r="AC43" s="23" t="str">
        <f>IFERROR(VLOOKUP(AA43,Listas!$AD$1:$AF$65,3,FALSE),"")</f>
        <v/>
      </c>
      <c r="AD43" s="26"/>
      <c r="AE43" s="26"/>
      <c r="AF43" s="100">
        <f t="shared" ca="1" si="25"/>
        <v>100</v>
      </c>
      <c r="AG43" s="100">
        <f t="shared" ca="1" si="31"/>
        <v>100</v>
      </c>
      <c r="AH43" s="101" t="str">
        <f t="shared" ca="1" si="32"/>
        <v/>
      </c>
      <c r="AI43" s="101" t="str">
        <f t="shared" si="29"/>
        <v/>
      </c>
      <c r="AJ43" s="59"/>
      <c r="AK43" s="54"/>
      <c r="AL43" s="54" t="str">
        <f t="shared" ca="1" si="23"/>
        <v/>
      </c>
      <c r="AM43" s="53"/>
    </row>
    <row r="44" spans="1:88" s="88" customFormat="1">
      <c r="A44" s="54"/>
      <c r="B44" s="17"/>
      <c r="C44" s="17"/>
      <c r="D44" s="17"/>
      <c r="E44" s="17"/>
      <c r="F44" s="17"/>
      <c r="G44" s="16"/>
      <c r="H44" s="16"/>
      <c r="I44" s="16"/>
      <c r="J44" s="58"/>
      <c r="K44" s="58"/>
      <c r="L44" s="58"/>
      <c r="M44" s="27"/>
      <c r="N44" s="58"/>
      <c r="O44" s="54">
        <f t="shared" ref="O44:O107" si="33">M44-L44</f>
        <v>0</v>
      </c>
      <c r="P44" s="54">
        <f t="shared" ref="P44:P107" si="34">N44-L44</f>
        <v>0</v>
      </c>
      <c r="Q44" s="54"/>
      <c r="R44" s="54"/>
      <c r="S44" s="57"/>
      <c r="T44" s="57"/>
      <c r="U44" s="71"/>
      <c r="V44" s="56"/>
      <c r="W44" s="17"/>
      <c r="X44" s="23" t="str">
        <f>IFERROR(VLOOKUP(W44,Listas!$A$1:$C$13,2,FALSE),"")</f>
        <v/>
      </c>
      <c r="Y44" s="23" t="str">
        <f>IFERROR(VLOOKUP(W44,Listas!$A$1:$C$13,3,FALSE),"")</f>
        <v/>
      </c>
      <c r="Z44" s="17"/>
      <c r="AA44" s="17"/>
      <c r="AB44" s="23" t="str">
        <f>IFERROR(VLOOKUP(AA44,Listas!$AD$1:$AF$65,2,FALSE),"")</f>
        <v/>
      </c>
      <c r="AC44" s="23" t="str">
        <f>IFERROR(VLOOKUP(AA44,Listas!$AD$1:$AF$65,3,FALSE),"")</f>
        <v/>
      </c>
      <c r="AD44" s="26"/>
      <c r="AE44" s="26"/>
      <c r="AF44" s="100">
        <f t="shared" ref="AF44:AF107" ca="1" si="35">IF(TODAY()&gt;N44,1,+(DAYS360(L44,TODAY())/DAYS360(L44,N44)))*100</f>
        <v>100</v>
      </c>
      <c r="AG44" s="100">
        <f t="shared" ca="1" si="31"/>
        <v>100</v>
      </c>
      <c r="AH44" s="101" t="str">
        <f t="shared" ca="1" si="32"/>
        <v/>
      </c>
      <c r="AI44" s="101" t="str">
        <f t="shared" ref="AI44:AI107" si="36">IFERROR((AJ44/V44)*100,"")</f>
        <v/>
      </c>
      <c r="AJ44" s="59"/>
      <c r="AK44" s="54"/>
      <c r="AL44" s="54" t="str">
        <f t="shared" ca="1" si="23"/>
        <v/>
      </c>
      <c r="AM44" s="53"/>
    </row>
    <row r="45" spans="1:88" s="88" customFormat="1">
      <c r="A45" s="54"/>
      <c r="B45" s="17"/>
      <c r="C45" s="17"/>
      <c r="D45" s="17"/>
      <c r="E45" s="17"/>
      <c r="F45" s="17"/>
      <c r="G45" s="16"/>
      <c r="H45" s="16"/>
      <c r="I45" s="16"/>
      <c r="J45" s="58"/>
      <c r="K45" s="58"/>
      <c r="L45" s="58"/>
      <c r="M45" s="27"/>
      <c r="N45" s="58"/>
      <c r="O45" s="54">
        <f t="shared" si="33"/>
        <v>0</v>
      </c>
      <c r="P45" s="54">
        <f t="shared" si="34"/>
        <v>0</v>
      </c>
      <c r="Q45" s="54"/>
      <c r="R45" s="54"/>
      <c r="S45" s="57"/>
      <c r="T45" s="57"/>
      <c r="U45" s="71"/>
      <c r="V45" s="56"/>
      <c r="W45" s="17"/>
      <c r="X45" s="23" t="str">
        <f>IFERROR(VLOOKUP(W45,Listas!$A$1:$C$13,2,FALSE),"")</f>
        <v/>
      </c>
      <c r="Y45" s="23" t="str">
        <f>IFERROR(VLOOKUP(W45,Listas!$A$1:$C$13,3,FALSE),"")</f>
        <v/>
      </c>
      <c r="Z45" s="17"/>
      <c r="AA45" s="17"/>
      <c r="AB45" s="23" t="str">
        <f>IFERROR(VLOOKUP(AA45,Listas!$AD$1:$AF$65,2,FALSE),"")</f>
        <v/>
      </c>
      <c r="AC45" s="23" t="str">
        <f>IFERROR(VLOOKUP(AA45,Listas!$AD$1:$AF$65,3,FALSE),"")</f>
        <v/>
      </c>
      <c r="AD45" s="26"/>
      <c r="AE45" s="26"/>
      <c r="AF45" s="100">
        <f t="shared" ca="1" si="35"/>
        <v>100</v>
      </c>
      <c r="AG45" s="100">
        <f t="shared" ca="1" si="31"/>
        <v>100</v>
      </c>
      <c r="AH45" s="101" t="str">
        <f t="shared" ca="1" si="32"/>
        <v/>
      </c>
      <c r="AI45" s="101" t="str">
        <f t="shared" si="36"/>
        <v/>
      </c>
      <c r="AJ45" s="59"/>
      <c r="AK45" s="54"/>
      <c r="AL45" s="54" t="str">
        <f t="shared" ca="1" si="23"/>
        <v/>
      </c>
      <c r="AM45" s="53"/>
    </row>
    <row r="46" spans="1:88" s="88" customFormat="1">
      <c r="A46" s="54"/>
      <c r="B46" s="17"/>
      <c r="C46" s="17"/>
      <c r="D46" s="17"/>
      <c r="E46" s="17"/>
      <c r="F46" s="17"/>
      <c r="G46" s="16"/>
      <c r="H46" s="16"/>
      <c r="I46" s="16"/>
      <c r="J46" s="58"/>
      <c r="K46" s="58"/>
      <c r="L46" s="58"/>
      <c r="M46" s="27"/>
      <c r="N46" s="58"/>
      <c r="O46" s="54">
        <f t="shared" si="33"/>
        <v>0</v>
      </c>
      <c r="P46" s="54">
        <f t="shared" si="34"/>
        <v>0</v>
      </c>
      <c r="Q46" s="54"/>
      <c r="R46" s="54"/>
      <c r="S46" s="57"/>
      <c r="T46" s="57"/>
      <c r="U46" s="71"/>
      <c r="V46" s="56"/>
      <c r="W46" s="17"/>
      <c r="X46" s="23" t="str">
        <f>IFERROR(VLOOKUP(W46,Listas!$A$1:$C$13,2,FALSE),"")</f>
        <v/>
      </c>
      <c r="Y46" s="23" t="str">
        <f>IFERROR(VLOOKUP(W46,Listas!$A$1:$C$13,3,FALSE),"")</f>
        <v/>
      </c>
      <c r="Z46" s="17"/>
      <c r="AA46" s="17"/>
      <c r="AB46" s="23" t="str">
        <f>IFERROR(VLOOKUP(AA46,Listas!$AD$1:$AF$65,2,FALSE),"")</f>
        <v/>
      </c>
      <c r="AC46" s="23" t="str">
        <f>IFERROR(VLOOKUP(AA46,Listas!$AD$1:$AF$65,3,FALSE),"")</f>
        <v/>
      </c>
      <c r="AD46" s="26"/>
      <c r="AE46" s="26"/>
      <c r="AF46" s="100">
        <f t="shared" ca="1" si="35"/>
        <v>100</v>
      </c>
      <c r="AG46" s="100">
        <f t="shared" ca="1" si="31"/>
        <v>100</v>
      </c>
      <c r="AH46" s="101" t="str">
        <f t="shared" ca="1" si="32"/>
        <v/>
      </c>
      <c r="AI46" s="101" t="str">
        <f t="shared" si="36"/>
        <v/>
      </c>
      <c r="AJ46" s="59"/>
      <c r="AK46" s="54"/>
      <c r="AL46" s="54" t="str">
        <f t="shared" ca="1" si="23"/>
        <v/>
      </c>
      <c r="AM46" s="53"/>
    </row>
    <row r="47" spans="1:88" s="88" customFormat="1">
      <c r="A47" s="54"/>
      <c r="B47" s="17"/>
      <c r="C47" s="17"/>
      <c r="D47" s="17"/>
      <c r="E47" s="17"/>
      <c r="F47" s="17"/>
      <c r="G47" s="16"/>
      <c r="H47" s="16"/>
      <c r="I47" s="16"/>
      <c r="J47" s="58"/>
      <c r="K47" s="58"/>
      <c r="L47" s="58"/>
      <c r="M47" s="27"/>
      <c r="N47" s="58"/>
      <c r="O47" s="54">
        <f t="shared" si="33"/>
        <v>0</v>
      </c>
      <c r="P47" s="54">
        <f t="shared" si="34"/>
        <v>0</v>
      </c>
      <c r="Q47" s="54"/>
      <c r="R47" s="54"/>
      <c r="S47" s="57"/>
      <c r="T47" s="57"/>
      <c r="U47" s="71"/>
      <c r="V47" s="56"/>
      <c r="W47" s="17"/>
      <c r="X47" s="23" t="str">
        <f>IFERROR(VLOOKUP(W47,Listas!$A$1:$C$13,2,FALSE),"")</f>
        <v/>
      </c>
      <c r="Y47" s="23" t="str">
        <f>IFERROR(VLOOKUP(W47,Listas!$A$1:$C$13,3,FALSE),"")</f>
        <v/>
      </c>
      <c r="Z47" s="17"/>
      <c r="AA47" s="17"/>
      <c r="AB47" s="23" t="str">
        <f>IFERROR(VLOOKUP(AA47,Listas!$AD$1:$AF$65,2,FALSE),"")</f>
        <v/>
      </c>
      <c r="AC47" s="23" t="str">
        <f>IFERROR(VLOOKUP(AA47,Listas!$AD$1:$AF$65,3,FALSE),"")</f>
        <v/>
      </c>
      <c r="AD47" s="26"/>
      <c r="AE47" s="26"/>
      <c r="AF47" s="100">
        <f t="shared" ca="1" si="35"/>
        <v>100</v>
      </c>
      <c r="AG47" s="100">
        <f t="shared" ca="1" si="31"/>
        <v>100</v>
      </c>
      <c r="AH47" s="101" t="str">
        <f t="shared" ca="1" si="32"/>
        <v/>
      </c>
      <c r="AI47" s="101" t="str">
        <f t="shared" si="36"/>
        <v/>
      </c>
      <c r="AJ47" s="59"/>
      <c r="AK47" s="54"/>
      <c r="AL47" s="54" t="str">
        <f t="shared" ca="1" si="23"/>
        <v/>
      </c>
      <c r="AM47" s="53"/>
    </row>
    <row r="48" spans="1:88" s="88" customFormat="1">
      <c r="A48" s="54"/>
      <c r="B48" s="17"/>
      <c r="C48" s="17"/>
      <c r="D48" s="17"/>
      <c r="E48" s="17"/>
      <c r="F48" s="17"/>
      <c r="G48" s="16"/>
      <c r="H48" s="16"/>
      <c r="I48" s="16"/>
      <c r="J48" s="58"/>
      <c r="K48" s="58"/>
      <c r="L48" s="58"/>
      <c r="M48" s="27"/>
      <c r="N48" s="58"/>
      <c r="O48" s="54">
        <f t="shared" si="33"/>
        <v>0</v>
      </c>
      <c r="P48" s="54">
        <f t="shared" si="34"/>
        <v>0</v>
      </c>
      <c r="Q48" s="54"/>
      <c r="R48" s="54"/>
      <c r="S48" s="57"/>
      <c r="T48" s="57"/>
      <c r="U48" s="71"/>
      <c r="V48" s="56"/>
      <c r="W48" s="17"/>
      <c r="X48" s="23" t="str">
        <f>IFERROR(VLOOKUP(W48,Listas!$A$1:$C$13,2,FALSE),"")</f>
        <v/>
      </c>
      <c r="Y48" s="23" t="str">
        <f>IFERROR(VLOOKUP(W48,Listas!$A$1:$C$13,3,FALSE),"")</f>
        <v/>
      </c>
      <c r="Z48" s="17"/>
      <c r="AA48" s="17"/>
      <c r="AB48" s="23" t="str">
        <f>IFERROR(VLOOKUP(AA48,Listas!$AD$1:$AF$65,2,FALSE),"")</f>
        <v/>
      </c>
      <c r="AC48" s="23" t="str">
        <f>IFERROR(VLOOKUP(AA48,Listas!$AD$1:$AF$65,3,FALSE),"")</f>
        <v/>
      </c>
      <c r="AD48" s="26"/>
      <c r="AE48" s="26"/>
      <c r="AF48" s="100">
        <f t="shared" ca="1" si="35"/>
        <v>100</v>
      </c>
      <c r="AG48" s="100">
        <f t="shared" ca="1" si="31"/>
        <v>100</v>
      </c>
      <c r="AH48" s="101" t="str">
        <f t="shared" ca="1" si="32"/>
        <v/>
      </c>
      <c r="AI48" s="101" t="str">
        <f t="shared" si="36"/>
        <v/>
      </c>
      <c r="AJ48" s="59"/>
      <c r="AK48" s="54"/>
      <c r="AL48" s="54" t="str">
        <f t="shared" ca="1" si="23"/>
        <v/>
      </c>
      <c r="AM48" s="53"/>
    </row>
    <row r="49" spans="1:39" s="88" customFormat="1">
      <c r="A49" s="54"/>
      <c r="B49" s="17"/>
      <c r="C49" s="17"/>
      <c r="D49" s="17"/>
      <c r="E49" s="17"/>
      <c r="F49" s="17"/>
      <c r="G49" s="16"/>
      <c r="H49" s="16"/>
      <c r="I49" s="16"/>
      <c r="J49" s="58"/>
      <c r="K49" s="58"/>
      <c r="L49" s="58"/>
      <c r="M49" s="27"/>
      <c r="N49" s="58"/>
      <c r="O49" s="54">
        <f t="shared" si="33"/>
        <v>0</v>
      </c>
      <c r="P49" s="54">
        <f t="shared" si="34"/>
        <v>0</v>
      </c>
      <c r="Q49" s="54"/>
      <c r="R49" s="54"/>
      <c r="S49" s="57"/>
      <c r="T49" s="57"/>
      <c r="U49" s="71"/>
      <c r="V49" s="56"/>
      <c r="W49" s="17"/>
      <c r="X49" s="23" t="str">
        <f>IFERROR(VLOOKUP(W49,Listas!$A$1:$C$13,2,FALSE),"")</f>
        <v/>
      </c>
      <c r="Y49" s="23" t="str">
        <f>IFERROR(VLOOKUP(W49,Listas!$A$1:$C$13,3,FALSE),"")</f>
        <v/>
      </c>
      <c r="Z49" s="17"/>
      <c r="AA49" s="17"/>
      <c r="AB49" s="23" t="str">
        <f>IFERROR(VLOOKUP(AA49,Listas!$AD$1:$AF$65,2,FALSE),"")</f>
        <v/>
      </c>
      <c r="AC49" s="23" t="str">
        <f>IFERROR(VLOOKUP(AA49,Listas!$AD$1:$AF$65,3,FALSE),"")</f>
        <v/>
      </c>
      <c r="AD49" s="26"/>
      <c r="AE49" s="26"/>
      <c r="AF49" s="100">
        <f t="shared" ca="1" si="35"/>
        <v>100</v>
      </c>
      <c r="AG49" s="100">
        <f t="shared" ca="1" si="31"/>
        <v>100</v>
      </c>
      <c r="AH49" s="101" t="str">
        <f t="shared" ca="1" si="32"/>
        <v/>
      </c>
      <c r="AI49" s="101" t="str">
        <f t="shared" si="36"/>
        <v/>
      </c>
      <c r="AJ49" s="59"/>
      <c r="AK49" s="54"/>
      <c r="AL49" s="54" t="str">
        <f t="shared" ca="1" si="23"/>
        <v/>
      </c>
      <c r="AM49" s="53"/>
    </row>
    <row r="50" spans="1:39" s="88" customFormat="1">
      <c r="A50" s="54"/>
      <c r="B50" s="17"/>
      <c r="C50" s="17"/>
      <c r="D50" s="17"/>
      <c r="E50" s="17"/>
      <c r="F50" s="17"/>
      <c r="G50" s="16"/>
      <c r="H50" s="16"/>
      <c r="I50" s="16"/>
      <c r="J50" s="58"/>
      <c r="K50" s="58"/>
      <c r="L50" s="58"/>
      <c r="M50" s="27"/>
      <c r="N50" s="58"/>
      <c r="O50" s="54">
        <f t="shared" si="33"/>
        <v>0</v>
      </c>
      <c r="P50" s="54">
        <f t="shared" si="34"/>
        <v>0</v>
      </c>
      <c r="Q50" s="54"/>
      <c r="R50" s="54"/>
      <c r="S50" s="57"/>
      <c r="T50" s="57"/>
      <c r="U50" s="71"/>
      <c r="V50" s="56"/>
      <c r="W50" s="17"/>
      <c r="X50" s="23" t="str">
        <f>IFERROR(VLOOKUP(W50,Listas!$A$1:$C$13,2,FALSE),"")</f>
        <v/>
      </c>
      <c r="Y50" s="23" t="str">
        <f>IFERROR(VLOOKUP(W50,Listas!$A$1:$C$13,3,FALSE),"")</f>
        <v/>
      </c>
      <c r="Z50" s="17"/>
      <c r="AA50" s="17"/>
      <c r="AB50" s="23" t="str">
        <f>IFERROR(VLOOKUP(AA50,Listas!$AD$1:$AF$65,2,FALSE),"")</f>
        <v/>
      </c>
      <c r="AC50" s="23" t="str">
        <f>IFERROR(VLOOKUP(AA50,Listas!$AD$1:$AF$65,3,FALSE),"")</f>
        <v/>
      </c>
      <c r="AD50" s="26"/>
      <c r="AE50" s="26"/>
      <c r="AF50" s="100">
        <f t="shared" ca="1" si="35"/>
        <v>100</v>
      </c>
      <c r="AG50" s="100">
        <f t="shared" ca="1" si="31"/>
        <v>100</v>
      </c>
      <c r="AH50" s="101" t="str">
        <f t="shared" ca="1" si="32"/>
        <v/>
      </c>
      <c r="AI50" s="101" t="str">
        <f t="shared" si="36"/>
        <v/>
      </c>
      <c r="AJ50" s="59"/>
      <c r="AK50" s="54"/>
      <c r="AL50" s="54" t="str">
        <f t="shared" ca="1" si="23"/>
        <v/>
      </c>
      <c r="AM50" s="53"/>
    </row>
    <row r="51" spans="1:39">
      <c r="A51" s="54"/>
      <c r="B51" s="17"/>
      <c r="C51" s="17"/>
      <c r="D51" s="17"/>
      <c r="E51" s="17"/>
      <c r="F51" s="17"/>
      <c r="G51" s="16"/>
      <c r="H51" s="16"/>
      <c r="I51" s="16"/>
      <c r="J51" s="58"/>
      <c r="K51" s="58"/>
      <c r="L51" s="58"/>
      <c r="M51" s="27"/>
      <c r="N51" s="58"/>
      <c r="O51" s="54">
        <f t="shared" si="33"/>
        <v>0</v>
      </c>
      <c r="P51" s="54">
        <f t="shared" si="34"/>
        <v>0</v>
      </c>
      <c r="Q51" s="54"/>
      <c r="R51" s="54"/>
      <c r="S51" s="57"/>
      <c r="T51" s="57"/>
      <c r="U51" s="71"/>
      <c r="V51" s="56"/>
      <c r="W51" s="17"/>
      <c r="X51" s="23" t="str">
        <f>IFERROR(VLOOKUP(W51,Listas!$A$1:$C$13,2,FALSE),"")</f>
        <v/>
      </c>
      <c r="Y51" s="23" t="str">
        <f>IFERROR(VLOOKUP(W51,Listas!$A$1:$C$13,3,FALSE),"")</f>
        <v/>
      </c>
      <c r="Z51" s="17"/>
      <c r="AA51" s="17"/>
      <c r="AB51" s="23" t="str">
        <f>IFERROR(VLOOKUP(AA51,Listas!$AD$1:$AF$65,2,FALSE),"")</f>
        <v/>
      </c>
      <c r="AC51" s="23" t="str">
        <f>IFERROR(VLOOKUP(AA51,Listas!$AD$1:$AF$65,3,FALSE),"")</f>
        <v/>
      </c>
      <c r="AD51" s="26"/>
      <c r="AE51" s="26"/>
      <c r="AF51" s="100">
        <f t="shared" ca="1" si="35"/>
        <v>100</v>
      </c>
      <c r="AG51" s="100">
        <f t="shared" ca="1" si="31"/>
        <v>100</v>
      </c>
      <c r="AH51" s="101" t="str">
        <f t="shared" ca="1" si="32"/>
        <v/>
      </c>
      <c r="AI51" s="101" t="str">
        <f t="shared" si="36"/>
        <v/>
      </c>
      <c r="AJ51" s="59"/>
      <c r="AK51" s="54"/>
      <c r="AL51" s="54" t="str">
        <f t="shared" ca="1" si="23"/>
        <v/>
      </c>
      <c r="AM51" s="53"/>
    </row>
    <row r="52" spans="1:39">
      <c r="A52" s="54"/>
      <c r="B52" s="17"/>
      <c r="C52" s="17"/>
      <c r="D52" s="17"/>
      <c r="E52" s="17"/>
      <c r="F52" s="17"/>
      <c r="G52" s="16"/>
      <c r="H52" s="16"/>
      <c r="I52" s="16"/>
      <c r="J52" s="58"/>
      <c r="K52" s="58"/>
      <c r="L52" s="58"/>
      <c r="M52" s="27"/>
      <c r="N52" s="58"/>
      <c r="O52" s="54">
        <f t="shared" si="33"/>
        <v>0</v>
      </c>
      <c r="P52" s="54">
        <f t="shared" si="34"/>
        <v>0</v>
      </c>
      <c r="Q52" s="54"/>
      <c r="R52" s="54"/>
      <c r="S52" s="57"/>
      <c r="T52" s="57"/>
      <c r="U52" s="71"/>
      <c r="V52" s="56"/>
      <c r="W52" s="17"/>
      <c r="X52" s="23" t="str">
        <f>IFERROR(VLOOKUP(W52,Listas!$A$1:$C$13,2,FALSE),"")</f>
        <v/>
      </c>
      <c r="Y52" s="23" t="str">
        <f>IFERROR(VLOOKUP(W52,Listas!$A$1:$C$13,3,FALSE),"")</f>
        <v/>
      </c>
      <c r="Z52" s="17"/>
      <c r="AA52" s="17"/>
      <c r="AB52" s="23" t="str">
        <f>IFERROR(VLOOKUP(AA52,Listas!$AD$1:$AF$65,2,FALSE),"")</f>
        <v/>
      </c>
      <c r="AC52" s="23" t="str">
        <f>IFERROR(VLOOKUP(AA52,Listas!$AD$1:$AF$65,3,FALSE),"")</f>
        <v/>
      </c>
      <c r="AD52" s="26"/>
      <c r="AE52" s="26"/>
      <c r="AF52" s="100">
        <f t="shared" ca="1" si="35"/>
        <v>100</v>
      </c>
      <c r="AG52" s="100">
        <f t="shared" ca="1" si="31"/>
        <v>100</v>
      </c>
      <c r="AH52" s="101" t="str">
        <f t="shared" ca="1" si="32"/>
        <v/>
      </c>
      <c r="AI52" s="101" t="str">
        <f t="shared" si="36"/>
        <v/>
      </c>
      <c r="AJ52" s="59"/>
      <c r="AK52" s="54"/>
      <c r="AL52" s="54" t="str">
        <f t="shared" ref="AL52:AL115" ca="1" si="37">IFERROR((V52/P52)*(TODAY()-L52),"")</f>
        <v/>
      </c>
      <c r="AM52" s="53"/>
    </row>
    <row r="53" spans="1:39">
      <c r="A53" s="54"/>
      <c r="B53" s="17"/>
      <c r="C53" s="17"/>
      <c r="D53" s="17"/>
      <c r="E53" s="17"/>
      <c r="F53" s="17"/>
      <c r="G53" s="16"/>
      <c r="H53" s="16"/>
      <c r="I53" s="16"/>
      <c r="J53" s="58"/>
      <c r="K53" s="58"/>
      <c r="L53" s="58"/>
      <c r="M53" s="27"/>
      <c r="N53" s="58"/>
      <c r="O53" s="54">
        <f t="shared" si="33"/>
        <v>0</v>
      </c>
      <c r="P53" s="54">
        <f t="shared" si="34"/>
        <v>0</v>
      </c>
      <c r="Q53" s="54"/>
      <c r="R53" s="54"/>
      <c r="S53" s="57"/>
      <c r="T53" s="57"/>
      <c r="U53" s="71"/>
      <c r="V53" s="56"/>
      <c r="W53" s="17"/>
      <c r="X53" s="23" t="str">
        <f>IFERROR(VLOOKUP(W53,Listas!$A$1:$C$13,2,FALSE),"")</f>
        <v/>
      </c>
      <c r="Y53" s="23" t="str">
        <f>IFERROR(VLOOKUP(W53,Listas!$A$1:$C$13,3,FALSE),"")</f>
        <v/>
      </c>
      <c r="Z53" s="17"/>
      <c r="AA53" s="17"/>
      <c r="AB53" s="23" t="str">
        <f>IFERROR(VLOOKUP(AA53,Listas!$AD$1:$AF$65,2,FALSE),"")</f>
        <v/>
      </c>
      <c r="AC53" s="23" t="str">
        <f>IFERROR(VLOOKUP(AA53,Listas!$AD$1:$AF$65,3,FALSE),"")</f>
        <v/>
      </c>
      <c r="AD53" s="26"/>
      <c r="AE53" s="26"/>
      <c r="AF53" s="100">
        <f t="shared" ca="1" si="35"/>
        <v>100</v>
      </c>
      <c r="AG53" s="100">
        <f t="shared" ca="1" si="31"/>
        <v>100</v>
      </c>
      <c r="AH53" s="101" t="str">
        <f t="shared" ca="1" si="32"/>
        <v/>
      </c>
      <c r="AI53" s="101" t="str">
        <f t="shared" si="36"/>
        <v/>
      </c>
      <c r="AJ53" s="59"/>
      <c r="AK53" s="54"/>
      <c r="AL53" s="54" t="str">
        <f t="shared" ca="1" si="37"/>
        <v/>
      </c>
      <c r="AM53" s="53"/>
    </row>
    <row r="54" spans="1:39">
      <c r="A54" s="54"/>
      <c r="B54" s="17"/>
      <c r="C54" s="17"/>
      <c r="D54" s="17"/>
      <c r="E54" s="17"/>
      <c r="F54" s="17"/>
      <c r="G54" s="16"/>
      <c r="H54" s="16"/>
      <c r="I54" s="16"/>
      <c r="J54" s="58"/>
      <c r="K54" s="58"/>
      <c r="L54" s="58"/>
      <c r="M54" s="27"/>
      <c r="N54" s="58"/>
      <c r="O54" s="54">
        <f t="shared" si="33"/>
        <v>0</v>
      </c>
      <c r="P54" s="54">
        <f t="shared" si="34"/>
        <v>0</v>
      </c>
      <c r="Q54" s="54"/>
      <c r="R54" s="54"/>
      <c r="S54" s="57"/>
      <c r="T54" s="57"/>
      <c r="U54" s="71"/>
      <c r="V54" s="56"/>
      <c r="W54" s="17"/>
      <c r="X54" s="23" t="str">
        <f>IFERROR(VLOOKUP(W54,Listas!$A$1:$C$13,2,FALSE),"")</f>
        <v/>
      </c>
      <c r="Y54" s="23" t="str">
        <f>IFERROR(VLOOKUP(W54,Listas!$A$1:$C$13,3,FALSE),"")</f>
        <v/>
      </c>
      <c r="Z54" s="17"/>
      <c r="AA54" s="17"/>
      <c r="AB54" s="23" t="str">
        <f>IFERROR(VLOOKUP(AA54,Listas!$AD$1:$AF$65,2,FALSE),"")</f>
        <v/>
      </c>
      <c r="AC54" s="23" t="str">
        <f>IFERROR(VLOOKUP(AA54,Listas!$AD$1:$AF$65,3,FALSE),"")</f>
        <v/>
      </c>
      <c r="AD54" s="26"/>
      <c r="AE54" s="26"/>
      <c r="AF54" s="100">
        <f t="shared" ca="1" si="35"/>
        <v>100</v>
      </c>
      <c r="AG54" s="100">
        <f t="shared" ca="1" si="31"/>
        <v>100</v>
      </c>
      <c r="AH54" s="101" t="str">
        <f t="shared" ca="1" si="32"/>
        <v/>
      </c>
      <c r="AI54" s="101" t="str">
        <f t="shared" si="36"/>
        <v/>
      </c>
      <c r="AJ54" s="59"/>
      <c r="AK54" s="54"/>
      <c r="AL54" s="54" t="str">
        <f t="shared" ca="1" si="37"/>
        <v/>
      </c>
      <c r="AM54" s="53"/>
    </row>
    <row r="55" spans="1:39">
      <c r="A55" s="54"/>
      <c r="B55" s="17"/>
      <c r="C55" s="17"/>
      <c r="D55" s="17"/>
      <c r="E55" s="17"/>
      <c r="F55" s="17"/>
      <c r="G55" s="16"/>
      <c r="H55" s="16"/>
      <c r="I55" s="16"/>
      <c r="J55" s="58"/>
      <c r="K55" s="58"/>
      <c r="L55" s="58"/>
      <c r="M55" s="27"/>
      <c r="N55" s="58"/>
      <c r="O55" s="54">
        <f t="shared" si="33"/>
        <v>0</v>
      </c>
      <c r="P55" s="54">
        <f t="shared" si="34"/>
        <v>0</v>
      </c>
      <c r="Q55" s="54"/>
      <c r="R55" s="54"/>
      <c r="S55" s="57"/>
      <c r="T55" s="57"/>
      <c r="U55" s="71"/>
      <c r="V55" s="56"/>
      <c r="W55" s="17"/>
      <c r="X55" s="23" t="str">
        <f>IFERROR(VLOOKUP(W55,Listas!$A$1:$C$13,2,FALSE),"")</f>
        <v/>
      </c>
      <c r="Y55" s="23" t="str">
        <f>IFERROR(VLOOKUP(W55,Listas!$A$1:$C$13,3,FALSE),"")</f>
        <v/>
      </c>
      <c r="Z55" s="17"/>
      <c r="AA55" s="17"/>
      <c r="AB55" s="23" t="str">
        <f>IFERROR(VLOOKUP(AA55,Listas!$AD$1:$AF$65,2,FALSE),"")</f>
        <v/>
      </c>
      <c r="AC55" s="23" t="str">
        <f>IFERROR(VLOOKUP(AA55,Listas!$AD$1:$AF$65,3,FALSE),"")</f>
        <v/>
      </c>
      <c r="AD55" s="26"/>
      <c r="AE55" s="26"/>
      <c r="AF55" s="100">
        <f t="shared" ca="1" si="35"/>
        <v>100</v>
      </c>
      <c r="AG55" s="100">
        <f t="shared" ca="1" si="31"/>
        <v>100</v>
      </c>
      <c r="AH55" s="101" t="str">
        <f t="shared" ca="1" si="32"/>
        <v/>
      </c>
      <c r="AI55" s="101" t="str">
        <f t="shared" si="36"/>
        <v/>
      </c>
      <c r="AJ55" s="59"/>
      <c r="AK55" s="54"/>
      <c r="AL55" s="54" t="str">
        <f t="shared" ca="1" si="37"/>
        <v/>
      </c>
      <c r="AM55" s="53"/>
    </row>
    <row r="56" spans="1:39">
      <c r="A56" s="54"/>
      <c r="B56" s="17"/>
      <c r="C56" s="17"/>
      <c r="D56" s="17"/>
      <c r="E56" s="17"/>
      <c r="F56" s="17"/>
      <c r="G56" s="16"/>
      <c r="H56" s="16"/>
      <c r="I56" s="16"/>
      <c r="J56" s="58"/>
      <c r="K56" s="58"/>
      <c r="L56" s="58"/>
      <c r="M56" s="27"/>
      <c r="N56" s="58"/>
      <c r="O56" s="54">
        <f t="shared" si="33"/>
        <v>0</v>
      </c>
      <c r="P56" s="54">
        <f t="shared" si="34"/>
        <v>0</v>
      </c>
      <c r="Q56" s="54"/>
      <c r="R56" s="54"/>
      <c r="S56" s="57"/>
      <c r="T56" s="57"/>
      <c r="U56" s="71"/>
      <c r="V56" s="56"/>
      <c r="W56" s="17"/>
      <c r="X56" s="23" t="str">
        <f>IFERROR(VLOOKUP(W56,Listas!$A$1:$C$13,2,FALSE),"")</f>
        <v/>
      </c>
      <c r="Y56" s="23" t="str">
        <f>IFERROR(VLOOKUP(W56,Listas!$A$1:$C$13,3,FALSE),"")</f>
        <v/>
      </c>
      <c r="Z56" s="17"/>
      <c r="AA56" s="17"/>
      <c r="AB56" s="23" t="str">
        <f>IFERROR(VLOOKUP(AA56,Listas!$AD$1:$AF$65,2,FALSE),"")</f>
        <v/>
      </c>
      <c r="AC56" s="23" t="str">
        <f>IFERROR(VLOOKUP(AA56,Listas!$AD$1:$AF$65,3,FALSE),"")</f>
        <v/>
      </c>
      <c r="AD56" s="26"/>
      <c r="AE56" s="26"/>
      <c r="AF56" s="100">
        <f t="shared" ca="1" si="35"/>
        <v>100</v>
      </c>
      <c r="AG56" s="100">
        <f t="shared" ca="1" si="31"/>
        <v>100</v>
      </c>
      <c r="AH56" s="101" t="str">
        <f t="shared" ca="1" si="32"/>
        <v/>
      </c>
      <c r="AI56" s="101" t="str">
        <f t="shared" si="36"/>
        <v/>
      </c>
      <c r="AJ56" s="59"/>
      <c r="AK56" s="54"/>
      <c r="AL56" s="54" t="str">
        <f t="shared" ca="1" si="37"/>
        <v/>
      </c>
      <c r="AM56" s="53"/>
    </row>
    <row r="57" spans="1:39">
      <c r="A57" s="54"/>
      <c r="B57" s="17"/>
      <c r="C57" s="17"/>
      <c r="D57" s="17"/>
      <c r="E57" s="17"/>
      <c r="F57" s="17"/>
      <c r="G57" s="16"/>
      <c r="H57" s="16"/>
      <c r="I57" s="16"/>
      <c r="J57" s="58"/>
      <c r="K57" s="58"/>
      <c r="L57" s="58"/>
      <c r="M57" s="27"/>
      <c r="N57" s="58"/>
      <c r="O57" s="54">
        <f t="shared" si="33"/>
        <v>0</v>
      </c>
      <c r="P57" s="54">
        <f t="shared" si="34"/>
        <v>0</v>
      </c>
      <c r="Q57" s="54"/>
      <c r="R57" s="54"/>
      <c r="S57" s="57"/>
      <c r="T57" s="57"/>
      <c r="U57" s="71"/>
      <c r="V57" s="56"/>
      <c r="W57" s="17"/>
      <c r="X57" s="23" t="str">
        <f>IFERROR(VLOOKUP(W57,Listas!$A$1:$C$13,2,FALSE),"")</f>
        <v/>
      </c>
      <c r="Y57" s="23" t="str">
        <f>IFERROR(VLOOKUP(W57,Listas!$A$1:$C$13,3,FALSE),"")</f>
        <v/>
      </c>
      <c r="Z57" s="17"/>
      <c r="AA57" s="17"/>
      <c r="AB57" s="23" t="str">
        <f>IFERROR(VLOOKUP(AA57,Listas!$AD$1:$AF$65,2,FALSE),"")</f>
        <v/>
      </c>
      <c r="AC57" s="23" t="str">
        <f>IFERROR(VLOOKUP(AA57,Listas!$AD$1:$AF$65,3,FALSE),"")</f>
        <v/>
      </c>
      <c r="AD57" s="26"/>
      <c r="AE57" s="26"/>
      <c r="AF57" s="100">
        <f t="shared" ca="1" si="35"/>
        <v>100</v>
      </c>
      <c r="AG57" s="100">
        <f t="shared" ca="1" si="31"/>
        <v>100</v>
      </c>
      <c r="AH57" s="101" t="str">
        <f t="shared" ca="1" si="32"/>
        <v/>
      </c>
      <c r="AI57" s="101" t="str">
        <f t="shared" si="36"/>
        <v/>
      </c>
      <c r="AJ57" s="59"/>
      <c r="AK57" s="54"/>
      <c r="AL57" s="54" t="str">
        <f t="shared" ca="1" si="37"/>
        <v/>
      </c>
      <c r="AM57" s="53"/>
    </row>
    <row r="58" spans="1:39">
      <c r="A58" s="54"/>
      <c r="B58" s="17"/>
      <c r="C58" s="17"/>
      <c r="D58" s="17"/>
      <c r="E58" s="17"/>
      <c r="F58" s="17"/>
      <c r="G58" s="16"/>
      <c r="H58" s="16"/>
      <c r="I58" s="16"/>
      <c r="J58" s="58"/>
      <c r="K58" s="58"/>
      <c r="L58" s="58"/>
      <c r="M58" s="27"/>
      <c r="N58" s="58"/>
      <c r="O58" s="54">
        <f t="shared" si="33"/>
        <v>0</v>
      </c>
      <c r="P58" s="54">
        <f t="shared" si="34"/>
        <v>0</v>
      </c>
      <c r="Q58" s="54"/>
      <c r="R58" s="54"/>
      <c r="S58" s="57"/>
      <c r="T58" s="57"/>
      <c r="U58" s="71"/>
      <c r="V58" s="56"/>
      <c r="W58" s="17"/>
      <c r="X58" s="23" t="str">
        <f>IFERROR(VLOOKUP(W58,Listas!$A$1:$C$13,2,FALSE),"")</f>
        <v/>
      </c>
      <c r="Y58" s="23" t="str">
        <f>IFERROR(VLOOKUP(W58,Listas!$A$1:$C$13,3,FALSE),"")</f>
        <v/>
      </c>
      <c r="Z58" s="17"/>
      <c r="AA58" s="17"/>
      <c r="AB58" s="23" t="str">
        <f>IFERROR(VLOOKUP(AA58,Listas!$AD$1:$AF$65,2,FALSE),"")</f>
        <v/>
      </c>
      <c r="AC58" s="23" t="str">
        <f>IFERROR(VLOOKUP(AA58,Listas!$AD$1:$AF$65,3,FALSE),"")</f>
        <v/>
      </c>
      <c r="AD58" s="26"/>
      <c r="AE58" s="26"/>
      <c r="AF58" s="100">
        <f t="shared" ca="1" si="35"/>
        <v>100</v>
      </c>
      <c r="AG58" s="100">
        <f t="shared" ca="1" si="31"/>
        <v>100</v>
      </c>
      <c r="AH58" s="101" t="str">
        <f t="shared" ca="1" si="32"/>
        <v/>
      </c>
      <c r="AI58" s="101" t="str">
        <f t="shared" si="36"/>
        <v/>
      </c>
      <c r="AJ58" s="59"/>
      <c r="AK58" s="54"/>
      <c r="AL58" s="54" t="str">
        <f t="shared" ca="1" si="37"/>
        <v/>
      </c>
      <c r="AM58" s="53"/>
    </row>
    <row r="59" spans="1:39">
      <c r="A59" s="54"/>
      <c r="B59" s="17"/>
      <c r="C59" s="17"/>
      <c r="D59" s="17"/>
      <c r="E59" s="17"/>
      <c r="F59" s="17"/>
      <c r="G59" s="16"/>
      <c r="H59" s="16"/>
      <c r="I59" s="16"/>
      <c r="J59" s="58"/>
      <c r="K59" s="58"/>
      <c r="L59" s="58"/>
      <c r="M59" s="27"/>
      <c r="N59" s="58"/>
      <c r="O59" s="54">
        <f t="shared" si="33"/>
        <v>0</v>
      </c>
      <c r="P59" s="54">
        <f t="shared" si="34"/>
        <v>0</v>
      </c>
      <c r="Q59" s="54"/>
      <c r="R59" s="54"/>
      <c r="S59" s="57"/>
      <c r="T59" s="57"/>
      <c r="U59" s="71"/>
      <c r="V59" s="56"/>
      <c r="W59" s="17"/>
      <c r="X59" s="23" t="str">
        <f>IFERROR(VLOOKUP(W59,Listas!$A$1:$C$13,2,FALSE),"")</f>
        <v/>
      </c>
      <c r="Y59" s="23" t="str">
        <f>IFERROR(VLOOKUP(W59,Listas!$A$1:$C$13,3,FALSE),"")</f>
        <v/>
      </c>
      <c r="Z59" s="17"/>
      <c r="AA59" s="17"/>
      <c r="AB59" s="23" t="str">
        <f>IFERROR(VLOOKUP(AA59,Listas!$AD$1:$AF$65,2,FALSE),"")</f>
        <v/>
      </c>
      <c r="AC59" s="23" t="str">
        <f>IFERROR(VLOOKUP(AA59,Listas!$AD$1:$AF$65,3,FALSE),"")</f>
        <v/>
      </c>
      <c r="AD59" s="26"/>
      <c r="AE59" s="26"/>
      <c r="AF59" s="100">
        <f t="shared" ca="1" si="35"/>
        <v>100</v>
      </c>
      <c r="AG59" s="100">
        <f t="shared" ca="1" si="31"/>
        <v>100</v>
      </c>
      <c r="AH59" s="101" t="str">
        <f t="shared" ca="1" si="32"/>
        <v/>
      </c>
      <c r="AI59" s="101" t="str">
        <f t="shared" si="36"/>
        <v/>
      </c>
      <c r="AJ59" s="59"/>
      <c r="AK59" s="54"/>
      <c r="AL59" s="54" t="str">
        <f t="shared" ca="1" si="37"/>
        <v/>
      </c>
      <c r="AM59" s="53"/>
    </row>
    <row r="60" spans="1:39">
      <c r="A60" s="54"/>
      <c r="B60" s="17"/>
      <c r="C60" s="17"/>
      <c r="D60" s="17"/>
      <c r="E60" s="17"/>
      <c r="F60" s="17"/>
      <c r="G60" s="16"/>
      <c r="H60" s="16"/>
      <c r="I60" s="16"/>
      <c r="J60" s="58"/>
      <c r="K60" s="58"/>
      <c r="L60" s="58"/>
      <c r="M60" s="27"/>
      <c r="N60" s="58"/>
      <c r="O60" s="54">
        <f t="shared" si="33"/>
        <v>0</v>
      </c>
      <c r="P60" s="54">
        <f t="shared" si="34"/>
        <v>0</v>
      </c>
      <c r="Q60" s="54"/>
      <c r="R60" s="54"/>
      <c r="S60" s="57"/>
      <c r="T60" s="57"/>
      <c r="U60" s="71"/>
      <c r="V60" s="56"/>
      <c r="W60" s="17"/>
      <c r="X60" s="23" t="str">
        <f>IFERROR(VLOOKUP(W60,Listas!$A$1:$C$13,2,FALSE),"")</f>
        <v/>
      </c>
      <c r="Y60" s="23" t="str">
        <f>IFERROR(VLOOKUP(W60,Listas!$A$1:$C$13,3,FALSE),"")</f>
        <v/>
      </c>
      <c r="Z60" s="17"/>
      <c r="AA60" s="17"/>
      <c r="AB60" s="23" t="str">
        <f>IFERROR(VLOOKUP(AA60,Listas!$AD$1:$AF$65,2,FALSE),"")</f>
        <v/>
      </c>
      <c r="AC60" s="23" t="str">
        <f>IFERROR(VLOOKUP(AA60,Listas!$AD$1:$AF$65,3,FALSE),"")</f>
        <v/>
      </c>
      <c r="AD60" s="26"/>
      <c r="AE60" s="26"/>
      <c r="AF60" s="100">
        <f t="shared" ca="1" si="35"/>
        <v>100</v>
      </c>
      <c r="AG60" s="100">
        <f t="shared" ca="1" si="31"/>
        <v>100</v>
      </c>
      <c r="AH60" s="101" t="str">
        <f t="shared" ca="1" si="32"/>
        <v/>
      </c>
      <c r="AI60" s="101" t="str">
        <f t="shared" si="36"/>
        <v/>
      </c>
      <c r="AJ60" s="59"/>
      <c r="AK60" s="54"/>
      <c r="AL60" s="54" t="str">
        <f t="shared" ca="1" si="37"/>
        <v/>
      </c>
      <c r="AM60" s="53"/>
    </row>
    <row r="61" spans="1:39">
      <c r="A61" s="54"/>
      <c r="B61" s="17"/>
      <c r="C61" s="17"/>
      <c r="D61" s="17"/>
      <c r="E61" s="17"/>
      <c r="F61" s="17"/>
      <c r="G61" s="16"/>
      <c r="H61" s="16"/>
      <c r="I61" s="16"/>
      <c r="J61" s="58"/>
      <c r="K61" s="58"/>
      <c r="L61" s="58"/>
      <c r="M61" s="27"/>
      <c r="N61" s="58"/>
      <c r="O61" s="54">
        <f t="shared" si="33"/>
        <v>0</v>
      </c>
      <c r="P61" s="54">
        <f t="shared" si="34"/>
        <v>0</v>
      </c>
      <c r="Q61" s="54"/>
      <c r="R61" s="54"/>
      <c r="S61" s="57"/>
      <c r="T61" s="57"/>
      <c r="U61" s="71"/>
      <c r="V61" s="56"/>
      <c r="W61" s="17"/>
      <c r="X61" s="23" t="str">
        <f>IFERROR(VLOOKUP(W61,Listas!$A$1:$C$13,2,FALSE),"")</f>
        <v/>
      </c>
      <c r="Y61" s="23" t="str">
        <f>IFERROR(VLOOKUP(W61,Listas!$A$1:$C$13,3,FALSE),"")</f>
        <v/>
      </c>
      <c r="Z61" s="17"/>
      <c r="AA61" s="17"/>
      <c r="AB61" s="23" t="str">
        <f>IFERROR(VLOOKUP(AA61,Listas!$AD$1:$AF$65,2,FALSE),"")</f>
        <v/>
      </c>
      <c r="AC61" s="23" t="str">
        <f>IFERROR(VLOOKUP(AA61,Listas!$AD$1:$AF$65,3,FALSE),"")</f>
        <v/>
      </c>
      <c r="AD61" s="26"/>
      <c r="AE61" s="26"/>
      <c r="AF61" s="100">
        <f t="shared" ca="1" si="35"/>
        <v>100</v>
      </c>
      <c r="AG61" s="100">
        <f t="shared" ca="1" si="31"/>
        <v>100</v>
      </c>
      <c r="AH61" s="101" t="str">
        <f t="shared" ca="1" si="32"/>
        <v/>
      </c>
      <c r="AI61" s="101" t="str">
        <f t="shared" si="36"/>
        <v/>
      </c>
      <c r="AJ61" s="59"/>
      <c r="AK61" s="54"/>
      <c r="AL61" s="54" t="str">
        <f t="shared" ca="1" si="37"/>
        <v/>
      </c>
      <c r="AM61" s="53"/>
    </row>
    <row r="62" spans="1:39">
      <c r="A62" s="54"/>
      <c r="B62" s="17"/>
      <c r="C62" s="17"/>
      <c r="D62" s="17"/>
      <c r="E62" s="17"/>
      <c r="F62" s="17"/>
      <c r="G62" s="16"/>
      <c r="H62" s="16"/>
      <c r="I62" s="16"/>
      <c r="J62" s="58"/>
      <c r="K62" s="58"/>
      <c r="L62" s="58"/>
      <c r="M62" s="27"/>
      <c r="N62" s="58"/>
      <c r="O62" s="54">
        <f t="shared" si="33"/>
        <v>0</v>
      </c>
      <c r="P62" s="54">
        <f t="shared" si="34"/>
        <v>0</v>
      </c>
      <c r="Q62" s="54"/>
      <c r="R62" s="54"/>
      <c r="S62" s="57"/>
      <c r="T62" s="57"/>
      <c r="U62" s="71"/>
      <c r="V62" s="56"/>
      <c r="W62" s="17"/>
      <c r="X62" s="23" t="str">
        <f>IFERROR(VLOOKUP(W62,Listas!$A$1:$C$13,2,FALSE),"")</f>
        <v/>
      </c>
      <c r="Y62" s="23" t="str">
        <f>IFERROR(VLOOKUP(W62,Listas!$A$1:$C$13,3,FALSE),"")</f>
        <v/>
      </c>
      <c r="Z62" s="17"/>
      <c r="AA62" s="17"/>
      <c r="AB62" s="23" t="str">
        <f>IFERROR(VLOOKUP(AA62,Listas!$AD$1:$AF$65,2,FALSE),"")</f>
        <v/>
      </c>
      <c r="AC62" s="23" t="str">
        <f>IFERROR(VLOOKUP(AA62,Listas!$AD$1:$AF$65,3,FALSE),"")</f>
        <v/>
      </c>
      <c r="AD62" s="26"/>
      <c r="AE62" s="26"/>
      <c r="AF62" s="100">
        <f t="shared" ca="1" si="35"/>
        <v>100</v>
      </c>
      <c r="AG62" s="100">
        <f t="shared" ca="1" si="31"/>
        <v>100</v>
      </c>
      <c r="AH62" s="101" t="str">
        <f t="shared" ca="1" si="32"/>
        <v/>
      </c>
      <c r="AI62" s="101" t="str">
        <f t="shared" si="36"/>
        <v/>
      </c>
      <c r="AJ62" s="59"/>
      <c r="AK62" s="54"/>
      <c r="AL62" s="54" t="str">
        <f t="shared" ca="1" si="37"/>
        <v/>
      </c>
      <c r="AM62" s="53"/>
    </row>
    <row r="63" spans="1:39">
      <c r="A63" s="54"/>
      <c r="B63" s="17"/>
      <c r="C63" s="17"/>
      <c r="D63" s="17"/>
      <c r="E63" s="17"/>
      <c r="F63" s="17"/>
      <c r="G63" s="16"/>
      <c r="H63" s="16"/>
      <c r="I63" s="16"/>
      <c r="J63" s="58"/>
      <c r="K63" s="58"/>
      <c r="L63" s="58"/>
      <c r="M63" s="27"/>
      <c r="N63" s="58"/>
      <c r="O63" s="54">
        <f t="shared" si="33"/>
        <v>0</v>
      </c>
      <c r="P63" s="54">
        <f t="shared" si="34"/>
        <v>0</v>
      </c>
      <c r="Q63" s="54"/>
      <c r="R63" s="54"/>
      <c r="S63" s="57"/>
      <c r="T63" s="57"/>
      <c r="U63" s="71"/>
      <c r="V63" s="56"/>
      <c r="W63" s="17"/>
      <c r="X63" s="23" t="str">
        <f>IFERROR(VLOOKUP(W63,Listas!$A$1:$C$13,2,FALSE),"")</f>
        <v/>
      </c>
      <c r="Y63" s="23" t="str">
        <f>IFERROR(VLOOKUP(W63,Listas!$A$1:$C$13,3,FALSE),"")</f>
        <v/>
      </c>
      <c r="Z63" s="17"/>
      <c r="AA63" s="17"/>
      <c r="AB63" s="23" t="str">
        <f>IFERROR(VLOOKUP(AA63,Listas!$AD$1:$AF$65,2,FALSE),"")</f>
        <v/>
      </c>
      <c r="AC63" s="23" t="str">
        <f>IFERROR(VLOOKUP(AA63,Listas!$AD$1:$AF$65,3,FALSE),"")</f>
        <v/>
      </c>
      <c r="AD63" s="26"/>
      <c r="AE63" s="26"/>
      <c r="AF63" s="100">
        <f t="shared" ca="1" si="35"/>
        <v>100</v>
      </c>
      <c r="AG63" s="100">
        <f t="shared" ca="1" si="31"/>
        <v>100</v>
      </c>
      <c r="AH63" s="101" t="str">
        <f t="shared" ca="1" si="32"/>
        <v/>
      </c>
      <c r="AI63" s="101" t="str">
        <f t="shared" si="36"/>
        <v/>
      </c>
      <c r="AJ63" s="59"/>
      <c r="AK63" s="54"/>
      <c r="AL63" s="54" t="str">
        <f t="shared" ca="1" si="37"/>
        <v/>
      </c>
      <c r="AM63" s="53"/>
    </row>
    <row r="64" spans="1:39">
      <c r="A64" s="54"/>
      <c r="B64" s="17"/>
      <c r="C64" s="17"/>
      <c r="D64" s="17"/>
      <c r="E64" s="17"/>
      <c r="F64" s="17"/>
      <c r="G64" s="16"/>
      <c r="H64" s="16"/>
      <c r="I64" s="16"/>
      <c r="J64" s="58"/>
      <c r="K64" s="58"/>
      <c r="L64" s="58"/>
      <c r="M64" s="27"/>
      <c r="N64" s="58"/>
      <c r="O64" s="54">
        <f t="shared" si="33"/>
        <v>0</v>
      </c>
      <c r="P64" s="54">
        <f t="shared" si="34"/>
        <v>0</v>
      </c>
      <c r="Q64" s="54"/>
      <c r="R64" s="54"/>
      <c r="S64" s="57"/>
      <c r="T64" s="57"/>
      <c r="U64" s="71"/>
      <c r="V64" s="56"/>
      <c r="W64" s="17"/>
      <c r="X64" s="23" t="str">
        <f>IFERROR(VLOOKUP(W64,Listas!$A$1:$C$13,2,FALSE),"")</f>
        <v/>
      </c>
      <c r="Y64" s="23" t="str">
        <f>IFERROR(VLOOKUP(W64,Listas!$A$1:$C$13,3,FALSE),"")</f>
        <v/>
      </c>
      <c r="Z64" s="17"/>
      <c r="AA64" s="17"/>
      <c r="AB64" s="23" t="str">
        <f>IFERROR(VLOOKUP(AA64,Listas!$AD$1:$AF$65,2,FALSE),"")</f>
        <v/>
      </c>
      <c r="AC64" s="23" t="str">
        <f>IFERROR(VLOOKUP(AA64,Listas!$AD$1:$AF$65,3,FALSE),"")</f>
        <v/>
      </c>
      <c r="AD64" s="26"/>
      <c r="AE64" s="26"/>
      <c r="AF64" s="100">
        <f t="shared" ca="1" si="35"/>
        <v>100</v>
      </c>
      <c r="AG64" s="100">
        <f t="shared" ca="1" si="31"/>
        <v>100</v>
      </c>
      <c r="AH64" s="101" t="str">
        <f t="shared" ca="1" si="32"/>
        <v/>
      </c>
      <c r="AI64" s="101" t="str">
        <f t="shared" si="36"/>
        <v/>
      </c>
      <c r="AJ64" s="59"/>
      <c r="AK64" s="54"/>
      <c r="AL64" s="54" t="str">
        <f t="shared" ca="1" si="37"/>
        <v/>
      </c>
      <c r="AM64" s="53"/>
    </row>
    <row r="65" spans="1:39">
      <c r="A65" s="54"/>
      <c r="B65" s="17"/>
      <c r="C65" s="17"/>
      <c r="D65" s="17"/>
      <c r="E65" s="17"/>
      <c r="F65" s="17"/>
      <c r="G65" s="16"/>
      <c r="H65" s="16"/>
      <c r="I65" s="16"/>
      <c r="J65" s="58"/>
      <c r="K65" s="58"/>
      <c r="L65" s="58"/>
      <c r="M65" s="27"/>
      <c r="N65" s="58"/>
      <c r="O65" s="54">
        <f t="shared" si="33"/>
        <v>0</v>
      </c>
      <c r="P65" s="54">
        <f t="shared" si="34"/>
        <v>0</v>
      </c>
      <c r="Q65" s="54"/>
      <c r="R65" s="54"/>
      <c r="S65" s="57"/>
      <c r="T65" s="57"/>
      <c r="U65" s="71"/>
      <c r="V65" s="56"/>
      <c r="W65" s="17"/>
      <c r="X65" s="23" t="str">
        <f>IFERROR(VLOOKUP(W65,Listas!$A$1:$C$13,2,FALSE),"")</f>
        <v/>
      </c>
      <c r="Y65" s="23" t="str">
        <f>IFERROR(VLOOKUP(W65,Listas!$A$1:$C$13,3,FALSE),"")</f>
        <v/>
      </c>
      <c r="Z65" s="17"/>
      <c r="AA65" s="17"/>
      <c r="AB65" s="23" t="str">
        <f>IFERROR(VLOOKUP(AA65,Listas!$AD$1:$AF$65,2,FALSE),"")</f>
        <v/>
      </c>
      <c r="AC65" s="23" t="str">
        <f>IFERROR(VLOOKUP(AA65,Listas!$AD$1:$AF$65,3,FALSE),"")</f>
        <v/>
      </c>
      <c r="AD65" s="26"/>
      <c r="AE65" s="26"/>
      <c r="AF65" s="100">
        <f t="shared" ca="1" si="35"/>
        <v>100</v>
      </c>
      <c r="AG65" s="100">
        <f t="shared" ca="1" si="31"/>
        <v>100</v>
      </c>
      <c r="AH65" s="101" t="str">
        <f t="shared" ca="1" si="32"/>
        <v/>
      </c>
      <c r="AI65" s="101" t="str">
        <f t="shared" si="36"/>
        <v/>
      </c>
      <c r="AJ65" s="59"/>
      <c r="AK65" s="54"/>
      <c r="AL65" s="54" t="str">
        <f t="shared" ca="1" si="37"/>
        <v/>
      </c>
      <c r="AM65" s="53"/>
    </row>
    <row r="66" spans="1:39">
      <c r="A66" s="54"/>
      <c r="B66" s="17"/>
      <c r="C66" s="17"/>
      <c r="D66" s="17"/>
      <c r="E66" s="17"/>
      <c r="F66" s="17"/>
      <c r="G66" s="16"/>
      <c r="H66" s="16"/>
      <c r="I66" s="16"/>
      <c r="J66" s="58"/>
      <c r="K66" s="58"/>
      <c r="L66" s="58"/>
      <c r="M66" s="27"/>
      <c r="N66" s="58"/>
      <c r="O66" s="54">
        <f t="shared" si="33"/>
        <v>0</v>
      </c>
      <c r="P66" s="54">
        <f t="shared" si="34"/>
        <v>0</v>
      </c>
      <c r="Q66" s="54"/>
      <c r="R66" s="54"/>
      <c r="S66" s="57"/>
      <c r="T66" s="57"/>
      <c r="U66" s="71"/>
      <c r="V66" s="56"/>
      <c r="W66" s="17"/>
      <c r="X66" s="23" t="str">
        <f>IFERROR(VLOOKUP(W66,Listas!$A$1:$C$13,2,FALSE),"")</f>
        <v/>
      </c>
      <c r="Y66" s="23" t="str">
        <f>IFERROR(VLOOKUP(W66,Listas!$A$1:$C$13,3,FALSE),"")</f>
        <v/>
      </c>
      <c r="Z66" s="17"/>
      <c r="AA66" s="17"/>
      <c r="AB66" s="23" t="str">
        <f>IFERROR(VLOOKUP(AA66,Listas!$AD$1:$AF$65,2,FALSE),"")</f>
        <v/>
      </c>
      <c r="AC66" s="23" t="str">
        <f>IFERROR(VLOOKUP(AA66,Listas!$AD$1:$AF$65,3,FALSE),"")</f>
        <v/>
      </c>
      <c r="AD66" s="26"/>
      <c r="AE66" s="26"/>
      <c r="AF66" s="100">
        <f t="shared" ca="1" si="35"/>
        <v>100</v>
      </c>
      <c r="AG66" s="100">
        <f t="shared" ca="1" si="31"/>
        <v>100</v>
      </c>
      <c r="AH66" s="101" t="str">
        <f t="shared" ca="1" si="32"/>
        <v/>
      </c>
      <c r="AI66" s="101" t="str">
        <f t="shared" si="36"/>
        <v/>
      </c>
      <c r="AJ66" s="59"/>
      <c r="AK66" s="54"/>
      <c r="AL66" s="54" t="str">
        <f t="shared" ca="1" si="37"/>
        <v/>
      </c>
      <c r="AM66" s="53"/>
    </row>
    <row r="67" spans="1:39">
      <c r="A67" s="54"/>
      <c r="B67" s="17"/>
      <c r="C67" s="17"/>
      <c r="D67" s="17"/>
      <c r="E67" s="17"/>
      <c r="F67" s="17"/>
      <c r="G67" s="16"/>
      <c r="H67" s="16"/>
      <c r="I67" s="16"/>
      <c r="J67" s="58"/>
      <c r="K67" s="58"/>
      <c r="L67" s="58"/>
      <c r="M67" s="27"/>
      <c r="N67" s="58"/>
      <c r="O67" s="54">
        <f t="shared" si="33"/>
        <v>0</v>
      </c>
      <c r="P67" s="54">
        <f t="shared" si="34"/>
        <v>0</v>
      </c>
      <c r="Q67" s="54"/>
      <c r="R67" s="54"/>
      <c r="S67" s="57"/>
      <c r="T67" s="57"/>
      <c r="U67" s="71"/>
      <c r="V67" s="56"/>
      <c r="W67" s="17"/>
      <c r="X67" s="23" t="str">
        <f>IFERROR(VLOOKUP(W67,Listas!$A$1:$C$13,2,FALSE),"")</f>
        <v/>
      </c>
      <c r="Y67" s="23" t="str">
        <f>IFERROR(VLOOKUP(W67,Listas!$A$1:$C$13,3,FALSE),"")</f>
        <v/>
      </c>
      <c r="Z67" s="17"/>
      <c r="AA67" s="17"/>
      <c r="AB67" s="23" t="str">
        <f>IFERROR(VLOOKUP(AA67,Listas!$AD$1:$AF$65,2,FALSE),"")</f>
        <v/>
      </c>
      <c r="AC67" s="23" t="str">
        <f>IFERROR(VLOOKUP(AA67,Listas!$AD$1:$AF$65,3,FALSE),"")</f>
        <v/>
      </c>
      <c r="AD67" s="26"/>
      <c r="AE67" s="26"/>
      <c r="AF67" s="100">
        <f t="shared" ca="1" si="35"/>
        <v>100</v>
      </c>
      <c r="AG67" s="100">
        <f t="shared" ca="1" si="31"/>
        <v>100</v>
      </c>
      <c r="AH67" s="101" t="str">
        <f t="shared" ca="1" si="32"/>
        <v/>
      </c>
      <c r="AI67" s="101" t="str">
        <f t="shared" si="36"/>
        <v/>
      </c>
      <c r="AJ67" s="59"/>
      <c r="AK67" s="54"/>
      <c r="AL67" s="54" t="str">
        <f t="shared" ca="1" si="37"/>
        <v/>
      </c>
      <c r="AM67" s="53"/>
    </row>
    <row r="68" spans="1:39">
      <c r="A68" s="54"/>
      <c r="B68" s="17"/>
      <c r="C68" s="17"/>
      <c r="D68" s="17"/>
      <c r="E68" s="17"/>
      <c r="F68" s="17"/>
      <c r="G68" s="16"/>
      <c r="H68" s="16"/>
      <c r="I68" s="16"/>
      <c r="J68" s="58"/>
      <c r="K68" s="58"/>
      <c r="L68" s="58"/>
      <c r="M68" s="27"/>
      <c r="N68" s="58"/>
      <c r="O68" s="54">
        <f t="shared" si="33"/>
        <v>0</v>
      </c>
      <c r="P68" s="54">
        <f t="shared" si="34"/>
        <v>0</v>
      </c>
      <c r="Q68" s="54"/>
      <c r="R68" s="54"/>
      <c r="S68" s="57"/>
      <c r="T68" s="57"/>
      <c r="U68" s="71"/>
      <c r="V68" s="56"/>
      <c r="W68" s="17"/>
      <c r="X68" s="23" t="str">
        <f>IFERROR(VLOOKUP(W68,Listas!$A$1:$C$13,2,FALSE),"")</f>
        <v/>
      </c>
      <c r="Y68" s="23" t="str">
        <f>IFERROR(VLOOKUP(W68,Listas!$A$1:$C$13,3,FALSE),"")</f>
        <v/>
      </c>
      <c r="Z68" s="17"/>
      <c r="AA68" s="17"/>
      <c r="AB68" s="23" t="str">
        <f>IFERROR(VLOOKUP(AA68,Listas!$AD$1:$AF$65,2,FALSE),"")</f>
        <v/>
      </c>
      <c r="AC68" s="23" t="str">
        <f>IFERROR(VLOOKUP(AA68,Listas!$AD$1:$AF$65,3,FALSE),"")</f>
        <v/>
      </c>
      <c r="AD68" s="26"/>
      <c r="AE68" s="26"/>
      <c r="AF68" s="100">
        <f t="shared" ca="1" si="35"/>
        <v>100</v>
      </c>
      <c r="AG68" s="100">
        <f t="shared" ca="1" si="31"/>
        <v>100</v>
      </c>
      <c r="AH68" s="101" t="str">
        <f t="shared" ca="1" si="32"/>
        <v/>
      </c>
      <c r="AI68" s="101" t="str">
        <f t="shared" si="36"/>
        <v/>
      </c>
      <c r="AJ68" s="59"/>
      <c r="AK68" s="54"/>
      <c r="AL68" s="54" t="str">
        <f t="shared" ca="1" si="37"/>
        <v/>
      </c>
      <c r="AM68" s="53"/>
    </row>
    <row r="69" spans="1:39">
      <c r="A69" s="54"/>
      <c r="B69" s="17"/>
      <c r="C69" s="17"/>
      <c r="D69" s="17"/>
      <c r="E69" s="17"/>
      <c r="F69" s="17"/>
      <c r="G69" s="16"/>
      <c r="H69" s="16"/>
      <c r="I69" s="16"/>
      <c r="J69" s="58"/>
      <c r="K69" s="58"/>
      <c r="L69" s="58"/>
      <c r="M69" s="27"/>
      <c r="N69" s="58"/>
      <c r="O69" s="54">
        <f t="shared" si="33"/>
        <v>0</v>
      </c>
      <c r="P69" s="54">
        <f t="shared" si="34"/>
        <v>0</v>
      </c>
      <c r="Q69" s="54"/>
      <c r="R69" s="54"/>
      <c r="S69" s="57"/>
      <c r="T69" s="57"/>
      <c r="U69" s="71"/>
      <c r="V69" s="56"/>
      <c r="W69" s="17"/>
      <c r="X69" s="23" t="str">
        <f>IFERROR(VLOOKUP(W69,Listas!$A$1:$C$13,2,FALSE),"")</f>
        <v/>
      </c>
      <c r="Y69" s="23" t="str">
        <f>IFERROR(VLOOKUP(W69,Listas!$A$1:$C$13,3,FALSE),"")</f>
        <v/>
      </c>
      <c r="Z69" s="17"/>
      <c r="AA69" s="17"/>
      <c r="AB69" s="23" t="str">
        <f>IFERROR(VLOOKUP(AA69,Listas!$AD$1:$AF$65,2,FALSE),"")</f>
        <v/>
      </c>
      <c r="AC69" s="23" t="str">
        <f>IFERROR(VLOOKUP(AA69,Listas!$AD$1:$AF$65,3,FALSE),"")</f>
        <v/>
      </c>
      <c r="AD69" s="26"/>
      <c r="AE69" s="26"/>
      <c r="AF69" s="100">
        <f t="shared" ca="1" si="35"/>
        <v>100</v>
      </c>
      <c r="AG69" s="100">
        <f t="shared" ca="1" si="31"/>
        <v>100</v>
      </c>
      <c r="AH69" s="101" t="str">
        <f t="shared" ca="1" si="32"/>
        <v/>
      </c>
      <c r="AI69" s="101" t="str">
        <f t="shared" si="36"/>
        <v/>
      </c>
      <c r="AJ69" s="59"/>
      <c r="AK69" s="54"/>
      <c r="AL69" s="54" t="str">
        <f t="shared" ca="1" si="37"/>
        <v/>
      </c>
      <c r="AM69" s="53"/>
    </row>
    <row r="70" spans="1:39">
      <c r="A70" s="54"/>
      <c r="B70" s="17"/>
      <c r="C70" s="17"/>
      <c r="D70" s="17"/>
      <c r="E70" s="17"/>
      <c r="F70" s="17"/>
      <c r="G70" s="16"/>
      <c r="H70" s="16"/>
      <c r="I70" s="16"/>
      <c r="J70" s="58"/>
      <c r="K70" s="58"/>
      <c r="L70" s="58"/>
      <c r="M70" s="27"/>
      <c r="N70" s="58"/>
      <c r="O70" s="54">
        <f t="shared" si="33"/>
        <v>0</v>
      </c>
      <c r="P70" s="54">
        <f t="shared" si="34"/>
        <v>0</v>
      </c>
      <c r="Q70" s="54"/>
      <c r="R70" s="54"/>
      <c r="S70" s="57"/>
      <c r="T70" s="57"/>
      <c r="U70" s="71"/>
      <c r="V70" s="56"/>
      <c r="W70" s="17"/>
      <c r="X70" s="23" t="str">
        <f>IFERROR(VLOOKUP(W70,Listas!$A$1:$C$13,2,FALSE),"")</f>
        <v/>
      </c>
      <c r="Y70" s="23" t="str">
        <f>IFERROR(VLOOKUP(W70,Listas!$A$1:$C$13,3,FALSE),"")</f>
        <v/>
      </c>
      <c r="Z70" s="17"/>
      <c r="AA70" s="17"/>
      <c r="AB70" s="23" t="str">
        <f>IFERROR(VLOOKUP(AA70,Listas!$AD$1:$AF$65,2,FALSE),"")</f>
        <v/>
      </c>
      <c r="AC70" s="23" t="str">
        <f>IFERROR(VLOOKUP(AA70,Listas!$AD$1:$AF$65,3,FALSE),"")</f>
        <v/>
      </c>
      <c r="AD70" s="26"/>
      <c r="AE70" s="26"/>
      <c r="AF70" s="100">
        <f t="shared" ca="1" si="35"/>
        <v>100</v>
      </c>
      <c r="AG70" s="100">
        <f t="shared" ca="1" si="31"/>
        <v>100</v>
      </c>
      <c r="AH70" s="101" t="str">
        <f t="shared" ca="1" si="32"/>
        <v/>
      </c>
      <c r="AI70" s="101" t="str">
        <f t="shared" si="36"/>
        <v/>
      </c>
      <c r="AJ70" s="59"/>
      <c r="AK70" s="54"/>
      <c r="AL70" s="54" t="str">
        <f t="shared" ca="1" si="37"/>
        <v/>
      </c>
      <c r="AM70" s="53"/>
    </row>
    <row r="71" spans="1:39">
      <c r="A71" s="54"/>
      <c r="B71" s="17"/>
      <c r="C71" s="17"/>
      <c r="D71" s="17"/>
      <c r="E71" s="17"/>
      <c r="F71" s="17"/>
      <c r="G71" s="16"/>
      <c r="H71" s="16"/>
      <c r="I71" s="16"/>
      <c r="J71" s="58"/>
      <c r="K71" s="58"/>
      <c r="L71" s="58"/>
      <c r="M71" s="27"/>
      <c r="N71" s="58"/>
      <c r="O71" s="54">
        <f t="shared" si="33"/>
        <v>0</v>
      </c>
      <c r="P71" s="54">
        <f t="shared" si="34"/>
        <v>0</v>
      </c>
      <c r="Q71" s="54"/>
      <c r="R71" s="54"/>
      <c r="S71" s="57"/>
      <c r="T71" s="57"/>
      <c r="U71" s="71"/>
      <c r="V71" s="56"/>
      <c r="W71" s="17"/>
      <c r="X71" s="23" t="str">
        <f>IFERROR(VLOOKUP(W71,Listas!$A$1:$C$13,2,FALSE),"")</f>
        <v/>
      </c>
      <c r="Y71" s="23" t="str">
        <f>IFERROR(VLOOKUP(W71,Listas!$A$1:$C$13,3,FALSE),"")</f>
        <v/>
      </c>
      <c r="Z71" s="17"/>
      <c r="AA71" s="17"/>
      <c r="AB71" s="23" t="str">
        <f>IFERROR(VLOOKUP(AA71,Listas!$AD$1:$AF$65,2,FALSE),"")</f>
        <v/>
      </c>
      <c r="AC71" s="23" t="str">
        <f>IFERROR(VLOOKUP(AA71,Listas!$AD$1:$AF$65,3,FALSE),"")</f>
        <v/>
      </c>
      <c r="AD71" s="26"/>
      <c r="AE71" s="26"/>
      <c r="AF71" s="100">
        <f t="shared" ca="1" si="35"/>
        <v>100</v>
      </c>
      <c r="AG71" s="100">
        <f t="shared" ca="1" si="31"/>
        <v>100</v>
      </c>
      <c r="AH71" s="101" t="str">
        <f t="shared" ca="1" si="32"/>
        <v/>
      </c>
      <c r="AI71" s="101" t="str">
        <f t="shared" si="36"/>
        <v/>
      </c>
      <c r="AJ71" s="59"/>
      <c r="AK71" s="54"/>
      <c r="AL71" s="54" t="str">
        <f t="shared" ca="1" si="37"/>
        <v/>
      </c>
      <c r="AM71" s="53"/>
    </row>
    <row r="72" spans="1:39">
      <c r="A72" s="54"/>
      <c r="B72" s="17"/>
      <c r="C72" s="17"/>
      <c r="D72" s="17"/>
      <c r="E72" s="17"/>
      <c r="F72" s="17"/>
      <c r="G72" s="16"/>
      <c r="H72" s="16"/>
      <c r="I72" s="16"/>
      <c r="J72" s="58"/>
      <c r="K72" s="58"/>
      <c r="L72" s="58"/>
      <c r="M72" s="27"/>
      <c r="N72" s="58"/>
      <c r="O72" s="54">
        <f t="shared" si="33"/>
        <v>0</v>
      </c>
      <c r="P72" s="54">
        <f t="shared" si="34"/>
        <v>0</v>
      </c>
      <c r="Q72" s="54"/>
      <c r="R72" s="54"/>
      <c r="S72" s="57"/>
      <c r="T72" s="57"/>
      <c r="U72" s="71"/>
      <c r="V72" s="56"/>
      <c r="W72" s="17"/>
      <c r="X72" s="23" t="str">
        <f>IFERROR(VLOOKUP(W72,Listas!$A$1:$C$13,2,FALSE),"")</f>
        <v/>
      </c>
      <c r="Y72" s="23" t="str">
        <f>IFERROR(VLOOKUP(W72,Listas!$A$1:$C$13,3,FALSE),"")</f>
        <v/>
      </c>
      <c r="Z72" s="17"/>
      <c r="AA72" s="17"/>
      <c r="AB72" s="23" t="str">
        <f>IFERROR(VLOOKUP(AA72,Listas!$AD$1:$AF$65,2,FALSE),"")</f>
        <v/>
      </c>
      <c r="AC72" s="23" t="str">
        <f>IFERROR(VLOOKUP(AA72,Listas!$AD$1:$AF$65,3,FALSE),"")</f>
        <v/>
      </c>
      <c r="AD72" s="26"/>
      <c r="AE72" s="26"/>
      <c r="AF72" s="100">
        <f t="shared" ca="1" si="35"/>
        <v>100</v>
      </c>
      <c r="AG72" s="100">
        <f t="shared" ca="1" si="31"/>
        <v>100</v>
      </c>
      <c r="AH72" s="101" t="str">
        <f t="shared" ca="1" si="32"/>
        <v/>
      </c>
      <c r="AI72" s="101" t="str">
        <f t="shared" si="36"/>
        <v/>
      </c>
      <c r="AJ72" s="59"/>
      <c r="AK72" s="54"/>
      <c r="AL72" s="54" t="str">
        <f t="shared" ca="1" si="37"/>
        <v/>
      </c>
      <c r="AM72" s="53"/>
    </row>
    <row r="73" spans="1:39">
      <c r="A73" s="54"/>
      <c r="B73" s="17"/>
      <c r="C73" s="17"/>
      <c r="D73" s="17"/>
      <c r="E73" s="17"/>
      <c r="F73" s="17"/>
      <c r="G73" s="16"/>
      <c r="H73" s="16"/>
      <c r="I73" s="16"/>
      <c r="J73" s="58"/>
      <c r="K73" s="58"/>
      <c r="L73" s="58"/>
      <c r="M73" s="27"/>
      <c r="N73" s="58"/>
      <c r="O73" s="54">
        <f t="shared" si="33"/>
        <v>0</v>
      </c>
      <c r="P73" s="54">
        <f t="shared" si="34"/>
        <v>0</v>
      </c>
      <c r="Q73" s="54"/>
      <c r="R73" s="54"/>
      <c r="S73" s="57"/>
      <c r="T73" s="57"/>
      <c r="U73" s="71"/>
      <c r="V73" s="56"/>
      <c r="W73" s="17"/>
      <c r="X73" s="23" t="str">
        <f>IFERROR(VLOOKUP(W73,Listas!$A$1:$C$13,2,FALSE),"")</f>
        <v/>
      </c>
      <c r="Y73" s="23" t="str">
        <f>IFERROR(VLOOKUP(W73,Listas!$A$1:$C$13,3,FALSE),"")</f>
        <v/>
      </c>
      <c r="Z73" s="17"/>
      <c r="AA73" s="17"/>
      <c r="AB73" s="23" t="str">
        <f>IFERROR(VLOOKUP(AA73,Listas!$AD$1:$AF$65,2,FALSE),"")</f>
        <v/>
      </c>
      <c r="AC73" s="23" t="str">
        <f>IFERROR(VLOOKUP(AA73,Listas!$AD$1:$AF$65,3,FALSE),"")</f>
        <v/>
      </c>
      <c r="AD73" s="26"/>
      <c r="AE73" s="26"/>
      <c r="AF73" s="100">
        <f t="shared" ca="1" si="35"/>
        <v>100</v>
      </c>
      <c r="AG73" s="100">
        <f t="shared" ca="1" si="31"/>
        <v>100</v>
      </c>
      <c r="AH73" s="101" t="str">
        <f t="shared" ca="1" si="32"/>
        <v/>
      </c>
      <c r="AI73" s="101" t="str">
        <f t="shared" si="36"/>
        <v/>
      </c>
      <c r="AJ73" s="59"/>
      <c r="AK73" s="54"/>
      <c r="AL73" s="54" t="str">
        <f t="shared" ca="1" si="37"/>
        <v/>
      </c>
      <c r="AM73" s="53"/>
    </row>
    <row r="74" spans="1:39">
      <c r="A74" s="54"/>
      <c r="B74" s="17"/>
      <c r="C74" s="17"/>
      <c r="D74" s="17"/>
      <c r="E74" s="17"/>
      <c r="F74" s="17"/>
      <c r="G74" s="16"/>
      <c r="H74" s="16"/>
      <c r="I74" s="16"/>
      <c r="J74" s="58"/>
      <c r="K74" s="58"/>
      <c r="L74" s="58"/>
      <c r="M74" s="27"/>
      <c r="N74" s="58"/>
      <c r="O74" s="54">
        <f t="shared" si="33"/>
        <v>0</v>
      </c>
      <c r="P74" s="54">
        <f t="shared" si="34"/>
        <v>0</v>
      </c>
      <c r="Q74" s="54"/>
      <c r="R74" s="54"/>
      <c r="S74" s="57"/>
      <c r="T74" s="57"/>
      <c r="U74" s="71"/>
      <c r="V74" s="56"/>
      <c r="W74" s="17"/>
      <c r="X74" s="23" t="str">
        <f>IFERROR(VLOOKUP(W74,Listas!$A$1:$C$13,2,FALSE),"")</f>
        <v/>
      </c>
      <c r="Y74" s="23" t="str">
        <f>IFERROR(VLOOKUP(W74,Listas!$A$1:$C$13,3,FALSE),"")</f>
        <v/>
      </c>
      <c r="Z74" s="17"/>
      <c r="AA74" s="17"/>
      <c r="AB74" s="23" t="str">
        <f>IFERROR(VLOOKUP(AA74,Listas!$AD$1:$AF$65,2,FALSE),"")</f>
        <v/>
      </c>
      <c r="AC74" s="23" t="str">
        <f>IFERROR(VLOOKUP(AA74,Listas!$AD$1:$AF$65,3,FALSE),"")</f>
        <v/>
      </c>
      <c r="AD74" s="26"/>
      <c r="AE74" s="26"/>
      <c r="AF74" s="100">
        <f t="shared" ca="1" si="35"/>
        <v>100</v>
      </c>
      <c r="AG74" s="100">
        <f t="shared" ref="AG74:AG105" ca="1" si="38">+IF(AK74&gt;0,DAYS360(L74,AK74)/DAYS360(L74,N74),AF74)</f>
        <v>100</v>
      </c>
      <c r="AH74" s="101" t="str">
        <f t="shared" ref="AH74:AH105" ca="1" si="39">IFERROR((AL74/V74)*100,"")</f>
        <v/>
      </c>
      <c r="AI74" s="101" t="str">
        <f t="shared" si="36"/>
        <v/>
      </c>
      <c r="AJ74" s="59"/>
      <c r="AK74" s="54"/>
      <c r="AL74" s="54" t="str">
        <f t="shared" ca="1" si="37"/>
        <v/>
      </c>
      <c r="AM74" s="53"/>
    </row>
    <row r="75" spans="1:39">
      <c r="A75" s="54"/>
      <c r="B75" s="17"/>
      <c r="C75" s="17"/>
      <c r="D75" s="17"/>
      <c r="E75" s="17"/>
      <c r="F75" s="17"/>
      <c r="G75" s="16"/>
      <c r="H75" s="16"/>
      <c r="I75" s="16"/>
      <c r="J75" s="58"/>
      <c r="K75" s="58"/>
      <c r="L75" s="58"/>
      <c r="M75" s="27"/>
      <c r="N75" s="58"/>
      <c r="O75" s="54">
        <f t="shared" si="33"/>
        <v>0</v>
      </c>
      <c r="P75" s="54">
        <f t="shared" si="34"/>
        <v>0</v>
      </c>
      <c r="Q75" s="54"/>
      <c r="R75" s="54"/>
      <c r="S75" s="57"/>
      <c r="T75" s="57"/>
      <c r="U75" s="71"/>
      <c r="V75" s="56"/>
      <c r="W75" s="17"/>
      <c r="X75" s="23" t="str">
        <f>IFERROR(VLOOKUP(W75,Listas!$A$1:$C$13,2,FALSE),"")</f>
        <v/>
      </c>
      <c r="Y75" s="23" t="str">
        <f>IFERROR(VLOOKUP(W75,Listas!$A$1:$C$13,3,FALSE),"")</f>
        <v/>
      </c>
      <c r="Z75" s="17"/>
      <c r="AA75" s="17"/>
      <c r="AB75" s="23" t="str">
        <f>IFERROR(VLOOKUP(AA75,Listas!$AD$1:$AF$65,2,FALSE),"")</f>
        <v/>
      </c>
      <c r="AC75" s="23" t="str">
        <f>IFERROR(VLOOKUP(AA75,Listas!$AD$1:$AF$65,3,FALSE),"")</f>
        <v/>
      </c>
      <c r="AD75" s="26"/>
      <c r="AE75" s="26"/>
      <c r="AF75" s="100">
        <f t="shared" ca="1" si="35"/>
        <v>100</v>
      </c>
      <c r="AG75" s="100">
        <f t="shared" ca="1" si="38"/>
        <v>100</v>
      </c>
      <c r="AH75" s="101" t="str">
        <f t="shared" ca="1" si="39"/>
        <v/>
      </c>
      <c r="AI75" s="101" t="str">
        <f t="shared" si="36"/>
        <v/>
      </c>
      <c r="AJ75" s="59"/>
      <c r="AK75" s="54"/>
      <c r="AL75" s="54" t="str">
        <f t="shared" ca="1" si="37"/>
        <v/>
      </c>
      <c r="AM75" s="53"/>
    </row>
    <row r="76" spans="1:39">
      <c r="A76" s="54"/>
      <c r="B76" s="17"/>
      <c r="C76" s="17"/>
      <c r="D76" s="17"/>
      <c r="E76" s="17"/>
      <c r="F76" s="17"/>
      <c r="G76" s="16"/>
      <c r="H76" s="16"/>
      <c r="I76" s="16"/>
      <c r="J76" s="58"/>
      <c r="K76" s="58"/>
      <c r="L76" s="58"/>
      <c r="M76" s="27"/>
      <c r="N76" s="58"/>
      <c r="O76" s="54">
        <f t="shared" si="33"/>
        <v>0</v>
      </c>
      <c r="P76" s="54">
        <f t="shared" si="34"/>
        <v>0</v>
      </c>
      <c r="Q76" s="54"/>
      <c r="R76" s="54"/>
      <c r="S76" s="57"/>
      <c r="T76" s="57"/>
      <c r="U76" s="71"/>
      <c r="V76" s="56"/>
      <c r="W76" s="17"/>
      <c r="X76" s="23" t="str">
        <f>IFERROR(VLOOKUP(W76,Listas!$A$1:$C$13,2,FALSE),"")</f>
        <v/>
      </c>
      <c r="Y76" s="23" t="str">
        <f>IFERROR(VLOOKUP(W76,Listas!$A$1:$C$13,3,FALSE),"")</f>
        <v/>
      </c>
      <c r="Z76" s="17"/>
      <c r="AA76" s="17"/>
      <c r="AB76" s="23" t="str">
        <f>IFERROR(VLOOKUP(AA76,Listas!$AD$1:$AF$65,2,FALSE),"")</f>
        <v/>
      </c>
      <c r="AC76" s="23" t="str">
        <f>IFERROR(VLOOKUP(AA76,Listas!$AD$1:$AF$65,3,FALSE),"")</f>
        <v/>
      </c>
      <c r="AD76" s="26"/>
      <c r="AE76" s="26"/>
      <c r="AF76" s="100">
        <f t="shared" ca="1" si="35"/>
        <v>100</v>
      </c>
      <c r="AG76" s="100">
        <f t="shared" ca="1" si="38"/>
        <v>100</v>
      </c>
      <c r="AH76" s="101" t="str">
        <f t="shared" ca="1" si="39"/>
        <v/>
      </c>
      <c r="AI76" s="101" t="str">
        <f t="shared" si="36"/>
        <v/>
      </c>
      <c r="AJ76" s="59"/>
      <c r="AK76" s="54"/>
      <c r="AL76" s="54" t="str">
        <f t="shared" ca="1" si="37"/>
        <v/>
      </c>
      <c r="AM76" s="53"/>
    </row>
    <row r="77" spans="1:39">
      <c r="A77" s="54"/>
      <c r="B77" s="17"/>
      <c r="C77" s="17"/>
      <c r="D77" s="17"/>
      <c r="E77" s="17"/>
      <c r="F77" s="17"/>
      <c r="G77" s="16"/>
      <c r="H77" s="16"/>
      <c r="I77" s="16"/>
      <c r="J77" s="58"/>
      <c r="K77" s="58"/>
      <c r="L77" s="58"/>
      <c r="M77" s="27"/>
      <c r="N77" s="58"/>
      <c r="O77" s="54">
        <f t="shared" si="33"/>
        <v>0</v>
      </c>
      <c r="P77" s="54">
        <f t="shared" si="34"/>
        <v>0</v>
      </c>
      <c r="Q77" s="54"/>
      <c r="R77" s="54"/>
      <c r="S77" s="57"/>
      <c r="T77" s="57"/>
      <c r="U77" s="71"/>
      <c r="V77" s="56"/>
      <c r="W77" s="17"/>
      <c r="X77" s="23" t="str">
        <f>IFERROR(VLOOKUP(W77,Listas!$A$1:$C$13,2,FALSE),"")</f>
        <v/>
      </c>
      <c r="Y77" s="23" t="str">
        <f>IFERROR(VLOOKUP(W77,Listas!$A$1:$C$13,3,FALSE),"")</f>
        <v/>
      </c>
      <c r="Z77" s="17"/>
      <c r="AA77" s="17"/>
      <c r="AB77" s="23" t="str">
        <f>IFERROR(VLOOKUP(AA77,Listas!$AD$1:$AF$65,2,FALSE),"")</f>
        <v/>
      </c>
      <c r="AC77" s="23" t="str">
        <f>IFERROR(VLOOKUP(AA77,Listas!$AD$1:$AF$65,3,FALSE),"")</f>
        <v/>
      </c>
      <c r="AD77" s="26"/>
      <c r="AE77" s="26"/>
      <c r="AF77" s="100">
        <f t="shared" ca="1" si="35"/>
        <v>100</v>
      </c>
      <c r="AG77" s="100">
        <f t="shared" ca="1" si="38"/>
        <v>100</v>
      </c>
      <c r="AH77" s="101" t="str">
        <f t="shared" ca="1" si="39"/>
        <v/>
      </c>
      <c r="AI77" s="101" t="str">
        <f t="shared" si="36"/>
        <v/>
      </c>
      <c r="AJ77" s="59"/>
      <c r="AK77" s="54"/>
      <c r="AL77" s="54" t="str">
        <f t="shared" ca="1" si="37"/>
        <v/>
      </c>
      <c r="AM77" s="53"/>
    </row>
    <row r="78" spans="1:39">
      <c r="A78" s="54"/>
      <c r="B78" s="17"/>
      <c r="C78" s="17"/>
      <c r="D78" s="17"/>
      <c r="E78" s="17"/>
      <c r="F78" s="17"/>
      <c r="G78" s="16"/>
      <c r="H78" s="16"/>
      <c r="I78" s="16"/>
      <c r="J78" s="58"/>
      <c r="K78" s="58"/>
      <c r="L78" s="58"/>
      <c r="M78" s="27"/>
      <c r="N78" s="58"/>
      <c r="O78" s="54">
        <f t="shared" si="33"/>
        <v>0</v>
      </c>
      <c r="P78" s="54">
        <f t="shared" si="34"/>
        <v>0</v>
      </c>
      <c r="Q78" s="54"/>
      <c r="R78" s="54"/>
      <c r="S78" s="57"/>
      <c r="T78" s="57"/>
      <c r="U78" s="71"/>
      <c r="V78" s="56"/>
      <c r="W78" s="17"/>
      <c r="X78" s="23" t="str">
        <f>IFERROR(VLOOKUP(W78,Listas!$A$1:$C$13,2,FALSE),"")</f>
        <v/>
      </c>
      <c r="Y78" s="23" t="str">
        <f>IFERROR(VLOOKUP(W78,Listas!$A$1:$C$13,3,FALSE),"")</f>
        <v/>
      </c>
      <c r="Z78" s="17"/>
      <c r="AA78" s="17"/>
      <c r="AB78" s="23" t="str">
        <f>IFERROR(VLOOKUP(AA78,Listas!$AD$1:$AF$65,2,FALSE),"")</f>
        <v/>
      </c>
      <c r="AC78" s="23" t="str">
        <f>IFERROR(VLOOKUP(AA78,Listas!$AD$1:$AF$65,3,FALSE),"")</f>
        <v/>
      </c>
      <c r="AD78" s="26"/>
      <c r="AE78" s="26"/>
      <c r="AF78" s="100">
        <f t="shared" ca="1" si="35"/>
        <v>100</v>
      </c>
      <c r="AG78" s="100">
        <f t="shared" ca="1" si="38"/>
        <v>100</v>
      </c>
      <c r="AH78" s="101" t="str">
        <f t="shared" ca="1" si="39"/>
        <v/>
      </c>
      <c r="AI78" s="101" t="str">
        <f t="shared" si="36"/>
        <v/>
      </c>
      <c r="AJ78" s="59"/>
      <c r="AK78" s="54"/>
      <c r="AL78" s="54" t="str">
        <f t="shared" ca="1" si="37"/>
        <v/>
      </c>
      <c r="AM78" s="53"/>
    </row>
    <row r="79" spans="1:39">
      <c r="A79" s="54"/>
      <c r="B79" s="17"/>
      <c r="C79" s="17"/>
      <c r="D79" s="17"/>
      <c r="E79" s="17"/>
      <c r="F79" s="17"/>
      <c r="G79" s="16"/>
      <c r="H79" s="16"/>
      <c r="I79" s="16"/>
      <c r="J79" s="58"/>
      <c r="K79" s="58"/>
      <c r="L79" s="58"/>
      <c r="M79" s="27"/>
      <c r="N79" s="58"/>
      <c r="O79" s="54">
        <f t="shared" si="33"/>
        <v>0</v>
      </c>
      <c r="P79" s="54">
        <f t="shared" si="34"/>
        <v>0</v>
      </c>
      <c r="Q79" s="54"/>
      <c r="R79" s="54"/>
      <c r="S79" s="57"/>
      <c r="T79" s="57"/>
      <c r="U79" s="71"/>
      <c r="V79" s="56"/>
      <c r="W79" s="17"/>
      <c r="X79" s="23" t="str">
        <f>IFERROR(VLOOKUP(W79,Listas!$A$1:$C$13,2,FALSE),"")</f>
        <v/>
      </c>
      <c r="Y79" s="23" t="str">
        <f>IFERROR(VLOOKUP(W79,Listas!$A$1:$C$13,3,FALSE),"")</f>
        <v/>
      </c>
      <c r="Z79" s="17"/>
      <c r="AA79" s="17"/>
      <c r="AB79" s="23" t="str">
        <f>IFERROR(VLOOKUP(AA79,Listas!$AD$1:$AF$65,2,FALSE),"")</f>
        <v/>
      </c>
      <c r="AC79" s="23" t="str">
        <f>IFERROR(VLOOKUP(AA79,Listas!$AD$1:$AF$65,3,FALSE),"")</f>
        <v/>
      </c>
      <c r="AD79" s="26"/>
      <c r="AE79" s="26"/>
      <c r="AF79" s="100">
        <f t="shared" ca="1" si="35"/>
        <v>100</v>
      </c>
      <c r="AG79" s="100">
        <f t="shared" ca="1" si="38"/>
        <v>100</v>
      </c>
      <c r="AH79" s="101" t="str">
        <f t="shared" ca="1" si="39"/>
        <v/>
      </c>
      <c r="AI79" s="101" t="str">
        <f t="shared" si="36"/>
        <v/>
      </c>
      <c r="AJ79" s="59"/>
      <c r="AK79" s="54"/>
      <c r="AL79" s="54" t="str">
        <f t="shared" ca="1" si="37"/>
        <v/>
      </c>
      <c r="AM79" s="53"/>
    </row>
    <row r="80" spans="1:39">
      <c r="A80" s="54"/>
      <c r="B80" s="17"/>
      <c r="C80" s="17"/>
      <c r="D80" s="17"/>
      <c r="E80" s="17"/>
      <c r="F80" s="17"/>
      <c r="G80" s="16"/>
      <c r="H80" s="16"/>
      <c r="I80" s="16"/>
      <c r="J80" s="58"/>
      <c r="K80" s="58"/>
      <c r="L80" s="58"/>
      <c r="M80" s="27"/>
      <c r="N80" s="58"/>
      <c r="O80" s="54">
        <f t="shared" si="33"/>
        <v>0</v>
      </c>
      <c r="P80" s="54">
        <f t="shared" si="34"/>
        <v>0</v>
      </c>
      <c r="Q80" s="54"/>
      <c r="R80" s="54"/>
      <c r="S80" s="57"/>
      <c r="T80" s="57"/>
      <c r="U80" s="71"/>
      <c r="V80" s="56"/>
      <c r="W80" s="17"/>
      <c r="X80" s="23" t="str">
        <f>IFERROR(VLOOKUP(W80,Listas!$A$1:$C$13,2,FALSE),"")</f>
        <v/>
      </c>
      <c r="Y80" s="23" t="str">
        <f>IFERROR(VLOOKUP(W80,Listas!$A$1:$C$13,3,FALSE),"")</f>
        <v/>
      </c>
      <c r="Z80" s="17"/>
      <c r="AA80" s="17"/>
      <c r="AB80" s="23" t="str">
        <f>IFERROR(VLOOKUP(AA80,Listas!$AD$1:$AF$65,2,FALSE),"")</f>
        <v/>
      </c>
      <c r="AC80" s="23" t="str">
        <f>IFERROR(VLOOKUP(AA80,Listas!$AD$1:$AF$65,3,FALSE),"")</f>
        <v/>
      </c>
      <c r="AD80" s="26"/>
      <c r="AE80" s="26"/>
      <c r="AF80" s="100">
        <f t="shared" ca="1" si="35"/>
        <v>100</v>
      </c>
      <c r="AG80" s="100">
        <f t="shared" ca="1" si="38"/>
        <v>100</v>
      </c>
      <c r="AH80" s="101" t="str">
        <f t="shared" ca="1" si="39"/>
        <v/>
      </c>
      <c r="AI80" s="101" t="str">
        <f t="shared" si="36"/>
        <v/>
      </c>
      <c r="AJ80" s="59"/>
      <c r="AK80" s="54"/>
      <c r="AL80" s="54" t="str">
        <f t="shared" ca="1" si="37"/>
        <v/>
      </c>
      <c r="AM80" s="53"/>
    </row>
    <row r="81" spans="1:39">
      <c r="A81" s="54"/>
      <c r="B81" s="17"/>
      <c r="C81" s="17"/>
      <c r="D81" s="17"/>
      <c r="E81" s="17"/>
      <c r="F81" s="17"/>
      <c r="G81" s="16"/>
      <c r="H81" s="16"/>
      <c r="I81" s="16"/>
      <c r="J81" s="58"/>
      <c r="K81" s="58"/>
      <c r="L81" s="58"/>
      <c r="M81" s="27"/>
      <c r="N81" s="58"/>
      <c r="O81" s="54">
        <f t="shared" si="33"/>
        <v>0</v>
      </c>
      <c r="P81" s="54">
        <f t="shared" si="34"/>
        <v>0</v>
      </c>
      <c r="Q81" s="54"/>
      <c r="R81" s="54"/>
      <c r="S81" s="57"/>
      <c r="T81" s="57"/>
      <c r="U81" s="71"/>
      <c r="V81" s="56"/>
      <c r="W81" s="17"/>
      <c r="X81" s="23" t="str">
        <f>IFERROR(VLOOKUP(W81,Listas!$A$1:$C$13,2,FALSE),"")</f>
        <v/>
      </c>
      <c r="Y81" s="23" t="str">
        <f>IFERROR(VLOOKUP(W81,Listas!$A$1:$C$13,3,FALSE),"")</f>
        <v/>
      </c>
      <c r="Z81" s="17"/>
      <c r="AA81" s="17"/>
      <c r="AB81" s="23" t="str">
        <f>IFERROR(VLOOKUP(AA81,Listas!$AD$1:$AF$65,2,FALSE),"")</f>
        <v/>
      </c>
      <c r="AC81" s="23" t="str">
        <f>IFERROR(VLOOKUP(AA81,Listas!$AD$1:$AF$65,3,FALSE),"")</f>
        <v/>
      </c>
      <c r="AD81" s="26"/>
      <c r="AE81" s="26"/>
      <c r="AF81" s="100">
        <f t="shared" ca="1" si="35"/>
        <v>100</v>
      </c>
      <c r="AG81" s="100">
        <f t="shared" ca="1" si="38"/>
        <v>100</v>
      </c>
      <c r="AH81" s="101" t="str">
        <f t="shared" ca="1" si="39"/>
        <v/>
      </c>
      <c r="AI81" s="101" t="str">
        <f t="shared" si="36"/>
        <v/>
      </c>
      <c r="AJ81" s="59"/>
      <c r="AK81" s="54"/>
      <c r="AL81" s="54" t="str">
        <f t="shared" ca="1" si="37"/>
        <v/>
      </c>
      <c r="AM81" s="53"/>
    </row>
    <row r="82" spans="1:39">
      <c r="A82" s="54"/>
      <c r="B82" s="17"/>
      <c r="C82" s="17"/>
      <c r="D82" s="17"/>
      <c r="E82" s="17"/>
      <c r="F82" s="17"/>
      <c r="G82" s="16"/>
      <c r="H82" s="16"/>
      <c r="I82" s="16"/>
      <c r="J82" s="58"/>
      <c r="K82" s="58"/>
      <c r="L82" s="58"/>
      <c r="M82" s="27"/>
      <c r="N82" s="58"/>
      <c r="O82" s="54">
        <f t="shared" si="33"/>
        <v>0</v>
      </c>
      <c r="P82" s="54">
        <f t="shared" si="34"/>
        <v>0</v>
      </c>
      <c r="Q82" s="54"/>
      <c r="R82" s="54"/>
      <c r="S82" s="57"/>
      <c r="T82" s="57"/>
      <c r="U82" s="71"/>
      <c r="V82" s="56"/>
      <c r="W82" s="17"/>
      <c r="X82" s="23" t="str">
        <f>IFERROR(VLOOKUP(W82,Listas!$A$1:$C$13,2,FALSE),"")</f>
        <v/>
      </c>
      <c r="Y82" s="23" t="str">
        <f>IFERROR(VLOOKUP(W82,Listas!$A$1:$C$13,3,FALSE),"")</f>
        <v/>
      </c>
      <c r="Z82" s="17"/>
      <c r="AA82" s="17"/>
      <c r="AB82" s="23" t="str">
        <f>IFERROR(VLOOKUP(AA82,Listas!$AD$1:$AF$65,2,FALSE),"")</f>
        <v/>
      </c>
      <c r="AC82" s="23" t="str">
        <f>IFERROR(VLOOKUP(AA82,Listas!$AD$1:$AF$65,3,FALSE),"")</f>
        <v/>
      </c>
      <c r="AD82" s="26"/>
      <c r="AE82" s="26"/>
      <c r="AF82" s="100">
        <f t="shared" ca="1" si="35"/>
        <v>100</v>
      </c>
      <c r="AG82" s="100">
        <f t="shared" ca="1" si="38"/>
        <v>100</v>
      </c>
      <c r="AH82" s="101" t="str">
        <f t="shared" ca="1" si="39"/>
        <v/>
      </c>
      <c r="AI82" s="101" t="str">
        <f t="shared" si="36"/>
        <v/>
      </c>
      <c r="AJ82" s="59"/>
      <c r="AK82" s="54"/>
      <c r="AL82" s="54" t="str">
        <f t="shared" ca="1" si="37"/>
        <v/>
      </c>
      <c r="AM82" s="53"/>
    </row>
    <row r="83" spans="1:39">
      <c r="A83" s="54"/>
      <c r="B83" s="17"/>
      <c r="C83" s="17"/>
      <c r="D83" s="17"/>
      <c r="E83" s="17"/>
      <c r="F83" s="17"/>
      <c r="G83" s="16"/>
      <c r="H83" s="16"/>
      <c r="I83" s="16"/>
      <c r="J83" s="58"/>
      <c r="K83" s="58"/>
      <c r="L83" s="58"/>
      <c r="M83" s="27"/>
      <c r="N83" s="58"/>
      <c r="O83" s="54">
        <f t="shared" si="33"/>
        <v>0</v>
      </c>
      <c r="P83" s="54">
        <f t="shared" si="34"/>
        <v>0</v>
      </c>
      <c r="Q83" s="54"/>
      <c r="R83" s="54"/>
      <c r="S83" s="57"/>
      <c r="T83" s="57"/>
      <c r="U83" s="71"/>
      <c r="V83" s="56"/>
      <c r="W83" s="17"/>
      <c r="X83" s="23" t="str">
        <f>IFERROR(VLOOKUP(W83,Listas!$A$1:$C$13,2,FALSE),"")</f>
        <v/>
      </c>
      <c r="Y83" s="23" t="str">
        <f>IFERROR(VLOOKUP(W83,Listas!$A$1:$C$13,3,FALSE),"")</f>
        <v/>
      </c>
      <c r="Z83" s="17"/>
      <c r="AA83" s="17"/>
      <c r="AB83" s="23" t="str">
        <f>IFERROR(VLOOKUP(AA83,Listas!$AD$1:$AF$65,2,FALSE),"")</f>
        <v/>
      </c>
      <c r="AC83" s="23" t="str">
        <f>IFERROR(VLOOKUP(AA83,Listas!$AD$1:$AF$65,3,FALSE),"")</f>
        <v/>
      </c>
      <c r="AD83" s="26"/>
      <c r="AE83" s="26"/>
      <c r="AF83" s="100">
        <f t="shared" ca="1" si="35"/>
        <v>100</v>
      </c>
      <c r="AG83" s="100">
        <f t="shared" ca="1" si="38"/>
        <v>100</v>
      </c>
      <c r="AH83" s="101" t="str">
        <f t="shared" ca="1" si="39"/>
        <v/>
      </c>
      <c r="AI83" s="101" t="str">
        <f t="shared" si="36"/>
        <v/>
      </c>
      <c r="AJ83" s="59"/>
      <c r="AK83" s="54"/>
      <c r="AL83" s="54" t="str">
        <f t="shared" ca="1" si="37"/>
        <v/>
      </c>
      <c r="AM83" s="53"/>
    </row>
    <row r="84" spans="1:39">
      <c r="A84" s="54"/>
      <c r="B84" s="17"/>
      <c r="C84" s="17"/>
      <c r="D84" s="17"/>
      <c r="E84" s="17"/>
      <c r="F84" s="17"/>
      <c r="G84" s="16"/>
      <c r="H84" s="16"/>
      <c r="I84" s="16"/>
      <c r="J84" s="58"/>
      <c r="K84" s="58"/>
      <c r="L84" s="58"/>
      <c r="M84" s="27"/>
      <c r="N84" s="58"/>
      <c r="O84" s="54">
        <f t="shared" si="33"/>
        <v>0</v>
      </c>
      <c r="P84" s="54">
        <f t="shared" si="34"/>
        <v>0</v>
      </c>
      <c r="Q84" s="54"/>
      <c r="R84" s="54"/>
      <c r="S84" s="57"/>
      <c r="T84" s="57"/>
      <c r="U84" s="71"/>
      <c r="V84" s="56"/>
      <c r="W84" s="17"/>
      <c r="X84" s="23" t="str">
        <f>IFERROR(VLOOKUP(W84,Listas!$A$1:$C$13,2,FALSE),"")</f>
        <v/>
      </c>
      <c r="Y84" s="23" t="str">
        <f>IFERROR(VLOOKUP(W84,Listas!$A$1:$C$13,3,FALSE),"")</f>
        <v/>
      </c>
      <c r="Z84" s="17"/>
      <c r="AA84" s="17"/>
      <c r="AB84" s="23" t="str">
        <f>IFERROR(VLOOKUP(AA84,Listas!$AD$1:$AF$65,2,FALSE),"")</f>
        <v/>
      </c>
      <c r="AC84" s="23" t="str">
        <f>IFERROR(VLOOKUP(AA84,Listas!$AD$1:$AF$65,3,FALSE),"")</f>
        <v/>
      </c>
      <c r="AD84" s="26"/>
      <c r="AE84" s="26"/>
      <c r="AF84" s="100">
        <f t="shared" ca="1" si="35"/>
        <v>100</v>
      </c>
      <c r="AG84" s="100">
        <f t="shared" ca="1" si="38"/>
        <v>100</v>
      </c>
      <c r="AH84" s="101" t="str">
        <f t="shared" ca="1" si="39"/>
        <v/>
      </c>
      <c r="AI84" s="101" t="str">
        <f t="shared" si="36"/>
        <v/>
      </c>
      <c r="AJ84" s="59"/>
      <c r="AK84" s="54"/>
      <c r="AL84" s="54" t="str">
        <f t="shared" ca="1" si="37"/>
        <v/>
      </c>
      <c r="AM84" s="53"/>
    </row>
    <row r="85" spans="1:39">
      <c r="A85" s="54"/>
      <c r="B85" s="17"/>
      <c r="C85" s="17"/>
      <c r="D85" s="17"/>
      <c r="E85" s="17"/>
      <c r="F85" s="17"/>
      <c r="G85" s="16"/>
      <c r="H85" s="16"/>
      <c r="I85" s="16"/>
      <c r="J85" s="58"/>
      <c r="K85" s="58"/>
      <c r="L85" s="58"/>
      <c r="M85" s="27"/>
      <c r="N85" s="58"/>
      <c r="O85" s="54">
        <f t="shared" si="33"/>
        <v>0</v>
      </c>
      <c r="P85" s="54">
        <f t="shared" si="34"/>
        <v>0</v>
      </c>
      <c r="Q85" s="54"/>
      <c r="R85" s="54"/>
      <c r="S85" s="57"/>
      <c r="T85" s="57"/>
      <c r="U85" s="71"/>
      <c r="V85" s="56"/>
      <c r="W85" s="17"/>
      <c r="X85" s="23" t="str">
        <f>IFERROR(VLOOKUP(W85,Listas!$A$1:$C$13,2,FALSE),"")</f>
        <v/>
      </c>
      <c r="Y85" s="23" t="str">
        <f>IFERROR(VLOOKUP(W85,Listas!$A$1:$C$13,3,FALSE),"")</f>
        <v/>
      </c>
      <c r="Z85" s="17"/>
      <c r="AA85" s="17"/>
      <c r="AB85" s="23" t="str">
        <f>IFERROR(VLOOKUP(AA85,Listas!$AD$1:$AF$65,2,FALSE),"")</f>
        <v/>
      </c>
      <c r="AC85" s="23" t="str">
        <f>IFERROR(VLOOKUP(AA85,Listas!$AD$1:$AF$65,3,FALSE),"")</f>
        <v/>
      </c>
      <c r="AD85" s="26"/>
      <c r="AE85" s="26"/>
      <c r="AF85" s="100">
        <f t="shared" ca="1" si="35"/>
        <v>100</v>
      </c>
      <c r="AG85" s="100">
        <f t="shared" ca="1" si="38"/>
        <v>100</v>
      </c>
      <c r="AH85" s="101" t="str">
        <f t="shared" ca="1" si="39"/>
        <v/>
      </c>
      <c r="AI85" s="101" t="str">
        <f t="shared" si="36"/>
        <v/>
      </c>
      <c r="AJ85" s="59"/>
      <c r="AK85" s="54"/>
      <c r="AL85" s="54" t="str">
        <f t="shared" ca="1" si="37"/>
        <v/>
      </c>
      <c r="AM85" s="53"/>
    </row>
    <row r="86" spans="1:39">
      <c r="A86" s="54"/>
      <c r="B86" s="17"/>
      <c r="C86" s="17"/>
      <c r="D86" s="17"/>
      <c r="E86" s="17"/>
      <c r="F86" s="17"/>
      <c r="G86" s="16"/>
      <c r="H86" s="16"/>
      <c r="I86" s="16"/>
      <c r="J86" s="58"/>
      <c r="K86" s="58"/>
      <c r="L86" s="58"/>
      <c r="M86" s="27"/>
      <c r="N86" s="58"/>
      <c r="O86" s="54">
        <f t="shared" si="33"/>
        <v>0</v>
      </c>
      <c r="P86" s="54">
        <f t="shared" si="34"/>
        <v>0</v>
      </c>
      <c r="Q86" s="54"/>
      <c r="R86" s="54"/>
      <c r="S86" s="57"/>
      <c r="T86" s="57"/>
      <c r="U86" s="71"/>
      <c r="V86" s="56"/>
      <c r="W86" s="17"/>
      <c r="X86" s="23" t="str">
        <f>IFERROR(VLOOKUP(W86,Listas!$A$1:$C$13,2,FALSE),"")</f>
        <v/>
      </c>
      <c r="Y86" s="23" t="str">
        <f>IFERROR(VLOOKUP(W86,Listas!$A$1:$C$13,3,FALSE),"")</f>
        <v/>
      </c>
      <c r="Z86" s="17"/>
      <c r="AA86" s="17"/>
      <c r="AB86" s="23" t="str">
        <f>IFERROR(VLOOKUP(AA86,Listas!$AD$1:$AF$65,2,FALSE),"")</f>
        <v/>
      </c>
      <c r="AC86" s="23" t="str">
        <f>IFERROR(VLOOKUP(AA86,Listas!$AD$1:$AF$65,3,FALSE),"")</f>
        <v/>
      </c>
      <c r="AD86" s="26"/>
      <c r="AE86" s="26"/>
      <c r="AF86" s="100">
        <f t="shared" ca="1" si="35"/>
        <v>100</v>
      </c>
      <c r="AG86" s="100">
        <f t="shared" ca="1" si="38"/>
        <v>100</v>
      </c>
      <c r="AH86" s="101" t="str">
        <f t="shared" ca="1" si="39"/>
        <v/>
      </c>
      <c r="AI86" s="101" t="str">
        <f t="shared" si="36"/>
        <v/>
      </c>
      <c r="AJ86" s="59"/>
      <c r="AK86" s="54"/>
      <c r="AL86" s="54" t="str">
        <f t="shared" ca="1" si="37"/>
        <v/>
      </c>
      <c r="AM86" s="53"/>
    </row>
    <row r="87" spans="1:39">
      <c r="A87" s="54"/>
      <c r="B87" s="17"/>
      <c r="C87" s="17"/>
      <c r="D87" s="17"/>
      <c r="E87" s="17"/>
      <c r="F87" s="17"/>
      <c r="G87" s="16"/>
      <c r="H87" s="16"/>
      <c r="I87" s="16"/>
      <c r="J87" s="58"/>
      <c r="K87" s="58"/>
      <c r="L87" s="58"/>
      <c r="M87" s="27"/>
      <c r="N87" s="58"/>
      <c r="O87" s="54">
        <f t="shared" si="33"/>
        <v>0</v>
      </c>
      <c r="P87" s="54">
        <f t="shared" si="34"/>
        <v>0</v>
      </c>
      <c r="Q87" s="54"/>
      <c r="R87" s="54"/>
      <c r="S87" s="57"/>
      <c r="T87" s="57"/>
      <c r="U87" s="71"/>
      <c r="V87" s="56"/>
      <c r="W87" s="17"/>
      <c r="X87" s="23" t="str">
        <f>IFERROR(VLOOKUP(W87,Listas!$A$1:$C$13,2,FALSE),"")</f>
        <v/>
      </c>
      <c r="Y87" s="23" t="str">
        <f>IFERROR(VLOOKUP(W87,Listas!$A$1:$C$13,3,FALSE),"")</f>
        <v/>
      </c>
      <c r="Z87" s="17"/>
      <c r="AA87" s="17"/>
      <c r="AB87" s="23" t="str">
        <f>IFERROR(VLOOKUP(AA87,Listas!$AD$1:$AF$65,2,FALSE),"")</f>
        <v/>
      </c>
      <c r="AC87" s="23" t="str">
        <f>IFERROR(VLOOKUP(AA87,Listas!$AD$1:$AF$65,3,FALSE),"")</f>
        <v/>
      </c>
      <c r="AD87" s="26"/>
      <c r="AE87" s="26"/>
      <c r="AF87" s="100">
        <f t="shared" ca="1" si="35"/>
        <v>100</v>
      </c>
      <c r="AG87" s="100">
        <f t="shared" ca="1" si="38"/>
        <v>100</v>
      </c>
      <c r="AH87" s="101" t="str">
        <f t="shared" ca="1" si="39"/>
        <v/>
      </c>
      <c r="AI87" s="101" t="str">
        <f t="shared" si="36"/>
        <v/>
      </c>
      <c r="AJ87" s="59"/>
      <c r="AK87" s="54"/>
      <c r="AL87" s="54" t="str">
        <f t="shared" ca="1" si="37"/>
        <v/>
      </c>
      <c r="AM87" s="53"/>
    </row>
    <row r="88" spans="1:39">
      <c r="A88" s="54"/>
      <c r="B88" s="17"/>
      <c r="C88" s="17"/>
      <c r="D88" s="17"/>
      <c r="E88" s="17"/>
      <c r="F88" s="17"/>
      <c r="G88" s="16"/>
      <c r="H88" s="16"/>
      <c r="I88" s="16"/>
      <c r="J88" s="58"/>
      <c r="K88" s="58"/>
      <c r="L88" s="58"/>
      <c r="M88" s="27"/>
      <c r="N88" s="58"/>
      <c r="O88" s="54">
        <f t="shared" si="33"/>
        <v>0</v>
      </c>
      <c r="P88" s="54">
        <f t="shared" si="34"/>
        <v>0</v>
      </c>
      <c r="Q88" s="54"/>
      <c r="R88" s="54"/>
      <c r="S88" s="57"/>
      <c r="T88" s="57"/>
      <c r="U88" s="71"/>
      <c r="V88" s="56"/>
      <c r="W88" s="17"/>
      <c r="X88" s="23" t="str">
        <f>IFERROR(VLOOKUP(W88,Listas!$A$1:$C$13,2,FALSE),"")</f>
        <v/>
      </c>
      <c r="Y88" s="23" t="str">
        <f>IFERROR(VLOOKUP(W88,Listas!$A$1:$C$13,3,FALSE),"")</f>
        <v/>
      </c>
      <c r="Z88" s="17"/>
      <c r="AA88" s="17"/>
      <c r="AB88" s="23" t="str">
        <f>IFERROR(VLOOKUP(AA88,Listas!$AD$1:$AF$65,2,FALSE),"")</f>
        <v/>
      </c>
      <c r="AC88" s="23" t="str">
        <f>IFERROR(VLOOKUP(AA88,Listas!$AD$1:$AF$65,3,FALSE),"")</f>
        <v/>
      </c>
      <c r="AD88" s="26"/>
      <c r="AE88" s="26"/>
      <c r="AF88" s="100">
        <f t="shared" ca="1" si="35"/>
        <v>100</v>
      </c>
      <c r="AG88" s="100">
        <f t="shared" ca="1" si="38"/>
        <v>100</v>
      </c>
      <c r="AH88" s="101" t="str">
        <f t="shared" ca="1" si="39"/>
        <v/>
      </c>
      <c r="AI88" s="101" t="str">
        <f t="shared" si="36"/>
        <v/>
      </c>
      <c r="AJ88" s="59"/>
      <c r="AK88" s="54"/>
      <c r="AL88" s="54" t="str">
        <f t="shared" ca="1" si="37"/>
        <v/>
      </c>
      <c r="AM88" s="53"/>
    </row>
    <row r="89" spans="1:39">
      <c r="A89" s="54"/>
      <c r="B89" s="17"/>
      <c r="C89" s="17"/>
      <c r="D89" s="17"/>
      <c r="E89" s="17"/>
      <c r="F89" s="17"/>
      <c r="G89" s="16"/>
      <c r="H89" s="16"/>
      <c r="I89" s="16"/>
      <c r="J89" s="58"/>
      <c r="K89" s="58"/>
      <c r="L89" s="58"/>
      <c r="M89" s="27"/>
      <c r="N89" s="58"/>
      <c r="O89" s="54">
        <f t="shared" si="33"/>
        <v>0</v>
      </c>
      <c r="P89" s="54">
        <f t="shared" si="34"/>
        <v>0</v>
      </c>
      <c r="Q89" s="54"/>
      <c r="R89" s="54"/>
      <c r="S89" s="57"/>
      <c r="T89" s="57"/>
      <c r="U89" s="71"/>
      <c r="V89" s="56"/>
      <c r="W89" s="17"/>
      <c r="X89" s="23" t="str">
        <f>IFERROR(VLOOKUP(W89,Listas!$A$1:$C$13,2,FALSE),"")</f>
        <v/>
      </c>
      <c r="Y89" s="23" t="str">
        <f>IFERROR(VLOOKUP(W89,Listas!$A$1:$C$13,3,FALSE),"")</f>
        <v/>
      </c>
      <c r="Z89" s="17"/>
      <c r="AA89" s="17"/>
      <c r="AB89" s="23" t="str">
        <f>IFERROR(VLOOKUP(AA89,Listas!$AD$1:$AF$65,2,FALSE),"")</f>
        <v/>
      </c>
      <c r="AC89" s="23" t="str">
        <f>IFERROR(VLOOKUP(AA89,Listas!$AD$1:$AF$65,3,FALSE),"")</f>
        <v/>
      </c>
      <c r="AD89" s="26"/>
      <c r="AE89" s="26"/>
      <c r="AF89" s="100">
        <f t="shared" ca="1" si="35"/>
        <v>100</v>
      </c>
      <c r="AG89" s="100">
        <f t="shared" ca="1" si="38"/>
        <v>100</v>
      </c>
      <c r="AH89" s="101" t="str">
        <f t="shared" ca="1" si="39"/>
        <v/>
      </c>
      <c r="AI89" s="101" t="str">
        <f t="shared" si="36"/>
        <v/>
      </c>
      <c r="AJ89" s="59"/>
      <c r="AK89" s="54"/>
      <c r="AL89" s="54" t="str">
        <f t="shared" ca="1" si="37"/>
        <v/>
      </c>
      <c r="AM89" s="53"/>
    </row>
    <row r="90" spans="1:39">
      <c r="A90" s="54"/>
      <c r="B90" s="17"/>
      <c r="C90" s="17"/>
      <c r="D90" s="17"/>
      <c r="E90" s="17"/>
      <c r="F90" s="17"/>
      <c r="G90" s="16"/>
      <c r="H90" s="16"/>
      <c r="I90" s="16"/>
      <c r="J90" s="58"/>
      <c r="K90" s="58"/>
      <c r="L90" s="58"/>
      <c r="M90" s="27"/>
      <c r="N90" s="58"/>
      <c r="O90" s="54">
        <f t="shared" si="33"/>
        <v>0</v>
      </c>
      <c r="P90" s="54">
        <f t="shared" si="34"/>
        <v>0</v>
      </c>
      <c r="Q90" s="54"/>
      <c r="R90" s="54"/>
      <c r="S90" s="57"/>
      <c r="T90" s="57"/>
      <c r="U90" s="71"/>
      <c r="V90" s="56"/>
      <c r="W90" s="17"/>
      <c r="X90" s="23" t="str">
        <f>IFERROR(VLOOKUP(W90,Listas!$A$1:$C$13,2,FALSE),"")</f>
        <v/>
      </c>
      <c r="Y90" s="23" t="str">
        <f>IFERROR(VLOOKUP(W90,Listas!$A$1:$C$13,3,FALSE),"")</f>
        <v/>
      </c>
      <c r="Z90" s="17"/>
      <c r="AA90" s="17"/>
      <c r="AB90" s="23" t="str">
        <f>IFERROR(VLOOKUP(AA90,Listas!$AD$1:$AF$65,2,FALSE),"")</f>
        <v/>
      </c>
      <c r="AC90" s="23" t="str">
        <f>IFERROR(VLOOKUP(AA90,Listas!$AD$1:$AF$65,3,FALSE),"")</f>
        <v/>
      </c>
      <c r="AD90" s="26"/>
      <c r="AE90" s="26"/>
      <c r="AF90" s="100">
        <f t="shared" ca="1" si="35"/>
        <v>100</v>
      </c>
      <c r="AG90" s="100">
        <f t="shared" ca="1" si="38"/>
        <v>100</v>
      </c>
      <c r="AH90" s="101" t="str">
        <f t="shared" ca="1" si="39"/>
        <v/>
      </c>
      <c r="AI90" s="101" t="str">
        <f t="shared" si="36"/>
        <v/>
      </c>
      <c r="AJ90" s="59"/>
      <c r="AK90" s="54"/>
      <c r="AL90" s="54" t="str">
        <f t="shared" ca="1" si="37"/>
        <v/>
      </c>
      <c r="AM90" s="53"/>
    </row>
    <row r="91" spans="1:39">
      <c r="A91" s="54"/>
      <c r="B91" s="17"/>
      <c r="C91" s="17"/>
      <c r="D91" s="17"/>
      <c r="E91" s="17"/>
      <c r="F91" s="17"/>
      <c r="G91" s="16"/>
      <c r="H91" s="16"/>
      <c r="I91" s="16"/>
      <c r="J91" s="58"/>
      <c r="K91" s="58"/>
      <c r="L91" s="58"/>
      <c r="M91" s="27"/>
      <c r="N91" s="58"/>
      <c r="O91" s="54">
        <f t="shared" si="33"/>
        <v>0</v>
      </c>
      <c r="P91" s="54">
        <f t="shared" si="34"/>
        <v>0</v>
      </c>
      <c r="Q91" s="54"/>
      <c r="R91" s="54"/>
      <c r="S91" s="57"/>
      <c r="T91" s="57"/>
      <c r="U91" s="71"/>
      <c r="V91" s="56"/>
      <c r="W91" s="17"/>
      <c r="X91" s="23" t="str">
        <f>IFERROR(VLOOKUP(W91,Listas!$A$1:$C$13,2,FALSE),"")</f>
        <v/>
      </c>
      <c r="Y91" s="23" t="str">
        <f>IFERROR(VLOOKUP(W91,Listas!$A$1:$C$13,3,FALSE),"")</f>
        <v/>
      </c>
      <c r="Z91" s="17"/>
      <c r="AA91" s="17"/>
      <c r="AB91" s="23" t="str">
        <f>IFERROR(VLOOKUP(AA91,Listas!$AD$1:$AF$65,2,FALSE),"")</f>
        <v/>
      </c>
      <c r="AC91" s="23" t="str">
        <f>IFERROR(VLOOKUP(AA91,Listas!$AD$1:$AF$65,3,FALSE),"")</f>
        <v/>
      </c>
      <c r="AD91" s="26"/>
      <c r="AE91" s="26"/>
      <c r="AF91" s="100">
        <f t="shared" ca="1" si="35"/>
        <v>100</v>
      </c>
      <c r="AG91" s="100">
        <f t="shared" ca="1" si="38"/>
        <v>100</v>
      </c>
      <c r="AH91" s="101" t="str">
        <f t="shared" ca="1" si="39"/>
        <v/>
      </c>
      <c r="AI91" s="101" t="str">
        <f t="shared" si="36"/>
        <v/>
      </c>
      <c r="AJ91" s="59"/>
      <c r="AK91" s="54"/>
      <c r="AL91" s="54" t="str">
        <f t="shared" ca="1" si="37"/>
        <v/>
      </c>
      <c r="AM91" s="53"/>
    </row>
    <row r="92" spans="1:39">
      <c r="A92" s="54"/>
      <c r="B92" s="17"/>
      <c r="C92" s="17"/>
      <c r="D92" s="17"/>
      <c r="E92" s="17"/>
      <c r="F92" s="17"/>
      <c r="G92" s="16"/>
      <c r="H92" s="16"/>
      <c r="I92" s="16"/>
      <c r="J92" s="58"/>
      <c r="K92" s="58"/>
      <c r="L92" s="58"/>
      <c r="M92" s="27"/>
      <c r="N92" s="58"/>
      <c r="O92" s="54">
        <f t="shared" si="33"/>
        <v>0</v>
      </c>
      <c r="P92" s="54">
        <f t="shared" si="34"/>
        <v>0</v>
      </c>
      <c r="Q92" s="54"/>
      <c r="R92" s="54"/>
      <c r="S92" s="57"/>
      <c r="T92" s="57"/>
      <c r="U92" s="71"/>
      <c r="V92" s="56"/>
      <c r="W92" s="17"/>
      <c r="X92" s="23" t="str">
        <f>IFERROR(VLOOKUP(W92,Listas!$A$1:$C$13,2,FALSE),"")</f>
        <v/>
      </c>
      <c r="Y92" s="23" t="str">
        <f>IFERROR(VLOOKUP(W92,Listas!$A$1:$C$13,3,FALSE),"")</f>
        <v/>
      </c>
      <c r="Z92" s="17"/>
      <c r="AA92" s="17"/>
      <c r="AB92" s="23" t="str">
        <f>IFERROR(VLOOKUP(AA92,Listas!$AD$1:$AF$65,2,FALSE),"")</f>
        <v/>
      </c>
      <c r="AC92" s="23" t="str">
        <f>IFERROR(VLOOKUP(AA92,Listas!$AD$1:$AF$65,3,FALSE),"")</f>
        <v/>
      </c>
      <c r="AD92" s="26"/>
      <c r="AE92" s="26"/>
      <c r="AF92" s="100">
        <f t="shared" ca="1" si="35"/>
        <v>100</v>
      </c>
      <c r="AG92" s="100">
        <f t="shared" ca="1" si="38"/>
        <v>100</v>
      </c>
      <c r="AH92" s="101" t="str">
        <f t="shared" ca="1" si="39"/>
        <v/>
      </c>
      <c r="AI92" s="101" t="str">
        <f t="shared" si="36"/>
        <v/>
      </c>
      <c r="AJ92" s="59"/>
      <c r="AK92" s="54"/>
      <c r="AL92" s="54" t="str">
        <f t="shared" ca="1" si="37"/>
        <v/>
      </c>
      <c r="AM92" s="53"/>
    </row>
    <row r="93" spans="1:39">
      <c r="A93" s="54"/>
      <c r="B93" s="17"/>
      <c r="C93" s="17"/>
      <c r="D93" s="17"/>
      <c r="E93" s="17"/>
      <c r="F93" s="17"/>
      <c r="G93" s="16"/>
      <c r="H93" s="16"/>
      <c r="I93" s="16"/>
      <c r="J93" s="58"/>
      <c r="K93" s="58"/>
      <c r="L93" s="58"/>
      <c r="M93" s="27"/>
      <c r="N93" s="58"/>
      <c r="O93" s="54">
        <f t="shared" si="33"/>
        <v>0</v>
      </c>
      <c r="P93" s="54">
        <f t="shared" si="34"/>
        <v>0</v>
      </c>
      <c r="Q93" s="54"/>
      <c r="R93" s="54"/>
      <c r="S93" s="57"/>
      <c r="T93" s="57"/>
      <c r="U93" s="71"/>
      <c r="V93" s="56"/>
      <c r="W93" s="17"/>
      <c r="X93" s="23" t="str">
        <f>IFERROR(VLOOKUP(W93,Listas!$A$1:$C$13,2,FALSE),"")</f>
        <v/>
      </c>
      <c r="Y93" s="23" t="str">
        <f>IFERROR(VLOOKUP(W93,Listas!$A$1:$C$13,3,FALSE),"")</f>
        <v/>
      </c>
      <c r="Z93" s="17"/>
      <c r="AA93" s="17"/>
      <c r="AB93" s="23" t="str">
        <f>IFERROR(VLOOKUP(AA93,Listas!$AD$1:$AF$65,2,FALSE),"")</f>
        <v/>
      </c>
      <c r="AC93" s="23" t="str">
        <f>IFERROR(VLOOKUP(AA93,Listas!$AD$1:$AF$65,3,FALSE),"")</f>
        <v/>
      </c>
      <c r="AD93" s="26"/>
      <c r="AE93" s="26"/>
      <c r="AF93" s="100">
        <f t="shared" ca="1" si="35"/>
        <v>100</v>
      </c>
      <c r="AG93" s="100">
        <f t="shared" ca="1" si="38"/>
        <v>100</v>
      </c>
      <c r="AH93" s="101" t="str">
        <f t="shared" ca="1" si="39"/>
        <v/>
      </c>
      <c r="AI93" s="101" t="str">
        <f t="shared" si="36"/>
        <v/>
      </c>
      <c r="AJ93" s="59"/>
      <c r="AK93" s="54"/>
      <c r="AL93" s="54" t="str">
        <f t="shared" ca="1" si="37"/>
        <v/>
      </c>
      <c r="AM93" s="53"/>
    </row>
    <row r="94" spans="1:39">
      <c r="A94" s="54"/>
      <c r="B94" s="17"/>
      <c r="C94" s="17"/>
      <c r="D94" s="17"/>
      <c r="E94" s="17"/>
      <c r="F94" s="17"/>
      <c r="G94" s="16"/>
      <c r="H94" s="16"/>
      <c r="I94" s="16"/>
      <c r="J94" s="58"/>
      <c r="K94" s="58"/>
      <c r="L94" s="58"/>
      <c r="M94" s="27"/>
      <c r="N94" s="58"/>
      <c r="O94" s="54">
        <f t="shared" si="33"/>
        <v>0</v>
      </c>
      <c r="P94" s="54">
        <f t="shared" si="34"/>
        <v>0</v>
      </c>
      <c r="Q94" s="54"/>
      <c r="R94" s="54"/>
      <c r="S94" s="57"/>
      <c r="T94" s="57"/>
      <c r="U94" s="71"/>
      <c r="V94" s="56"/>
      <c r="W94" s="17"/>
      <c r="X94" s="23" t="str">
        <f>IFERROR(VLOOKUP(W94,Listas!$A$1:$C$13,2,FALSE),"")</f>
        <v/>
      </c>
      <c r="Y94" s="23" t="str">
        <f>IFERROR(VLOOKUP(W94,Listas!$A$1:$C$13,3,FALSE),"")</f>
        <v/>
      </c>
      <c r="Z94" s="17"/>
      <c r="AA94" s="17"/>
      <c r="AB94" s="23" t="str">
        <f>IFERROR(VLOOKUP(AA94,Listas!$AD$1:$AF$65,2,FALSE),"")</f>
        <v/>
      </c>
      <c r="AC94" s="23" t="str">
        <f>IFERROR(VLOOKUP(AA94,Listas!$AD$1:$AF$65,3,FALSE),"")</f>
        <v/>
      </c>
      <c r="AD94" s="26"/>
      <c r="AE94" s="26"/>
      <c r="AF94" s="100">
        <f t="shared" ca="1" si="35"/>
        <v>100</v>
      </c>
      <c r="AG94" s="100">
        <f t="shared" ca="1" si="38"/>
        <v>100</v>
      </c>
      <c r="AH94" s="101" t="str">
        <f t="shared" ca="1" si="39"/>
        <v/>
      </c>
      <c r="AI94" s="101" t="str">
        <f t="shared" si="36"/>
        <v/>
      </c>
      <c r="AJ94" s="59"/>
      <c r="AK94" s="54"/>
      <c r="AL94" s="54" t="str">
        <f t="shared" ca="1" si="37"/>
        <v/>
      </c>
      <c r="AM94" s="53"/>
    </row>
    <row r="95" spans="1:39">
      <c r="A95" s="54"/>
      <c r="B95" s="17"/>
      <c r="C95" s="17"/>
      <c r="D95" s="17"/>
      <c r="E95" s="17"/>
      <c r="F95" s="17"/>
      <c r="G95" s="16"/>
      <c r="H95" s="16"/>
      <c r="I95" s="16"/>
      <c r="J95" s="58"/>
      <c r="K95" s="58"/>
      <c r="L95" s="58"/>
      <c r="M95" s="27"/>
      <c r="N95" s="58"/>
      <c r="O95" s="54">
        <f t="shared" si="33"/>
        <v>0</v>
      </c>
      <c r="P95" s="54">
        <f t="shared" si="34"/>
        <v>0</v>
      </c>
      <c r="Q95" s="54"/>
      <c r="R95" s="54"/>
      <c r="S95" s="57"/>
      <c r="T95" s="57"/>
      <c r="U95" s="71"/>
      <c r="V95" s="56"/>
      <c r="W95" s="17"/>
      <c r="X95" s="23" t="str">
        <f>IFERROR(VLOOKUP(W95,Listas!$A$1:$C$13,2,FALSE),"")</f>
        <v/>
      </c>
      <c r="Y95" s="23" t="str">
        <f>IFERROR(VLOOKUP(W95,Listas!$A$1:$C$13,3,FALSE),"")</f>
        <v/>
      </c>
      <c r="Z95" s="17"/>
      <c r="AA95" s="17"/>
      <c r="AB95" s="23" t="str">
        <f>IFERROR(VLOOKUP(AA95,Listas!$AD$1:$AF$65,2,FALSE),"")</f>
        <v/>
      </c>
      <c r="AC95" s="23" t="str">
        <f>IFERROR(VLOOKUP(AA95,Listas!$AD$1:$AF$65,3,FALSE),"")</f>
        <v/>
      </c>
      <c r="AD95" s="26"/>
      <c r="AE95" s="26"/>
      <c r="AF95" s="100">
        <f t="shared" ca="1" si="35"/>
        <v>100</v>
      </c>
      <c r="AG95" s="100">
        <f t="shared" ca="1" si="38"/>
        <v>100</v>
      </c>
      <c r="AH95" s="101" t="str">
        <f t="shared" ca="1" si="39"/>
        <v/>
      </c>
      <c r="AI95" s="101" t="str">
        <f t="shared" si="36"/>
        <v/>
      </c>
      <c r="AJ95" s="59"/>
      <c r="AK95" s="54"/>
      <c r="AL95" s="54" t="str">
        <f t="shared" ca="1" si="37"/>
        <v/>
      </c>
      <c r="AM95" s="53"/>
    </row>
    <row r="96" spans="1:39">
      <c r="A96" s="54"/>
      <c r="B96" s="17"/>
      <c r="C96" s="17"/>
      <c r="D96" s="17"/>
      <c r="E96" s="17"/>
      <c r="F96" s="17"/>
      <c r="G96" s="16"/>
      <c r="H96" s="16"/>
      <c r="I96" s="16"/>
      <c r="J96" s="58"/>
      <c r="K96" s="58"/>
      <c r="L96" s="58"/>
      <c r="M96" s="27"/>
      <c r="N96" s="58"/>
      <c r="O96" s="54">
        <f t="shared" si="33"/>
        <v>0</v>
      </c>
      <c r="P96" s="54">
        <f t="shared" si="34"/>
        <v>0</v>
      </c>
      <c r="Q96" s="54"/>
      <c r="R96" s="54"/>
      <c r="S96" s="57"/>
      <c r="T96" s="57"/>
      <c r="U96" s="71"/>
      <c r="V96" s="56"/>
      <c r="W96" s="17"/>
      <c r="X96" s="23" t="str">
        <f>IFERROR(VLOOKUP(W96,Listas!$A$1:$C$13,2,FALSE),"")</f>
        <v/>
      </c>
      <c r="Y96" s="23" t="str">
        <f>IFERROR(VLOOKUP(W96,Listas!$A$1:$C$13,3,FALSE),"")</f>
        <v/>
      </c>
      <c r="Z96" s="17"/>
      <c r="AA96" s="17"/>
      <c r="AB96" s="23" t="str">
        <f>IFERROR(VLOOKUP(AA96,Listas!$AD$1:$AF$65,2,FALSE),"")</f>
        <v/>
      </c>
      <c r="AC96" s="23" t="str">
        <f>IFERROR(VLOOKUP(AA96,Listas!$AD$1:$AF$65,3,FALSE),"")</f>
        <v/>
      </c>
      <c r="AD96" s="26"/>
      <c r="AE96" s="26"/>
      <c r="AF96" s="100">
        <f t="shared" ca="1" si="35"/>
        <v>100</v>
      </c>
      <c r="AG96" s="100">
        <f t="shared" ca="1" si="38"/>
        <v>100</v>
      </c>
      <c r="AH96" s="101" t="str">
        <f t="shared" ca="1" si="39"/>
        <v/>
      </c>
      <c r="AI96" s="101" t="str">
        <f t="shared" si="36"/>
        <v/>
      </c>
      <c r="AJ96" s="59"/>
      <c r="AK96" s="54"/>
      <c r="AL96" s="54" t="str">
        <f t="shared" ca="1" si="37"/>
        <v/>
      </c>
      <c r="AM96" s="53"/>
    </row>
    <row r="97" spans="1:39">
      <c r="A97" s="54"/>
      <c r="B97" s="17"/>
      <c r="C97" s="17"/>
      <c r="D97" s="17"/>
      <c r="E97" s="17"/>
      <c r="F97" s="17"/>
      <c r="G97" s="16"/>
      <c r="H97" s="16"/>
      <c r="I97" s="16"/>
      <c r="J97" s="58"/>
      <c r="K97" s="58"/>
      <c r="L97" s="58"/>
      <c r="M97" s="27"/>
      <c r="N97" s="58"/>
      <c r="O97" s="54">
        <f t="shared" si="33"/>
        <v>0</v>
      </c>
      <c r="P97" s="54">
        <f t="shared" si="34"/>
        <v>0</v>
      </c>
      <c r="Q97" s="54"/>
      <c r="R97" s="54"/>
      <c r="S97" s="57"/>
      <c r="T97" s="57"/>
      <c r="U97" s="71"/>
      <c r="V97" s="56"/>
      <c r="W97" s="17"/>
      <c r="X97" s="23" t="str">
        <f>IFERROR(VLOOKUP(W97,Listas!$A$1:$C$13,2,FALSE),"")</f>
        <v/>
      </c>
      <c r="Y97" s="23" t="str">
        <f>IFERROR(VLOOKUP(W97,Listas!$A$1:$C$13,3,FALSE),"")</f>
        <v/>
      </c>
      <c r="Z97" s="17"/>
      <c r="AA97" s="17"/>
      <c r="AB97" s="23" t="str">
        <f>IFERROR(VLOOKUP(AA97,Listas!$AD$1:$AF$65,2,FALSE),"")</f>
        <v/>
      </c>
      <c r="AC97" s="23" t="str">
        <f>IFERROR(VLOOKUP(AA97,Listas!$AD$1:$AF$65,3,FALSE),"")</f>
        <v/>
      </c>
      <c r="AD97" s="26"/>
      <c r="AE97" s="26"/>
      <c r="AF97" s="100">
        <f t="shared" ca="1" si="35"/>
        <v>100</v>
      </c>
      <c r="AG97" s="100">
        <f t="shared" ca="1" si="38"/>
        <v>100</v>
      </c>
      <c r="AH97" s="101" t="str">
        <f t="shared" ca="1" si="39"/>
        <v/>
      </c>
      <c r="AI97" s="101" t="str">
        <f t="shared" si="36"/>
        <v/>
      </c>
      <c r="AJ97" s="59"/>
      <c r="AK97" s="54"/>
      <c r="AL97" s="54" t="str">
        <f t="shared" ca="1" si="37"/>
        <v/>
      </c>
      <c r="AM97" s="53"/>
    </row>
    <row r="98" spans="1:39">
      <c r="A98" s="54"/>
      <c r="B98" s="17"/>
      <c r="C98" s="17"/>
      <c r="D98" s="17"/>
      <c r="E98" s="17"/>
      <c r="F98" s="17"/>
      <c r="G98" s="16"/>
      <c r="H98" s="16"/>
      <c r="I98" s="16"/>
      <c r="J98" s="58"/>
      <c r="K98" s="58"/>
      <c r="L98" s="58"/>
      <c r="M98" s="27"/>
      <c r="N98" s="58"/>
      <c r="O98" s="54">
        <f t="shared" si="33"/>
        <v>0</v>
      </c>
      <c r="P98" s="54">
        <f t="shared" si="34"/>
        <v>0</v>
      </c>
      <c r="Q98" s="54"/>
      <c r="R98" s="54"/>
      <c r="S98" s="57"/>
      <c r="T98" s="57"/>
      <c r="U98" s="71"/>
      <c r="V98" s="56"/>
      <c r="W98" s="17"/>
      <c r="X98" s="23" t="str">
        <f>IFERROR(VLOOKUP(W98,Listas!$A$1:$C$13,2,FALSE),"")</f>
        <v/>
      </c>
      <c r="Y98" s="23" t="str">
        <f>IFERROR(VLOOKUP(W98,Listas!$A$1:$C$13,3,FALSE),"")</f>
        <v/>
      </c>
      <c r="Z98" s="17"/>
      <c r="AA98" s="17"/>
      <c r="AB98" s="23" t="str">
        <f>IFERROR(VLOOKUP(AA98,Listas!$AD$1:$AF$65,2,FALSE),"")</f>
        <v/>
      </c>
      <c r="AC98" s="23" t="str">
        <f>IFERROR(VLOOKUP(AA98,Listas!$AD$1:$AF$65,3,FALSE),"")</f>
        <v/>
      </c>
      <c r="AD98" s="26"/>
      <c r="AE98" s="26"/>
      <c r="AF98" s="100">
        <f t="shared" ca="1" si="35"/>
        <v>100</v>
      </c>
      <c r="AG98" s="100">
        <f t="shared" ca="1" si="38"/>
        <v>100</v>
      </c>
      <c r="AH98" s="101" t="str">
        <f t="shared" ca="1" si="39"/>
        <v/>
      </c>
      <c r="AI98" s="101" t="str">
        <f t="shared" si="36"/>
        <v/>
      </c>
      <c r="AJ98" s="59"/>
      <c r="AK98" s="54"/>
      <c r="AL98" s="54" t="str">
        <f t="shared" ca="1" si="37"/>
        <v/>
      </c>
      <c r="AM98" s="53"/>
    </row>
    <row r="99" spans="1:39">
      <c r="A99" s="54"/>
      <c r="B99" s="17"/>
      <c r="C99" s="17"/>
      <c r="D99" s="17"/>
      <c r="E99" s="17"/>
      <c r="F99" s="17"/>
      <c r="G99" s="16"/>
      <c r="H99" s="16"/>
      <c r="I99" s="16"/>
      <c r="J99" s="58"/>
      <c r="K99" s="58"/>
      <c r="L99" s="58"/>
      <c r="M99" s="27"/>
      <c r="N99" s="58"/>
      <c r="O99" s="54">
        <f t="shared" si="33"/>
        <v>0</v>
      </c>
      <c r="P99" s="54">
        <f t="shared" si="34"/>
        <v>0</v>
      </c>
      <c r="Q99" s="54"/>
      <c r="R99" s="54"/>
      <c r="S99" s="57"/>
      <c r="T99" s="57"/>
      <c r="U99" s="71"/>
      <c r="V99" s="56"/>
      <c r="W99" s="17"/>
      <c r="X99" s="23" t="str">
        <f>IFERROR(VLOOKUP(W99,Listas!$A$1:$C$13,2,FALSE),"")</f>
        <v/>
      </c>
      <c r="Y99" s="23" t="str">
        <f>IFERROR(VLOOKUP(W99,Listas!$A$1:$C$13,3,FALSE),"")</f>
        <v/>
      </c>
      <c r="Z99" s="17"/>
      <c r="AA99" s="17"/>
      <c r="AB99" s="23" t="str">
        <f>IFERROR(VLOOKUP(AA99,Listas!$AD$1:$AF$65,2,FALSE),"")</f>
        <v/>
      </c>
      <c r="AC99" s="23" t="str">
        <f>IFERROR(VLOOKUP(AA99,Listas!$AD$1:$AF$65,3,FALSE),"")</f>
        <v/>
      </c>
      <c r="AD99" s="26"/>
      <c r="AE99" s="26"/>
      <c r="AF99" s="100">
        <f t="shared" ca="1" si="35"/>
        <v>100</v>
      </c>
      <c r="AG99" s="100">
        <f t="shared" ca="1" si="38"/>
        <v>100</v>
      </c>
      <c r="AH99" s="101" t="str">
        <f t="shared" ca="1" si="39"/>
        <v/>
      </c>
      <c r="AI99" s="101" t="str">
        <f t="shared" si="36"/>
        <v/>
      </c>
      <c r="AJ99" s="59"/>
      <c r="AK99" s="54"/>
      <c r="AL99" s="54" t="str">
        <f t="shared" ca="1" si="37"/>
        <v/>
      </c>
      <c r="AM99" s="53"/>
    </row>
    <row r="100" spans="1:39">
      <c r="A100" s="54"/>
      <c r="B100" s="17"/>
      <c r="C100" s="17"/>
      <c r="D100" s="17"/>
      <c r="E100" s="17"/>
      <c r="F100" s="17"/>
      <c r="G100" s="16"/>
      <c r="H100" s="16"/>
      <c r="I100" s="16"/>
      <c r="J100" s="58"/>
      <c r="K100" s="58"/>
      <c r="L100" s="58"/>
      <c r="M100" s="27"/>
      <c r="N100" s="58"/>
      <c r="O100" s="54">
        <f t="shared" si="33"/>
        <v>0</v>
      </c>
      <c r="P100" s="54">
        <f t="shared" si="34"/>
        <v>0</v>
      </c>
      <c r="Q100" s="54"/>
      <c r="R100" s="54"/>
      <c r="S100" s="57"/>
      <c r="T100" s="57"/>
      <c r="U100" s="71"/>
      <c r="V100" s="56"/>
      <c r="W100" s="17"/>
      <c r="X100" s="23" t="str">
        <f>IFERROR(VLOOKUP(W100,Listas!$A$1:$C$13,2,FALSE),"")</f>
        <v/>
      </c>
      <c r="Y100" s="23" t="str">
        <f>IFERROR(VLOOKUP(W100,Listas!$A$1:$C$13,3,FALSE),"")</f>
        <v/>
      </c>
      <c r="Z100" s="17"/>
      <c r="AA100" s="17"/>
      <c r="AB100" s="23" t="str">
        <f>IFERROR(VLOOKUP(AA100,Listas!$AD$1:$AF$65,2,FALSE),"")</f>
        <v/>
      </c>
      <c r="AC100" s="23" t="str">
        <f>IFERROR(VLOOKUP(AA100,Listas!$AD$1:$AF$65,3,FALSE),"")</f>
        <v/>
      </c>
      <c r="AD100" s="26"/>
      <c r="AE100" s="26"/>
      <c r="AF100" s="100">
        <f t="shared" ca="1" si="35"/>
        <v>100</v>
      </c>
      <c r="AG100" s="100">
        <f t="shared" ca="1" si="38"/>
        <v>100</v>
      </c>
      <c r="AH100" s="101" t="str">
        <f t="shared" ca="1" si="39"/>
        <v/>
      </c>
      <c r="AI100" s="101" t="str">
        <f t="shared" si="36"/>
        <v/>
      </c>
      <c r="AJ100" s="59"/>
      <c r="AK100" s="54"/>
      <c r="AL100" s="54" t="str">
        <f t="shared" ca="1" si="37"/>
        <v/>
      </c>
      <c r="AM100" s="53"/>
    </row>
    <row r="101" spans="1:39">
      <c r="A101" s="54"/>
      <c r="B101" s="17"/>
      <c r="C101" s="17"/>
      <c r="D101" s="17"/>
      <c r="E101" s="17"/>
      <c r="F101" s="17"/>
      <c r="G101" s="16"/>
      <c r="H101" s="16"/>
      <c r="I101" s="16"/>
      <c r="J101" s="58"/>
      <c r="K101" s="58"/>
      <c r="L101" s="58"/>
      <c r="M101" s="27"/>
      <c r="N101" s="58"/>
      <c r="O101" s="54">
        <f t="shared" si="33"/>
        <v>0</v>
      </c>
      <c r="P101" s="54">
        <f t="shared" si="34"/>
        <v>0</v>
      </c>
      <c r="Q101" s="54"/>
      <c r="R101" s="54"/>
      <c r="S101" s="57"/>
      <c r="T101" s="57"/>
      <c r="U101" s="71"/>
      <c r="V101" s="56"/>
      <c r="W101" s="17"/>
      <c r="X101" s="23" t="str">
        <f>IFERROR(VLOOKUP(W101,Listas!$A$1:$C$13,2,FALSE),"")</f>
        <v/>
      </c>
      <c r="Y101" s="23" t="str">
        <f>IFERROR(VLOOKUP(W101,Listas!$A$1:$C$13,3,FALSE),"")</f>
        <v/>
      </c>
      <c r="Z101" s="17"/>
      <c r="AA101" s="17"/>
      <c r="AB101" s="23" t="str">
        <f>IFERROR(VLOOKUP(AA101,Listas!$AD$1:$AF$65,2,FALSE),"")</f>
        <v/>
      </c>
      <c r="AC101" s="23" t="str">
        <f>IFERROR(VLOOKUP(AA101,Listas!$AD$1:$AF$65,3,FALSE),"")</f>
        <v/>
      </c>
      <c r="AD101" s="26"/>
      <c r="AE101" s="26"/>
      <c r="AF101" s="100">
        <f t="shared" ca="1" si="35"/>
        <v>100</v>
      </c>
      <c r="AG101" s="100">
        <f t="shared" ca="1" si="38"/>
        <v>100</v>
      </c>
      <c r="AH101" s="101" t="str">
        <f t="shared" ca="1" si="39"/>
        <v/>
      </c>
      <c r="AI101" s="101" t="str">
        <f t="shared" si="36"/>
        <v/>
      </c>
      <c r="AJ101" s="59"/>
      <c r="AK101" s="54"/>
      <c r="AL101" s="54" t="str">
        <f t="shared" ca="1" si="37"/>
        <v/>
      </c>
      <c r="AM101" s="53"/>
    </row>
    <row r="102" spans="1:39">
      <c r="A102" s="54"/>
      <c r="B102" s="17"/>
      <c r="C102" s="17"/>
      <c r="D102" s="17"/>
      <c r="E102" s="17"/>
      <c r="F102" s="17"/>
      <c r="G102" s="16"/>
      <c r="H102" s="16"/>
      <c r="I102" s="16"/>
      <c r="J102" s="58"/>
      <c r="K102" s="58"/>
      <c r="L102" s="58"/>
      <c r="M102" s="27"/>
      <c r="N102" s="58"/>
      <c r="O102" s="54">
        <f t="shared" si="33"/>
        <v>0</v>
      </c>
      <c r="P102" s="54">
        <f t="shared" si="34"/>
        <v>0</v>
      </c>
      <c r="Q102" s="54"/>
      <c r="R102" s="54"/>
      <c r="S102" s="57"/>
      <c r="T102" s="57"/>
      <c r="U102" s="71"/>
      <c r="V102" s="56"/>
      <c r="W102" s="17"/>
      <c r="X102" s="23" t="str">
        <f>IFERROR(VLOOKUP(W102,Listas!$A$1:$C$13,2,FALSE),"")</f>
        <v/>
      </c>
      <c r="Y102" s="23" t="str">
        <f>IFERROR(VLOOKUP(W102,Listas!$A$1:$C$13,3,FALSE),"")</f>
        <v/>
      </c>
      <c r="Z102" s="17"/>
      <c r="AA102" s="17"/>
      <c r="AB102" s="23" t="str">
        <f>IFERROR(VLOOKUP(AA102,Listas!$AD$1:$AF$65,2,FALSE),"")</f>
        <v/>
      </c>
      <c r="AC102" s="23" t="str">
        <f>IFERROR(VLOOKUP(AA102,Listas!$AD$1:$AF$65,3,FALSE),"")</f>
        <v/>
      </c>
      <c r="AD102" s="26"/>
      <c r="AE102" s="26"/>
      <c r="AF102" s="100">
        <f t="shared" ca="1" si="35"/>
        <v>100</v>
      </c>
      <c r="AG102" s="100">
        <f t="shared" ca="1" si="38"/>
        <v>100</v>
      </c>
      <c r="AH102" s="101" t="str">
        <f t="shared" ca="1" si="39"/>
        <v/>
      </c>
      <c r="AI102" s="101" t="str">
        <f t="shared" si="36"/>
        <v/>
      </c>
      <c r="AJ102" s="59"/>
      <c r="AK102" s="54"/>
      <c r="AL102" s="54" t="str">
        <f t="shared" ca="1" si="37"/>
        <v/>
      </c>
      <c r="AM102" s="53"/>
    </row>
    <row r="103" spans="1:39">
      <c r="A103" s="54"/>
      <c r="B103" s="17"/>
      <c r="C103" s="17"/>
      <c r="D103" s="17"/>
      <c r="E103" s="17"/>
      <c r="F103" s="17"/>
      <c r="G103" s="16"/>
      <c r="H103" s="16"/>
      <c r="I103" s="16"/>
      <c r="J103" s="58"/>
      <c r="K103" s="58"/>
      <c r="L103" s="58"/>
      <c r="M103" s="27"/>
      <c r="N103" s="58"/>
      <c r="O103" s="54">
        <f t="shared" si="33"/>
        <v>0</v>
      </c>
      <c r="P103" s="54">
        <f t="shared" si="34"/>
        <v>0</v>
      </c>
      <c r="Q103" s="54"/>
      <c r="R103" s="54"/>
      <c r="S103" s="57"/>
      <c r="T103" s="57"/>
      <c r="U103" s="71"/>
      <c r="V103" s="56"/>
      <c r="W103" s="17"/>
      <c r="X103" s="23" t="str">
        <f>IFERROR(VLOOKUP(W103,Listas!$A$1:$C$13,2,FALSE),"")</f>
        <v/>
      </c>
      <c r="Y103" s="23" t="str">
        <f>IFERROR(VLOOKUP(W103,Listas!$A$1:$C$13,3,FALSE),"")</f>
        <v/>
      </c>
      <c r="Z103" s="17"/>
      <c r="AA103" s="17"/>
      <c r="AB103" s="23" t="str">
        <f>IFERROR(VLOOKUP(AA103,Listas!$AD$1:$AF$65,2,FALSE),"")</f>
        <v/>
      </c>
      <c r="AC103" s="23" t="str">
        <f>IFERROR(VLOOKUP(AA103,Listas!$AD$1:$AF$65,3,FALSE),"")</f>
        <v/>
      </c>
      <c r="AD103" s="26"/>
      <c r="AE103" s="26"/>
      <c r="AF103" s="100">
        <f t="shared" ca="1" si="35"/>
        <v>100</v>
      </c>
      <c r="AG103" s="100">
        <f t="shared" ca="1" si="38"/>
        <v>100</v>
      </c>
      <c r="AH103" s="101" t="str">
        <f t="shared" ca="1" si="39"/>
        <v/>
      </c>
      <c r="AI103" s="101" t="str">
        <f t="shared" si="36"/>
        <v/>
      </c>
      <c r="AJ103" s="59"/>
      <c r="AK103" s="54"/>
      <c r="AL103" s="54" t="str">
        <f t="shared" ca="1" si="37"/>
        <v/>
      </c>
      <c r="AM103" s="53"/>
    </row>
    <row r="104" spans="1:39">
      <c r="A104" s="54"/>
      <c r="B104" s="17"/>
      <c r="C104" s="17"/>
      <c r="D104" s="17"/>
      <c r="E104" s="17"/>
      <c r="F104" s="17"/>
      <c r="G104" s="16"/>
      <c r="H104" s="16"/>
      <c r="I104" s="16"/>
      <c r="J104" s="58"/>
      <c r="K104" s="58"/>
      <c r="L104" s="58"/>
      <c r="M104" s="27"/>
      <c r="N104" s="58"/>
      <c r="O104" s="54">
        <f t="shared" si="33"/>
        <v>0</v>
      </c>
      <c r="P104" s="54">
        <f t="shared" si="34"/>
        <v>0</v>
      </c>
      <c r="Q104" s="54"/>
      <c r="R104" s="54"/>
      <c r="S104" s="57"/>
      <c r="T104" s="57"/>
      <c r="U104" s="71"/>
      <c r="V104" s="56"/>
      <c r="W104" s="17"/>
      <c r="X104" s="23" t="str">
        <f>IFERROR(VLOOKUP(W104,Listas!$A$1:$C$13,2,FALSE),"")</f>
        <v/>
      </c>
      <c r="Y104" s="23" t="str">
        <f>IFERROR(VLOOKUP(W104,Listas!$A$1:$C$13,3,FALSE),"")</f>
        <v/>
      </c>
      <c r="Z104" s="17"/>
      <c r="AA104" s="17"/>
      <c r="AB104" s="23" t="str">
        <f>IFERROR(VLOOKUP(AA104,Listas!$AD$1:$AF$65,2,FALSE),"")</f>
        <v/>
      </c>
      <c r="AC104" s="23" t="str">
        <f>IFERROR(VLOOKUP(AA104,Listas!$AD$1:$AF$65,3,FALSE),"")</f>
        <v/>
      </c>
      <c r="AD104" s="26"/>
      <c r="AE104" s="26"/>
      <c r="AF104" s="100">
        <f t="shared" ca="1" si="35"/>
        <v>100</v>
      </c>
      <c r="AG104" s="100">
        <f t="shared" ca="1" si="38"/>
        <v>100</v>
      </c>
      <c r="AH104" s="101" t="str">
        <f t="shared" ca="1" si="39"/>
        <v/>
      </c>
      <c r="AI104" s="101" t="str">
        <f t="shared" si="36"/>
        <v/>
      </c>
      <c r="AJ104" s="59"/>
      <c r="AK104" s="54"/>
      <c r="AL104" s="54" t="str">
        <f t="shared" ca="1" si="37"/>
        <v/>
      </c>
      <c r="AM104" s="53"/>
    </row>
    <row r="105" spans="1:39">
      <c r="A105" s="54"/>
      <c r="B105" s="17"/>
      <c r="C105" s="17"/>
      <c r="D105" s="17"/>
      <c r="E105" s="17"/>
      <c r="F105" s="17"/>
      <c r="G105" s="16"/>
      <c r="H105" s="16"/>
      <c r="I105" s="16"/>
      <c r="J105" s="58"/>
      <c r="K105" s="58"/>
      <c r="L105" s="58"/>
      <c r="M105" s="27"/>
      <c r="N105" s="58"/>
      <c r="O105" s="54">
        <f t="shared" si="33"/>
        <v>0</v>
      </c>
      <c r="P105" s="54">
        <f t="shared" si="34"/>
        <v>0</v>
      </c>
      <c r="Q105" s="54"/>
      <c r="R105" s="54"/>
      <c r="S105" s="57"/>
      <c r="T105" s="57"/>
      <c r="U105" s="71"/>
      <c r="V105" s="56"/>
      <c r="W105" s="17"/>
      <c r="X105" s="23" t="str">
        <f>IFERROR(VLOOKUP(W105,Listas!$A$1:$C$13,2,FALSE),"")</f>
        <v/>
      </c>
      <c r="Y105" s="23" t="str">
        <f>IFERROR(VLOOKUP(W105,Listas!$A$1:$C$13,3,FALSE),"")</f>
        <v/>
      </c>
      <c r="Z105" s="17"/>
      <c r="AA105" s="17"/>
      <c r="AB105" s="23" t="str">
        <f>IFERROR(VLOOKUP(AA105,Listas!$AD$1:$AF$65,2,FALSE),"")</f>
        <v/>
      </c>
      <c r="AC105" s="23" t="str">
        <f>IFERROR(VLOOKUP(AA105,Listas!$AD$1:$AF$65,3,FALSE),"")</f>
        <v/>
      </c>
      <c r="AD105" s="26"/>
      <c r="AE105" s="26"/>
      <c r="AF105" s="100">
        <f t="shared" ca="1" si="35"/>
        <v>100</v>
      </c>
      <c r="AG105" s="100">
        <f t="shared" ca="1" si="38"/>
        <v>100</v>
      </c>
      <c r="AH105" s="101" t="str">
        <f t="shared" ca="1" si="39"/>
        <v/>
      </c>
      <c r="AI105" s="101" t="str">
        <f t="shared" si="36"/>
        <v/>
      </c>
      <c r="AJ105" s="59"/>
      <c r="AK105" s="54"/>
      <c r="AL105" s="54" t="str">
        <f t="shared" ca="1" si="37"/>
        <v/>
      </c>
      <c r="AM105" s="53"/>
    </row>
    <row r="106" spans="1:39">
      <c r="A106" s="54"/>
      <c r="B106" s="17"/>
      <c r="C106" s="17"/>
      <c r="D106" s="17"/>
      <c r="E106" s="17"/>
      <c r="F106" s="17"/>
      <c r="G106" s="16"/>
      <c r="H106" s="16"/>
      <c r="I106" s="16"/>
      <c r="J106" s="58"/>
      <c r="K106" s="58"/>
      <c r="L106" s="58"/>
      <c r="M106" s="27"/>
      <c r="N106" s="58"/>
      <c r="O106" s="54">
        <f t="shared" si="33"/>
        <v>0</v>
      </c>
      <c r="P106" s="54">
        <f t="shared" si="34"/>
        <v>0</v>
      </c>
      <c r="Q106" s="54"/>
      <c r="R106" s="54"/>
      <c r="S106" s="57"/>
      <c r="T106" s="57"/>
      <c r="U106" s="71"/>
      <c r="V106" s="56"/>
      <c r="W106" s="17"/>
      <c r="X106" s="23" t="str">
        <f>IFERROR(VLOOKUP(W106,Listas!$A$1:$C$13,2,FALSE),"")</f>
        <v/>
      </c>
      <c r="Y106" s="23" t="str">
        <f>IFERROR(VLOOKUP(W106,Listas!$A$1:$C$13,3,FALSE),"")</f>
        <v/>
      </c>
      <c r="Z106" s="17"/>
      <c r="AA106" s="17"/>
      <c r="AB106" s="23" t="str">
        <f>IFERROR(VLOOKUP(AA106,Listas!$AD$1:$AF$65,2,FALSE),"")</f>
        <v/>
      </c>
      <c r="AC106" s="23" t="str">
        <f>IFERROR(VLOOKUP(AA106,Listas!$AD$1:$AF$65,3,FALSE),"")</f>
        <v/>
      </c>
      <c r="AD106" s="26"/>
      <c r="AE106" s="26"/>
      <c r="AF106" s="100">
        <f t="shared" ca="1" si="35"/>
        <v>100</v>
      </c>
      <c r="AG106" s="100">
        <f t="shared" ref="AG106:AG137" ca="1" si="40">+IF(AK106&gt;0,DAYS360(L106,AK106)/DAYS360(L106,N106),AF106)</f>
        <v>100</v>
      </c>
      <c r="AH106" s="101" t="str">
        <f t="shared" ref="AH106:AH137" ca="1" si="41">IFERROR((AL106/V106)*100,"")</f>
        <v/>
      </c>
      <c r="AI106" s="101" t="str">
        <f t="shared" si="36"/>
        <v/>
      </c>
      <c r="AJ106" s="59"/>
      <c r="AK106" s="54"/>
      <c r="AL106" s="54" t="str">
        <f t="shared" ca="1" si="37"/>
        <v/>
      </c>
      <c r="AM106" s="53"/>
    </row>
    <row r="107" spans="1:39">
      <c r="A107" s="54"/>
      <c r="B107" s="17"/>
      <c r="C107" s="17"/>
      <c r="D107" s="17"/>
      <c r="E107" s="17"/>
      <c r="F107" s="17"/>
      <c r="G107" s="16"/>
      <c r="H107" s="16"/>
      <c r="I107" s="16"/>
      <c r="J107" s="58"/>
      <c r="K107" s="58"/>
      <c r="L107" s="58"/>
      <c r="M107" s="27"/>
      <c r="N107" s="58"/>
      <c r="O107" s="54">
        <f t="shared" si="33"/>
        <v>0</v>
      </c>
      <c r="P107" s="54">
        <f t="shared" si="34"/>
        <v>0</v>
      </c>
      <c r="Q107" s="54"/>
      <c r="R107" s="54"/>
      <c r="S107" s="57"/>
      <c r="T107" s="57"/>
      <c r="U107" s="71"/>
      <c r="V107" s="56"/>
      <c r="W107" s="17"/>
      <c r="X107" s="23" t="str">
        <f>IFERROR(VLOOKUP(W107,Listas!$A$1:$C$13,2,FALSE),"")</f>
        <v/>
      </c>
      <c r="Y107" s="23" t="str">
        <f>IFERROR(VLOOKUP(W107,Listas!$A$1:$C$13,3,FALSE),"")</f>
        <v/>
      </c>
      <c r="Z107" s="17"/>
      <c r="AA107" s="17"/>
      <c r="AB107" s="23" t="str">
        <f>IFERROR(VLOOKUP(AA107,Listas!$AD$1:$AF$65,2,FALSE),"")</f>
        <v/>
      </c>
      <c r="AC107" s="23" t="str">
        <f>IFERROR(VLOOKUP(AA107,Listas!$AD$1:$AF$65,3,FALSE),"")</f>
        <v/>
      </c>
      <c r="AD107" s="26"/>
      <c r="AE107" s="26"/>
      <c r="AF107" s="100">
        <f t="shared" ca="1" si="35"/>
        <v>100</v>
      </c>
      <c r="AG107" s="100">
        <f t="shared" ca="1" si="40"/>
        <v>100</v>
      </c>
      <c r="AH107" s="101" t="str">
        <f t="shared" ca="1" si="41"/>
        <v/>
      </c>
      <c r="AI107" s="101" t="str">
        <f t="shared" si="36"/>
        <v/>
      </c>
      <c r="AJ107" s="59"/>
      <c r="AK107" s="54"/>
      <c r="AL107" s="54" t="str">
        <f t="shared" ca="1" si="37"/>
        <v/>
      </c>
      <c r="AM107" s="53"/>
    </row>
    <row r="108" spans="1:39">
      <c r="A108" s="54"/>
      <c r="B108" s="17"/>
      <c r="C108" s="17"/>
      <c r="D108" s="17"/>
      <c r="E108" s="17"/>
      <c r="F108" s="17"/>
      <c r="G108" s="16"/>
      <c r="H108" s="16"/>
      <c r="I108" s="16"/>
      <c r="J108" s="58"/>
      <c r="K108" s="58"/>
      <c r="L108" s="58"/>
      <c r="M108" s="27"/>
      <c r="N108" s="58"/>
      <c r="O108" s="54">
        <f t="shared" ref="O108:O171" si="42">M108-L108</f>
        <v>0</v>
      </c>
      <c r="P108" s="54">
        <f t="shared" ref="P108:P171" si="43">N108-L108</f>
        <v>0</v>
      </c>
      <c r="Q108" s="54"/>
      <c r="R108" s="54"/>
      <c r="S108" s="57"/>
      <c r="T108" s="57"/>
      <c r="U108" s="71"/>
      <c r="V108" s="56"/>
      <c r="W108" s="17"/>
      <c r="X108" s="23" t="str">
        <f>IFERROR(VLOOKUP(W108,Listas!$A$1:$C$13,2,FALSE),"")</f>
        <v/>
      </c>
      <c r="Y108" s="23" t="str">
        <f>IFERROR(VLOOKUP(W108,Listas!$A$1:$C$13,3,FALSE),"")</f>
        <v/>
      </c>
      <c r="Z108" s="17"/>
      <c r="AA108" s="17"/>
      <c r="AB108" s="23" t="str">
        <f>IFERROR(VLOOKUP(AA108,Listas!$AD$1:$AF$65,2,FALSE),"")</f>
        <v/>
      </c>
      <c r="AC108" s="23" t="str">
        <f>IFERROR(VLOOKUP(AA108,Listas!$AD$1:$AF$65,3,FALSE),"")</f>
        <v/>
      </c>
      <c r="AD108" s="26"/>
      <c r="AE108" s="26"/>
      <c r="AF108" s="100">
        <f t="shared" ref="AF108:AF171" ca="1" si="44">IF(TODAY()&gt;N108,1,+(DAYS360(L108,TODAY())/DAYS360(L108,N108)))*100</f>
        <v>100</v>
      </c>
      <c r="AG108" s="100">
        <f t="shared" ca="1" si="40"/>
        <v>100</v>
      </c>
      <c r="AH108" s="101" t="str">
        <f t="shared" ca="1" si="41"/>
        <v/>
      </c>
      <c r="AI108" s="101" t="str">
        <f t="shared" ref="AI108:AI171" si="45">IFERROR((AJ108/V108)*100,"")</f>
        <v/>
      </c>
      <c r="AJ108" s="59"/>
      <c r="AK108" s="54"/>
      <c r="AL108" s="54" t="str">
        <f t="shared" ca="1" si="37"/>
        <v/>
      </c>
      <c r="AM108" s="53"/>
    </row>
    <row r="109" spans="1:39">
      <c r="A109" s="54"/>
      <c r="B109" s="17"/>
      <c r="C109" s="17"/>
      <c r="D109" s="17"/>
      <c r="E109" s="17"/>
      <c r="F109" s="17"/>
      <c r="G109" s="16"/>
      <c r="H109" s="16"/>
      <c r="I109" s="16"/>
      <c r="J109" s="58"/>
      <c r="K109" s="58"/>
      <c r="L109" s="58"/>
      <c r="M109" s="27"/>
      <c r="N109" s="58"/>
      <c r="O109" s="54">
        <f t="shared" si="42"/>
        <v>0</v>
      </c>
      <c r="P109" s="54">
        <f t="shared" si="43"/>
        <v>0</v>
      </c>
      <c r="Q109" s="54"/>
      <c r="R109" s="54"/>
      <c r="S109" s="57"/>
      <c r="T109" s="57"/>
      <c r="U109" s="71"/>
      <c r="V109" s="56"/>
      <c r="W109" s="17"/>
      <c r="X109" s="23" t="str">
        <f>IFERROR(VLOOKUP(W109,Listas!$A$1:$C$13,2,FALSE),"")</f>
        <v/>
      </c>
      <c r="Y109" s="23" t="str">
        <f>IFERROR(VLOOKUP(W109,Listas!$A$1:$C$13,3,FALSE),"")</f>
        <v/>
      </c>
      <c r="Z109" s="17"/>
      <c r="AA109" s="17"/>
      <c r="AB109" s="23" t="str">
        <f>IFERROR(VLOOKUP(AA109,Listas!$AD$1:$AF$65,2,FALSE),"")</f>
        <v/>
      </c>
      <c r="AC109" s="23" t="str">
        <f>IFERROR(VLOOKUP(AA109,Listas!$AD$1:$AF$65,3,FALSE),"")</f>
        <v/>
      </c>
      <c r="AD109" s="26"/>
      <c r="AE109" s="26"/>
      <c r="AF109" s="100">
        <f t="shared" ca="1" si="44"/>
        <v>100</v>
      </c>
      <c r="AG109" s="100">
        <f t="shared" ca="1" si="40"/>
        <v>100</v>
      </c>
      <c r="AH109" s="101" t="str">
        <f t="shared" ca="1" si="41"/>
        <v/>
      </c>
      <c r="AI109" s="101" t="str">
        <f t="shared" si="45"/>
        <v/>
      </c>
      <c r="AJ109" s="59"/>
      <c r="AK109" s="54"/>
      <c r="AL109" s="54" t="str">
        <f t="shared" ca="1" si="37"/>
        <v/>
      </c>
      <c r="AM109" s="53"/>
    </row>
    <row r="110" spans="1:39">
      <c r="A110" s="54"/>
      <c r="B110" s="17"/>
      <c r="C110" s="17"/>
      <c r="D110" s="17"/>
      <c r="E110" s="17"/>
      <c r="F110" s="17"/>
      <c r="G110" s="16"/>
      <c r="H110" s="16"/>
      <c r="I110" s="16"/>
      <c r="J110" s="58"/>
      <c r="K110" s="58"/>
      <c r="L110" s="58"/>
      <c r="M110" s="27"/>
      <c r="N110" s="58"/>
      <c r="O110" s="54">
        <f t="shared" si="42"/>
        <v>0</v>
      </c>
      <c r="P110" s="54">
        <f t="shared" si="43"/>
        <v>0</v>
      </c>
      <c r="Q110" s="54"/>
      <c r="R110" s="54"/>
      <c r="S110" s="57"/>
      <c r="T110" s="57"/>
      <c r="U110" s="71"/>
      <c r="V110" s="56"/>
      <c r="W110" s="17"/>
      <c r="X110" s="23" t="str">
        <f>IFERROR(VLOOKUP(W110,Listas!$A$1:$C$13,2,FALSE),"")</f>
        <v/>
      </c>
      <c r="Y110" s="23" t="str">
        <f>IFERROR(VLOOKUP(W110,Listas!$A$1:$C$13,3,FALSE),"")</f>
        <v/>
      </c>
      <c r="Z110" s="17"/>
      <c r="AA110" s="17"/>
      <c r="AB110" s="23" t="str">
        <f>IFERROR(VLOOKUP(AA110,Listas!$AD$1:$AF$65,2,FALSE),"")</f>
        <v/>
      </c>
      <c r="AC110" s="23" t="str">
        <f>IFERROR(VLOOKUP(AA110,Listas!$AD$1:$AF$65,3,FALSE),"")</f>
        <v/>
      </c>
      <c r="AD110" s="26"/>
      <c r="AE110" s="26"/>
      <c r="AF110" s="100">
        <f t="shared" ca="1" si="44"/>
        <v>100</v>
      </c>
      <c r="AG110" s="100">
        <f t="shared" ca="1" si="40"/>
        <v>100</v>
      </c>
      <c r="AH110" s="101" t="str">
        <f t="shared" ca="1" si="41"/>
        <v/>
      </c>
      <c r="AI110" s="101" t="str">
        <f t="shared" si="45"/>
        <v/>
      </c>
      <c r="AJ110" s="59"/>
      <c r="AK110" s="54"/>
      <c r="AL110" s="54" t="str">
        <f t="shared" ca="1" si="37"/>
        <v/>
      </c>
      <c r="AM110" s="53"/>
    </row>
    <row r="111" spans="1:39">
      <c r="A111" s="54"/>
      <c r="B111" s="17"/>
      <c r="C111" s="17"/>
      <c r="D111" s="17"/>
      <c r="E111" s="17"/>
      <c r="F111" s="17"/>
      <c r="G111" s="16"/>
      <c r="H111" s="16"/>
      <c r="I111" s="16"/>
      <c r="J111" s="58"/>
      <c r="K111" s="58"/>
      <c r="L111" s="58"/>
      <c r="M111" s="27"/>
      <c r="N111" s="58"/>
      <c r="O111" s="54">
        <f t="shared" si="42"/>
        <v>0</v>
      </c>
      <c r="P111" s="54">
        <f t="shared" si="43"/>
        <v>0</v>
      </c>
      <c r="Q111" s="54"/>
      <c r="R111" s="54"/>
      <c r="S111" s="57"/>
      <c r="T111" s="57"/>
      <c r="U111" s="71"/>
      <c r="V111" s="56"/>
      <c r="W111" s="17"/>
      <c r="X111" s="23" t="str">
        <f>IFERROR(VLOOKUP(W111,Listas!$A$1:$C$13,2,FALSE),"")</f>
        <v/>
      </c>
      <c r="Y111" s="23" t="str">
        <f>IFERROR(VLOOKUP(W111,Listas!$A$1:$C$13,3,FALSE),"")</f>
        <v/>
      </c>
      <c r="Z111" s="17"/>
      <c r="AA111" s="17"/>
      <c r="AB111" s="23" t="str">
        <f>IFERROR(VLOOKUP(AA111,Listas!$AD$1:$AF$65,2,FALSE),"")</f>
        <v/>
      </c>
      <c r="AC111" s="23" t="str">
        <f>IFERROR(VLOOKUP(AA111,Listas!$AD$1:$AF$65,3,FALSE),"")</f>
        <v/>
      </c>
      <c r="AD111" s="26"/>
      <c r="AE111" s="26"/>
      <c r="AF111" s="100">
        <f t="shared" ca="1" si="44"/>
        <v>100</v>
      </c>
      <c r="AG111" s="100">
        <f t="shared" ca="1" si="40"/>
        <v>100</v>
      </c>
      <c r="AH111" s="101" t="str">
        <f t="shared" ca="1" si="41"/>
        <v/>
      </c>
      <c r="AI111" s="101" t="str">
        <f t="shared" si="45"/>
        <v/>
      </c>
      <c r="AJ111" s="59"/>
      <c r="AK111" s="54"/>
      <c r="AL111" s="54" t="str">
        <f t="shared" ca="1" si="37"/>
        <v/>
      </c>
      <c r="AM111" s="53"/>
    </row>
    <row r="112" spans="1:39">
      <c r="A112" s="54"/>
      <c r="B112" s="17"/>
      <c r="C112" s="17"/>
      <c r="D112" s="17"/>
      <c r="E112" s="17"/>
      <c r="F112" s="17"/>
      <c r="G112" s="16"/>
      <c r="H112" s="16"/>
      <c r="I112" s="16"/>
      <c r="J112" s="58"/>
      <c r="K112" s="58"/>
      <c r="L112" s="58"/>
      <c r="M112" s="27"/>
      <c r="N112" s="58"/>
      <c r="O112" s="54">
        <f t="shared" si="42"/>
        <v>0</v>
      </c>
      <c r="P112" s="54">
        <f t="shared" si="43"/>
        <v>0</v>
      </c>
      <c r="Q112" s="54"/>
      <c r="R112" s="54"/>
      <c r="S112" s="57"/>
      <c r="T112" s="57"/>
      <c r="U112" s="71"/>
      <c r="V112" s="56"/>
      <c r="W112" s="17"/>
      <c r="X112" s="23" t="str">
        <f>IFERROR(VLOOKUP(W112,Listas!$A$1:$C$13,2,FALSE),"")</f>
        <v/>
      </c>
      <c r="Y112" s="23" t="str">
        <f>IFERROR(VLOOKUP(W112,Listas!$A$1:$C$13,3,FALSE),"")</f>
        <v/>
      </c>
      <c r="Z112" s="17"/>
      <c r="AA112" s="17"/>
      <c r="AB112" s="23" t="str">
        <f>IFERROR(VLOOKUP(AA112,Listas!$AD$1:$AF$65,2,FALSE),"")</f>
        <v/>
      </c>
      <c r="AC112" s="23" t="str">
        <f>IFERROR(VLOOKUP(AA112,Listas!$AD$1:$AF$65,3,FALSE),"")</f>
        <v/>
      </c>
      <c r="AD112" s="26"/>
      <c r="AE112" s="26"/>
      <c r="AF112" s="100">
        <f t="shared" ca="1" si="44"/>
        <v>100</v>
      </c>
      <c r="AG112" s="100">
        <f t="shared" ca="1" si="40"/>
        <v>100</v>
      </c>
      <c r="AH112" s="101" t="str">
        <f t="shared" ca="1" si="41"/>
        <v/>
      </c>
      <c r="AI112" s="101" t="str">
        <f t="shared" si="45"/>
        <v/>
      </c>
      <c r="AJ112" s="59"/>
      <c r="AK112" s="54"/>
      <c r="AL112" s="54" t="str">
        <f t="shared" ca="1" si="37"/>
        <v/>
      </c>
      <c r="AM112" s="53"/>
    </row>
    <row r="113" spans="1:39">
      <c r="A113" s="54"/>
      <c r="B113" s="17"/>
      <c r="C113" s="17"/>
      <c r="D113" s="17"/>
      <c r="E113" s="17"/>
      <c r="F113" s="17"/>
      <c r="G113" s="16"/>
      <c r="H113" s="16"/>
      <c r="I113" s="16"/>
      <c r="J113" s="58"/>
      <c r="K113" s="58"/>
      <c r="L113" s="58"/>
      <c r="M113" s="27"/>
      <c r="N113" s="58"/>
      <c r="O113" s="54">
        <f t="shared" si="42"/>
        <v>0</v>
      </c>
      <c r="P113" s="54">
        <f t="shared" si="43"/>
        <v>0</v>
      </c>
      <c r="Q113" s="54"/>
      <c r="R113" s="54"/>
      <c r="S113" s="57"/>
      <c r="T113" s="57"/>
      <c r="U113" s="71"/>
      <c r="V113" s="56"/>
      <c r="W113" s="17"/>
      <c r="X113" s="23" t="str">
        <f>IFERROR(VLOOKUP(W113,Listas!$A$1:$C$13,2,FALSE),"")</f>
        <v/>
      </c>
      <c r="Y113" s="23" t="str">
        <f>IFERROR(VLOOKUP(W113,Listas!$A$1:$C$13,3,FALSE),"")</f>
        <v/>
      </c>
      <c r="Z113" s="17"/>
      <c r="AA113" s="17"/>
      <c r="AB113" s="23" t="str">
        <f>IFERROR(VLOOKUP(AA113,Listas!$AD$1:$AF$65,2,FALSE),"")</f>
        <v/>
      </c>
      <c r="AC113" s="23" t="str">
        <f>IFERROR(VLOOKUP(AA113,Listas!$AD$1:$AF$65,3,FALSE),"")</f>
        <v/>
      </c>
      <c r="AD113" s="26"/>
      <c r="AE113" s="26"/>
      <c r="AF113" s="100">
        <f t="shared" ca="1" si="44"/>
        <v>100</v>
      </c>
      <c r="AG113" s="100">
        <f t="shared" ca="1" si="40"/>
        <v>100</v>
      </c>
      <c r="AH113" s="101" t="str">
        <f t="shared" ca="1" si="41"/>
        <v/>
      </c>
      <c r="AI113" s="101" t="str">
        <f t="shared" si="45"/>
        <v/>
      </c>
      <c r="AJ113" s="59"/>
      <c r="AK113" s="54"/>
      <c r="AL113" s="54" t="str">
        <f t="shared" ca="1" si="37"/>
        <v/>
      </c>
      <c r="AM113" s="53"/>
    </row>
    <row r="114" spans="1:39">
      <c r="A114" s="54"/>
      <c r="B114" s="17"/>
      <c r="C114" s="17"/>
      <c r="D114" s="17"/>
      <c r="E114" s="17"/>
      <c r="F114" s="17"/>
      <c r="G114" s="16"/>
      <c r="H114" s="16"/>
      <c r="I114" s="16"/>
      <c r="J114" s="58"/>
      <c r="K114" s="58"/>
      <c r="L114" s="58"/>
      <c r="M114" s="27"/>
      <c r="N114" s="58"/>
      <c r="O114" s="54">
        <f t="shared" si="42"/>
        <v>0</v>
      </c>
      <c r="P114" s="54">
        <f t="shared" si="43"/>
        <v>0</v>
      </c>
      <c r="Q114" s="54"/>
      <c r="R114" s="54"/>
      <c r="S114" s="57"/>
      <c r="T114" s="57"/>
      <c r="U114" s="71"/>
      <c r="V114" s="56"/>
      <c r="W114" s="17"/>
      <c r="X114" s="23" t="str">
        <f>IFERROR(VLOOKUP(W114,Listas!$A$1:$C$13,2,FALSE),"")</f>
        <v/>
      </c>
      <c r="Y114" s="23" t="str">
        <f>IFERROR(VLOOKUP(W114,Listas!$A$1:$C$13,3,FALSE),"")</f>
        <v/>
      </c>
      <c r="Z114" s="17"/>
      <c r="AA114" s="17"/>
      <c r="AB114" s="23" t="str">
        <f>IFERROR(VLOOKUP(AA114,Listas!$AD$1:$AF$65,2,FALSE),"")</f>
        <v/>
      </c>
      <c r="AC114" s="23" t="str">
        <f>IFERROR(VLOOKUP(AA114,Listas!$AD$1:$AF$65,3,FALSE),"")</f>
        <v/>
      </c>
      <c r="AD114" s="26"/>
      <c r="AE114" s="26"/>
      <c r="AF114" s="100">
        <f t="shared" ca="1" si="44"/>
        <v>100</v>
      </c>
      <c r="AG114" s="100">
        <f t="shared" ca="1" si="40"/>
        <v>100</v>
      </c>
      <c r="AH114" s="101" t="str">
        <f t="shared" ca="1" si="41"/>
        <v/>
      </c>
      <c r="AI114" s="101" t="str">
        <f t="shared" si="45"/>
        <v/>
      </c>
      <c r="AJ114" s="59"/>
      <c r="AK114" s="54"/>
      <c r="AL114" s="54" t="str">
        <f t="shared" ca="1" si="37"/>
        <v/>
      </c>
      <c r="AM114" s="53"/>
    </row>
    <row r="115" spans="1:39">
      <c r="A115" s="54"/>
      <c r="B115" s="17"/>
      <c r="C115" s="17"/>
      <c r="D115" s="17"/>
      <c r="E115" s="17"/>
      <c r="F115" s="17"/>
      <c r="G115" s="16"/>
      <c r="H115" s="16"/>
      <c r="I115" s="16"/>
      <c r="J115" s="58"/>
      <c r="K115" s="58"/>
      <c r="L115" s="58"/>
      <c r="M115" s="27"/>
      <c r="N115" s="58"/>
      <c r="O115" s="54">
        <f t="shared" si="42"/>
        <v>0</v>
      </c>
      <c r="P115" s="54">
        <f t="shared" si="43"/>
        <v>0</v>
      </c>
      <c r="Q115" s="54"/>
      <c r="R115" s="54"/>
      <c r="S115" s="57"/>
      <c r="T115" s="57"/>
      <c r="U115" s="71"/>
      <c r="V115" s="56"/>
      <c r="W115" s="17"/>
      <c r="X115" s="23" t="str">
        <f>IFERROR(VLOOKUP(W115,Listas!$A$1:$C$13,2,FALSE),"")</f>
        <v/>
      </c>
      <c r="Y115" s="23" t="str">
        <f>IFERROR(VLOOKUP(W115,Listas!$A$1:$C$13,3,FALSE),"")</f>
        <v/>
      </c>
      <c r="Z115" s="17"/>
      <c r="AA115" s="17"/>
      <c r="AB115" s="23" t="str">
        <f>IFERROR(VLOOKUP(AA115,Listas!$AD$1:$AF$65,2,FALSE),"")</f>
        <v/>
      </c>
      <c r="AC115" s="23" t="str">
        <f>IFERROR(VLOOKUP(AA115,Listas!$AD$1:$AF$65,3,FALSE),"")</f>
        <v/>
      </c>
      <c r="AD115" s="26"/>
      <c r="AE115" s="26"/>
      <c r="AF115" s="100">
        <f t="shared" ca="1" si="44"/>
        <v>100</v>
      </c>
      <c r="AG115" s="100">
        <f t="shared" ca="1" si="40"/>
        <v>100</v>
      </c>
      <c r="AH115" s="101" t="str">
        <f t="shared" ca="1" si="41"/>
        <v/>
      </c>
      <c r="AI115" s="101" t="str">
        <f t="shared" si="45"/>
        <v/>
      </c>
      <c r="AJ115" s="59"/>
      <c r="AK115" s="54"/>
      <c r="AL115" s="54" t="str">
        <f t="shared" ca="1" si="37"/>
        <v/>
      </c>
      <c r="AM115" s="53"/>
    </row>
    <row r="116" spans="1:39">
      <c r="A116" s="54"/>
      <c r="B116" s="17"/>
      <c r="C116" s="17"/>
      <c r="D116" s="17"/>
      <c r="E116" s="17"/>
      <c r="F116" s="17"/>
      <c r="G116" s="16"/>
      <c r="H116" s="16"/>
      <c r="I116" s="16"/>
      <c r="J116" s="58"/>
      <c r="K116" s="58"/>
      <c r="L116" s="58"/>
      <c r="M116" s="27"/>
      <c r="N116" s="58"/>
      <c r="O116" s="54">
        <f t="shared" si="42"/>
        <v>0</v>
      </c>
      <c r="P116" s="54">
        <f t="shared" si="43"/>
        <v>0</v>
      </c>
      <c r="Q116" s="54"/>
      <c r="R116" s="54"/>
      <c r="S116" s="57"/>
      <c r="T116" s="57"/>
      <c r="U116" s="71"/>
      <c r="V116" s="56"/>
      <c r="W116" s="17"/>
      <c r="X116" s="23" t="str">
        <f>IFERROR(VLOOKUP(W116,Listas!$A$1:$C$13,2,FALSE),"")</f>
        <v/>
      </c>
      <c r="Y116" s="23" t="str">
        <f>IFERROR(VLOOKUP(W116,Listas!$A$1:$C$13,3,FALSE),"")</f>
        <v/>
      </c>
      <c r="Z116" s="17"/>
      <c r="AA116" s="17"/>
      <c r="AB116" s="23" t="str">
        <f>IFERROR(VLOOKUP(AA116,Listas!$AD$1:$AF$65,2,FALSE),"")</f>
        <v/>
      </c>
      <c r="AC116" s="23" t="str">
        <f>IFERROR(VLOOKUP(AA116,Listas!$AD$1:$AF$65,3,FALSE),"")</f>
        <v/>
      </c>
      <c r="AD116" s="26"/>
      <c r="AE116" s="26"/>
      <c r="AF116" s="100">
        <f t="shared" ca="1" si="44"/>
        <v>100</v>
      </c>
      <c r="AG116" s="100">
        <f t="shared" ca="1" si="40"/>
        <v>100</v>
      </c>
      <c r="AH116" s="101" t="str">
        <f t="shared" ca="1" si="41"/>
        <v/>
      </c>
      <c r="AI116" s="101" t="str">
        <f t="shared" si="45"/>
        <v/>
      </c>
      <c r="AJ116" s="59"/>
      <c r="AK116" s="54"/>
      <c r="AL116" s="54" t="str">
        <f t="shared" ref="AL116:AL177" ca="1" si="46">IFERROR((V116/P116)*(TODAY()-L116),"")</f>
        <v/>
      </c>
      <c r="AM116" s="53"/>
    </row>
    <row r="117" spans="1:39">
      <c r="A117" s="54"/>
      <c r="B117" s="17"/>
      <c r="C117" s="17"/>
      <c r="D117" s="17"/>
      <c r="E117" s="17"/>
      <c r="F117" s="17"/>
      <c r="G117" s="16"/>
      <c r="H117" s="16"/>
      <c r="I117" s="16"/>
      <c r="J117" s="58"/>
      <c r="K117" s="58"/>
      <c r="L117" s="58"/>
      <c r="M117" s="27"/>
      <c r="N117" s="58"/>
      <c r="O117" s="54">
        <f t="shared" si="42"/>
        <v>0</v>
      </c>
      <c r="P117" s="54">
        <f t="shared" si="43"/>
        <v>0</v>
      </c>
      <c r="Q117" s="54"/>
      <c r="R117" s="54"/>
      <c r="S117" s="57"/>
      <c r="T117" s="57"/>
      <c r="U117" s="71"/>
      <c r="V117" s="56"/>
      <c r="W117" s="17"/>
      <c r="X117" s="23" t="str">
        <f>IFERROR(VLOOKUP(W117,Listas!$A$1:$C$13,2,FALSE),"")</f>
        <v/>
      </c>
      <c r="Y117" s="23" t="str">
        <f>IFERROR(VLOOKUP(W117,Listas!$A$1:$C$13,3,FALSE),"")</f>
        <v/>
      </c>
      <c r="Z117" s="17"/>
      <c r="AA117" s="17"/>
      <c r="AB117" s="23" t="str">
        <f>IFERROR(VLOOKUP(AA117,Listas!$AD$1:$AF$65,2,FALSE),"")</f>
        <v/>
      </c>
      <c r="AC117" s="23" t="str">
        <f>IFERROR(VLOOKUP(AA117,Listas!$AD$1:$AF$65,3,FALSE),"")</f>
        <v/>
      </c>
      <c r="AD117" s="26"/>
      <c r="AE117" s="26"/>
      <c r="AF117" s="100">
        <f t="shared" ca="1" si="44"/>
        <v>100</v>
      </c>
      <c r="AG117" s="100">
        <f t="shared" ca="1" si="40"/>
        <v>100</v>
      </c>
      <c r="AH117" s="101" t="str">
        <f t="shared" ca="1" si="41"/>
        <v/>
      </c>
      <c r="AI117" s="101" t="str">
        <f t="shared" si="45"/>
        <v/>
      </c>
      <c r="AJ117" s="59"/>
      <c r="AK117" s="54"/>
      <c r="AL117" s="54" t="str">
        <f t="shared" ca="1" si="46"/>
        <v/>
      </c>
      <c r="AM117" s="53"/>
    </row>
    <row r="118" spans="1:39">
      <c r="A118" s="54"/>
      <c r="B118" s="17"/>
      <c r="C118" s="17"/>
      <c r="D118" s="17"/>
      <c r="E118" s="17"/>
      <c r="F118" s="17"/>
      <c r="G118" s="16"/>
      <c r="H118" s="16"/>
      <c r="I118" s="16"/>
      <c r="J118" s="58"/>
      <c r="K118" s="58"/>
      <c r="L118" s="58"/>
      <c r="M118" s="27"/>
      <c r="N118" s="58"/>
      <c r="O118" s="54">
        <f t="shared" si="42"/>
        <v>0</v>
      </c>
      <c r="P118" s="54">
        <f t="shared" si="43"/>
        <v>0</v>
      </c>
      <c r="Q118" s="54"/>
      <c r="R118" s="54"/>
      <c r="S118" s="57"/>
      <c r="T118" s="57"/>
      <c r="U118" s="71"/>
      <c r="V118" s="56"/>
      <c r="W118" s="17"/>
      <c r="X118" s="23" t="str">
        <f>IFERROR(VLOOKUP(W118,Listas!$A$1:$C$13,2,FALSE),"")</f>
        <v/>
      </c>
      <c r="Y118" s="23" t="str">
        <f>IFERROR(VLOOKUP(W118,Listas!$A$1:$C$13,3,FALSE),"")</f>
        <v/>
      </c>
      <c r="Z118" s="17"/>
      <c r="AA118" s="17"/>
      <c r="AB118" s="23" t="str">
        <f>IFERROR(VLOOKUP(AA118,Listas!$AD$1:$AF$65,2,FALSE),"")</f>
        <v/>
      </c>
      <c r="AC118" s="23" t="str">
        <f>IFERROR(VLOOKUP(AA118,Listas!$AD$1:$AF$65,3,FALSE),"")</f>
        <v/>
      </c>
      <c r="AD118" s="26"/>
      <c r="AE118" s="26"/>
      <c r="AF118" s="100">
        <f t="shared" ca="1" si="44"/>
        <v>100</v>
      </c>
      <c r="AG118" s="100">
        <f t="shared" ca="1" si="40"/>
        <v>100</v>
      </c>
      <c r="AH118" s="101" t="str">
        <f t="shared" ca="1" si="41"/>
        <v/>
      </c>
      <c r="AI118" s="101" t="str">
        <f t="shared" si="45"/>
        <v/>
      </c>
      <c r="AJ118" s="59"/>
      <c r="AK118" s="54"/>
      <c r="AL118" s="54" t="str">
        <f t="shared" ca="1" si="46"/>
        <v/>
      </c>
      <c r="AM118" s="53"/>
    </row>
    <row r="119" spans="1:39">
      <c r="A119" s="54"/>
      <c r="B119" s="17"/>
      <c r="C119" s="17"/>
      <c r="D119" s="17"/>
      <c r="E119" s="17"/>
      <c r="F119" s="17"/>
      <c r="G119" s="16"/>
      <c r="H119" s="16"/>
      <c r="I119" s="16"/>
      <c r="J119" s="58"/>
      <c r="K119" s="58"/>
      <c r="L119" s="58"/>
      <c r="M119" s="27"/>
      <c r="N119" s="58"/>
      <c r="O119" s="54">
        <f t="shared" si="42"/>
        <v>0</v>
      </c>
      <c r="P119" s="54">
        <f t="shared" si="43"/>
        <v>0</v>
      </c>
      <c r="Q119" s="54"/>
      <c r="R119" s="54"/>
      <c r="S119" s="57"/>
      <c r="T119" s="57"/>
      <c r="U119" s="71"/>
      <c r="V119" s="56"/>
      <c r="W119" s="17"/>
      <c r="X119" s="23" t="str">
        <f>IFERROR(VLOOKUP(W119,Listas!$A$1:$C$13,2,FALSE),"")</f>
        <v/>
      </c>
      <c r="Y119" s="23" t="str">
        <f>IFERROR(VLOOKUP(W119,Listas!$A$1:$C$13,3,FALSE),"")</f>
        <v/>
      </c>
      <c r="Z119" s="17"/>
      <c r="AA119" s="17"/>
      <c r="AB119" s="23" t="str">
        <f>IFERROR(VLOOKUP(AA119,Listas!$AD$1:$AF$65,2,FALSE),"")</f>
        <v/>
      </c>
      <c r="AC119" s="23" t="str">
        <f>IFERROR(VLOOKUP(AA119,Listas!$AD$1:$AF$65,3,FALSE),"")</f>
        <v/>
      </c>
      <c r="AD119" s="26"/>
      <c r="AE119" s="26"/>
      <c r="AF119" s="100">
        <f t="shared" ca="1" si="44"/>
        <v>100</v>
      </c>
      <c r="AG119" s="100">
        <f t="shared" ca="1" si="40"/>
        <v>100</v>
      </c>
      <c r="AH119" s="101" t="str">
        <f t="shared" ca="1" si="41"/>
        <v/>
      </c>
      <c r="AI119" s="101" t="str">
        <f t="shared" si="45"/>
        <v/>
      </c>
      <c r="AJ119" s="59"/>
      <c r="AK119" s="54"/>
      <c r="AL119" s="54" t="str">
        <f t="shared" ca="1" si="46"/>
        <v/>
      </c>
      <c r="AM119" s="53"/>
    </row>
    <row r="120" spans="1:39">
      <c r="A120" s="54"/>
      <c r="B120" s="17"/>
      <c r="C120" s="17"/>
      <c r="D120" s="17"/>
      <c r="E120" s="17"/>
      <c r="F120" s="17"/>
      <c r="G120" s="16"/>
      <c r="H120" s="16"/>
      <c r="I120" s="16"/>
      <c r="J120" s="58"/>
      <c r="K120" s="58"/>
      <c r="L120" s="58"/>
      <c r="M120" s="27"/>
      <c r="N120" s="58"/>
      <c r="O120" s="54">
        <f t="shared" si="42"/>
        <v>0</v>
      </c>
      <c r="P120" s="54">
        <f t="shared" si="43"/>
        <v>0</v>
      </c>
      <c r="Q120" s="54"/>
      <c r="R120" s="54"/>
      <c r="S120" s="57"/>
      <c r="T120" s="57"/>
      <c r="U120" s="71"/>
      <c r="V120" s="56"/>
      <c r="W120" s="17"/>
      <c r="X120" s="23" t="str">
        <f>IFERROR(VLOOKUP(W120,Listas!$A$1:$C$13,2,FALSE),"")</f>
        <v/>
      </c>
      <c r="Y120" s="23" t="str">
        <f>IFERROR(VLOOKUP(W120,Listas!$A$1:$C$13,3,FALSE),"")</f>
        <v/>
      </c>
      <c r="Z120" s="17"/>
      <c r="AA120" s="17"/>
      <c r="AB120" s="23" t="str">
        <f>IFERROR(VLOOKUP(AA120,Listas!$AD$1:$AF$65,2,FALSE),"")</f>
        <v/>
      </c>
      <c r="AC120" s="23" t="str">
        <f>IFERROR(VLOOKUP(AA120,Listas!$AD$1:$AF$65,3,FALSE),"")</f>
        <v/>
      </c>
      <c r="AD120" s="26"/>
      <c r="AE120" s="26"/>
      <c r="AF120" s="100">
        <f t="shared" ca="1" si="44"/>
        <v>100</v>
      </c>
      <c r="AG120" s="100">
        <f t="shared" ca="1" si="40"/>
        <v>100</v>
      </c>
      <c r="AH120" s="101" t="str">
        <f t="shared" ca="1" si="41"/>
        <v/>
      </c>
      <c r="AI120" s="101" t="str">
        <f t="shared" si="45"/>
        <v/>
      </c>
      <c r="AJ120" s="59"/>
      <c r="AK120" s="54"/>
      <c r="AL120" s="54" t="str">
        <f t="shared" ca="1" si="46"/>
        <v/>
      </c>
      <c r="AM120" s="53"/>
    </row>
    <row r="121" spans="1:39">
      <c r="A121" s="54"/>
      <c r="B121" s="17"/>
      <c r="C121" s="17"/>
      <c r="D121" s="17"/>
      <c r="E121" s="17"/>
      <c r="F121" s="17"/>
      <c r="G121" s="16"/>
      <c r="H121" s="16"/>
      <c r="I121" s="16"/>
      <c r="J121" s="58"/>
      <c r="K121" s="58"/>
      <c r="L121" s="58"/>
      <c r="M121" s="27"/>
      <c r="N121" s="58"/>
      <c r="O121" s="54">
        <f t="shared" si="42"/>
        <v>0</v>
      </c>
      <c r="P121" s="54">
        <f t="shared" si="43"/>
        <v>0</v>
      </c>
      <c r="Q121" s="54"/>
      <c r="R121" s="54"/>
      <c r="S121" s="57"/>
      <c r="T121" s="57"/>
      <c r="U121" s="71"/>
      <c r="V121" s="56"/>
      <c r="W121" s="17"/>
      <c r="X121" s="23" t="str">
        <f>IFERROR(VLOOKUP(W121,Listas!$A$1:$C$13,2,FALSE),"")</f>
        <v/>
      </c>
      <c r="Y121" s="23" t="str">
        <f>IFERROR(VLOOKUP(W121,Listas!$A$1:$C$13,3,FALSE),"")</f>
        <v/>
      </c>
      <c r="Z121" s="17"/>
      <c r="AA121" s="17"/>
      <c r="AB121" s="23" t="str">
        <f>IFERROR(VLOOKUP(AA121,Listas!$AD$1:$AF$65,2,FALSE),"")</f>
        <v/>
      </c>
      <c r="AC121" s="23" t="str">
        <f>IFERROR(VLOOKUP(AA121,Listas!$AD$1:$AF$65,3,FALSE),"")</f>
        <v/>
      </c>
      <c r="AD121" s="26"/>
      <c r="AE121" s="26"/>
      <c r="AF121" s="100">
        <f t="shared" ca="1" si="44"/>
        <v>100</v>
      </c>
      <c r="AG121" s="100">
        <f t="shared" ca="1" si="40"/>
        <v>100</v>
      </c>
      <c r="AH121" s="101" t="str">
        <f t="shared" ca="1" si="41"/>
        <v/>
      </c>
      <c r="AI121" s="101" t="str">
        <f t="shared" si="45"/>
        <v/>
      </c>
      <c r="AJ121" s="59"/>
      <c r="AK121" s="54"/>
      <c r="AL121" s="54" t="str">
        <f t="shared" ca="1" si="46"/>
        <v/>
      </c>
      <c r="AM121" s="53"/>
    </row>
    <row r="122" spans="1:39">
      <c r="A122" s="54"/>
      <c r="B122" s="17"/>
      <c r="C122" s="17"/>
      <c r="D122" s="17"/>
      <c r="E122" s="17"/>
      <c r="F122" s="17"/>
      <c r="G122" s="16"/>
      <c r="H122" s="16"/>
      <c r="I122" s="16"/>
      <c r="J122" s="58"/>
      <c r="K122" s="58"/>
      <c r="L122" s="58"/>
      <c r="M122" s="27"/>
      <c r="N122" s="58"/>
      <c r="O122" s="54">
        <f t="shared" si="42"/>
        <v>0</v>
      </c>
      <c r="P122" s="54">
        <f t="shared" si="43"/>
        <v>0</v>
      </c>
      <c r="Q122" s="54"/>
      <c r="R122" s="54"/>
      <c r="S122" s="57"/>
      <c r="T122" s="57"/>
      <c r="U122" s="71"/>
      <c r="V122" s="56"/>
      <c r="W122" s="17"/>
      <c r="X122" s="23" t="str">
        <f>IFERROR(VLOOKUP(W122,Listas!$A$1:$C$13,2,FALSE),"")</f>
        <v/>
      </c>
      <c r="Y122" s="23" t="str">
        <f>IFERROR(VLOOKUP(W122,Listas!$A$1:$C$13,3,FALSE),"")</f>
        <v/>
      </c>
      <c r="Z122" s="17"/>
      <c r="AA122" s="17"/>
      <c r="AB122" s="23" t="str">
        <f>IFERROR(VLOOKUP(AA122,Listas!$AD$1:$AF$65,2,FALSE),"")</f>
        <v/>
      </c>
      <c r="AC122" s="23" t="str">
        <f>IFERROR(VLOOKUP(AA122,Listas!$AD$1:$AF$65,3,FALSE),"")</f>
        <v/>
      </c>
      <c r="AD122" s="26"/>
      <c r="AE122" s="26"/>
      <c r="AF122" s="100">
        <f t="shared" ca="1" si="44"/>
        <v>100</v>
      </c>
      <c r="AG122" s="100">
        <f t="shared" ca="1" si="40"/>
        <v>100</v>
      </c>
      <c r="AH122" s="101" t="str">
        <f t="shared" ca="1" si="41"/>
        <v/>
      </c>
      <c r="AI122" s="101" t="str">
        <f t="shared" si="45"/>
        <v/>
      </c>
      <c r="AJ122" s="59"/>
      <c r="AK122" s="54"/>
      <c r="AL122" s="54" t="str">
        <f t="shared" ca="1" si="46"/>
        <v/>
      </c>
      <c r="AM122" s="53"/>
    </row>
    <row r="123" spans="1:39">
      <c r="A123" s="54"/>
      <c r="B123" s="17"/>
      <c r="C123" s="17"/>
      <c r="D123" s="17"/>
      <c r="E123" s="17"/>
      <c r="F123" s="17"/>
      <c r="G123" s="16"/>
      <c r="H123" s="16"/>
      <c r="I123" s="16"/>
      <c r="J123" s="58"/>
      <c r="K123" s="58"/>
      <c r="L123" s="58"/>
      <c r="M123" s="27"/>
      <c r="N123" s="58"/>
      <c r="O123" s="54">
        <f t="shared" si="42"/>
        <v>0</v>
      </c>
      <c r="P123" s="54">
        <f t="shared" si="43"/>
        <v>0</v>
      </c>
      <c r="Q123" s="54"/>
      <c r="R123" s="54"/>
      <c r="S123" s="57"/>
      <c r="T123" s="57"/>
      <c r="U123" s="71"/>
      <c r="V123" s="56"/>
      <c r="W123" s="17"/>
      <c r="X123" s="23" t="str">
        <f>IFERROR(VLOOKUP(W123,Listas!$A$1:$C$13,2,FALSE),"")</f>
        <v/>
      </c>
      <c r="Y123" s="23" t="str">
        <f>IFERROR(VLOOKUP(W123,Listas!$A$1:$C$13,3,FALSE),"")</f>
        <v/>
      </c>
      <c r="Z123" s="17"/>
      <c r="AA123" s="17"/>
      <c r="AB123" s="23" t="str">
        <f>IFERROR(VLOOKUP(AA123,Listas!$AD$1:$AF$65,2,FALSE),"")</f>
        <v/>
      </c>
      <c r="AC123" s="23" t="str">
        <f>IFERROR(VLOOKUP(AA123,Listas!$AD$1:$AF$65,3,FALSE),"")</f>
        <v/>
      </c>
      <c r="AD123" s="26"/>
      <c r="AE123" s="26"/>
      <c r="AF123" s="100">
        <f t="shared" ca="1" si="44"/>
        <v>100</v>
      </c>
      <c r="AG123" s="100">
        <f t="shared" ca="1" si="40"/>
        <v>100</v>
      </c>
      <c r="AH123" s="101" t="str">
        <f t="shared" ca="1" si="41"/>
        <v/>
      </c>
      <c r="AI123" s="101" t="str">
        <f t="shared" si="45"/>
        <v/>
      </c>
      <c r="AJ123" s="59"/>
      <c r="AK123" s="54"/>
      <c r="AL123" s="54" t="str">
        <f t="shared" ca="1" si="46"/>
        <v/>
      </c>
      <c r="AM123" s="53"/>
    </row>
    <row r="124" spans="1:39">
      <c r="A124" s="54"/>
      <c r="B124" s="17"/>
      <c r="C124" s="17"/>
      <c r="D124" s="17"/>
      <c r="E124" s="17"/>
      <c r="F124" s="17"/>
      <c r="G124" s="16"/>
      <c r="H124" s="16"/>
      <c r="I124" s="16"/>
      <c r="J124" s="58"/>
      <c r="K124" s="58"/>
      <c r="L124" s="58"/>
      <c r="M124" s="27"/>
      <c r="N124" s="58"/>
      <c r="O124" s="54">
        <f t="shared" si="42"/>
        <v>0</v>
      </c>
      <c r="P124" s="54">
        <f t="shared" si="43"/>
        <v>0</v>
      </c>
      <c r="Q124" s="54"/>
      <c r="R124" s="54"/>
      <c r="S124" s="57"/>
      <c r="T124" s="57"/>
      <c r="U124" s="71"/>
      <c r="V124" s="56"/>
      <c r="W124" s="17"/>
      <c r="X124" s="23" t="str">
        <f>IFERROR(VLOOKUP(W124,Listas!$A$1:$C$13,2,FALSE),"")</f>
        <v/>
      </c>
      <c r="Y124" s="23" t="str">
        <f>IFERROR(VLOOKUP(W124,Listas!$A$1:$C$13,3,FALSE),"")</f>
        <v/>
      </c>
      <c r="Z124" s="17"/>
      <c r="AA124" s="17"/>
      <c r="AB124" s="23" t="str">
        <f>IFERROR(VLOOKUP(AA124,Listas!$AD$1:$AF$65,2,FALSE),"")</f>
        <v/>
      </c>
      <c r="AC124" s="23" t="str">
        <f>IFERROR(VLOOKUP(AA124,Listas!$AD$1:$AF$65,3,FALSE),"")</f>
        <v/>
      </c>
      <c r="AD124" s="26"/>
      <c r="AE124" s="26"/>
      <c r="AF124" s="100">
        <f t="shared" ca="1" si="44"/>
        <v>100</v>
      </c>
      <c r="AG124" s="100">
        <f t="shared" ca="1" si="40"/>
        <v>100</v>
      </c>
      <c r="AH124" s="101" t="str">
        <f t="shared" ca="1" si="41"/>
        <v/>
      </c>
      <c r="AI124" s="101" t="str">
        <f t="shared" si="45"/>
        <v/>
      </c>
      <c r="AJ124" s="59"/>
      <c r="AK124" s="54"/>
      <c r="AL124" s="54" t="str">
        <f t="shared" ca="1" si="46"/>
        <v/>
      </c>
      <c r="AM124" s="53"/>
    </row>
    <row r="125" spans="1:39">
      <c r="A125" s="54"/>
      <c r="B125" s="17"/>
      <c r="C125" s="17"/>
      <c r="D125" s="17"/>
      <c r="E125" s="17"/>
      <c r="F125" s="17"/>
      <c r="G125" s="16"/>
      <c r="H125" s="16"/>
      <c r="I125" s="16"/>
      <c r="J125" s="58"/>
      <c r="K125" s="58"/>
      <c r="L125" s="58"/>
      <c r="M125" s="27"/>
      <c r="N125" s="58"/>
      <c r="O125" s="54">
        <f t="shared" si="42"/>
        <v>0</v>
      </c>
      <c r="P125" s="54">
        <f t="shared" si="43"/>
        <v>0</v>
      </c>
      <c r="Q125" s="54"/>
      <c r="R125" s="54"/>
      <c r="S125" s="57"/>
      <c r="T125" s="57"/>
      <c r="U125" s="71"/>
      <c r="V125" s="56"/>
      <c r="W125" s="17"/>
      <c r="X125" s="23" t="str">
        <f>IFERROR(VLOOKUP(W125,Listas!$A$1:$C$13,2,FALSE),"")</f>
        <v/>
      </c>
      <c r="Y125" s="23" t="str">
        <f>IFERROR(VLOOKUP(W125,Listas!$A$1:$C$13,3,FALSE),"")</f>
        <v/>
      </c>
      <c r="Z125" s="17"/>
      <c r="AA125" s="17"/>
      <c r="AB125" s="23" t="str">
        <f>IFERROR(VLOOKUP(AA125,Listas!$AD$1:$AF$65,2,FALSE),"")</f>
        <v/>
      </c>
      <c r="AC125" s="23" t="str">
        <f>IFERROR(VLOOKUP(AA125,Listas!$AD$1:$AF$65,3,FALSE),"")</f>
        <v/>
      </c>
      <c r="AD125" s="26"/>
      <c r="AE125" s="26"/>
      <c r="AF125" s="100">
        <f t="shared" ca="1" si="44"/>
        <v>100</v>
      </c>
      <c r="AG125" s="100">
        <f t="shared" ca="1" si="40"/>
        <v>100</v>
      </c>
      <c r="AH125" s="101" t="str">
        <f t="shared" ca="1" si="41"/>
        <v/>
      </c>
      <c r="AI125" s="101" t="str">
        <f t="shared" si="45"/>
        <v/>
      </c>
      <c r="AJ125" s="59"/>
      <c r="AK125" s="54"/>
      <c r="AL125" s="54" t="str">
        <f t="shared" ca="1" si="46"/>
        <v/>
      </c>
      <c r="AM125" s="53"/>
    </row>
    <row r="126" spans="1:39">
      <c r="A126" s="54"/>
      <c r="B126" s="17"/>
      <c r="C126" s="17"/>
      <c r="D126" s="17"/>
      <c r="E126" s="17"/>
      <c r="F126" s="17"/>
      <c r="G126" s="16"/>
      <c r="H126" s="16"/>
      <c r="I126" s="16"/>
      <c r="J126" s="58"/>
      <c r="K126" s="58"/>
      <c r="L126" s="58"/>
      <c r="M126" s="27"/>
      <c r="N126" s="58"/>
      <c r="O126" s="54">
        <f t="shared" si="42"/>
        <v>0</v>
      </c>
      <c r="P126" s="54">
        <f t="shared" si="43"/>
        <v>0</v>
      </c>
      <c r="Q126" s="54"/>
      <c r="R126" s="54"/>
      <c r="S126" s="57"/>
      <c r="T126" s="57"/>
      <c r="U126" s="71"/>
      <c r="V126" s="56"/>
      <c r="W126" s="17"/>
      <c r="X126" s="23" t="str">
        <f>IFERROR(VLOOKUP(W126,Listas!$A$1:$C$13,2,FALSE),"")</f>
        <v/>
      </c>
      <c r="Y126" s="23" t="str">
        <f>IFERROR(VLOOKUP(W126,Listas!$A$1:$C$13,3,FALSE),"")</f>
        <v/>
      </c>
      <c r="Z126" s="17"/>
      <c r="AA126" s="17"/>
      <c r="AB126" s="23" t="str">
        <f>IFERROR(VLOOKUP(AA126,Listas!$AD$1:$AF$65,2,FALSE),"")</f>
        <v/>
      </c>
      <c r="AC126" s="23" t="str">
        <f>IFERROR(VLOOKUP(AA126,Listas!$AD$1:$AF$65,3,FALSE),"")</f>
        <v/>
      </c>
      <c r="AD126" s="26"/>
      <c r="AE126" s="26"/>
      <c r="AF126" s="100">
        <f t="shared" ca="1" si="44"/>
        <v>100</v>
      </c>
      <c r="AG126" s="100">
        <f t="shared" ca="1" si="40"/>
        <v>100</v>
      </c>
      <c r="AH126" s="101" t="str">
        <f t="shared" ca="1" si="41"/>
        <v/>
      </c>
      <c r="AI126" s="101" t="str">
        <f t="shared" si="45"/>
        <v/>
      </c>
      <c r="AJ126" s="59"/>
      <c r="AK126" s="54"/>
      <c r="AL126" s="54" t="str">
        <f t="shared" ca="1" si="46"/>
        <v/>
      </c>
      <c r="AM126" s="53"/>
    </row>
    <row r="127" spans="1:39">
      <c r="A127" s="54"/>
      <c r="B127" s="17"/>
      <c r="C127" s="17"/>
      <c r="D127" s="17"/>
      <c r="E127" s="17"/>
      <c r="F127" s="17"/>
      <c r="G127" s="16"/>
      <c r="H127" s="16"/>
      <c r="I127" s="16"/>
      <c r="J127" s="58"/>
      <c r="K127" s="58"/>
      <c r="L127" s="58"/>
      <c r="M127" s="27"/>
      <c r="N127" s="58"/>
      <c r="O127" s="54">
        <f t="shared" si="42"/>
        <v>0</v>
      </c>
      <c r="P127" s="54">
        <f t="shared" si="43"/>
        <v>0</v>
      </c>
      <c r="Q127" s="54"/>
      <c r="R127" s="54"/>
      <c r="S127" s="57"/>
      <c r="T127" s="57"/>
      <c r="U127" s="71"/>
      <c r="V127" s="56"/>
      <c r="W127" s="17"/>
      <c r="X127" s="23" t="str">
        <f>IFERROR(VLOOKUP(W127,Listas!$A$1:$C$13,2,FALSE),"")</f>
        <v/>
      </c>
      <c r="Y127" s="23" t="str">
        <f>IFERROR(VLOOKUP(W127,Listas!$A$1:$C$13,3,FALSE),"")</f>
        <v/>
      </c>
      <c r="Z127" s="17"/>
      <c r="AA127" s="17"/>
      <c r="AB127" s="23" t="str">
        <f>IFERROR(VLOOKUP(AA127,Listas!$AD$1:$AF$65,2,FALSE),"")</f>
        <v/>
      </c>
      <c r="AC127" s="23" t="str">
        <f>IFERROR(VLOOKUP(AA127,Listas!$AD$1:$AF$65,3,FALSE),"")</f>
        <v/>
      </c>
      <c r="AD127" s="26"/>
      <c r="AE127" s="26"/>
      <c r="AF127" s="100">
        <f t="shared" ca="1" si="44"/>
        <v>100</v>
      </c>
      <c r="AG127" s="100">
        <f t="shared" ca="1" si="40"/>
        <v>100</v>
      </c>
      <c r="AH127" s="101" t="str">
        <f t="shared" ca="1" si="41"/>
        <v/>
      </c>
      <c r="AI127" s="101" t="str">
        <f t="shared" si="45"/>
        <v/>
      </c>
      <c r="AJ127" s="59"/>
      <c r="AK127" s="54"/>
      <c r="AL127" s="54" t="str">
        <f t="shared" ca="1" si="46"/>
        <v/>
      </c>
      <c r="AM127" s="53"/>
    </row>
    <row r="128" spans="1:39">
      <c r="A128" s="54"/>
      <c r="B128" s="17"/>
      <c r="C128" s="17"/>
      <c r="D128" s="17"/>
      <c r="E128" s="17"/>
      <c r="F128" s="17"/>
      <c r="G128" s="16"/>
      <c r="H128" s="16"/>
      <c r="I128" s="16"/>
      <c r="J128" s="58"/>
      <c r="K128" s="58"/>
      <c r="L128" s="58"/>
      <c r="M128" s="27"/>
      <c r="N128" s="58"/>
      <c r="O128" s="54">
        <f t="shared" si="42"/>
        <v>0</v>
      </c>
      <c r="P128" s="54">
        <f t="shared" si="43"/>
        <v>0</v>
      </c>
      <c r="Q128" s="54"/>
      <c r="R128" s="54"/>
      <c r="S128" s="57"/>
      <c r="T128" s="57"/>
      <c r="U128" s="71"/>
      <c r="V128" s="56"/>
      <c r="W128" s="17"/>
      <c r="X128" s="23" t="str">
        <f>IFERROR(VLOOKUP(W128,Listas!$A$1:$C$13,2,FALSE),"")</f>
        <v/>
      </c>
      <c r="Y128" s="23" t="str">
        <f>IFERROR(VLOOKUP(W128,Listas!$A$1:$C$13,3,FALSE),"")</f>
        <v/>
      </c>
      <c r="Z128" s="17"/>
      <c r="AA128" s="17"/>
      <c r="AB128" s="23" t="str">
        <f>IFERROR(VLOOKUP(AA128,Listas!$AD$1:$AF$65,2,FALSE),"")</f>
        <v/>
      </c>
      <c r="AC128" s="23" t="str">
        <f>IFERROR(VLOOKUP(AA128,Listas!$AD$1:$AF$65,3,FALSE),"")</f>
        <v/>
      </c>
      <c r="AD128" s="26"/>
      <c r="AE128" s="26"/>
      <c r="AF128" s="100">
        <f t="shared" ca="1" si="44"/>
        <v>100</v>
      </c>
      <c r="AG128" s="100">
        <f t="shared" ca="1" si="40"/>
        <v>100</v>
      </c>
      <c r="AH128" s="101" t="str">
        <f t="shared" ca="1" si="41"/>
        <v/>
      </c>
      <c r="AI128" s="101" t="str">
        <f t="shared" si="45"/>
        <v/>
      </c>
      <c r="AJ128" s="59"/>
      <c r="AK128" s="54"/>
      <c r="AL128" s="54" t="str">
        <f t="shared" ca="1" si="46"/>
        <v/>
      </c>
      <c r="AM128" s="53"/>
    </row>
    <row r="129" spans="1:39">
      <c r="A129" s="54"/>
      <c r="B129" s="17"/>
      <c r="C129" s="17"/>
      <c r="D129" s="17"/>
      <c r="E129" s="17"/>
      <c r="F129" s="17"/>
      <c r="G129" s="16"/>
      <c r="H129" s="16"/>
      <c r="I129" s="16"/>
      <c r="J129" s="58"/>
      <c r="K129" s="58"/>
      <c r="L129" s="58"/>
      <c r="M129" s="27"/>
      <c r="N129" s="58"/>
      <c r="O129" s="54">
        <f t="shared" si="42"/>
        <v>0</v>
      </c>
      <c r="P129" s="54">
        <f t="shared" si="43"/>
        <v>0</v>
      </c>
      <c r="Q129" s="54"/>
      <c r="R129" s="54"/>
      <c r="S129" s="57"/>
      <c r="T129" s="57"/>
      <c r="U129" s="71"/>
      <c r="V129" s="56"/>
      <c r="W129" s="17"/>
      <c r="X129" s="23" t="str">
        <f>IFERROR(VLOOKUP(W129,Listas!$A$1:$C$13,2,FALSE),"")</f>
        <v/>
      </c>
      <c r="Y129" s="23" t="str">
        <f>IFERROR(VLOOKUP(W129,Listas!$A$1:$C$13,3,FALSE),"")</f>
        <v/>
      </c>
      <c r="Z129" s="17"/>
      <c r="AA129" s="17"/>
      <c r="AB129" s="23" t="str">
        <f>IFERROR(VLOOKUP(AA129,Listas!$AD$1:$AF$65,2,FALSE),"")</f>
        <v/>
      </c>
      <c r="AC129" s="23" t="str">
        <f>IFERROR(VLOOKUP(AA129,Listas!$AD$1:$AF$65,3,FALSE),"")</f>
        <v/>
      </c>
      <c r="AD129" s="26"/>
      <c r="AE129" s="26"/>
      <c r="AF129" s="100">
        <f t="shared" ca="1" si="44"/>
        <v>100</v>
      </c>
      <c r="AG129" s="100">
        <f t="shared" ca="1" si="40"/>
        <v>100</v>
      </c>
      <c r="AH129" s="101" t="str">
        <f t="shared" ca="1" si="41"/>
        <v/>
      </c>
      <c r="AI129" s="101" t="str">
        <f t="shared" si="45"/>
        <v/>
      </c>
      <c r="AJ129" s="59"/>
      <c r="AK129" s="54"/>
      <c r="AL129" s="54" t="str">
        <f t="shared" ca="1" si="46"/>
        <v/>
      </c>
      <c r="AM129" s="53"/>
    </row>
    <row r="130" spans="1:39">
      <c r="A130" s="54"/>
      <c r="B130" s="17"/>
      <c r="C130" s="17"/>
      <c r="D130" s="17"/>
      <c r="E130" s="17"/>
      <c r="F130" s="17"/>
      <c r="G130" s="16"/>
      <c r="H130" s="16"/>
      <c r="I130" s="16"/>
      <c r="J130" s="58"/>
      <c r="K130" s="58"/>
      <c r="L130" s="58"/>
      <c r="M130" s="27"/>
      <c r="N130" s="58"/>
      <c r="O130" s="54">
        <f t="shared" si="42"/>
        <v>0</v>
      </c>
      <c r="P130" s="54">
        <f t="shared" si="43"/>
        <v>0</v>
      </c>
      <c r="Q130" s="54"/>
      <c r="R130" s="54"/>
      <c r="S130" s="57"/>
      <c r="T130" s="57"/>
      <c r="U130" s="71"/>
      <c r="V130" s="56"/>
      <c r="W130" s="17"/>
      <c r="X130" s="23" t="str">
        <f>IFERROR(VLOOKUP(W130,Listas!$A$1:$C$13,2,FALSE),"")</f>
        <v/>
      </c>
      <c r="Y130" s="23" t="str">
        <f>IFERROR(VLOOKUP(W130,Listas!$A$1:$C$13,3,FALSE),"")</f>
        <v/>
      </c>
      <c r="Z130" s="17"/>
      <c r="AA130" s="17"/>
      <c r="AB130" s="23" t="str">
        <f>IFERROR(VLOOKUP(AA130,Listas!$AD$1:$AF$65,2,FALSE),"")</f>
        <v/>
      </c>
      <c r="AC130" s="23" t="str">
        <f>IFERROR(VLOOKUP(AA130,Listas!$AD$1:$AF$65,3,FALSE),"")</f>
        <v/>
      </c>
      <c r="AD130" s="26"/>
      <c r="AE130" s="26"/>
      <c r="AF130" s="100">
        <f t="shared" ca="1" si="44"/>
        <v>100</v>
      </c>
      <c r="AG130" s="100">
        <f t="shared" ca="1" si="40"/>
        <v>100</v>
      </c>
      <c r="AH130" s="101" t="str">
        <f t="shared" ca="1" si="41"/>
        <v/>
      </c>
      <c r="AI130" s="101" t="str">
        <f t="shared" si="45"/>
        <v/>
      </c>
      <c r="AJ130" s="59"/>
      <c r="AK130" s="54"/>
      <c r="AL130" s="54" t="str">
        <f t="shared" ca="1" si="46"/>
        <v/>
      </c>
      <c r="AM130" s="53"/>
    </row>
    <row r="131" spans="1:39">
      <c r="A131" s="54"/>
      <c r="B131" s="17"/>
      <c r="C131" s="17"/>
      <c r="D131" s="17"/>
      <c r="E131" s="17"/>
      <c r="F131" s="17"/>
      <c r="G131" s="16"/>
      <c r="H131" s="16"/>
      <c r="I131" s="16"/>
      <c r="J131" s="58"/>
      <c r="K131" s="58"/>
      <c r="L131" s="58"/>
      <c r="M131" s="27"/>
      <c r="N131" s="58"/>
      <c r="O131" s="54">
        <f t="shared" si="42"/>
        <v>0</v>
      </c>
      <c r="P131" s="54">
        <f t="shared" si="43"/>
        <v>0</v>
      </c>
      <c r="Q131" s="54"/>
      <c r="R131" s="54"/>
      <c r="S131" s="57"/>
      <c r="T131" s="57"/>
      <c r="U131" s="71"/>
      <c r="V131" s="56"/>
      <c r="W131" s="17"/>
      <c r="X131" s="23" t="str">
        <f>IFERROR(VLOOKUP(W131,Listas!$A$1:$C$13,2,FALSE),"")</f>
        <v/>
      </c>
      <c r="Y131" s="23" t="str">
        <f>IFERROR(VLOOKUP(W131,Listas!$A$1:$C$13,3,FALSE),"")</f>
        <v/>
      </c>
      <c r="Z131" s="17"/>
      <c r="AA131" s="17"/>
      <c r="AB131" s="23" t="str">
        <f>IFERROR(VLOOKUP(AA131,Listas!$AD$1:$AF$65,2,FALSE),"")</f>
        <v/>
      </c>
      <c r="AC131" s="23" t="str">
        <f>IFERROR(VLOOKUP(AA131,Listas!$AD$1:$AF$65,3,FALSE),"")</f>
        <v/>
      </c>
      <c r="AD131" s="26"/>
      <c r="AE131" s="26"/>
      <c r="AF131" s="100">
        <f t="shared" ca="1" si="44"/>
        <v>100</v>
      </c>
      <c r="AG131" s="100">
        <f t="shared" ca="1" si="40"/>
        <v>100</v>
      </c>
      <c r="AH131" s="101" t="str">
        <f t="shared" ca="1" si="41"/>
        <v/>
      </c>
      <c r="AI131" s="101" t="str">
        <f t="shared" si="45"/>
        <v/>
      </c>
      <c r="AJ131" s="59"/>
      <c r="AK131" s="54"/>
      <c r="AL131" s="54" t="str">
        <f t="shared" ca="1" si="46"/>
        <v/>
      </c>
      <c r="AM131" s="53"/>
    </row>
    <row r="132" spans="1:39">
      <c r="A132" s="54"/>
      <c r="B132" s="17"/>
      <c r="C132" s="17"/>
      <c r="D132" s="17"/>
      <c r="E132" s="17"/>
      <c r="F132" s="17"/>
      <c r="G132" s="16"/>
      <c r="H132" s="16"/>
      <c r="I132" s="16"/>
      <c r="J132" s="58"/>
      <c r="K132" s="58"/>
      <c r="L132" s="58"/>
      <c r="M132" s="27"/>
      <c r="N132" s="58"/>
      <c r="O132" s="54">
        <f t="shared" si="42"/>
        <v>0</v>
      </c>
      <c r="P132" s="54">
        <f t="shared" si="43"/>
        <v>0</v>
      </c>
      <c r="Q132" s="54"/>
      <c r="R132" s="54"/>
      <c r="S132" s="57"/>
      <c r="T132" s="57"/>
      <c r="U132" s="71"/>
      <c r="V132" s="56"/>
      <c r="W132" s="17"/>
      <c r="X132" s="23" t="str">
        <f>IFERROR(VLOOKUP(W132,Listas!$A$1:$C$13,2,FALSE),"")</f>
        <v/>
      </c>
      <c r="Y132" s="23" t="str">
        <f>IFERROR(VLOOKUP(W132,Listas!$A$1:$C$13,3,FALSE),"")</f>
        <v/>
      </c>
      <c r="Z132" s="17"/>
      <c r="AA132" s="17"/>
      <c r="AB132" s="23" t="str">
        <f>IFERROR(VLOOKUP(AA132,Listas!$AD$1:$AF$65,2,FALSE),"")</f>
        <v/>
      </c>
      <c r="AC132" s="23" t="str">
        <f>IFERROR(VLOOKUP(AA132,Listas!$AD$1:$AF$65,3,FALSE),"")</f>
        <v/>
      </c>
      <c r="AD132" s="26"/>
      <c r="AE132" s="26"/>
      <c r="AF132" s="100">
        <f t="shared" ca="1" si="44"/>
        <v>100</v>
      </c>
      <c r="AG132" s="100">
        <f t="shared" ca="1" si="40"/>
        <v>100</v>
      </c>
      <c r="AH132" s="101" t="str">
        <f t="shared" ca="1" si="41"/>
        <v/>
      </c>
      <c r="AI132" s="101" t="str">
        <f t="shared" si="45"/>
        <v/>
      </c>
      <c r="AJ132" s="59"/>
      <c r="AK132" s="54"/>
      <c r="AL132" s="54" t="str">
        <f t="shared" ca="1" si="46"/>
        <v/>
      </c>
      <c r="AM132" s="53"/>
    </row>
    <row r="133" spans="1:39">
      <c r="A133" s="54"/>
      <c r="B133" s="17"/>
      <c r="C133" s="17"/>
      <c r="D133" s="17"/>
      <c r="E133" s="17"/>
      <c r="F133" s="17"/>
      <c r="G133" s="16"/>
      <c r="H133" s="16"/>
      <c r="I133" s="16"/>
      <c r="J133" s="58"/>
      <c r="K133" s="58"/>
      <c r="L133" s="58"/>
      <c r="M133" s="27"/>
      <c r="N133" s="58"/>
      <c r="O133" s="54">
        <f t="shared" si="42"/>
        <v>0</v>
      </c>
      <c r="P133" s="54">
        <f t="shared" si="43"/>
        <v>0</v>
      </c>
      <c r="Q133" s="54"/>
      <c r="R133" s="54"/>
      <c r="S133" s="57"/>
      <c r="T133" s="57"/>
      <c r="U133" s="71"/>
      <c r="V133" s="56"/>
      <c r="W133" s="17"/>
      <c r="X133" s="23" t="str">
        <f>IFERROR(VLOOKUP(W133,Listas!$A$1:$C$13,2,FALSE),"")</f>
        <v/>
      </c>
      <c r="Y133" s="23" t="str">
        <f>IFERROR(VLOOKUP(W133,Listas!$A$1:$C$13,3,FALSE),"")</f>
        <v/>
      </c>
      <c r="Z133" s="17"/>
      <c r="AA133" s="17"/>
      <c r="AB133" s="23" t="str">
        <f>IFERROR(VLOOKUP(AA133,Listas!$AD$1:$AF$65,2,FALSE),"")</f>
        <v/>
      </c>
      <c r="AC133" s="23" t="str">
        <f>IFERROR(VLOOKUP(AA133,Listas!$AD$1:$AF$65,3,FALSE),"")</f>
        <v/>
      </c>
      <c r="AD133" s="26"/>
      <c r="AE133" s="26"/>
      <c r="AF133" s="100">
        <f t="shared" ca="1" si="44"/>
        <v>100</v>
      </c>
      <c r="AG133" s="100">
        <f t="shared" ca="1" si="40"/>
        <v>100</v>
      </c>
      <c r="AH133" s="101" t="str">
        <f t="shared" ca="1" si="41"/>
        <v/>
      </c>
      <c r="AI133" s="101" t="str">
        <f t="shared" si="45"/>
        <v/>
      </c>
      <c r="AJ133" s="59"/>
      <c r="AK133" s="54"/>
      <c r="AL133" s="54" t="str">
        <f t="shared" ca="1" si="46"/>
        <v/>
      </c>
      <c r="AM133" s="53"/>
    </row>
    <row r="134" spans="1:39">
      <c r="A134" s="54"/>
      <c r="B134" s="17"/>
      <c r="C134" s="17"/>
      <c r="D134" s="17"/>
      <c r="E134" s="17"/>
      <c r="F134" s="17"/>
      <c r="G134" s="16"/>
      <c r="H134" s="16"/>
      <c r="I134" s="16"/>
      <c r="J134" s="58"/>
      <c r="K134" s="58"/>
      <c r="L134" s="58"/>
      <c r="M134" s="27"/>
      <c r="N134" s="58"/>
      <c r="O134" s="54">
        <f t="shared" si="42"/>
        <v>0</v>
      </c>
      <c r="P134" s="54">
        <f t="shared" si="43"/>
        <v>0</v>
      </c>
      <c r="Q134" s="54"/>
      <c r="R134" s="54"/>
      <c r="S134" s="57"/>
      <c r="T134" s="57"/>
      <c r="U134" s="71"/>
      <c r="V134" s="56"/>
      <c r="W134" s="17"/>
      <c r="X134" s="23" t="str">
        <f>IFERROR(VLOOKUP(W134,Listas!$A$1:$C$13,2,FALSE),"")</f>
        <v/>
      </c>
      <c r="Y134" s="23" t="str">
        <f>IFERROR(VLOOKUP(W134,Listas!$A$1:$C$13,3,FALSE),"")</f>
        <v/>
      </c>
      <c r="Z134" s="17"/>
      <c r="AA134" s="17"/>
      <c r="AB134" s="23" t="str">
        <f>IFERROR(VLOOKUP(AA134,Listas!$AD$1:$AF$65,2,FALSE),"")</f>
        <v/>
      </c>
      <c r="AC134" s="23" t="str">
        <f>IFERROR(VLOOKUP(AA134,Listas!$AD$1:$AF$65,3,FALSE),"")</f>
        <v/>
      </c>
      <c r="AD134" s="26"/>
      <c r="AE134" s="26"/>
      <c r="AF134" s="100">
        <f t="shared" ca="1" si="44"/>
        <v>100</v>
      </c>
      <c r="AG134" s="100">
        <f t="shared" ca="1" si="40"/>
        <v>100</v>
      </c>
      <c r="AH134" s="101" t="str">
        <f t="shared" ca="1" si="41"/>
        <v/>
      </c>
      <c r="AI134" s="101" t="str">
        <f t="shared" si="45"/>
        <v/>
      </c>
      <c r="AJ134" s="59"/>
      <c r="AK134" s="54"/>
      <c r="AL134" s="54" t="str">
        <f t="shared" ca="1" si="46"/>
        <v/>
      </c>
      <c r="AM134" s="53"/>
    </row>
    <row r="135" spans="1:39">
      <c r="A135" s="54"/>
      <c r="B135" s="17"/>
      <c r="C135" s="17"/>
      <c r="D135" s="17"/>
      <c r="E135" s="17"/>
      <c r="F135" s="17"/>
      <c r="G135" s="16"/>
      <c r="H135" s="16"/>
      <c r="I135" s="16"/>
      <c r="J135" s="58"/>
      <c r="K135" s="58"/>
      <c r="L135" s="58"/>
      <c r="M135" s="27"/>
      <c r="N135" s="58"/>
      <c r="O135" s="54">
        <f t="shared" si="42"/>
        <v>0</v>
      </c>
      <c r="P135" s="54">
        <f t="shared" si="43"/>
        <v>0</v>
      </c>
      <c r="Q135" s="54"/>
      <c r="R135" s="54"/>
      <c r="S135" s="57"/>
      <c r="T135" s="57"/>
      <c r="U135" s="71"/>
      <c r="V135" s="56"/>
      <c r="W135" s="17"/>
      <c r="X135" s="23" t="str">
        <f>IFERROR(VLOOKUP(W135,Listas!$A$1:$C$13,2,FALSE),"")</f>
        <v/>
      </c>
      <c r="Y135" s="23" t="str">
        <f>IFERROR(VLOOKUP(W135,Listas!$A$1:$C$13,3,FALSE),"")</f>
        <v/>
      </c>
      <c r="Z135" s="17"/>
      <c r="AA135" s="17"/>
      <c r="AB135" s="23" t="str">
        <f>IFERROR(VLOOKUP(AA135,Listas!$AD$1:$AF$65,2,FALSE),"")</f>
        <v/>
      </c>
      <c r="AC135" s="23" t="str">
        <f>IFERROR(VLOOKUP(AA135,Listas!$AD$1:$AF$65,3,FALSE),"")</f>
        <v/>
      </c>
      <c r="AD135" s="26"/>
      <c r="AE135" s="26"/>
      <c r="AF135" s="100">
        <f t="shared" ca="1" si="44"/>
        <v>100</v>
      </c>
      <c r="AG135" s="100">
        <f t="shared" ca="1" si="40"/>
        <v>100</v>
      </c>
      <c r="AH135" s="101" t="str">
        <f t="shared" ca="1" si="41"/>
        <v/>
      </c>
      <c r="AI135" s="101" t="str">
        <f t="shared" si="45"/>
        <v/>
      </c>
      <c r="AJ135" s="59"/>
      <c r="AK135" s="54"/>
      <c r="AL135" s="54" t="str">
        <f t="shared" ca="1" si="46"/>
        <v/>
      </c>
      <c r="AM135" s="53"/>
    </row>
    <row r="136" spans="1:39">
      <c r="A136" s="54"/>
      <c r="B136" s="17"/>
      <c r="C136" s="17"/>
      <c r="D136" s="17"/>
      <c r="E136" s="17"/>
      <c r="F136" s="17"/>
      <c r="G136" s="16"/>
      <c r="H136" s="16"/>
      <c r="I136" s="16"/>
      <c r="J136" s="58"/>
      <c r="K136" s="58"/>
      <c r="L136" s="58"/>
      <c r="M136" s="27"/>
      <c r="N136" s="58"/>
      <c r="O136" s="54">
        <f t="shared" si="42"/>
        <v>0</v>
      </c>
      <c r="P136" s="54">
        <f t="shared" si="43"/>
        <v>0</v>
      </c>
      <c r="Q136" s="54"/>
      <c r="R136" s="54"/>
      <c r="S136" s="57"/>
      <c r="T136" s="57"/>
      <c r="U136" s="71"/>
      <c r="V136" s="56"/>
      <c r="W136" s="17"/>
      <c r="X136" s="23" t="str">
        <f>IFERROR(VLOOKUP(W136,Listas!$A$1:$C$13,2,FALSE),"")</f>
        <v/>
      </c>
      <c r="Y136" s="23" t="str">
        <f>IFERROR(VLOOKUP(W136,Listas!$A$1:$C$13,3,FALSE),"")</f>
        <v/>
      </c>
      <c r="Z136" s="17"/>
      <c r="AA136" s="17"/>
      <c r="AB136" s="23" t="str">
        <f>IFERROR(VLOOKUP(AA136,Listas!$AD$1:$AF$65,2,FALSE),"")</f>
        <v/>
      </c>
      <c r="AC136" s="23" t="str">
        <f>IFERROR(VLOOKUP(AA136,Listas!$AD$1:$AF$65,3,FALSE),"")</f>
        <v/>
      </c>
      <c r="AD136" s="26"/>
      <c r="AE136" s="26"/>
      <c r="AF136" s="100">
        <f t="shared" ca="1" si="44"/>
        <v>100</v>
      </c>
      <c r="AG136" s="100">
        <f t="shared" ca="1" si="40"/>
        <v>100</v>
      </c>
      <c r="AH136" s="101" t="str">
        <f t="shared" ca="1" si="41"/>
        <v/>
      </c>
      <c r="AI136" s="101" t="str">
        <f t="shared" si="45"/>
        <v/>
      </c>
      <c r="AJ136" s="59"/>
      <c r="AK136" s="54"/>
      <c r="AL136" s="54" t="str">
        <f t="shared" ca="1" si="46"/>
        <v/>
      </c>
      <c r="AM136" s="53"/>
    </row>
    <row r="137" spans="1:39">
      <c r="A137" s="54"/>
      <c r="B137" s="17"/>
      <c r="C137" s="17"/>
      <c r="D137" s="17"/>
      <c r="E137" s="17"/>
      <c r="F137" s="17"/>
      <c r="G137" s="16"/>
      <c r="H137" s="16"/>
      <c r="I137" s="16"/>
      <c r="J137" s="58"/>
      <c r="K137" s="58"/>
      <c r="L137" s="58"/>
      <c r="M137" s="27"/>
      <c r="N137" s="58"/>
      <c r="O137" s="54">
        <f t="shared" si="42"/>
        <v>0</v>
      </c>
      <c r="P137" s="54">
        <f t="shared" si="43"/>
        <v>0</v>
      </c>
      <c r="Q137" s="54"/>
      <c r="R137" s="54"/>
      <c r="S137" s="57"/>
      <c r="T137" s="57"/>
      <c r="U137" s="71"/>
      <c r="V137" s="56"/>
      <c r="W137" s="17"/>
      <c r="X137" s="23" t="str">
        <f>IFERROR(VLOOKUP(W137,Listas!$A$1:$C$13,2,FALSE),"")</f>
        <v/>
      </c>
      <c r="Y137" s="23" t="str">
        <f>IFERROR(VLOOKUP(W137,Listas!$A$1:$C$13,3,FALSE),"")</f>
        <v/>
      </c>
      <c r="Z137" s="17"/>
      <c r="AA137" s="17"/>
      <c r="AB137" s="23" t="str">
        <f>IFERROR(VLOOKUP(AA137,Listas!$AD$1:$AF$65,2,FALSE),"")</f>
        <v/>
      </c>
      <c r="AC137" s="23" t="str">
        <f>IFERROR(VLOOKUP(AA137,Listas!$AD$1:$AF$65,3,FALSE),"")</f>
        <v/>
      </c>
      <c r="AD137" s="26"/>
      <c r="AE137" s="26"/>
      <c r="AF137" s="100">
        <f t="shared" ca="1" si="44"/>
        <v>100</v>
      </c>
      <c r="AG137" s="100">
        <f t="shared" ca="1" si="40"/>
        <v>100</v>
      </c>
      <c r="AH137" s="101" t="str">
        <f t="shared" ca="1" si="41"/>
        <v/>
      </c>
      <c r="AI137" s="101" t="str">
        <f t="shared" si="45"/>
        <v/>
      </c>
      <c r="AJ137" s="59"/>
      <c r="AK137" s="54"/>
      <c r="AL137" s="54" t="str">
        <f t="shared" ca="1" si="46"/>
        <v/>
      </c>
      <c r="AM137" s="53"/>
    </row>
    <row r="138" spans="1:39">
      <c r="A138" s="54"/>
      <c r="B138" s="17"/>
      <c r="C138" s="17"/>
      <c r="D138" s="17"/>
      <c r="E138" s="17"/>
      <c r="F138" s="17"/>
      <c r="G138" s="16"/>
      <c r="H138" s="16"/>
      <c r="I138" s="16"/>
      <c r="J138" s="58"/>
      <c r="K138" s="58"/>
      <c r="L138" s="58"/>
      <c r="M138" s="27"/>
      <c r="N138" s="58"/>
      <c r="O138" s="54">
        <f t="shared" si="42"/>
        <v>0</v>
      </c>
      <c r="P138" s="54">
        <f t="shared" si="43"/>
        <v>0</v>
      </c>
      <c r="Q138" s="54"/>
      <c r="R138" s="54"/>
      <c r="S138" s="57"/>
      <c r="T138" s="57"/>
      <c r="U138" s="71"/>
      <c r="V138" s="56"/>
      <c r="W138" s="17"/>
      <c r="X138" s="23" t="str">
        <f>IFERROR(VLOOKUP(W138,Listas!$A$1:$C$13,2,FALSE),"")</f>
        <v/>
      </c>
      <c r="Y138" s="23" t="str">
        <f>IFERROR(VLOOKUP(W138,Listas!$A$1:$C$13,3,FALSE),"")</f>
        <v/>
      </c>
      <c r="Z138" s="17"/>
      <c r="AA138" s="17"/>
      <c r="AB138" s="23" t="str">
        <f>IFERROR(VLOOKUP(AA138,Listas!$AD$1:$AF$65,2,FALSE),"")</f>
        <v/>
      </c>
      <c r="AC138" s="23" t="str">
        <f>IFERROR(VLOOKUP(AA138,Listas!$AD$1:$AF$65,3,FALSE),"")</f>
        <v/>
      </c>
      <c r="AD138" s="26"/>
      <c r="AE138" s="26"/>
      <c r="AF138" s="100">
        <f t="shared" ca="1" si="44"/>
        <v>100</v>
      </c>
      <c r="AG138" s="100">
        <f t="shared" ref="AG138:AG169" ca="1" si="47">+IF(AK138&gt;0,DAYS360(L138,AK138)/DAYS360(L138,N138),AF138)</f>
        <v>100</v>
      </c>
      <c r="AH138" s="101" t="str">
        <f t="shared" ref="AH138:AH169" ca="1" si="48">IFERROR((AL138/V138)*100,"")</f>
        <v/>
      </c>
      <c r="AI138" s="101" t="str">
        <f t="shared" si="45"/>
        <v/>
      </c>
      <c r="AJ138" s="59"/>
      <c r="AK138" s="54"/>
      <c r="AL138" s="54" t="str">
        <f t="shared" ca="1" si="46"/>
        <v/>
      </c>
      <c r="AM138" s="53"/>
    </row>
    <row r="139" spans="1:39">
      <c r="A139" s="54"/>
      <c r="B139" s="17"/>
      <c r="C139" s="17"/>
      <c r="D139" s="17"/>
      <c r="E139" s="17"/>
      <c r="F139" s="17"/>
      <c r="G139" s="16"/>
      <c r="H139" s="16"/>
      <c r="I139" s="16"/>
      <c r="J139" s="58"/>
      <c r="K139" s="58"/>
      <c r="L139" s="58"/>
      <c r="M139" s="27"/>
      <c r="N139" s="58"/>
      <c r="O139" s="54">
        <f t="shared" si="42"/>
        <v>0</v>
      </c>
      <c r="P139" s="54">
        <f t="shared" si="43"/>
        <v>0</v>
      </c>
      <c r="Q139" s="54"/>
      <c r="R139" s="54"/>
      <c r="S139" s="57"/>
      <c r="T139" s="57"/>
      <c r="U139" s="71"/>
      <c r="V139" s="56"/>
      <c r="W139" s="17"/>
      <c r="X139" s="23" t="str">
        <f>IFERROR(VLOOKUP(W139,Listas!$A$1:$C$13,2,FALSE),"")</f>
        <v/>
      </c>
      <c r="Y139" s="23" t="str">
        <f>IFERROR(VLOOKUP(W139,Listas!$A$1:$C$13,3,FALSE),"")</f>
        <v/>
      </c>
      <c r="Z139" s="17"/>
      <c r="AA139" s="17"/>
      <c r="AB139" s="23" t="str">
        <f>IFERROR(VLOOKUP(AA139,Listas!$AD$1:$AF$65,2,FALSE),"")</f>
        <v/>
      </c>
      <c r="AC139" s="23" t="str">
        <f>IFERROR(VLOOKUP(AA139,Listas!$AD$1:$AF$65,3,FALSE),"")</f>
        <v/>
      </c>
      <c r="AD139" s="26"/>
      <c r="AE139" s="26"/>
      <c r="AF139" s="100">
        <f t="shared" ca="1" si="44"/>
        <v>100</v>
      </c>
      <c r="AG139" s="100">
        <f t="shared" ca="1" si="47"/>
        <v>100</v>
      </c>
      <c r="AH139" s="101" t="str">
        <f t="shared" ca="1" si="48"/>
        <v/>
      </c>
      <c r="AI139" s="101" t="str">
        <f t="shared" si="45"/>
        <v/>
      </c>
      <c r="AJ139" s="59"/>
      <c r="AK139" s="54"/>
      <c r="AL139" s="54" t="str">
        <f t="shared" ca="1" si="46"/>
        <v/>
      </c>
      <c r="AM139" s="53"/>
    </row>
    <row r="140" spans="1:39">
      <c r="A140" s="54"/>
      <c r="B140" s="17"/>
      <c r="C140" s="17"/>
      <c r="D140" s="17"/>
      <c r="E140" s="17"/>
      <c r="F140" s="17"/>
      <c r="G140" s="16"/>
      <c r="H140" s="16"/>
      <c r="I140" s="16"/>
      <c r="J140" s="58"/>
      <c r="K140" s="58"/>
      <c r="L140" s="58"/>
      <c r="M140" s="27"/>
      <c r="N140" s="58"/>
      <c r="O140" s="54">
        <f t="shared" si="42"/>
        <v>0</v>
      </c>
      <c r="P140" s="54">
        <f t="shared" si="43"/>
        <v>0</v>
      </c>
      <c r="Q140" s="54"/>
      <c r="R140" s="54"/>
      <c r="S140" s="57"/>
      <c r="T140" s="57"/>
      <c r="U140" s="71"/>
      <c r="V140" s="56"/>
      <c r="W140" s="17"/>
      <c r="X140" s="23" t="str">
        <f>IFERROR(VLOOKUP(W140,Listas!$A$1:$C$13,2,FALSE),"")</f>
        <v/>
      </c>
      <c r="Y140" s="23" t="str">
        <f>IFERROR(VLOOKUP(W140,Listas!$A$1:$C$13,3,FALSE),"")</f>
        <v/>
      </c>
      <c r="Z140" s="17"/>
      <c r="AA140" s="17"/>
      <c r="AB140" s="23" t="str">
        <f>IFERROR(VLOOKUP(AA140,Listas!$AD$1:$AF$65,2,FALSE),"")</f>
        <v/>
      </c>
      <c r="AC140" s="23" t="str">
        <f>IFERROR(VLOOKUP(AA140,Listas!$AD$1:$AF$65,3,FALSE),"")</f>
        <v/>
      </c>
      <c r="AD140" s="26"/>
      <c r="AE140" s="26"/>
      <c r="AF140" s="100">
        <f t="shared" ca="1" si="44"/>
        <v>100</v>
      </c>
      <c r="AG140" s="100">
        <f t="shared" ca="1" si="47"/>
        <v>100</v>
      </c>
      <c r="AH140" s="101" t="str">
        <f t="shared" ca="1" si="48"/>
        <v/>
      </c>
      <c r="AI140" s="101" t="str">
        <f t="shared" si="45"/>
        <v/>
      </c>
      <c r="AJ140" s="59"/>
      <c r="AK140" s="54"/>
      <c r="AL140" s="54" t="str">
        <f t="shared" ca="1" si="46"/>
        <v/>
      </c>
      <c r="AM140" s="53"/>
    </row>
    <row r="141" spans="1:39">
      <c r="A141" s="54"/>
      <c r="B141" s="17"/>
      <c r="C141" s="17"/>
      <c r="D141" s="17"/>
      <c r="E141" s="17"/>
      <c r="F141" s="17"/>
      <c r="G141" s="16"/>
      <c r="H141" s="16"/>
      <c r="I141" s="16"/>
      <c r="J141" s="58"/>
      <c r="K141" s="58"/>
      <c r="L141" s="58"/>
      <c r="M141" s="27"/>
      <c r="N141" s="58"/>
      <c r="O141" s="54">
        <f t="shared" si="42"/>
        <v>0</v>
      </c>
      <c r="P141" s="54">
        <f t="shared" si="43"/>
        <v>0</v>
      </c>
      <c r="Q141" s="54"/>
      <c r="R141" s="54"/>
      <c r="S141" s="57"/>
      <c r="T141" s="57"/>
      <c r="U141" s="71"/>
      <c r="V141" s="56"/>
      <c r="W141" s="17"/>
      <c r="X141" s="23" t="str">
        <f>IFERROR(VLOOKUP(W141,Listas!$A$1:$C$13,2,FALSE),"")</f>
        <v/>
      </c>
      <c r="Y141" s="23" t="str">
        <f>IFERROR(VLOOKUP(W141,Listas!$A$1:$C$13,3,FALSE),"")</f>
        <v/>
      </c>
      <c r="Z141" s="17"/>
      <c r="AA141" s="17"/>
      <c r="AB141" s="23" t="str">
        <f>IFERROR(VLOOKUP(AA141,Listas!$AD$1:$AF$65,2,FALSE),"")</f>
        <v/>
      </c>
      <c r="AC141" s="23" t="str">
        <f>IFERROR(VLOOKUP(AA141,Listas!$AD$1:$AF$65,3,FALSE),"")</f>
        <v/>
      </c>
      <c r="AD141" s="26"/>
      <c r="AE141" s="26"/>
      <c r="AF141" s="100">
        <f t="shared" ca="1" si="44"/>
        <v>100</v>
      </c>
      <c r="AG141" s="100">
        <f t="shared" ca="1" si="47"/>
        <v>100</v>
      </c>
      <c r="AH141" s="101" t="str">
        <f t="shared" ca="1" si="48"/>
        <v/>
      </c>
      <c r="AI141" s="101" t="str">
        <f t="shared" si="45"/>
        <v/>
      </c>
      <c r="AJ141" s="59"/>
      <c r="AK141" s="54"/>
      <c r="AL141" s="54" t="str">
        <f t="shared" ca="1" si="46"/>
        <v/>
      </c>
      <c r="AM141" s="53"/>
    </row>
    <row r="142" spans="1:39">
      <c r="A142" s="54"/>
      <c r="B142" s="17"/>
      <c r="C142" s="17"/>
      <c r="D142" s="17"/>
      <c r="E142" s="17"/>
      <c r="F142" s="17"/>
      <c r="G142" s="16"/>
      <c r="H142" s="16"/>
      <c r="I142" s="16"/>
      <c r="J142" s="58"/>
      <c r="K142" s="58"/>
      <c r="L142" s="58"/>
      <c r="M142" s="27"/>
      <c r="N142" s="58"/>
      <c r="O142" s="54">
        <f t="shared" si="42"/>
        <v>0</v>
      </c>
      <c r="P142" s="54">
        <f t="shared" si="43"/>
        <v>0</v>
      </c>
      <c r="Q142" s="54"/>
      <c r="R142" s="54"/>
      <c r="S142" s="57"/>
      <c r="T142" s="57"/>
      <c r="U142" s="71"/>
      <c r="V142" s="56"/>
      <c r="W142" s="17"/>
      <c r="X142" s="23" t="str">
        <f>IFERROR(VLOOKUP(W142,Listas!$A$1:$C$13,2,FALSE),"")</f>
        <v/>
      </c>
      <c r="Y142" s="23" t="str">
        <f>IFERROR(VLOOKUP(W142,Listas!$A$1:$C$13,3,FALSE),"")</f>
        <v/>
      </c>
      <c r="Z142" s="17"/>
      <c r="AA142" s="17"/>
      <c r="AB142" s="23" t="str">
        <f>IFERROR(VLOOKUP(AA142,Listas!$AD$1:$AF$65,2,FALSE),"")</f>
        <v/>
      </c>
      <c r="AC142" s="23" t="str">
        <f>IFERROR(VLOOKUP(AA142,Listas!$AD$1:$AF$65,3,FALSE),"")</f>
        <v/>
      </c>
      <c r="AD142" s="26"/>
      <c r="AE142" s="26"/>
      <c r="AF142" s="100">
        <f t="shared" ca="1" si="44"/>
        <v>100</v>
      </c>
      <c r="AG142" s="100">
        <f t="shared" ca="1" si="47"/>
        <v>100</v>
      </c>
      <c r="AH142" s="101" t="str">
        <f t="shared" ca="1" si="48"/>
        <v/>
      </c>
      <c r="AI142" s="101" t="str">
        <f t="shared" si="45"/>
        <v/>
      </c>
      <c r="AJ142" s="59"/>
      <c r="AK142" s="54"/>
      <c r="AL142" s="54" t="str">
        <f t="shared" ca="1" si="46"/>
        <v/>
      </c>
      <c r="AM142" s="53"/>
    </row>
    <row r="143" spans="1:39">
      <c r="A143" s="54"/>
      <c r="B143" s="17"/>
      <c r="C143" s="17"/>
      <c r="D143" s="17"/>
      <c r="E143" s="17"/>
      <c r="F143" s="17"/>
      <c r="G143" s="16"/>
      <c r="H143" s="16"/>
      <c r="I143" s="16"/>
      <c r="J143" s="58"/>
      <c r="K143" s="58"/>
      <c r="L143" s="58"/>
      <c r="M143" s="27"/>
      <c r="N143" s="58"/>
      <c r="O143" s="54">
        <f t="shared" si="42"/>
        <v>0</v>
      </c>
      <c r="P143" s="54">
        <f t="shared" si="43"/>
        <v>0</v>
      </c>
      <c r="Q143" s="54"/>
      <c r="R143" s="54"/>
      <c r="S143" s="57"/>
      <c r="T143" s="57"/>
      <c r="U143" s="71"/>
      <c r="V143" s="56"/>
      <c r="W143" s="17"/>
      <c r="X143" s="23" t="str">
        <f>IFERROR(VLOOKUP(W143,Listas!$A$1:$C$13,2,FALSE),"")</f>
        <v/>
      </c>
      <c r="Y143" s="23" t="str">
        <f>IFERROR(VLOOKUP(W143,Listas!$A$1:$C$13,3,FALSE),"")</f>
        <v/>
      </c>
      <c r="Z143" s="17"/>
      <c r="AA143" s="17"/>
      <c r="AB143" s="23" t="str">
        <f>IFERROR(VLOOKUP(AA143,Listas!$AD$1:$AF$65,2,FALSE),"")</f>
        <v/>
      </c>
      <c r="AC143" s="23" t="str">
        <f>IFERROR(VLOOKUP(AA143,Listas!$AD$1:$AF$65,3,FALSE),"")</f>
        <v/>
      </c>
      <c r="AD143" s="26"/>
      <c r="AE143" s="26"/>
      <c r="AF143" s="100">
        <f t="shared" ca="1" si="44"/>
        <v>100</v>
      </c>
      <c r="AG143" s="100">
        <f t="shared" ca="1" si="47"/>
        <v>100</v>
      </c>
      <c r="AH143" s="101" t="str">
        <f t="shared" ca="1" si="48"/>
        <v/>
      </c>
      <c r="AI143" s="101" t="str">
        <f t="shared" si="45"/>
        <v/>
      </c>
      <c r="AJ143" s="59"/>
      <c r="AK143" s="54"/>
      <c r="AL143" s="54" t="str">
        <f t="shared" ca="1" si="46"/>
        <v/>
      </c>
      <c r="AM143" s="53"/>
    </row>
    <row r="144" spans="1:39">
      <c r="A144" s="54"/>
      <c r="B144" s="17"/>
      <c r="C144" s="17"/>
      <c r="D144" s="17"/>
      <c r="E144" s="17"/>
      <c r="F144" s="17"/>
      <c r="G144" s="16"/>
      <c r="H144" s="16"/>
      <c r="I144" s="16"/>
      <c r="J144" s="58"/>
      <c r="K144" s="58"/>
      <c r="L144" s="58"/>
      <c r="M144" s="27"/>
      <c r="N144" s="58"/>
      <c r="O144" s="54">
        <f t="shared" si="42"/>
        <v>0</v>
      </c>
      <c r="P144" s="54">
        <f t="shared" si="43"/>
        <v>0</v>
      </c>
      <c r="Q144" s="54"/>
      <c r="R144" s="54"/>
      <c r="S144" s="57"/>
      <c r="T144" s="57"/>
      <c r="U144" s="71"/>
      <c r="V144" s="56"/>
      <c r="W144" s="17"/>
      <c r="X144" s="23" t="str">
        <f>IFERROR(VLOOKUP(W144,Listas!$A$1:$C$13,2,FALSE),"")</f>
        <v/>
      </c>
      <c r="Y144" s="23" t="str">
        <f>IFERROR(VLOOKUP(W144,Listas!$A$1:$C$13,3,FALSE),"")</f>
        <v/>
      </c>
      <c r="Z144" s="17"/>
      <c r="AA144" s="17"/>
      <c r="AB144" s="23" t="str">
        <f>IFERROR(VLOOKUP(AA144,Listas!$AD$1:$AF$65,2,FALSE),"")</f>
        <v/>
      </c>
      <c r="AC144" s="23" t="str">
        <f>IFERROR(VLOOKUP(AA144,Listas!$AD$1:$AF$65,3,FALSE),"")</f>
        <v/>
      </c>
      <c r="AD144" s="26"/>
      <c r="AE144" s="26"/>
      <c r="AF144" s="100">
        <f t="shared" ca="1" si="44"/>
        <v>100</v>
      </c>
      <c r="AG144" s="100">
        <f t="shared" ca="1" si="47"/>
        <v>100</v>
      </c>
      <c r="AH144" s="101" t="str">
        <f t="shared" ca="1" si="48"/>
        <v/>
      </c>
      <c r="AI144" s="101" t="str">
        <f t="shared" si="45"/>
        <v/>
      </c>
      <c r="AJ144" s="59"/>
      <c r="AK144" s="54"/>
      <c r="AL144" s="54" t="str">
        <f t="shared" ca="1" si="46"/>
        <v/>
      </c>
      <c r="AM144" s="53"/>
    </row>
    <row r="145" spans="1:39">
      <c r="A145" s="54"/>
      <c r="B145" s="17"/>
      <c r="C145" s="17"/>
      <c r="D145" s="17"/>
      <c r="E145" s="17"/>
      <c r="F145" s="17"/>
      <c r="G145" s="16"/>
      <c r="H145" s="16"/>
      <c r="I145" s="16"/>
      <c r="J145" s="58"/>
      <c r="K145" s="58"/>
      <c r="L145" s="58"/>
      <c r="M145" s="27"/>
      <c r="N145" s="58"/>
      <c r="O145" s="54">
        <f t="shared" si="42"/>
        <v>0</v>
      </c>
      <c r="P145" s="54">
        <f t="shared" si="43"/>
        <v>0</v>
      </c>
      <c r="Q145" s="54"/>
      <c r="R145" s="54"/>
      <c r="S145" s="57"/>
      <c r="T145" s="57"/>
      <c r="U145" s="71"/>
      <c r="V145" s="56"/>
      <c r="W145" s="17"/>
      <c r="X145" s="23" t="str">
        <f>IFERROR(VLOOKUP(W145,Listas!$A$1:$C$13,2,FALSE),"")</f>
        <v/>
      </c>
      <c r="Y145" s="23" t="str">
        <f>IFERROR(VLOOKUP(W145,Listas!$A$1:$C$13,3,FALSE),"")</f>
        <v/>
      </c>
      <c r="Z145" s="17"/>
      <c r="AA145" s="17"/>
      <c r="AB145" s="23" t="str">
        <f>IFERROR(VLOOKUP(AA145,Listas!$AD$1:$AF$65,2,FALSE),"")</f>
        <v/>
      </c>
      <c r="AC145" s="23" t="str">
        <f>IFERROR(VLOOKUP(AA145,Listas!$AD$1:$AF$65,3,FALSE),"")</f>
        <v/>
      </c>
      <c r="AD145" s="26"/>
      <c r="AE145" s="26"/>
      <c r="AF145" s="100">
        <f t="shared" ca="1" si="44"/>
        <v>100</v>
      </c>
      <c r="AG145" s="100">
        <f t="shared" ca="1" si="47"/>
        <v>100</v>
      </c>
      <c r="AH145" s="101" t="str">
        <f t="shared" ca="1" si="48"/>
        <v/>
      </c>
      <c r="AI145" s="101" t="str">
        <f t="shared" si="45"/>
        <v/>
      </c>
      <c r="AJ145" s="59"/>
      <c r="AK145" s="54"/>
      <c r="AL145" s="54" t="str">
        <f t="shared" ca="1" si="46"/>
        <v/>
      </c>
      <c r="AM145" s="53"/>
    </row>
    <row r="146" spans="1:39">
      <c r="A146" s="54"/>
      <c r="B146" s="17"/>
      <c r="C146" s="17"/>
      <c r="D146" s="17"/>
      <c r="E146" s="17"/>
      <c r="F146" s="17"/>
      <c r="G146" s="16"/>
      <c r="H146" s="16"/>
      <c r="I146" s="16"/>
      <c r="J146" s="58"/>
      <c r="K146" s="58"/>
      <c r="L146" s="58"/>
      <c r="M146" s="27"/>
      <c r="N146" s="58"/>
      <c r="O146" s="54">
        <f t="shared" si="42"/>
        <v>0</v>
      </c>
      <c r="P146" s="54">
        <f t="shared" si="43"/>
        <v>0</v>
      </c>
      <c r="Q146" s="54"/>
      <c r="R146" s="54"/>
      <c r="S146" s="57"/>
      <c r="T146" s="57"/>
      <c r="U146" s="71"/>
      <c r="V146" s="56"/>
      <c r="W146" s="17"/>
      <c r="X146" s="23" t="str">
        <f>IFERROR(VLOOKUP(W146,Listas!$A$1:$C$13,2,FALSE),"")</f>
        <v/>
      </c>
      <c r="Y146" s="23" t="str">
        <f>IFERROR(VLOOKUP(W146,Listas!$A$1:$C$13,3,FALSE),"")</f>
        <v/>
      </c>
      <c r="Z146" s="17"/>
      <c r="AA146" s="17"/>
      <c r="AB146" s="23" t="str">
        <f>IFERROR(VLOOKUP(AA146,Listas!$AD$1:$AF$65,2,FALSE),"")</f>
        <v/>
      </c>
      <c r="AC146" s="23" t="str">
        <f>IFERROR(VLOOKUP(AA146,Listas!$AD$1:$AF$65,3,FALSE),"")</f>
        <v/>
      </c>
      <c r="AD146" s="26"/>
      <c r="AE146" s="26"/>
      <c r="AF146" s="100">
        <f t="shared" ca="1" si="44"/>
        <v>100</v>
      </c>
      <c r="AG146" s="100">
        <f t="shared" ca="1" si="47"/>
        <v>100</v>
      </c>
      <c r="AH146" s="101" t="str">
        <f t="shared" ca="1" si="48"/>
        <v/>
      </c>
      <c r="AI146" s="101" t="str">
        <f t="shared" si="45"/>
        <v/>
      </c>
      <c r="AJ146" s="59"/>
      <c r="AK146" s="54"/>
      <c r="AL146" s="54" t="str">
        <f t="shared" ca="1" si="46"/>
        <v/>
      </c>
      <c r="AM146" s="53"/>
    </row>
    <row r="147" spans="1:39">
      <c r="A147" s="54"/>
      <c r="B147" s="17"/>
      <c r="C147" s="17"/>
      <c r="D147" s="17"/>
      <c r="E147" s="17"/>
      <c r="F147" s="17"/>
      <c r="G147" s="16"/>
      <c r="H147" s="16"/>
      <c r="I147" s="16"/>
      <c r="J147" s="58"/>
      <c r="K147" s="58"/>
      <c r="L147" s="58"/>
      <c r="M147" s="27"/>
      <c r="N147" s="58"/>
      <c r="O147" s="54">
        <f t="shared" si="42"/>
        <v>0</v>
      </c>
      <c r="P147" s="54">
        <f t="shared" si="43"/>
        <v>0</v>
      </c>
      <c r="Q147" s="54"/>
      <c r="R147" s="54"/>
      <c r="S147" s="57"/>
      <c r="T147" s="57"/>
      <c r="U147" s="71"/>
      <c r="V147" s="56"/>
      <c r="W147" s="17"/>
      <c r="X147" s="23" t="str">
        <f>IFERROR(VLOOKUP(W147,Listas!$A$1:$C$13,2,FALSE),"")</f>
        <v/>
      </c>
      <c r="Y147" s="23" t="str">
        <f>IFERROR(VLOOKUP(W147,Listas!$A$1:$C$13,3,FALSE),"")</f>
        <v/>
      </c>
      <c r="Z147" s="17"/>
      <c r="AA147" s="17"/>
      <c r="AB147" s="23" t="str">
        <f>IFERROR(VLOOKUP(AA147,Listas!$AD$1:$AF$65,2,FALSE),"")</f>
        <v/>
      </c>
      <c r="AC147" s="23" t="str">
        <f>IFERROR(VLOOKUP(AA147,Listas!$AD$1:$AF$65,3,FALSE),"")</f>
        <v/>
      </c>
      <c r="AD147" s="26"/>
      <c r="AE147" s="26"/>
      <c r="AF147" s="100">
        <f t="shared" ca="1" si="44"/>
        <v>100</v>
      </c>
      <c r="AG147" s="100">
        <f t="shared" ca="1" si="47"/>
        <v>100</v>
      </c>
      <c r="AH147" s="101" t="str">
        <f t="shared" ca="1" si="48"/>
        <v/>
      </c>
      <c r="AI147" s="101" t="str">
        <f t="shared" si="45"/>
        <v/>
      </c>
      <c r="AJ147" s="59"/>
      <c r="AK147" s="54"/>
      <c r="AL147" s="54" t="str">
        <f t="shared" ca="1" si="46"/>
        <v/>
      </c>
      <c r="AM147" s="53"/>
    </row>
    <row r="148" spans="1:39">
      <c r="A148" s="54"/>
      <c r="B148" s="17"/>
      <c r="C148" s="17"/>
      <c r="D148" s="17"/>
      <c r="E148" s="17"/>
      <c r="F148" s="17"/>
      <c r="G148" s="16"/>
      <c r="H148" s="16"/>
      <c r="I148" s="16"/>
      <c r="J148" s="58"/>
      <c r="K148" s="58"/>
      <c r="L148" s="58"/>
      <c r="M148" s="27"/>
      <c r="N148" s="58"/>
      <c r="O148" s="54">
        <f t="shared" si="42"/>
        <v>0</v>
      </c>
      <c r="P148" s="54">
        <f t="shared" si="43"/>
        <v>0</v>
      </c>
      <c r="Q148" s="54"/>
      <c r="R148" s="54"/>
      <c r="S148" s="57"/>
      <c r="T148" s="57"/>
      <c r="U148" s="71"/>
      <c r="V148" s="56"/>
      <c r="W148" s="17"/>
      <c r="X148" s="23" t="str">
        <f>IFERROR(VLOOKUP(W148,Listas!$A$1:$C$13,2,FALSE),"")</f>
        <v/>
      </c>
      <c r="Y148" s="23" t="str">
        <f>IFERROR(VLOOKUP(W148,Listas!$A$1:$C$13,3,FALSE),"")</f>
        <v/>
      </c>
      <c r="Z148" s="17"/>
      <c r="AA148" s="17"/>
      <c r="AB148" s="23" t="str">
        <f>IFERROR(VLOOKUP(AA148,Listas!$AD$1:$AF$65,2,FALSE),"")</f>
        <v/>
      </c>
      <c r="AC148" s="23" t="str">
        <f>IFERROR(VLOOKUP(AA148,Listas!$AD$1:$AF$65,3,FALSE),"")</f>
        <v/>
      </c>
      <c r="AD148" s="26"/>
      <c r="AE148" s="26"/>
      <c r="AF148" s="100">
        <f t="shared" ca="1" si="44"/>
        <v>100</v>
      </c>
      <c r="AG148" s="100">
        <f t="shared" ca="1" si="47"/>
        <v>100</v>
      </c>
      <c r="AH148" s="101" t="str">
        <f t="shared" ca="1" si="48"/>
        <v/>
      </c>
      <c r="AI148" s="101" t="str">
        <f t="shared" si="45"/>
        <v/>
      </c>
      <c r="AJ148" s="59"/>
      <c r="AK148" s="54"/>
      <c r="AL148" s="54" t="str">
        <f t="shared" ca="1" si="46"/>
        <v/>
      </c>
      <c r="AM148" s="53"/>
    </row>
    <row r="149" spans="1:39">
      <c r="A149" s="54"/>
      <c r="B149" s="17"/>
      <c r="C149" s="17"/>
      <c r="D149" s="17"/>
      <c r="E149" s="17"/>
      <c r="F149" s="17"/>
      <c r="G149" s="16"/>
      <c r="H149" s="16"/>
      <c r="I149" s="16"/>
      <c r="J149" s="58"/>
      <c r="K149" s="58"/>
      <c r="L149" s="58"/>
      <c r="M149" s="27"/>
      <c r="N149" s="58"/>
      <c r="O149" s="54">
        <f t="shared" si="42"/>
        <v>0</v>
      </c>
      <c r="P149" s="54">
        <f t="shared" si="43"/>
        <v>0</v>
      </c>
      <c r="Q149" s="54"/>
      <c r="R149" s="54"/>
      <c r="S149" s="57"/>
      <c r="T149" s="57"/>
      <c r="U149" s="71"/>
      <c r="V149" s="56"/>
      <c r="W149" s="17"/>
      <c r="X149" s="23" t="str">
        <f>IFERROR(VLOOKUP(W149,Listas!$A$1:$C$13,2,FALSE),"")</f>
        <v/>
      </c>
      <c r="Y149" s="23" t="str">
        <f>IFERROR(VLOOKUP(W149,Listas!$A$1:$C$13,3,FALSE),"")</f>
        <v/>
      </c>
      <c r="Z149" s="17"/>
      <c r="AA149" s="17"/>
      <c r="AB149" s="23" t="str">
        <f>IFERROR(VLOOKUP(AA149,Listas!$AD$1:$AF$65,2,FALSE),"")</f>
        <v/>
      </c>
      <c r="AC149" s="23" t="str">
        <f>IFERROR(VLOOKUP(AA149,Listas!$AD$1:$AF$65,3,FALSE),"")</f>
        <v/>
      </c>
      <c r="AD149" s="26"/>
      <c r="AE149" s="26"/>
      <c r="AF149" s="100">
        <f t="shared" ca="1" si="44"/>
        <v>100</v>
      </c>
      <c r="AG149" s="100">
        <f t="shared" ca="1" si="47"/>
        <v>100</v>
      </c>
      <c r="AH149" s="101" t="str">
        <f t="shared" ca="1" si="48"/>
        <v/>
      </c>
      <c r="AI149" s="101" t="str">
        <f t="shared" si="45"/>
        <v/>
      </c>
      <c r="AJ149" s="59"/>
      <c r="AK149" s="54"/>
      <c r="AL149" s="54" t="str">
        <f t="shared" ca="1" si="46"/>
        <v/>
      </c>
      <c r="AM149" s="53"/>
    </row>
    <row r="150" spans="1:39">
      <c r="A150" s="54"/>
      <c r="B150" s="17"/>
      <c r="C150" s="17"/>
      <c r="D150" s="17"/>
      <c r="E150" s="17"/>
      <c r="F150" s="17"/>
      <c r="G150" s="16"/>
      <c r="H150" s="16"/>
      <c r="I150" s="16"/>
      <c r="J150" s="58"/>
      <c r="K150" s="58"/>
      <c r="L150" s="58"/>
      <c r="M150" s="27"/>
      <c r="N150" s="58"/>
      <c r="O150" s="54">
        <f t="shared" si="42"/>
        <v>0</v>
      </c>
      <c r="P150" s="54">
        <f t="shared" si="43"/>
        <v>0</v>
      </c>
      <c r="Q150" s="54"/>
      <c r="R150" s="54"/>
      <c r="S150" s="57"/>
      <c r="T150" s="57"/>
      <c r="U150" s="71"/>
      <c r="V150" s="56"/>
      <c r="W150" s="17"/>
      <c r="X150" s="23" t="str">
        <f>IFERROR(VLOOKUP(W150,Listas!$A$1:$C$13,2,FALSE),"")</f>
        <v/>
      </c>
      <c r="Y150" s="23" t="str">
        <f>IFERROR(VLOOKUP(W150,Listas!$A$1:$C$13,3,FALSE),"")</f>
        <v/>
      </c>
      <c r="Z150" s="17"/>
      <c r="AA150" s="17"/>
      <c r="AB150" s="23" t="str">
        <f>IFERROR(VLOOKUP(AA150,Listas!$AD$1:$AF$65,2,FALSE),"")</f>
        <v/>
      </c>
      <c r="AC150" s="23" t="str">
        <f>IFERROR(VLOOKUP(AA150,Listas!$AD$1:$AF$65,3,FALSE),"")</f>
        <v/>
      </c>
      <c r="AD150" s="26"/>
      <c r="AE150" s="26"/>
      <c r="AF150" s="100">
        <f t="shared" ca="1" si="44"/>
        <v>100</v>
      </c>
      <c r="AG150" s="100">
        <f t="shared" ca="1" si="47"/>
        <v>100</v>
      </c>
      <c r="AH150" s="101" t="str">
        <f t="shared" ca="1" si="48"/>
        <v/>
      </c>
      <c r="AI150" s="101" t="str">
        <f t="shared" si="45"/>
        <v/>
      </c>
      <c r="AJ150" s="59"/>
      <c r="AK150" s="54"/>
      <c r="AL150" s="54" t="str">
        <f t="shared" ca="1" si="46"/>
        <v/>
      </c>
      <c r="AM150" s="53"/>
    </row>
    <row r="151" spans="1:39">
      <c r="A151" s="54"/>
      <c r="B151" s="17"/>
      <c r="C151" s="17"/>
      <c r="D151" s="17"/>
      <c r="E151" s="17"/>
      <c r="F151" s="17"/>
      <c r="G151" s="16"/>
      <c r="H151" s="16"/>
      <c r="I151" s="16"/>
      <c r="J151" s="58"/>
      <c r="K151" s="58"/>
      <c r="L151" s="58"/>
      <c r="M151" s="27"/>
      <c r="N151" s="58"/>
      <c r="O151" s="54">
        <f t="shared" si="42"/>
        <v>0</v>
      </c>
      <c r="P151" s="54">
        <f t="shared" si="43"/>
        <v>0</v>
      </c>
      <c r="Q151" s="54"/>
      <c r="R151" s="54"/>
      <c r="S151" s="57"/>
      <c r="T151" s="57"/>
      <c r="U151" s="71"/>
      <c r="V151" s="56"/>
      <c r="W151" s="17"/>
      <c r="X151" s="23" t="str">
        <f>IFERROR(VLOOKUP(W151,Listas!$A$1:$C$13,2,FALSE),"")</f>
        <v/>
      </c>
      <c r="Y151" s="23" t="str">
        <f>IFERROR(VLOOKUP(W151,Listas!$A$1:$C$13,3,FALSE),"")</f>
        <v/>
      </c>
      <c r="Z151" s="17"/>
      <c r="AA151" s="17"/>
      <c r="AB151" s="23" t="str">
        <f>IFERROR(VLOOKUP(AA151,Listas!$AD$1:$AF$65,2,FALSE),"")</f>
        <v/>
      </c>
      <c r="AC151" s="23" t="str">
        <f>IFERROR(VLOOKUP(AA151,Listas!$AD$1:$AF$65,3,FALSE),"")</f>
        <v/>
      </c>
      <c r="AD151" s="26"/>
      <c r="AE151" s="26"/>
      <c r="AF151" s="100">
        <f t="shared" ca="1" si="44"/>
        <v>100</v>
      </c>
      <c r="AG151" s="100">
        <f t="shared" ca="1" si="47"/>
        <v>100</v>
      </c>
      <c r="AH151" s="101" t="str">
        <f t="shared" ca="1" si="48"/>
        <v/>
      </c>
      <c r="AI151" s="101" t="str">
        <f t="shared" si="45"/>
        <v/>
      </c>
      <c r="AJ151" s="59"/>
      <c r="AK151" s="54"/>
      <c r="AL151" s="54" t="str">
        <f t="shared" ca="1" si="46"/>
        <v/>
      </c>
      <c r="AM151" s="53"/>
    </row>
    <row r="152" spans="1:39">
      <c r="A152" s="54"/>
      <c r="B152" s="17"/>
      <c r="C152" s="17"/>
      <c r="D152" s="17"/>
      <c r="E152" s="17"/>
      <c r="F152" s="17"/>
      <c r="G152" s="16"/>
      <c r="H152" s="16"/>
      <c r="I152" s="16"/>
      <c r="J152" s="58"/>
      <c r="K152" s="58"/>
      <c r="L152" s="58"/>
      <c r="M152" s="27"/>
      <c r="N152" s="58"/>
      <c r="O152" s="54">
        <f t="shared" si="42"/>
        <v>0</v>
      </c>
      <c r="P152" s="54">
        <f t="shared" si="43"/>
        <v>0</v>
      </c>
      <c r="Q152" s="54"/>
      <c r="R152" s="54"/>
      <c r="S152" s="57"/>
      <c r="T152" s="57"/>
      <c r="U152" s="71"/>
      <c r="V152" s="56"/>
      <c r="W152" s="17"/>
      <c r="X152" s="23" t="str">
        <f>IFERROR(VLOOKUP(W152,Listas!$A$1:$C$13,2,FALSE),"")</f>
        <v/>
      </c>
      <c r="Y152" s="23" t="str">
        <f>IFERROR(VLOOKUP(W152,Listas!$A$1:$C$13,3,FALSE),"")</f>
        <v/>
      </c>
      <c r="Z152" s="17"/>
      <c r="AA152" s="17"/>
      <c r="AB152" s="23" t="str">
        <f>IFERROR(VLOOKUP(AA152,Listas!$AD$1:$AF$65,2,FALSE),"")</f>
        <v/>
      </c>
      <c r="AC152" s="23" t="str">
        <f>IFERROR(VLOOKUP(AA152,Listas!$AD$1:$AF$65,3,FALSE),"")</f>
        <v/>
      </c>
      <c r="AD152" s="26"/>
      <c r="AE152" s="26"/>
      <c r="AF152" s="100">
        <f t="shared" ca="1" si="44"/>
        <v>100</v>
      </c>
      <c r="AG152" s="100">
        <f t="shared" ca="1" si="47"/>
        <v>100</v>
      </c>
      <c r="AH152" s="101" t="str">
        <f t="shared" ca="1" si="48"/>
        <v/>
      </c>
      <c r="AI152" s="101" t="str">
        <f t="shared" si="45"/>
        <v/>
      </c>
      <c r="AJ152" s="59"/>
      <c r="AK152" s="54"/>
      <c r="AL152" s="54" t="str">
        <f t="shared" ca="1" si="46"/>
        <v/>
      </c>
      <c r="AM152" s="53"/>
    </row>
    <row r="153" spans="1:39">
      <c r="A153" s="54"/>
      <c r="B153" s="17"/>
      <c r="C153" s="17"/>
      <c r="D153" s="17"/>
      <c r="E153" s="17"/>
      <c r="F153" s="17"/>
      <c r="G153" s="16"/>
      <c r="H153" s="16"/>
      <c r="I153" s="16"/>
      <c r="J153" s="58"/>
      <c r="K153" s="58"/>
      <c r="L153" s="58"/>
      <c r="M153" s="27"/>
      <c r="N153" s="58"/>
      <c r="O153" s="54">
        <f t="shared" si="42"/>
        <v>0</v>
      </c>
      <c r="P153" s="54">
        <f t="shared" si="43"/>
        <v>0</v>
      </c>
      <c r="Q153" s="54"/>
      <c r="R153" s="54"/>
      <c r="S153" s="57"/>
      <c r="T153" s="57"/>
      <c r="U153" s="71"/>
      <c r="V153" s="56"/>
      <c r="W153" s="17"/>
      <c r="X153" s="23" t="str">
        <f>IFERROR(VLOOKUP(W153,Listas!$A$1:$C$13,2,FALSE),"")</f>
        <v/>
      </c>
      <c r="Y153" s="23" t="str">
        <f>IFERROR(VLOOKUP(W153,Listas!$A$1:$C$13,3,FALSE),"")</f>
        <v/>
      </c>
      <c r="Z153" s="17"/>
      <c r="AA153" s="17"/>
      <c r="AB153" s="23" t="str">
        <f>IFERROR(VLOOKUP(AA153,Listas!$AD$1:$AF$65,2,FALSE),"")</f>
        <v/>
      </c>
      <c r="AC153" s="23" t="str">
        <f>IFERROR(VLOOKUP(AA153,Listas!$AD$1:$AF$65,3,FALSE),"")</f>
        <v/>
      </c>
      <c r="AD153" s="26"/>
      <c r="AE153" s="26"/>
      <c r="AF153" s="100">
        <f t="shared" ca="1" si="44"/>
        <v>100</v>
      </c>
      <c r="AG153" s="100">
        <f t="shared" ca="1" si="47"/>
        <v>100</v>
      </c>
      <c r="AH153" s="101" t="str">
        <f t="shared" ca="1" si="48"/>
        <v/>
      </c>
      <c r="AI153" s="101" t="str">
        <f t="shared" si="45"/>
        <v/>
      </c>
      <c r="AJ153" s="59"/>
      <c r="AK153" s="54"/>
      <c r="AL153" s="54" t="str">
        <f t="shared" ca="1" si="46"/>
        <v/>
      </c>
      <c r="AM153" s="53"/>
    </row>
    <row r="154" spans="1:39">
      <c r="A154" s="54"/>
      <c r="B154" s="17"/>
      <c r="C154" s="17"/>
      <c r="D154" s="17"/>
      <c r="E154" s="17"/>
      <c r="F154" s="17"/>
      <c r="G154" s="16"/>
      <c r="H154" s="16"/>
      <c r="I154" s="16"/>
      <c r="J154" s="58"/>
      <c r="K154" s="58"/>
      <c r="L154" s="58"/>
      <c r="M154" s="27"/>
      <c r="N154" s="58"/>
      <c r="O154" s="54">
        <f t="shared" si="42"/>
        <v>0</v>
      </c>
      <c r="P154" s="54">
        <f t="shared" si="43"/>
        <v>0</v>
      </c>
      <c r="Q154" s="54"/>
      <c r="R154" s="54"/>
      <c r="S154" s="57"/>
      <c r="T154" s="57"/>
      <c r="U154" s="71"/>
      <c r="V154" s="56"/>
      <c r="W154" s="17"/>
      <c r="X154" s="23" t="str">
        <f>IFERROR(VLOOKUP(W154,Listas!$A$1:$C$13,2,FALSE),"")</f>
        <v/>
      </c>
      <c r="Y154" s="23" t="str">
        <f>IFERROR(VLOOKUP(W154,Listas!$A$1:$C$13,3,FALSE),"")</f>
        <v/>
      </c>
      <c r="Z154" s="17"/>
      <c r="AA154" s="17"/>
      <c r="AB154" s="23" t="str">
        <f>IFERROR(VLOOKUP(AA154,Listas!$AD$1:$AF$65,2,FALSE),"")</f>
        <v/>
      </c>
      <c r="AC154" s="23" t="str">
        <f>IFERROR(VLOOKUP(AA154,Listas!$AD$1:$AF$65,3,FALSE),"")</f>
        <v/>
      </c>
      <c r="AD154" s="26"/>
      <c r="AE154" s="26"/>
      <c r="AF154" s="100">
        <f t="shared" ca="1" si="44"/>
        <v>100</v>
      </c>
      <c r="AG154" s="100">
        <f t="shared" ca="1" si="47"/>
        <v>100</v>
      </c>
      <c r="AH154" s="101" t="str">
        <f t="shared" ca="1" si="48"/>
        <v/>
      </c>
      <c r="AI154" s="101" t="str">
        <f t="shared" si="45"/>
        <v/>
      </c>
      <c r="AJ154" s="59"/>
      <c r="AK154" s="54"/>
      <c r="AL154" s="54" t="str">
        <f t="shared" ca="1" si="46"/>
        <v/>
      </c>
      <c r="AM154" s="53"/>
    </row>
    <row r="155" spans="1:39">
      <c r="A155" s="54"/>
      <c r="B155" s="17"/>
      <c r="C155" s="17"/>
      <c r="D155" s="17"/>
      <c r="E155" s="17"/>
      <c r="F155" s="17"/>
      <c r="G155" s="16"/>
      <c r="H155" s="16"/>
      <c r="I155" s="16"/>
      <c r="J155" s="58"/>
      <c r="K155" s="58"/>
      <c r="L155" s="58"/>
      <c r="M155" s="27"/>
      <c r="N155" s="58"/>
      <c r="O155" s="54">
        <f t="shared" si="42"/>
        <v>0</v>
      </c>
      <c r="P155" s="54">
        <f t="shared" si="43"/>
        <v>0</v>
      </c>
      <c r="Q155" s="54"/>
      <c r="R155" s="54"/>
      <c r="S155" s="57"/>
      <c r="T155" s="57"/>
      <c r="U155" s="71"/>
      <c r="V155" s="56"/>
      <c r="W155" s="17"/>
      <c r="X155" s="23" t="str">
        <f>IFERROR(VLOOKUP(W155,Listas!$A$1:$C$13,2,FALSE),"")</f>
        <v/>
      </c>
      <c r="Y155" s="23" t="str">
        <f>IFERROR(VLOOKUP(W155,Listas!$A$1:$C$13,3,FALSE),"")</f>
        <v/>
      </c>
      <c r="Z155" s="17"/>
      <c r="AA155" s="17"/>
      <c r="AB155" s="23" t="str">
        <f>IFERROR(VLOOKUP(AA155,Listas!$AD$1:$AF$65,2,FALSE),"")</f>
        <v/>
      </c>
      <c r="AC155" s="23" t="str">
        <f>IFERROR(VLOOKUP(AA155,Listas!$AD$1:$AF$65,3,FALSE),"")</f>
        <v/>
      </c>
      <c r="AD155" s="26"/>
      <c r="AE155" s="26"/>
      <c r="AF155" s="100">
        <f t="shared" ca="1" si="44"/>
        <v>100</v>
      </c>
      <c r="AG155" s="100">
        <f t="shared" ca="1" si="47"/>
        <v>100</v>
      </c>
      <c r="AH155" s="101" t="str">
        <f t="shared" ca="1" si="48"/>
        <v/>
      </c>
      <c r="AI155" s="101" t="str">
        <f t="shared" si="45"/>
        <v/>
      </c>
      <c r="AJ155" s="59"/>
      <c r="AK155" s="54"/>
      <c r="AL155" s="54" t="str">
        <f t="shared" ca="1" si="46"/>
        <v/>
      </c>
      <c r="AM155" s="53"/>
    </row>
    <row r="156" spans="1:39">
      <c r="A156" s="54"/>
      <c r="B156" s="17"/>
      <c r="C156" s="17"/>
      <c r="D156" s="17"/>
      <c r="E156" s="17"/>
      <c r="F156" s="17"/>
      <c r="G156" s="16"/>
      <c r="H156" s="16"/>
      <c r="I156" s="16"/>
      <c r="J156" s="58"/>
      <c r="K156" s="58"/>
      <c r="L156" s="58"/>
      <c r="M156" s="27"/>
      <c r="N156" s="58"/>
      <c r="O156" s="54">
        <f t="shared" si="42"/>
        <v>0</v>
      </c>
      <c r="P156" s="54">
        <f t="shared" si="43"/>
        <v>0</v>
      </c>
      <c r="Q156" s="54"/>
      <c r="R156" s="54"/>
      <c r="S156" s="57"/>
      <c r="T156" s="57"/>
      <c r="U156" s="71"/>
      <c r="V156" s="56"/>
      <c r="W156" s="17"/>
      <c r="X156" s="23" t="str">
        <f>IFERROR(VLOOKUP(W156,Listas!$A$1:$C$13,2,FALSE),"")</f>
        <v/>
      </c>
      <c r="Y156" s="23" t="str">
        <f>IFERROR(VLOOKUP(W156,Listas!$A$1:$C$13,3,FALSE),"")</f>
        <v/>
      </c>
      <c r="Z156" s="17"/>
      <c r="AA156" s="17"/>
      <c r="AB156" s="23" t="str">
        <f>IFERROR(VLOOKUP(AA156,Listas!$AD$1:$AF$65,2,FALSE),"")</f>
        <v/>
      </c>
      <c r="AC156" s="23" t="str">
        <f>IFERROR(VLOOKUP(AA156,Listas!$AD$1:$AF$65,3,FALSE),"")</f>
        <v/>
      </c>
      <c r="AD156" s="26"/>
      <c r="AE156" s="26"/>
      <c r="AF156" s="100">
        <f t="shared" ca="1" si="44"/>
        <v>100</v>
      </c>
      <c r="AG156" s="100">
        <f t="shared" ca="1" si="47"/>
        <v>100</v>
      </c>
      <c r="AH156" s="101" t="str">
        <f t="shared" ca="1" si="48"/>
        <v/>
      </c>
      <c r="AI156" s="101" t="str">
        <f t="shared" si="45"/>
        <v/>
      </c>
      <c r="AJ156" s="59"/>
      <c r="AK156" s="54"/>
      <c r="AL156" s="54" t="str">
        <f t="shared" ca="1" si="46"/>
        <v/>
      </c>
      <c r="AM156" s="53"/>
    </row>
    <row r="157" spans="1:39">
      <c r="A157" s="54"/>
      <c r="B157" s="17"/>
      <c r="C157" s="17"/>
      <c r="D157" s="17"/>
      <c r="E157" s="17"/>
      <c r="F157" s="17"/>
      <c r="G157" s="16"/>
      <c r="H157" s="16"/>
      <c r="I157" s="16"/>
      <c r="J157" s="58"/>
      <c r="K157" s="58"/>
      <c r="L157" s="58"/>
      <c r="M157" s="27"/>
      <c r="N157" s="58"/>
      <c r="O157" s="54">
        <f t="shared" si="42"/>
        <v>0</v>
      </c>
      <c r="P157" s="54">
        <f t="shared" si="43"/>
        <v>0</v>
      </c>
      <c r="Q157" s="54"/>
      <c r="R157" s="54"/>
      <c r="S157" s="57"/>
      <c r="T157" s="57"/>
      <c r="U157" s="71"/>
      <c r="V157" s="56"/>
      <c r="W157" s="17"/>
      <c r="X157" s="23" t="str">
        <f>IFERROR(VLOOKUP(W157,Listas!$A$1:$C$13,2,FALSE),"")</f>
        <v/>
      </c>
      <c r="Y157" s="23" t="str">
        <f>IFERROR(VLOOKUP(W157,Listas!$A$1:$C$13,3,FALSE),"")</f>
        <v/>
      </c>
      <c r="Z157" s="17"/>
      <c r="AA157" s="17"/>
      <c r="AB157" s="23" t="str">
        <f>IFERROR(VLOOKUP(AA157,Listas!$AD$1:$AF$65,2,FALSE),"")</f>
        <v/>
      </c>
      <c r="AC157" s="23" t="str">
        <f>IFERROR(VLOOKUP(AA157,Listas!$AD$1:$AF$65,3,FALSE),"")</f>
        <v/>
      </c>
      <c r="AD157" s="26"/>
      <c r="AE157" s="26"/>
      <c r="AF157" s="100">
        <f t="shared" ca="1" si="44"/>
        <v>100</v>
      </c>
      <c r="AG157" s="100">
        <f t="shared" ca="1" si="47"/>
        <v>100</v>
      </c>
      <c r="AH157" s="101" t="str">
        <f t="shared" ca="1" si="48"/>
        <v/>
      </c>
      <c r="AI157" s="101" t="str">
        <f t="shared" si="45"/>
        <v/>
      </c>
      <c r="AJ157" s="59"/>
      <c r="AK157" s="54"/>
      <c r="AL157" s="54" t="str">
        <f t="shared" ca="1" si="46"/>
        <v/>
      </c>
      <c r="AM157" s="53"/>
    </row>
    <row r="158" spans="1:39">
      <c r="A158" s="54"/>
      <c r="B158" s="17"/>
      <c r="C158" s="17"/>
      <c r="D158" s="17"/>
      <c r="E158" s="17"/>
      <c r="F158" s="17"/>
      <c r="G158" s="16"/>
      <c r="H158" s="16"/>
      <c r="I158" s="16"/>
      <c r="J158" s="58"/>
      <c r="K158" s="58"/>
      <c r="L158" s="58"/>
      <c r="M158" s="27"/>
      <c r="N158" s="58"/>
      <c r="O158" s="54">
        <f t="shared" si="42"/>
        <v>0</v>
      </c>
      <c r="P158" s="54">
        <f t="shared" si="43"/>
        <v>0</v>
      </c>
      <c r="Q158" s="54"/>
      <c r="R158" s="54"/>
      <c r="S158" s="57"/>
      <c r="T158" s="57"/>
      <c r="U158" s="71"/>
      <c r="V158" s="56"/>
      <c r="W158" s="17"/>
      <c r="X158" s="23" t="str">
        <f>IFERROR(VLOOKUP(W158,Listas!$A$1:$C$13,2,FALSE),"")</f>
        <v/>
      </c>
      <c r="Y158" s="23" t="str">
        <f>IFERROR(VLOOKUP(W158,Listas!$A$1:$C$13,3,FALSE),"")</f>
        <v/>
      </c>
      <c r="Z158" s="17"/>
      <c r="AA158" s="17"/>
      <c r="AB158" s="23" t="str">
        <f>IFERROR(VLOOKUP(AA158,Listas!$AD$1:$AF$65,2,FALSE),"")</f>
        <v/>
      </c>
      <c r="AC158" s="23" t="str">
        <f>IFERROR(VLOOKUP(AA158,Listas!$AD$1:$AF$65,3,FALSE),"")</f>
        <v/>
      </c>
      <c r="AD158" s="26"/>
      <c r="AE158" s="26"/>
      <c r="AF158" s="100">
        <f t="shared" ca="1" si="44"/>
        <v>100</v>
      </c>
      <c r="AG158" s="100">
        <f t="shared" ca="1" si="47"/>
        <v>100</v>
      </c>
      <c r="AH158" s="101" t="str">
        <f t="shared" ca="1" si="48"/>
        <v/>
      </c>
      <c r="AI158" s="101" t="str">
        <f t="shared" si="45"/>
        <v/>
      </c>
      <c r="AJ158" s="59"/>
      <c r="AK158" s="54"/>
      <c r="AL158" s="54" t="str">
        <f t="shared" ca="1" si="46"/>
        <v/>
      </c>
      <c r="AM158" s="53"/>
    </row>
    <row r="159" spans="1:39">
      <c r="A159" s="54"/>
      <c r="B159" s="17"/>
      <c r="C159" s="17"/>
      <c r="D159" s="17"/>
      <c r="E159" s="17"/>
      <c r="F159" s="17"/>
      <c r="G159" s="16"/>
      <c r="H159" s="16"/>
      <c r="I159" s="16"/>
      <c r="J159" s="58"/>
      <c r="K159" s="58"/>
      <c r="L159" s="58"/>
      <c r="M159" s="27"/>
      <c r="N159" s="58"/>
      <c r="O159" s="54">
        <f t="shared" si="42"/>
        <v>0</v>
      </c>
      <c r="P159" s="54">
        <f t="shared" si="43"/>
        <v>0</v>
      </c>
      <c r="Q159" s="54"/>
      <c r="R159" s="54"/>
      <c r="S159" s="57"/>
      <c r="T159" s="57"/>
      <c r="U159" s="71"/>
      <c r="V159" s="56"/>
      <c r="W159" s="17"/>
      <c r="X159" s="23" t="str">
        <f>IFERROR(VLOOKUP(W159,Listas!$A$1:$C$13,2,FALSE),"")</f>
        <v/>
      </c>
      <c r="Y159" s="23" t="str">
        <f>IFERROR(VLOOKUP(W159,Listas!$A$1:$C$13,3,FALSE),"")</f>
        <v/>
      </c>
      <c r="Z159" s="17"/>
      <c r="AA159" s="17"/>
      <c r="AB159" s="23" t="str">
        <f>IFERROR(VLOOKUP(AA159,Listas!$AD$1:$AF$65,2,FALSE),"")</f>
        <v/>
      </c>
      <c r="AC159" s="23" t="str">
        <f>IFERROR(VLOOKUP(AA159,Listas!$AD$1:$AF$65,3,FALSE),"")</f>
        <v/>
      </c>
      <c r="AD159" s="26"/>
      <c r="AE159" s="26"/>
      <c r="AF159" s="100">
        <f t="shared" ca="1" si="44"/>
        <v>100</v>
      </c>
      <c r="AG159" s="100">
        <f t="shared" ca="1" si="47"/>
        <v>100</v>
      </c>
      <c r="AH159" s="101" t="str">
        <f t="shared" ca="1" si="48"/>
        <v/>
      </c>
      <c r="AI159" s="101" t="str">
        <f t="shared" si="45"/>
        <v/>
      </c>
      <c r="AJ159" s="59"/>
      <c r="AK159" s="54"/>
      <c r="AL159" s="54" t="str">
        <f t="shared" ca="1" si="46"/>
        <v/>
      </c>
      <c r="AM159" s="53"/>
    </row>
    <row r="160" spans="1:39">
      <c r="A160" s="54"/>
      <c r="B160" s="17"/>
      <c r="C160" s="17"/>
      <c r="D160" s="17"/>
      <c r="E160" s="17"/>
      <c r="F160" s="17"/>
      <c r="G160" s="16"/>
      <c r="H160" s="16"/>
      <c r="I160" s="16"/>
      <c r="J160" s="58"/>
      <c r="K160" s="58"/>
      <c r="L160" s="58"/>
      <c r="M160" s="27"/>
      <c r="N160" s="58"/>
      <c r="O160" s="54">
        <f t="shared" si="42"/>
        <v>0</v>
      </c>
      <c r="P160" s="54">
        <f t="shared" si="43"/>
        <v>0</v>
      </c>
      <c r="Q160" s="54"/>
      <c r="R160" s="54"/>
      <c r="S160" s="57"/>
      <c r="T160" s="57"/>
      <c r="U160" s="71"/>
      <c r="V160" s="56"/>
      <c r="W160" s="17"/>
      <c r="X160" s="23" t="str">
        <f>IFERROR(VLOOKUP(W160,Listas!$A$1:$C$13,2,FALSE),"")</f>
        <v/>
      </c>
      <c r="Y160" s="23" t="str">
        <f>IFERROR(VLOOKUP(W160,Listas!$A$1:$C$13,3,FALSE),"")</f>
        <v/>
      </c>
      <c r="Z160" s="17"/>
      <c r="AA160" s="17"/>
      <c r="AB160" s="23" t="str">
        <f>IFERROR(VLOOKUP(AA160,Listas!$AD$1:$AF$65,2,FALSE),"")</f>
        <v/>
      </c>
      <c r="AC160" s="23" t="str">
        <f>IFERROR(VLOOKUP(AA160,Listas!$AD$1:$AF$65,3,FALSE),"")</f>
        <v/>
      </c>
      <c r="AD160" s="26"/>
      <c r="AE160" s="26"/>
      <c r="AF160" s="100">
        <f t="shared" ca="1" si="44"/>
        <v>100</v>
      </c>
      <c r="AG160" s="100">
        <f t="shared" ca="1" si="47"/>
        <v>100</v>
      </c>
      <c r="AH160" s="101" t="str">
        <f t="shared" ca="1" si="48"/>
        <v/>
      </c>
      <c r="AI160" s="101" t="str">
        <f t="shared" si="45"/>
        <v/>
      </c>
      <c r="AJ160" s="59"/>
      <c r="AK160" s="54"/>
      <c r="AL160" s="54" t="str">
        <f t="shared" ca="1" si="46"/>
        <v/>
      </c>
      <c r="AM160" s="53"/>
    </row>
    <row r="161" spans="1:39">
      <c r="A161" s="54"/>
      <c r="B161" s="17"/>
      <c r="C161" s="17"/>
      <c r="D161" s="17"/>
      <c r="E161" s="17"/>
      <c r="F161" s="17"/>
      <c r="G161" s="16"/>
      <c r="H161" s="16"/>
      <c r="I161" s="16"/>
      <c r="J161" s="58"/>
      <c r="K161" s="58"/>
      <c r="L161" s="58"/>
      <c r="M161" s="27"/>
      <c r="N161" s="58"/>
      <c r="O161" s="54">
        <f t="shared" si="42"/>
        <v>0</v>
      </c>
      <c r="P161" s="54">
        <f t="shared" si="43"/>
        <v>0</v>
      </c>
      <c r="Q161" s="54"/>
      <c r="R161" s="54"/>
      <c r="S161" s="57"/>
      <c r="T161" s="57"/>
      <c r="U161" s="71"/>
      <c r="V161" s="56"/>
      <c r="W161" s="17"/>
      <c r="X161" s="23" t="str">
        <f>IFERROR(VLOOKUP(W161,Listas!$A$1:$C$13,2,FALSE),"")</f>
        <v/>
      </c>
      <c r="Y161" s="23" t="str">
        <f>IFERROR(VLOOKUP(W161,Listas!$A$1:$C$13,3,FALSE),"")</f>
        <v/>
      </c>
      <c r="Z161" s="17"/>
      <c r="AA161" s="17"/>
      <c r="AB161" s="23" t="str">
        <f>IFERROR(VLOOKUP(AA161,Listas!$AD$1:$AF$65,2,FALSE),"")</f>
        <v/>
      </c>
      <c r="AC161" s="23" t="str">
        <f>IFERROR(VLOOKUP(AA161,Listas!$AD$1:$AF$65,3,FALSE),"")</f>
        <v/>
      </c>
      <c r="AD161" s="26"/>
      <c r="AE161" s="26"/>
      <c r="AF161" s="100">
        <f t="shared" ca="1" si="44"/>
        <v>100</v>
      </c>
      <c r="AG161" s="100">
        <f t="shared" ca="1" si="47"/>
        <v>100</v>
      </c>
      <c r="AH161" s="101" t="str">
        <f t="shared" ca="1" si="48"/>
        <v/>
      </c>
      <c r="AI161" s="101" t="str">
        <f t="shared" si="45"/>
        <v/>
      </c>
      <c r="AJ161" s="59"/>
      <c r="AK161" s="54"/>
      <c r="AL161" s="54" t="str">
        <f t="shared" ca="1" si="46"/>
        <v/>
      </c>
      <c r="AM161" s="53"/>
    </row>
    <row r="162" spans="1:39">
      <c r="A162" s="54"/>
      <c r="B162" s="17"/>
      <c r="C162" s="17"/>
      <c r="D162" s="17"/>
      <c r="E162" s="17"/>
      <c r="F162" s="17"/>
      <c r="G162" s="16"/>
      <c r="H162" s="16"/>
      <c r="I162" s="16"/>
      <c r="J162" s="58"/>
      <c r="K162" s="58"/>
      <c r="L162" s="58"/>
      <c r="M162" s="27"/>
      <c r="N162" s="58"/>
      <c r="O162" s="54">
        <f t="shared" si="42"/>
        <v>0</v>
      </c>
      <c r="P162" s="54">
        <f t="shared" si="43"/>
        <v>0</v>
      </c>
      <c r="Q162" s="54"/>
      <c r="R162" s="54"/>
      <c r="S162" s="57"/>
      <c r="T162" s="57"/>
      <c r="U162" s="71"/>
      <c r="V162" s="56"/>
      <c r="W162" s="17"/>
      <c r="X162" s="23" t="str">
        <f>IFERROR(VLOOKUP(W162,Listas!$A$1:$C$13,2,FALSE),"")</f>
        <v/>
      </c>
      <c r="Y162" s="23" t="str">
        <f>IFERROR(VLOOKUP(W162,Listas!$A$1:$C$13,3,FALSE),"")</f>
        <v/>
      </c>
      <c r="Z162" s="17"/>
      <c r="AA162" s="17"/>
      <c r="AB162" s="23" t="str">
        <f>IFERROR(VLOOKUP(AA162,Listas!$AD$1:$AF$65,2,FALSE),"")</f>
        <v/>
      </c>
      <c r="AC162" s="23" t="str">
        <f>IFERROR(VLOOKUP(AA162,Listas!$AD$1:$AF$65,3,FALSE),"")</f>
        <v/>
      </c>
      <c r="AD162" s="26"/>
      <c r="AE162" s="26"/>
      <c r="AF162" s="100">
        <f t="shared" ca="1" si="44"/>
        <v>100</v>
      </c>
      <c r="AG162" s="100">
        <f t="shared" ca="1" si="47"/>
        <v>100</v>
      </c>
      <c r="AH162" s="101" t="str">
        <f t="shared" ca="1" si="48"/>
        <v/>
      </c>
      <c r="AI162" s="101" t="str">
        <f t="shared" si="45"/>
        <v/>
      </c>
      <c r="AJ162" s="59"/>
      <c r="AK162" s="54"/>
      <c r="AL162" s="54" t="str">
        <f t="shared" ca="1" si="46"/>
        <v/>
      </c>
      <c r="AM162" s="53"/>
    </row>
    <row r="163" spans="1:39">
      <c r="A163" s="54"/>
      <c r="B163" s="17"/>
      <c r="C163" s="17"/>
      <c r="D163" s="17"/>
      <c r="E163" s="17"/>
      <c r="F163" s="17"/>
      <c r="G163" s="16"/>
      <c r="H163" s="16"/>
      <c r="I163" s="16"/>
      <c r="J163" s="58"/>
      <c r="K163" s="58"/>
      <c r="L163" s="58"/>
      <c r="M163" s="27"/>
      <c r="N163" s="58"/>
      <c r="O163" s="54">
        <f t="shared" si="42"/>
        <v>0</v>
      </c>
      <c r="P163" s="54">
        <f t="shared" si="43"/>
        <v>0</v>
      </c>
      <c r="Q163" s="54"/>
      <c r="R163" s="54"/>
      <c r="S163" s="57"/>
      <c r="T163" s="57"/>
      <c r="U163" s="71"/>
      <c r="V163" s="56"/>
      <c r="W163" s="17"/>
      <c r="X163" s="23" t="str">
        <f>IFERROR(VLOOKUP(W163,Listas!$A$1:$C$13,2,FALSE),"")</f>
        <v/>
      </c>
      <c r="Y163" s="23" t="str">
        <f>IFERROR(VLOOKUP(W163,Listas!$A$1:$C$13,3,FALSE),"")</f>
        <v/>
      </c>
      <c r="Z163" s="17"/>
      <c r="AA163" s="17"/>
      <c r="AB163" s="23" t="str">
        <f>IFERROR(VLOOKUP(AA163,Listas!$AD$1:$AF$65,2,FALSE),"")</f>
        <v/>
      </c>
      <c r="AC163" s="23" t="str">
        <f>IFERROR(VLOOKUP(AA163,Listas!$AD$1:$AF$65,3,FALSE),"")</f>
        <v/>
      </c>
      <c r="AD163" s="26"/>
      <c r="AE163" s="26"/>
      <c r="AF163" s="100">
        <f t="shared" ca="1" si="44"/>
        <v>100</v>
      </c>
      <c r="AG163" s="100">
        <f t="shared" ca="1" si="47"/>
        <v>100</v>
      </c>
      <c r="AH163" s="101" t="str">
        <f t="shared" ca="1" si="48"/>
        <v/>
      </c>
      <c r="AI163" s="101" t="str">
        <f t="shared" si="45"/>
        <v/>
      </c>
      <c r="AJ163" s="59"/>
      <c r="AK163" s="54"/>
      <c r="AL163" s="54" t="str">
        <f t="shared" ca="1" si="46"/>
        <v/>
      </c>
      <c r="AM163" s="53"/>
    </row>
    <row r="164" spans="1:39">
      <c r="A164" s="54"/>
      <c r="B164" s="17"/>
      <c r="C164" s="17"/>
      <c r="D164" s="17"/>
      <c r="E164" s="17"/>
      <c r="F164" s="17"/>
      <c r="G164" s="16"/>
      <c r="H164" s="16"/>
      <c r="I164" s="16"/>
      <c r="J164" s="58"/>
      <c r="K164" s="58"/>
      <c r="L164" s="58"/>
      <c r="M164" s="27"/>
      <c r="N164" s="58"/>
      <c r="O164" s="54">
        <f t="shared" si="42"/>
        <v>0</v>
      </c>
      <c r="P164" s="54">
        <f t="shared" si="43"/>
        <v>0</v>
      </c>
      <c r="Q164" s="54"/>
      <c r="R164" s="54"/>
      <c r="S164" s="57"/>
      <c r="T164" s="57"/>
      <c r="U164" s="71"/>
      <c r="V164" s="56"/>
      <c r="W164" s="17"/>
      <c r="X164" s="23" t="str">
        <f>IFERROR(VLOOKUP(W164,Listas!$A$1:$C$13,2,FALSE),"")</f>
        <v/>
      </c>
      <c r="Y164" s="23" t="str">
        <f>IFERROR(VLOOKUP(W164,Listas!$A$1:$C$13,3,FALSE),"")</f>
        <v/>
      </c>
      <c r="Z164" s="17"/>
      <c r="AA164" s="17"/>
      <c r="AB164" s="23" t="str">
        <f>IFERROR(VLOOKUP(AA164,Listas!$AD$1:$AF$65,2,FALSE),"")</f>
        <v/>
      </c>
      <c r="AC164" s="23" t="str">
        <f>IFERROR(VLOOKUP(AA164,Listas!$AD$1:$AF$65,3,FALSE),"")</f>
        <v/>
      </c>
      <c r="AD164" s="26"/>
      <c r="AE164" s="26"/>
      <c r="AF164" s="100">
        <f t="shared" ca="1" si="44"/>
        <v>100</v>
      </c>
      <c r="AG164" s="100">
        <f t="shared" ca="1" si="47"/>
        <v>100</v>
      </c>
      <c r="AH164" s="101" t="str">
        <f t="shared" ca="1" si="48"/>
        <v/>
      </c>
      <c r="AI164" s="101" t="str">
        <f t="shared" si="45"/>
        <v/>
      </c>
      <c r="AJ164" s="59"/>
      <c r="AK164" s="54"/>
      <c r="AL164" s="54" t="str">
        <f t="shared" ca="1" si="46"/>
        <v/>
      </c>
      <c r="AM164" s="53"/>
    </row>
    <row r="165" spans="1:39">
      <c r="A165" s="54"/>
      <c r="B165" s="17"/>
      <c r="C165" s="17"/>
      <c r="D165" s="17"/>
      <c r="E165" s="17"/>
      <c r="F165" s="17"/>
      <c r="G165" s="16"/>
      <c r="H165" s="16"/>
      <c r="I165" s="16"/>
      <c r="J165" s="58"/>
      <c r="K165" s="58"/>
      <c r="L165" s="58"/>
      <c r="M165" s="27"/>
      <c r="N165" s="58"/>
      <c r="O165" s="54">
        <f t="shared" si="42"/>
        <v>0</v>
      </c>
      <c r="P165" s="54">
        <f t="shared" si="43"/>
        <v>0</v>
      </c>
      <c r="Q165" s="54"/>
      <c r="R165" s="54"/>
      <c r="S165" s="57"/>
      <c r="T165" s="57"/>
      <c r="U165" s="71"/>
      <c r="V165" s="56"/>
      <c r="W165" s="17"/>
      <c r="X165" s="23" t="str">
        <f>IFERROR(VLOOKUP(W165,Listas!$A$1:$C$13,2,FALSE),"")</f>
        <v/>
      </c>
      <c r="Y165" s="23" t="str">
        <f>IFERROR(VLOOKUP(W165,Listas!$A$1:$C$13,3,FALSE),"")</f>
        <v/>
      </c>
      <c r="Z165" s="17"/>
      <c r="AA165" s="17"/>
      <c r="AB165" s="23" t="str">
        <f>IFERROR(VLOOKUP(AA165,Listas!$AD$1:$AF$65,2,FALSE),"")</f>
        <v/>
      </c>
      <c r="AC165" s="23" t="str">
        <f>IFERROR(VLOOKUP(AA165,Listas!$AD$1:$AF$65,3,FALSE),"")</f>
        <v/>
      </c>
      <c r="AD165" s="26"/>
      <c r="AE165" s="26"/>
      <c r="AF165" s="100">
        <f t="shared" ca="1" si="44"/>
        <v>100</v>
      </c>
      <c r="AG165" s="100">
        <f t="shared" ca="1" si="47"/>
        <v>100</v>
      </c>
      <c r="AH165" s="101" t="str">
        <f t="shared" ca="1" si="48"/>
        <v/>
      </c>
      <c r="AI165" s="101" t="str">
        <f t="shared" si="45"/>
        <v/>
      </c>
      <c r="AJ165" s="59"/>
      <c r="AK165" s="54"/>
      <c r="AL165" s="54" t="str">
        <f t="shared" ca="1" si="46"/>
        <v/>
      </c>
      <c r="AM165" s="53"/>
    </row>
    <row r="166" spans="1:39">
      <c r="A166" s="54"/>
      <c r="B166" s="17"/>
      <c r="C166" s="17"/>
      <c r="D166" s="17"/>
      <c r="E166" s="17"/>
      <c r="F166" s="17"/>
      <c r="G166" s="16"/>
      <c r="H166" s="16"/>
      <c r="I166" s="16"/>
      <c r="J166" s="58"/>
      <c r="K166" s="58"/>
      <c r="L166" s="58"/>
      <c r="M166" s="27"/>
      <c r="N166" s="58"/>
      <c r="O166" s="54">
        <f t="shared" si="42"/>
        <v>0</v>
      </c>
      <c r="P166" s="54">
        <f t="shared" si="43"/>
        <v>0</v>
      </c>
      <c r="Q166" s="54"/>
      <c r="R166" s="54"/>
      <c r="S166" s="57"/>
      <c r="T166" s="57"/>
      <c r="U166" s="71"/>
      <c r="V166" s="56"/>
      <c r="W166" s="17"/>
      <c r="X166" s="23" t="str">
        <f>IFERROR(VLOOKUP(W166,Listas!$A$1:$C$13,2,FALSE),"")</f>
        <v/>
      </c>
      <c r="Y166" s="23" t="str">
        <f>IFERROR(VLOOKUP(W166,Listas!$A$1:$C$13,3,FALSE),"")</f>
        <v/>
      </c>
      <c r="Z166" s="17"/>
      <c r="AA166" s="17"/>
      <c r="AB166" s="23" t="str">
        <f>IFERROR(VLOOKUP(AA166,Listas!$AD$1:$AF$65,2,FALSE),"")</f>
        <v/>
      </c>
      <c r="AC166" s="23" t="str">
        <f>IFERROR(VLOOKUP(AA166,Listas!$AD$1:$AF$65,3,FALSE),"")</f>
        <v/>
      </c>
      <c r="AD166" s="26"/>
      <c r="AE166" s="26"/>
      <c r="AF166" s="100">
        <f t="shared" ca="1" si="44"/>
        <v>100</v>
      </c>
      <c r="AG166" s="100">
        <f t="shared" ca="1" si="47"/>
        <v>100</v>
      </c>
      <c r="AH166" s="101" t="str">
        <f t="shared" ca="1" si="48"/>
        <v/>
      </c>
      <c r="AI166" s="101" t="str">
        <f t="shared" si="45"/>
        <v/>
      </c>
      <c r="AJ166" s="59"/>
      <c r="AK166" s="54"/>
      <c r="AL166" s="54" t="str">
        <f t="shared" ca="1" si="46"/>
        <v/>
      </c>
      <c r="AM166" s="53"/>
    </row>
    <row r="167" spans="1:39">
      <c r="A167" s="54"/>
      <c r="B167" s="17"/>
      <c r="C167" s="17"/>
      <c r="D167" s="17"/>
      <c r="E167" s="17"/>
      <c r="F167" s="17"/>
      <c r="G167" s="16"/>
      <c r="H167" s="16"/>
      <c r="I167" s="16"/>
      <c r="J167" s="58"/>
      <c r="K167" s="58"/>
      <c r="L167" s="58"/>
      <c r="M167" s="27"/>
      <c r="N167" s="58"/>
      <c r="O167" s="54">
        <f t="shared" si="42"/>
        <v>0</v>
      </c>
      <c r="P167" s="54">
        <f t="shared" si="43"/>
        <v>0</v>
      </c>
      <c r="Q167" s="54"/>
      <c r="R167" s="54"/>
      <c r="S167" s="57"/>
      <c r="T167" s="57"/>
      <c r="U167" s="71"/>
      <c r="V167" s="56"/>
      <c r="W167" s="17"/>
      <c r="X167" s="23" t="str">
        <f>IFERROR(VLOOKUP(W167,Listas!$A$1:$C$13,2,FALSE),"")</f>
        <v/>
      </c>
      <c r="Y167" s="23" t="str">
        <f>IFERROR(VLOOKUP(W167,Listas!$A$1:$C$13,3,FALSE),"")</f>
        <v/>
      </c>
      <c r="Z167" s="17"/>
      <c r="AA167" s="17"/>
      <c r="AB167" s="23" t="str">
        <f>IFERROR(VLOOKUP(AA167,Listas!$AD$1:$AF$65,2,FALSE),"")</f>
        <v/>
      </c>
      <c r="AC167" s="23" t="str">
        <f>IFERROR(VLOOKUP(AA167,Listas!$AD$1:$AF$65,3,FALSE),"")</f>
        <v/>
      </c>
      <c r="AD167" s="26"/>
      <c r="AE167" s="26"/>
      <c r="AF167" s="100">
        <f t="shared" ca="1" si="44"/>
        <v>100</v>
      </c>
      <c r="AG167" s="100">
        <f t="shared" ca="1" si="47"/>
        <v>100</v>
      </c>
      <c r="AH167" s="101" t="str">
        <f t="shared" ca="1" si="48"/>
        <v/>
      </c>
      <c r="AI167" s="101" t="str">
        <f t="shared" si="45"/>
        <v/>
      </c>
      <c r="AJ167" s="59"/>
      <c r="AK167" s="54"/>
      <c r="AL167" s="54" t="str">
        <f t="shared" ca="1" si="46"/>
        <v/>
      </c>
      <c r="AM167" s="53"/>
    </row>
    <row r="168" spans="1:39">
      <c r="A168" s="54"/>
      <c r="B168" s="17"/>
      <c r="C168" s="17"/>
      <c r="D168" s="17"/>
      <c r="E168" s="17"/>
      <c r="F168" s="17"/>
      <c r="G168" s="16"/>
      <c r="H168" s="16"/>
      <c r="I168" s="16"/>
      <c r="J168" s="58"/>
      <c r="K168" s="58"/>
      <c r="L168" s="58"/>
      <c r="M168" s="27"/>
      <c r="N168" s="58"/>
      <c r="O168" s="54">
        <f t="shared" si="42"/>
        <v>0</v>
      </c>
      <c r="P168" s="54">
        <f t="shared" si="43"/>
        <v>0</v>
      </c>
      <c r="Q168" s="54"/>
      <c r="R168" s="54"/>
      <c r="S168" s="57"/>
      <c r="T168" s="57"/>
      <c r="U168" s="71"/>
      <c r="V168" s="56"/>
      <c r="W168" s="17"/>
      <c r="X168" s="23" t="str">
        <f>IFERROR(VLOOKUP(W168,Listas!$A$1:$C$13,2,FALSE),"")</f>
        <v/>
      </c>
      <c r="Y168" s="23" t="str">
        <f>IFERROR(VLOOKUP(W168,Listas!$A$1:$C$13,3,FALSE),"")</f>
        <v/>
      </c>
      <c r="Z168" s="17"/>
      <c r="AA168" s="17"/>
      <c r="AB168" s="23" t="str">
        <f>IFERROR(VLOOKUP(AA168,Listas!$AD$1:$AF$65,2,FALSE),"")</f>
        <v/>
      </c>
      <c r="AC168" s="23" t="str">
        <f>IFERROR(VLOOKUP(AA168,Listas!$AD$1:$AF$65,3,FALSE),"")</f>
        <v/>
      </c>
      <c r="AD168" s="26"/>
      <c r="AE168" s="26"/>
      <c r="AF168" s="100">
        <f t="shared" ca="1" si="44"/>
        <v>100</v>
      </c>
      <c r="AG168" s="100">
        <f t="shared" ca="1" si="47"/>
        <v>100</v>
      </c>
      <c r="AH168" s="101" t="str">
        <f t="shared" ca="1" si="48"/>
        <v/>
      </c>
      <c r="AI168" s="101" t="str">
        <f t="shared" si="45"/>
        <v/>
      </c>
      <c r="AJ168" s="59"/>
      <c r="AK168" s="54"/>
      <c r="AL168" s="54" t="str">
        <f t="shared" ca="1" si="46"/>
        <v/>
      </c>
      <c r="AM168" s="53"/>
    </row>
    <row r="169" spans="1:39">
      <c r="A169" s="54"/>
      <c r="B169" s="17"/>
      <c r="C169" s="17"/>
      <c r="D169" s="17"/>
      <c r="E169" s="17"/>
      <c r="F169" s="17"/>
      <c r="G169" s="16"/>
      <c r="H169" s="16"/>
      <c r="I169" s="16"/>
      <c r="J169" s="58"/>
      <c r="K169" s="58"/>
      <c r="L169" s="58"/>
      <c r="M169" s="27"/>
      <c r="N169" s="58"/>
      <c r="O169" s="54">
        <f t="shared" si="42"/>
        <v>0</v>
      </c>
      <c r="P169" s="54">
        <f t="shared" si="43"/>
        <v>0</v>
      </c>
      <c r="Q169" s="54"/>
      <c r="R169" s="54"/>
      <c r="S169" s="57"/>
      <c r="T169" s="57"/>
      <c r="U169" s="71"/>
      <c r="V169" s="56"/>
      <c r="W169" s="17"/>
      <c r="X169" s="23" t="str">
        <f>IFERROR(VLOOKUP(W169,Listas!$A$1:$C$13,2,FALSE),"")</f>
        <v/>
      </c>
      <c r="Y169" s="23" t="str">
        <f>IFERROR(VLOOKUP(W169,Listas!$A$1:$C$13,3,FALSE),"")</f>
        <v/>
      </c>
      <c r="Z169" s="17"/>
      <c r="AA169" s="17"/>
      <c r="AB169" s="23" t="str">
        <f>IFERROR(VLOOKUP(AA169,Listas!$AD$1:$AF$65,2,FALSE),"")</f>
        <v/>
      </c>
      <c r="AC169" s="23" t="str">
        <f>IFERROR(VLOOKUP(AA169,Listas!$AD$1:$AF$65,3,FALSE),"")</f>
        <v/>
      </c>
      <c r="AD169" s="26"/>
      <c r="AE169" s="26"/>
      <c r="AF169" s="100">
        <f t="shared" ca="1" si="44"/>
        <v>100</v>
      </c>
      <c r="AG169" s="100">
        <f t="shared" ca="1" si="47"/>
        <v>100</v>
      </c>
      <c r="AH169" s="101" t="str">
        <f t="shared" ca="1" si="48"/>
        <v/>
      </c>
      <c r="AI169" s="101" t="str">
        <f t="shared" si="45"/>
        <v/>
      </c>
      <c r="AJ169" s="59"/>
      <c r="AK169" s="54"/>
      <c r="AL169" s="54" t="str">
        <f t="shared" ca="1" si="46"/>
        <v/>
      </c>
      <c r="AM169" s="53"/>
    </row>
    <row r="170" spans="1:39">
      <c r="A170" s="54"/>
      <c r="B170" s="17"/>
      <c r="C170" s="17"/>
      <c r="D170" s="17"/>
      <c r="E170" s="17"/>
      <c r="F170" s="17"/>
      <c r="G170" s="16"/>
      <c r="H170" s="16"/>
      <c r="I170" s="16"/>
      <c r="J170" s="58"/>
      <c r="K170" s="58"/>
      <c r="L170" s="58"/>
      <c r="M170" s="27"/>
      <c r="N170" s="58"/>
      <c r="O170" s="54">
        <f t="shared" si="42"/>
        <v>0</v>
      </c>
      <c r="P170" s="54">
        <f t="shared" si="43"/>
        <v>0</v>
      </c>
      <c r="Q170" s="54"/>
      <c r="R170" s="54"/>
      <c r="S170" s="57"/>
      <c r="T170" s="57"/>
      <c r="U170" s="71"/>
      <c r="V170" s="56"/>
      <c r="W170" s="17"/>
      <c r="X170" s="23" t="str">
        <f>IFERROR(VLOOKUP(W170,Listas!$A$1:$C$13,2,FALSE),"")</f>
        <v/>
      </c>
      <c r="Y170" s="23" t="str">
        <f>IFERROR(VLOOKUP(W170,Listas!$A$1:$C$13,3,FALSE),"")</f>
        <v/>
      </c>
      <c r="Z170" s="17"/>
      <c r="AA170" s="17"/>
      <c r="AB170" s="23" t="str">
        <f>IFERROR(VLOOKUP(AA170,Listas!$AD$1:$AF$65,2,FALSE),"")</f>
        <v/>
      </c>
      <c r="AC170" s="23" t="str">
        <f>IFERROR(VLOOKUP(AA170,Listas!$AD$1:$AF$65,3,FALSE),"")</f>
        <v/>
      </c>
      <c r="AD170" s="26"/>
      <c r="AE170" s="26"/>
      <c r="AF170" s="100">
        <f t="shared" ca="1" si="44"/>
        <v>100</v>
      </c>
      <c r="AG170" s="100">
        <f t="shared" ref="AG170:AG177" ca="1" si="49">+IF(AK170&gt;0,DAYS360(L170,AK170)/DAYS360(L170,N170),AF170)</f>
        <v>100</v>
      </c>
      <c r="AH170" s="101" t="str">
        <f t="shared" ref="AH170:AH177" ca="1" si="50">IFERROR((AL170/V170)*100,"")</f>
        <v/>
      </c>
      <c r="AI170" s="101" t="str">
        <f t="shared" si="45"/>
        <v/>
      </c>
      <c r="AJ170" s="59"/>
      <c r="AK170" s="54"/>
      <c r="AL170" s="54" t="str">
        <f t="shared" ca="1" si="46"/>
        <v/>
      </c>
      <c r="AM170" s="53"/>
    </row>
    <row r="171" spans="1:39">
      <c r="A171" s="54"/>
      <c r="B171" s="17"/>
      <c r="C171" s="17"/>
      <c r="D171" s="17"/>
      <c r="E171" s="17"/>
      <c r="F171" s="17"/>
      <c r="G171" s="16"/>
      <c r="H171" s="16"/>
      <c r="I171" s="16"/>
      <c r="J171" s="58"/>
      <c r="K171" s="58"/>
      <c r="L171" s="58"/>
      <c r="M171" s="27"/>
      <c r="N171" s="58"/>
      <c r="O171" s="54">
        <f t="shared" si="42"/>
        <v>0</v>
      </c>
      <c r="P171" s="54">
        <f t="shared" si="43"/>
        <v>0</v>
      </c>
      <c r="Q171" s="54"/>
      <c r="R171" s="54"/>
      <c r="S171" s="57"/>
      <c r="T171" s="57"/>
      <c r="U171" s="71"/>
      <c r="V171" s="56"/>
      <c r="W171" s="17"/>
      <c r="X171" s="23" t="str">
        <f>IFERROR(VLOOKUP(W171,Listas!$A$1:$C$13,2,FALSE),"")</f>
        <v/>
      </c>
      <c r="Y171" s="23" t="str">
        <f>IFERROR(VLOOKUP(W171,Listas!$A$1:$C$13,3,FALSE),"")</f>
        <v/>
      </c>
      <c r="Z171" s="17"/>
      <c r="AA171" s="17"/>
      <c r="AB171" s="23" t="str">
        <f>IFERROR(VLOOKUP(AA171,Listas!$AD$1:$AF$65,2,FALSE),"")</f>
        <v/>
      </c>
      <c r="AC171" s="23" t="str">
        <f>IFERROR(VLOOKUP(AA171,Listas!$AD$1:$AF$65,3,FALSE),"")</f>
        <v/>
      </c>
      <c r="AD171" s="26"/>
      <c r="AE171" s="26"/>
      <c r="AF171" s="100">
        <f t="shared" ca="1" si="44"/>
        <v>100</v>
      </c>
      <c r="AG171" s="100">
        <f t="shared" ca="1" si="49"/>
        <v>100</v>
      </c>
      <c r="AH171" s="101" t="str">
        <f t="shared" ca="1" si="50"/>
        <v/>
      </c>
      <c r="AI171" s="101" t="str">
        <f t="shared" si="45"/>
        <v/>
      </c>
      <c r="AJ171" s="59"/>
      <c r="AK171" s="54"/>
      <c r="AL171" s="54" t="str">
        <f t="shared" ca="1" si="46"/>
        <v/>
      </c>
      <c r="AM171" s="53"/>
    </row>
    <row r="172" spans="1:39">
      <c r="A172" s="54"/>
      <c r="B172" s="17"/>
      <c r="C172" s="17"/>
      <c r="D172" s="17"/>
      <c r="E172" s="17"/>
      <c r="F172" s="17"/>
      <c r="G172" s="16"/>
      <c r="H172" s="16"/>
      <c r="I172" s="16"/>
      <c r="J172" s="58"/>
      <c r="K172" s="58"/>
      <c r="L172" s="58"/>
      <c r="M172" s="27"/>
      <c r="N172" s="58"/>
      <c r="O172" s="54">
        <f t="shared" ref="O172:O177" si="51">M172-L172</f>
        <v>0</v>
      </c>
      <c r="P172" s="54">
        <f t="shared" ref="P172:P177" si="52">N172-L172</f>
        <v>0</v>
      </c>
      <c r="Q172" s="54"/>
      <c r="R172" s="54"/>
      <c r="S172" s="57"/>
      <c r="T172" s="57"/>
      <c r="U172" s="71"/>
      <c r="V172" s="56"/>
      <c r="W172" s="17"/>
      <c r="X172" s="23" t="str">
        <f>IFERROR(VLOOKUP(W172,Listas!$A$1:$C$13,2,FALSE),"")</f>
        <v/>
      </c>
      <c r="Y172" s="23" t="str">
        <f>IFERROR(VLOOKUP(W172,Listas!$A$1:$C$13,3,FALSE),"")</f>
        <v/>
      </c>
      <c r="Z172" s="17"/>
      <c r="AA172" s="17"/>
      <c r="AB172" s="23" t="str">
        <f>IFERROR(VLOOKUP(AA172,Listas!$AD$1:$AF$65,2,FALSE),"")</f>
        <v/>
      </c>
      <c r="AC172" s="23" t="str">
        <f>IFERROR(VLOOKUP(AA172,Listas!$AD$1:$AF$65,3,FALSE),"")</f>
        <v/>
      </c>
      <c r="AD172" s="26"/>
      <c r="AE172" s="26"/>
      <c r="AF172" s="100">
        <f t="shared" ref="AF172:AF177" ca="1" si="53">IF(TODAY()&gt;N172,1,+(DAYS360(L172,TODAY())/DAYS360(L172,N172)))*100</f>
        <v>100</v>
      </c>
      <c r="AG172" s="100">
        <f t="shared" ca="1" si="49"/>
        <v>100</v>
      </c>
      <c r="AH172" s="101" t="str">
        <f t="shared" ca="1" si="50"/>
        <v/>
      </c>
      <c r="AI172" s="101" t="str">
        <f t="shared" ref="AI172:AI177" si="54">IFERROR((AJ172/V172)*100,"")</f>
        <v/>
      </c>
      <c r="AJ172" s="59"/>
      <c r="AK172" s="54"/>
      <c r="AL172" s="54" t="str">
        <f t="shared" ca="1" si="46"/>
        <v/>
      </c>
      <c r="AM172" s="53"/>
    </row>
    <row r="173" spans="1:39">
      <c r="A173" s="54"/>
      <c r="B173" s="17"/>
      <c r="C173" s="17"/>
      <c r="D173" s="17"/>
      <c r="E173" s="17"/>
      <c r="F173" s="17"/>
      <c r="G173" s="16"/>
      <c r="H173" s="16"/>
      <c r="I173" s="16"/>
      <c r="J173" s="58"/>
      <c r="K173" s="58"/>
      <c r="L173" s="58"/>
      <c r="M173" s="27"/>
      <c r="N173" s="58"/>
      <c r="O173" s="54">
        <f t="shared" si="51"/>
        <v>0</v>
      </c>
      <c r="P173" s="54">
        <f t="shared" si="52"/>
        <v>0</v>
      </c>
      <c r="Q173" s="54"/>
      <c r="R173" s="54"/>
      <c r="S173" s="57"/>
      <c r="T173" s="57"/>
      <c r="U173" s="71"/>
      <c r="V173" s="56"/>
      <c r="W173" s="17"/>
      <c r="X173" s="23" t="str">
        <f>IFERROR(VLOOKUP(W173,Listas!$A$1:$C$13,2,FALSE),"")</f>
        <v/>
      </c>
      <c r="Y173" s="23" t="str">
        <f>IFERROR(VLOOKUP(W173,Listas!$A$1:$C$13,3,FALSE),"")</f>
        <v/>
      </c>
      <c r="Z173" s="17"/>
      <c r="AA173" s="17"/>
      <c r="AB173" s="23" t="str">
        <f>IFERROR(VLOOKUP(AA173,Listas!$AD$1:$AF$65,2,FALSE),"")</f>
        <v/>
      </c>
      <c r="AC173" s="23" t="str">
        <f>IFERROR(VLOOKUP(AA173,Listas!$AD$1:$AF$65,3,FALSE),"")</f>
        <v/>
      </c>
      <c r="AD173" s="26"/>
      <c r="AE173" s="26"/>
      <c r="AF173" s="100">
        <f t="shared" ca="1" si="53"/>
        <v>100</v>
      </c>
      <c r="AG173" s="100">
        <f t="shared" ca="1" si="49"/>
        <v>100</v>
      </c>
      <c r="AH173" s="101" t="str">
        <f t="shared" ca="1" si="50"/>
        <v/>
      </c>
      <c r="AI173" s="101" t="str">
        <f t="shared" si="54"/>
        <v/>
      </c>
      <c r="AJ173" s="59"/>
      <c r="AK173" s="54"/>
      <c r="AL173" s="54" t="str">
        <f t="shared" ca="1" si="46"/>
        <v/>
      </c>
      <c r="AM173" s="53"/>
    </row>
    <row r="174" spans="1:39">
      <c r="A174" s="54"/>
      <c r="B174" s="17"/>
      <c r="C174" s="17"/>
      <c r="D174" s="17"/>
      <c r="E174" s="17"/>
      <c r="F174" s="17"/>
      <c r="G174" s="16"/>
      <c r="H174" s="16"/>
      <c r="I174" s="16"/>
      <c r="J174" s="58"/>
      <c r="K174" s="58"/>
      <c r="L174" s="58"/>
      <c r="M174" s="27"/>
      <c r="N174" s="58"/>
      <c r="O174" s="54">
        <f t="shared" si="51"/>
        <v>0</v>
      </c>
      <c r="P174" s="54">
        <f t="shared" si="52"/>
        <v>0</v>
      </c>
      <c r="Q174" s="54"/>
      <c r="R174" s="54"/>
      <c r="S174" s="57"/>
      <c r="T174" s="57"/>
      <c r="U174" s="71"/>
      <c r="V174" s="56"/>
      <c r="W174" s="17"/>
      <c r="X174" s="23" t="str">
        <f>IFERROR(VLOOKUP(W174,Listas!$A$1:$C$13,2,FALSE),"")</f>
        <v/>
      </c>
      <c r="Y174" s="23" t="str">
        <f>IFERROR(VLOOKUP(W174,Listas!$A$1:$C$13,3,FALSE),"")</f>
        <v/>
      </c>
      <c r="Z174" s="17"/>
      <c r="AA174" s="17"/>
      <c r="AB174" s="23" t="str">
        <f>IFERROR(VLOOKUP(AA174,Listas!$AD$1:$AF$65,2,FALSE),"")</f>
        <v/>
      </c>
      <c r="AC174" s="23" t="str">
        <f>IFERROR(VLOOKUP(AA174,Listas!$AD$1:$AF$65,3,FALSE),"")</f>
        <v/>
      </c>
      <c r="AD174" s="26"/>
      <c r="AE174" s="26"/>
      <c r="AF174" s="100">
        <f t="shared" ca="1" si="53"/>
        <v>100</v>
      </c>
      <c r="AG174" s="100">
        <f t="shared" ca="1" si="49"/>
        <v>100</v>
      </c>
      <c r="AH174" s="101" t="str">
        <f t="shared" ca="1" si="50"/>
        <v/>
      </c>
      <c r="AI174" s="101" t="str">
        <f t="shared" si="54"/>
        <v/>
      </c>
      <c r="AJ174" s="59"/>
      <c r="AK174" s="54"/>
      <c r="AL174" s="54" t="str">
        <f t="shared" ca="1" si="46"/>
        <v/>
      </c>
      <c r="AM174" s="53"/>
    </row>
    <row r="175" spans="1:39">
      <c r="A175" s="54"/>
      <c r="B175" s="17"/>
      <c r="C175" s="17"/>
      <c r="D175" s="17"/>
      <c r="E175" s="17"/>
      <c r="F175" s="17"/>
      <c r="G175" s="16"/>
      <c r="H175" s="16"/>
      <c r="I175" s="16"/>
      <c r="J175" s="58"/>
      <c r="K175" s="58"/>
      <c r="L175" s="58"/>
      <c r="M175" s="27"/>
      <c r="N175" s="58"/>
      <c r="O175" s="54">
        <f t="shared" si="51"/>
        <v>0</v>
      </c>
      <c r="P175" s="54">
        <f t="shared" si="52"/>
        <v>0</v>
      </c>
      <c r="Q175" s="54"/>
      <c r="R175" s="54"/>
      <c r="S175" s="57"/>
      <c r="T175" s="57"/>
      <c r="U175" s="71"/>
      <c r="V175" s="56"/>
      <c r="W175" s="17"/>
      <c r="X175" s="23" t="str">
        <f>IFERROR(VLOOKUP(W175,Listas!$A$1:$C$13,2,FALSE),"")</f>
        <v/>
      </c>
      <c r="Y175" s="23" t="str">
        <f>IFERROR(VLOOKUP(W175,Listas!$A$1:$C$13,3,FALSE),"")</f>
        <v/>
      </c>
      <c r="Z175" s="17"/>
      <c r="AA175" s="17"/>
      <c r="AB175" s="23" t="str">
        <f>IFERROR(VLOOKUP(AA175,Listas!$AD$1:$AF$65,2,FALSE),"")</f>
        <v/>
      </c>
      <c r="AC175" s="23" t="str">
        <f>IFERROR(VLOOKUP(AA175,Listas!$AD$1:$AF$65,3,FALSE),"")</f>
        <v/>
      </c>
      <c r="AD175" s="26"/>
      <c r="AE175" s="26"/>
      <c r="AF175" s="100">
        <f t="shared" ca="1" si="53"/>
        <v>100</v>
      </c>
      <c r="AG175" s="100">
        <f t="shared" ca="1" si="49"/>
        <v>100</v>
      </c>
      <c r="AH175" s="101" t="str">
        <f t="shared" ca="1" si="50"/>
        <v/>
      </c>
      <c r="AI175" s="101" t="str">
        <f t="shared" si="54"/>
        <v/>
      </c>
      <c r="AJ175" s="59"/>
      <c r="AK175" s="54"/>
      <c r="AL175" s="54" t="str">
        <f t="shared" ca="1" si="46"/>
        <v/>
      </c>
      <c r="AM175" s="53"/>
    </row>
    <row r="176" spans="1:39">
      <c r="A176" s="54"/>
      <c r="B176" s="17"/>
      <c r="C176" s="17"/>
      <c r="D176" s="17"/>
      <c r="E176" s="17"/>
      <c r="F176" s="17"/>
      <c r="G176" s="16"/>
      <c r="H176" s="16"/>
      <c r="I176" s="16"/>
      <c r="J176" s="58"/>
      <c r="K176" s="58"/>
      <c r="L176" s="58"/>
      <c r="M176" s="27"/>
      <c r="N176" s="58"/>
      <c r="O176" s="54">
        <f t="shared" si="51"/>
        <v>0</v>
      </c>
      <c r="P176" s="54">
        <f t="shared" si="52"/>
        <v>0</v>
      </c>
      <c r="Q176" s="54"/>
      <c r="R176" s="54"/>
      <c r="S176" s="57"/>
      <c r="T176" s="57"/>
      <c r="U176" s="71"/>
      <c r="V176" s="56"/>
      <c r="W176" s="17"/>
      <c r="X176" s="23" t="str">
        <f>IFERROR(VLOOKUP(W176,Listas!$A$1:$C$13,2,FALSE),"")</f>
        <v/>
      </c>
      <c r="Y176" s="23" t="str">
        <f>IFERROR(VLOOKUP(W176,Listas!$A$1:$C$13,3,FALSE),"")</f>
        <v/>
      </c>
      <c r="Z176" s="17"/>
      <c r="AA176" s="17"/>
      <c r="AB176" s="23" t="str">
        <f>IFERROR(VLOOKUP(AA176,Listas!$AD$1:$AF$65,2,FALSE),"")</f>
        <v/>
      </c>
      <c r="AC176" s="23" t="str">
        <f>IFERROR(VLOOKUP(AA176,Listas!$AD$1:$AF$65,3,FALSE),"")</f>
        <v/>
      </c>
      <c r="AD176" s="26"/>
      <c r="AE176" s="26"/>
      <c r="AF176" s="100">
        <f t="shared" ca="1" si="53"/>
        <v>100</v>
      </c>
      <c r="AG176" s="100">
        <f t="shared" ca="1" si="49"/>
        <v>100</v>
      </c>
      <c r="AH176" s="101" t="str">
        <f t="shared" ca="1" si="50"/>
        <v/>
      </c>
      <c r="AI176" s="101" t="str">
        <f t="shared" si="54"/>
        <v/>
      </c>
      <c r="AJ176" s="59"/>
      <c r="AK176" s="54"/>
      <c r="AL176" s="54" t="str">
        <f t="shared" ca="1" si="46"/>
        <v/>
      </c>
      <c r="AM176" s="53"/>
    </row>
    <row r="177" spans="1:39">
      <c r="A177" s="54"/>
      <c r="B177" s="17"/>
      <c r="C177" s="17"/>
      <c r="D177" s="17"/>
      <c r="E177" s="17"/>
      <c r="F177" s="17"/>
      <c r="G177" s="16"/>
      <c r="H177" s="16"/>
      <c r="I177" s="16"/>
      <c r="J177" s="58"/>
      <c r="K177" s="58"/>
      <c r="L177" s="58"/>
      <c r="M177" s="27"/>
      <c r="N177" s="58"/>
      <c r="O177" s="54">
        <f t="shared" si="51"/>
        <v>0</v>
      </c>
      <c r="P177" s="54">
        <f t="shared" si="52"/>
        <v>0</v>
      </c>
      <c r="Q177" s="54"/>
      <c r="R177" s="54"/>
      <c r="S177" s="57"/>
      <c r="T177" s="57"/>
      <c r="U177" s="71"/>
      <c r="V177" s="56"/>
      <c r="W177" s="17"/>
      <c r="X177" s="23" t="str">
        <f>IFERROR(VLOOKUP(W177,Listas!$A$1:$C$13,2,FALSE),"")</f>
        <v/>
      </c>
      <c r="Y177" s="23" t="str">
        <f>IFERROR(VLOOKUP(W177,Listas!$A$1:$C$13,3,FALSE),"")</f>
        <v/>
      </c>
      <c r="Z177" s="17"/>
      <c r="AA177" s="17"/>
      <c r="AB177" s="23" t="str">
        <f>IFERROR(VLOOKUP(AA177,Listas!$AD$1:$AF$65,2,FALSE),"")</f>
        <v/>
      </c>
      <c r="AC177" s="23" t="str">
        <f>IFERROR(VLOOKUP(AA177,Listas!$AD$1:$AF$65,3,FALSE),"")</f>
        <v/>
      </c>
      <c r="AD177" s="26"/>
      <c r="AE177" s="26"/>
      <c r="AF177" s="100">
        <f t="shared" ca="1" si="53"/>
        <v>100</v>
      </c>
      <c r="AG177" s="100">
        <f t="shared" ca="1" si="49"/>
        <v>100</v>
      </c>
      <c r="AH177" s="101" t="str">
        <f t="shared" ca="1" si="50"/>
        <v/>
      </c>
      <c r="AI177" s="101" t="str">
        <f t="shared" si="54"/>
        <v/>
      </c>
      <c r="AJ177" s="59"/>
      <c r="AK177" s="54"/>
      <c r="AL177" s="54" t="str">
        <f t="shared" ca="1" si="46"/>
        <v/>
      </c>
      <c r="AM177" s="53"/>
    </row>
    <row r="178" spans="1:39">
      <c r="A178" s="85"/>
      <c r="S178" s="141"/>
      <c r="T178" s="141"/>
    </row>
  </sheetData>
  <autoFilter ref="A1:AM178" xr:uid="{1D8745A7-63EA-486D-9D83-E3CA336EDAC5}"/>
  <dataValidations count="3">
    <dataValidation type="list" allowBlank="1" showInputMessage="1" showErrorMessage="1" sqref="AA2:AA8 AA12 AA16 AA20:AA21 AA23:AA24 AA34:AA177 AA27" xr:uid="{2ABD67A4-1040-40BC-8F86-C76038E83BCB}">
      <formula1>INDIRECT(Z2)</formula1>
    </dataValidation>
    <dataValidation type="list" allowBlank="1" showInputMessage="1" showErrorMessage="1" sqref="Z2:Z8 Z12 Z20:Z21 Z23:Z24 Z33:Z177 Z27" xr:uid="{62E8028E-642B-4510-AA0B-F1576A54C836}">
      <formula1>AREA_SOLICITANTE</formula1>
    </dataValidation>
    <dataValidation type="list" allowBlank="1" showInputMessage="1" showErrorMessage="1" sqref="W2:W8 W12:W13 W23 W34:W177" xr:uid="{BAD8B29E-C6A7-4F63-8FD1-94947FB54A7E}">
      <formula1>AREA_ORDENADORA</formula1>
    </dataValidation>
  </dataValidations>
  <pageMargins left="0.7" right="0.7" top="0.75" bottom="0.75" header="0.3" footer="0.3"/>
  <pageSetup orientation="portrait" verticalDpi="300" r:id="rId1"/>
  <extLst>
    <ext xmlns:x14="http://schemas.microsoft.com/office/spreadsheetml/2009/9/main" uri="{CCE6A557-97BC-4b89-ADB6-D9C93CAAB3DF}">
      <x14:dataValidations xmlns:xm="http://schemas.microsoft.com/office/excel/2006/main" count="7">
        <x14:dataValidation type="list" allowBlank="1" showInputMessage="1" showErrorMessage="1" xr:uid="{AD12A883-60E5-4B73-8D8C-DB608A41527C}">
          <x14:formula1>
            <xm:f>Listas!$BB$2:$BB$3</xm:f>
          </x14:formula1>
          <xm:sqref>AE2:AE8 AE11:AE13 AE15:AE16 AE34:AE177</xm:sqref>
        </x14:dataValidation>
        <x14:dataValidation type="list" allowBlank="1" showInputMessage="1" showErrorMessage="1" xr:uid="{E9719C8B-DD9D-4E00-8106-1E07088313A3}">
          <x14:formula1>
            <xm:f>Listas!$AX$2:$AX$8</xm:f>
          </x14:formula1>
          <xm:sqref>B2:B5 B7 B11 B15:B16 B24:C24 B25:B177 B20:B23</xm:sqref>
        </x14:dataValidation>
        <x14:dataValidation type="list" allowBlank="1" showInputMessage="1" showErrorMessage="1" xr:uid="{8B3DA3F8-0789-4B3B-91E3-42B18F0CB1AB}">
          <x14:formula1>
            <xm:f>Listas!$AH$2:$AH$7</xm:f>
          </x14:formula1>
          <xm:sqref>C2:C8 C11:C12 C15:C16 C20:C24 C33:C177 C27</xm:sqref>
        </x14:dataValidation>
        <x14:dataValidation type="list" allowBlank="1" showInputMessage="1" showErrorMessage="1" xr:uid="{5818D041-0C4E-4841-9447-6AFC450C6A02}">
          <x14:formula1>
            <xm:f>Listas!$AJ$2:$AJ$18</xm:f>
          </x14:formula1>
          <xm:sqref>D2 D7:D8 D11 D15:D16 D33:D177 D20:D23</xm:sqref>
        </x14:dataValidation>
        <x14:dataValidation type="list" allowBlank="1" showInputMessage="1" showErrorMessage="1" xr:uid="{250EBC7A-685A-4D02-9C0D-13C7C98203CC}">
          <x14:formula1>
            <xm:f>Listas!$AK$2:$AK$4</xm:f>
          </x14:formula1>
          <xm:sqref>E2 E7:E8 E11 E15:E16 E33:E177 E20:E23</xm:sqref>
        </x14:dataValidation>
        <x14:dataValidation type="list" allowBlank="1" showInputMessage="1" showErrorMessage="1" xr:uid="{733AB897-8A0A-41D2-8673-C81797F06198}">
          <x14:formula1>
            <xm:f>Listas!$AL$2:$AL$5</xm:f>
          </x14:formula1>
          <xm:sqref>F2 F7:F8 F11 F15:F16 F33:F177 F20:F23</xm:sqref>
        </x14:dataValidation>
        <x14:dataValidation type="list" allowBlank="1" showInputMessage="1" showErrorMessage="1" xr:uid="{2D4FB6B3-6319-4543-AEAA-1EB3D64317A3}">
          <x14:formula1>
            <xm:f>Listas!$AU$2:$AU$30</xm:f>
          </x14:formula1>
          <xm:sqref>AD2:AD8 AD11:AD13 AD15:AD16 AD20:AD27 AD29:AD177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AC21-514B-4C26-B839-E329FEB9AC02}">
  <dimension ref="A1:AL196"/>
  <sheetViews>
    <sheetView workbookViewId="0">
      <pane xSplit="2" ySplit="1" topLeftCell="C2" activePane="bottomRight" state="frozen"/>
      <selection pane="bottomRight" activeCell="H2" sqref="H2"/>
      <selection pane="bottomLeft" activeCell="A2" sqref="A2"/>
      <selection pane="topRight" activeCell="C1" sqref="C1"/>
    </sheetView>
  </sheetViews>
  <sheetFormatPr defaultColWidth="11.42578125" defaultRowHeight="15"/>
  <cols>
    <col min="4" max="4" width="17.42578125" customWidth="1"/>
    <col min="5" max="5" width="23.85546875" customWidth="1"/>
    <col min="6" max="6" width="24.140625" customWidth="1"/>
    <col min="7" max="7" width="14.28515625" customWidth="1"/>
    <col min="8" max="8" width="27.5703125" customWidth="1"/>
    <col min="9" max="9" width="40.85546875" customWidth="1"/>
    <col min="10" max="10" width="10.5703125" customWidth="1"/>
    <col min="14" max="16" width="14.85546875" customWidth="1"/>
    <col min="19" max="19" width="21" customWidth="1"/>
    <col min="20" max="20" width="21.5703125" customWidth="1"/>
    <col min="21" max="28" width="21.42578125" customWidth="1"/>
    <col min="29" max="30" width="25" customWidth="1"/>
    <col min="34" max="34" width="13.140625" customWidth="1"/>
    <col min="35" max="35" width="21.42578125" style="141" customWidth="1"/>
    <col min="36" max="36" width="22.7109375" customWidth="1"/>
    <col min="37" max="37" width="18.85546875" customWidth="1"/>
    <col min="38" max="38" width="23.5703125" customWidth="1"/>
  </cols>
  <sheetData>
    <row r="1" spans="1:37" ht="67.5">
      <c r="A1" s="3" t="s">
        <v>8863</v>
      </c>
      <c r="B1" s="3" t="s">
        <v>7</v>
      </c>
      <c r="C1" s="3" t="s">
        <v>8</v>
      </c>
      <c r="D1" s="3" t="s">
        <v>10</v>
      </c>
      <c r="E1" s="3" t="s">
        <v>8718</v>
      </c>
      <c r="F1" s="3" t="s">
        <v>8719</v>
      </c>
      <c r="G1" s="3" t="s">
        <v>8720</v>
      </c>
      <c r="H1" s="3" t="s">
        <v>8864</v>
      </c>
      <c r="I1" s="4" t="s">
        <v>17</v>
      </c>
      <c r="J1" s="3" t="s">
        <v>8717</v>
      </c>
      <c r="K1" s="3" t="s">
        <v>8722</v>
      </c>
      <c r="L1" s="3" t="s">
        <v>8865</v>
      </c>
      <c r="M1" s="5" t="s">
        <v>8866</v>
      </c>
      <c r="N1" s="5" t="s">
        <v>21</v>
      </c>
      <c r="O1" s="6" t="s">
        <v>67</v>
      </c>
      <c r="P1" s="55" t="s">
        <v>8725</v>
      </c>
      <c r="Q1" s="6" t="s">
        <v>8726</v>
      </c>
      <c r="R1" s="6" t="s">
        <v>8867</v>
      </c>
      <c r="S1" s="7" t="s">
        <v>8868</v>
      </c>
      <c r="T1" s="7" t="s">
        <v>8869</v>
      </c>
      <c r="U1" s="7" t="s">
        <v>8870</v>
      </c>
      <c r="V1" s="3" t="s">
        <v>32</v>
      </c>
      <c r="W1" s="3" t="s">
        <v>33</v>
      </c>
      <c r="X1" s="3" t="s">
        <v>34</v>
      </c>
      <c r="Y1" s="3" t="s">
        <v>35</v>
      </c>
      <c r="Z1" s="3" t="s">
        <v>36</v>
      </c>
      <c r="AA1" s="3" t="s">
        <v>37</v>
      </c>
      <c r="AB1" s="3" t="s">
        <v>38</v>
      </c>
      <c r="AC1" s="7" t="s">
        <v>8871</v>
      </c>
      <c r="AD1" s="7" t="s">
        <v>47</v>
      </c>
      <c r="AE1" s="3" t="s">
        <v>91</v>
      </c>
      <c r="AF1" s="3" t="s">
        <v>92</v>
      </c>
      <c r="AG1" s="3" t="s">
        <v>93</v>
      </c>
      <c r="AH1" s="3" t="s">
        <v>94</v>
      </c>
      <c r="AI1" s="139" t="s">
        <v>8872</v>
      </c>
      <c r="AJ1" s="3" t="s">
        <v>8735</v>
      </c>
      <c r="AK1" s="3" t="s">
        <v>8736</v>
      </c>
    </row>
    <row r="2" spans="1:37" s="136" customFormat="1" ht="183">
      <c r="A2" s="125"/>
      <c r="B2" s="125" t="s">
        <v>8873</v>
      </c>
      <c r="C2" s="126" t="s">
        <v>6292</v>
      </c>
      <c r="D2" s="126" t="s">
        <v>6197</v>
      </c>
      <c r="E2" s="126" t="s">
        <v>1426</v>
      </c>
      <c r="F2" s="126" t="s">
        <v>1427</v>
      </c>
      <c r="G2" s="126" t="s">
        <v>8874</v>
      </c>
      <c r="H2" s="126" t="s">
        <v>8875</v>
      </c>
      <c r="I2" s="127" t="s">
        <v>8876</v>
      </c>
      <c r="J2" s="126" t="s">
        <v>8739</v>
      </c>
      <c r="K2" s="128">
        <v>45301</v>
      </c>
      <c r="L2" s="128">
        <v>44924</v>
      </c>
      <c r="M2" s="128">
        <v>44924</v>
      </c>
      <c r="N2" s="128">
        <v>45288</v>
      </c>
      <c r="O2" s="128">
        <v>45668</v>
      </c>
      <c r="P2" s="129">
        <f t="shared" ref="P2:P55" si="0">N2-M2</f>
        <v>364</v>
      </c>
      <c r="Q2" s="130">
        <f t="shared" ref="Q2:Q55" si="1">O2-M2</f>
        <v>744</v>
      </c>
      <c r="R2" s="125">
        <f>O2-N2</f>
        <v>380</v>
      </c>
      <c r="S2" s="131">
        <v>500000000</v>
      </c>
      <c r="T2" s="131">
        <v>0</v>
      </c>
      <c r="U2" s="131">
        <f>S2+T2</f>
        <v>500000000</v>
      </c>
      <c r="V2" s="126" t="s">
        <v>427</v>
      </c>
      <c r="W2" s="132" t="str">
        <f>IFERROR(VLOOKUP(V2,Listas!$A$1:$C$13,2,FALSE),"")</f>
        <v>DINORAH PATRICIA ABADIA MURILLO</v>
      </c>
      <c r="X2" s="132">
        <f>IFERROR(VLOOKUP(V2,Listas!$A$1:$C$13,3,FALSE),"")</f>
        <v>52220857</v>
      </c>
      <c r="Y2" s="126" t="s">
        <v>427</v>
      </c>
      <c r="Z2" s="126" t="s">
        <v>428</v>
      </c>
      <c r="AA2" s="132" t="str">
        <f>IFERROR(VLOOKUP(Z2,Listas!$AD$1:$AF$65,2,FALSE),"")</f>
        <v>DINORAH PATRICIA ABADIA MURILLO</v>
      </c>
      <c r="AB2" s="132">
        <f>IFERROR(VLOOKUP(Z2,Listas!$AD$1:$AF$65,3,FALSE),"")</f>
        <v>52220857</v>
      </c>
      <c r="AC2" s="133" t="s">
        <v>2938</v>
      </c>
      <c r="AD2" s="133" t="s">
        <v>2937</v>
      </c>
      <c r="AE2" s="125">
        <f t="shared" ref="AE2:AE55" ca="1" si="2">IF(TODAY()&gt;O2,1,+(DAYS360(M2,TODAY())/DAYS360(M2,O2)))*100</f>
        <v>100</v>
      </c>
      <c r="AF2" s="125">
        <f t="shared" ref="AF2:AF55" ca="1" si="3">+IF(AJ2&gt;0,DAYS360(P2,AJ2)/DAYS360(P2,R2),AE2)</f>
        <v>100</v>
      </c>
      <c r="AG2" s="125">
        <f t="shared" ref="AG2:AG55" ca="1" si="4">IFERROR((AK2/U2)*100,"")</f>
        <v>137.90322580645159</v>
      </c>
      <c r="AH2" s="134">
        <f t="shared" ref="AH2:AH55" si="5">IFERROR((AI2/U2)*100,"")</f>
        <v>2</v>
      </c>
      <c r="AI2" s="142">
        <v>10000000</v>
      </c>
      <c r="AJ2" s="125"/>
      <c r="AK2" s="135">
        <f t="shared" ref="AK2:AK55" ca="1" si="6">IFERROR((U2/Q2)*(TODAY()-M2),"")</f>
        <v>689516129.03225803</v>
      </c>
    </row>
    <row r="3" spans="1:37" ht="152.25">
      <c r="A3" s="54"/>
      <c r="B3" s="54" t="s">
        <v>8877</v>
      </c>
      <c r="C3" s="17" t="s">
        <v>6292</v>
      </c>
      <c r="D3" s="17" t="s">
        <v>6197</v>
      </c>
      <c r="E3" s="17" t="s">
        <v>1426</v>
      </c>
      <c r="F3" s="17" t="s">
        <v>1427</v>
      </c>
      <c r="G3" s="16" t="s">
        <v>8878</v>
      </c>
      <c r="H3" s="16" t="s">
        <v>8879</v>
      </c>
      <c r="I3" s="32" t="s">
        <v>8880</v>
      </c>
      <c r="J3" s="17" t="s">
        <v>8881</v>
      </c>
      <c r="K3" s="22">
        <v>45289</v>
      </c>
      <c r="L3" s="22">
        <v>45103</v>
      </c>
      <c r="M3" s="22">
        <v>45106</v>
      </c>
      <c r="N3" s="22">
        <v>46202</v>
      </c>
      <c r="O3" s="22">
        <v>46202</v>
      </c>
      <c r="P3" s="102">
        <f t="shared" si="0"/>
        <v>1096</v>
      </c>
      <c r="Q3" s="103">
        <f t="shared" si="1"/>
        <v>1096</v>
      </c>
      <c r="R3" s="54">
        <f>O3-N3</f>
        <v>0</v>
      </c>
      <c r="S3" s="57">
        <v>13759260000</v>
      </c>
      <c r="T3" s="57">
        <v>0</v>
      </c>
      <c r="U3" s="137">
        <f>S3+T3</f>
        <v>13759260000</v>
      </c>
      <c r="V3" s="17" t="s">
        <v>427</v>
      </c>
      <c r="W3" s="23" t="str">
        <f>IFERROR(VLOOKUP(V3,Listas!$A$1:$C$13,2,FALSE),"")</f>
        <v>DINORAH PATRICIA ABADIA MURILLO</v>
      </c>
      <c r="X3" s="23">
        <f>IFERROR(VLOOKUP(V3,Listas!$A$1:$C$13,3,FALSE),"")</f>
        <v>52220857</v>
      </c>
      <c r="Y3" s="17" t="s">
        <v>427</v>
      </c>
      <c r="Z3" s="17" t="s">
        <v>428</v>
      </c>
      <c r="AA3" s="23" t="str">
        <f>IFERROR(VLOOKUP(Z3,Listas!$AD$1:$AF$65,2,FALSE),"")</f>
        <v>DINORAH PATRICIA ABADIA MURILLO</v>
      </c>
      <c r="AB3" s="23">
        <f>IFERROR(VLOOKUP(Z3,Listas!$AD$1:$AF$65,3,FALSE),"")</f>
        <v>52220857</v>
      </c>
      <c r="AC3" s="26" t="s">
        <v>3453</v>
      </c>
      <c r="AD3" s="26" t="s">
        <v>2937</v>
      </c>
      <c r="AE3" s="100">
        <f t="shared" ca="1" si="2"/>
        <v>76.944444444444443</v>
      </c>
      <c r="AF3" s="100">
        <f t="shared" ca="1" si="3"/>
        <v>76.944444444444443</v>
      </c>
      <c r="AG3" s="100">
        <f t="shared" ca="1" si="4"/>
        <v>77.007299270072991</v>
      </c>
      <c r="AH3" s="101">
        <f t="shared" si="5"/>
        <v>25.904391093707073</v>
      </c>
      <c r="AI3" s="140">
        <v>3564252522</v>
      </c>
      <c r="AJ3" s="54"/>
      <c r="AK3" s="56">
        <f t="shared" ca="1" si="6"/>
        <v>10595634525.547445</v>
      </c>
    </row>
    <row r="4" spans="1:37" ht="183">
      <c r="A4" s="54"/>
      <c r="B4" s="54" t="s">
        <v>8882</v>
      </c>
      <c r="C4" s="17" t="s">
        <v>6292</v>
      </c>
      <c r="D4" s="17" t="s">
        <v>5941</v>
      </c>
      <c r="E4" s="17" t="s">
        <v>1426</v>
      </c>
      <c r="F4" s="17" t="s">
        <v>1427</v>
      </c>
      <c r="G4" s="16" t="s">
        <v>8883</v>
      </c>
      <c r="H4" s="16" t="s">
        <v>8884</v>
      </c>
      <c r="I4" s="32" t="s">
        <v>8885</v>
      </c>
      <c r="J4" s="17" t="s">
        <v>8886</v>
      </c>
      <c r="K4" s="22">
        <v>45348</v>
      </c>
      <c r="L4" s="22">
        <v>39129</v>
      </c>
      <c r="M4" s="22">
        <v>39129</v>
      </c>
      <c r="N4" s="22">
        <v>39493</v>
      </c>
      <c r="O4" s="22">
        <v>46444</v>
      </c>
      <c r="P4" s="102">
        <f t="shared" si="0"/>
        <v>364</v>
      </c>
      <c r="Q4" s="103">
        <f t="shared" si="1"/>
        <v>7315</v>
      </c>
      <c r="R4" s="54">
        <v>1096</v>
      </c>
      <c r="S4" s="57">
        <v>610000000</v>
      </c>
      <c r="T4" s="57">
        <v>0</v>
      </c>
      <c r="U4" s="57">
        <v>610000000</v>
      </c>
      <c r="V4" s="17" t="s">
        <v>406</v>
      </c>
      <c r="W4" s="23" t="str">
        <f>IFERROR(VLOOKUP(V4,Listas!$A$1:$C$13,2,FALSE),"")</f>
        <v>EDUARDO ELÍAS BARCHA BOLÍVAR</v>
      </c>
      <c r="X4" s="23">
        <f>IFERROR(VLOOKUP(V4,Listas!$A$1:$C$13,3,FALSE),"")</f>
        <v>72133921</v>
      </c>
      <c r="Y4" s="17" t="s">
        <v>406</v>
      </c>
      <c r="Z4" s="17" t="s">
        <v>504</v>
      </c>
      <c r="AA4" s="23" t="str">
        <f>IFERROR(VLOOKUP(Z4,Listas!$AD$1:$AF$65,2,FALSE),"")</f>
        <v>EDUARDO ELÍAS BARCHA BOLÍVAR</v>
      </c>
      <c r="AB4" s="23">
        <f>IFERROR(VLOOKUP(Z4,Listas!$AD$1:$AF$65,3,FALSE),"")</f>
        <v>72133921</v>
      </c>
      <c r="AC4" s="26" t="s">
        <v>2938</v>
      </c>
      <c r="AD4" s="26" t="s">
        <v>2937</v>
      </c>
      <c r="AE4" s="100">
        <f t="shared" ca="1" si="2"/>
        <v>93.25936199722608</v>
      </c>
      <c r="AF4" s="100">
        <f t="shared" ca="1" si="3"/>
        <v>93.25936199722608</v>
      </c>
      <c r="AG4" s="100">
        <f t="shared" ca="1" si="4"/>
        <v>93.246753246753258</v>
      </c>
      <c r="AH4" s="101">
        <f t="shared" si="5"/>
        <v>0</v>
      </c>
      <c r="AI4" s="59">
        <v>0</v>
      </c>
      <c r="AJ4" s="54"/>
      <c r="AK4" s="56">
        <f t="shared" ca="1" si="6"/>
        <v>568805194.80519485</v>
      </c>
    </row>
    <row r="5" spans="1:37" ht="76.5">
      <c r="A5" s="54"/>
      <c r="B5" s="54" t="s">
        <v>8887</v>
      </c>
      <c r="C5" s="17" t="s">
        <v>6292</v>
      </c>
      <c r="D5" s="17" t="s">
        <v>5941</v>
      </c>
      <c r="E5" s="17" t="s">
        <v>1426</v>
      </c>
      <c r="F5" s="17" t="s">
        <v>1427</v>
      </c>
      <c r="G5" s="16" t="s">
        <v>5867</v>
      </c>
      <c r="H5" s="16" t="s">
        <v>8888</v>
      </c>
      <c r="I5" s="32" t="s">
        <v>8889</v>
      </c>
      <c r="J5" s="17" t="s">
        <v>8745</v>
      </c>
      <c r="K5" s="22">
        <v>45351</v>
      </c>
      <c r="L5" s="22">
        <v>44077</v>
      </c>
      <c r="M5" s="22">
        <v>44077</v>
      </c>
      <c r="N5" s="22">
        <v>44925</v>
      </c>
      <c r="O5" s="22">
        <v>45391</v>
      </c>
      <c r="P5" s="102">
        <f t="shared" si="0"/>
        <v>848</v>
      </c>
      <c r="Q5" s="103">
        <f t="shared" si="1"/>
        <v>1314</v>
      </c>
      <c r="R5" s="54">
        <v>40</v>
      </c>
      <c r="S5" s="57">
        <v>1308000000</v>
      </c>
      <c r="T5" s="57">
        <v>38666667</v>
      </c>
      <c r="U5" s="57">
        <f>S5+T5</f>
        <v>1346666667</v>
      </c>
      <c r="V5" s="17" t="s">
        <v>607</v>
      </c>
      <c r="W5" s="23" t="str">
        <f>IFERROR(VLOOKUP(V5,Listas!$A$1:$C$13,2,FALSE),"")</f>
        <v>MARÍA FRANCISCA CEPEDA QUINTERO</v>
      </c>
      <c r="X5" s="23">
        <f>IFERROR(VLOOKUP(V5,Listas!$A$1:$C$13,3,FALSE),"")</f>
        <v>53062608</v>
      </c>
      <c r="Y5" s="17" t="s">
        <v>607</v>
      </c>
      <c r="Z5" s="17" t="s">
        <v>1155</v>
      </c>
      <c r="AA5" s="23" t="str">
        <f>IFERROR(VLOOKUP(Z5,Listas!$AD$1:$AF$65,2,FALSE),"")</f>
        <v>MARÍA FRANCISCA CEPEDA QUINTERO</v>
      </c>
      <c r="AB5" s="23">
        <f>IFERROR(VLOOKUP(Z5,Listas!$AD$1:$AF$65,3,FALSE),"")</f>
        <v>53062608</v>
      </c>
      <c r="AC5" s="26" t="s">
        <v>4526</v>
      </c>
      <c r="AD5" s="26" t="s">
        <v>2937</v>
      </c>
      <c r="AE5" s="100">
        <f t="shared" ca="1" si="2"/>
        <v>100</v>
      </c>
      <c r="AF5" s="100">
        <f t="shared" ca="1" si="3"/>
        <v>100</v>
      </c>
      <c r="AG5" s="100">
        <f t="shared" ca="1" si="4"/>
        <v>142.54185692541856</v>
      </c>
      <c r="AH5" s="101">
        <f t="shared" si="5"/>
        <v>97.128712847245367</v>
      </c>
      <c r="AI5" s="59">
        <v>1308000000</v>
      </c>
      <c r="AJ5" s="54"/>
      <c r="AK5" s="56">
        <f t="shared" ca="1" si="6"/>
        <v>1919563673.737443</v>
      </c>
    </row>
    <row r="6" spans="1:37" s="169" customFormat="1" ht="106.5">
      <c r="A6" s="157"/>
      <c r="B6" s="157" t="s">
        <v>8890</v>
      </c>
      <c r="C6" s="158" t="s">
        <v>6292</v>
      </c>
      <c r="D6" s="158" t="s">
        <v>6197</v>
      </c>
      <c r="E6" s="158" t="s">
        <v>1426</v>
      </c>
      <c r="F6" s="158" t="s">
        <v>1427</v>
      </c>
      <c r="G6" s="158" t="s">
        <v>8891</v>
      </c>
      <c r="H6" s="158" t="s">
        <v>8892</v>
      </c>
      <c r="I6" s="159" t="s">
        <v>8893</v>
      </c>
      <c r="J6" s="158" t="s">
        <v>8739</v>
      </c>
      <c r="K6" s="160">
        <v>45371</v>
      </c>
      <c r="L6" s="160">
        <v>41663</v>
      </c>
      <c r="M6" s="160">
        <v>41663</v>
      </c>
      <c r="N6" s="160">
        <v>42758</v>
      </c>
      <c r="O6" s="160">
        <v>46568</v>
      </c>
      <c r="P6" s="161">
        <f t="shared" si="0"/>
        <v>1095</v>
      </c>
      <c r="Q6" s="162">
        <f t="shared" si="1"/>
        <v>4905</v>
      </c>
      <c r="R6" s="157">
        <v>1197</v>
      </c>
      <c r="S6" s="163">
        <v>17718000000</v>
      </c>
      <c r="T6" s="163">
        <v>0</v>
      </c>
      <c r="U6" s="163">
        <v>17718000000</v>
      </c>
      <c r="V6" s="158" t="s">
        <v>427</v>
      </c>
      <c r="W6" s="164" t="str">
        <f>IFERROR(VLOOKUP(V6,Listas!$A$1:$C$13,2,FALSE),"")</f>
        <v>DINORAH PATRICIA ABADIA MURILLO</v>
      </c>
      <c r="X6" s="164">
        <f>IFERROR(VLOOKUP(V6,Listas!$A$1:$C$13,3,FALSE),"")</f>
        <v>52220857</v>
      </c>
      <c r="Y6" s="158" t="s">
        <v>427</v>
      </c>
      <c r="Z6" s="158" t="s">
        <v>428</v>
      </c>
      <c r="AA6" s="164" t="str">
        <f>IFERROR(VLOOKUP(Z6,Listas!$AD$1:$AF$65,2,FALSE),"")</f>
        <v>DINORAH PATRICIA ABADIA MURILLO</v>
      </c>
      <c r="AB6" s="164">
        <f>IFERROR(VLOOKUP(Z6,Listas!$AD$1:$AF$65,3,FALSE),"")</f>
        <v>52220857</v>
      </c>
      <c r="AC6" s="165" t="s">
        <v>3133</v>
      </c>
      <c r="AD6" s="165" t="s">
        <v>2937</v>
      </c>
      <c r="AE6" s="157">
        <f t="shared" ca="1" si="2"/>
        <v>87.386269644334163</v>
      </c>
      <c r="AF6" s="157">
        <f t="shared" ca="1" si="3"/>
        <v>87.386269644334163</v>
      </c>
      <c r="AG6" s="157">
        <f t="shared" ca="1" si="4"/>
        <v>87.400611620795104</v>
      </c>
      <c r="AH6" s="166">
        <f t="shared" si="5"/>
        <v>98.380452613500395</v>
      </c>
      <c r="AI6" s="167">
        <v>17431048594.060001</v>
      </c>
      <c r="AJ6" s="157"/>
      <c r="AK6" s="168">
        <f t="shared" ca="1" si="6"/>
        <v>15485640366.972477</v>
      </c>
    </row>
    <row r="7" spans="1:37" ht="153.75" customHeight="1">
      <c r="A7" s="54"/>
      <c r="B7" s="54" t="s">
        <v>8882</v>
      </c>
      <c r="C7" s="17" t="s">
        <v>6292</v>
      </c>
      <c r="D7" s="17" t="s">
        <v>5941</v>
      </c>
      <c r="E7" s="17" t="s">
        <v>1426</v>
      </c>
      <c r="F7" s="17" t="s">
        <v>1427</v>
      </c>
      <c r="G7" s="16" t="s">
        <v>8883</v>
      </c>
      <c r="H7" s="16" t="s">
        <v>8884</v>
      </c>
      <c r="I7" s="32" t="s">
        <v>8894</v>
      </c>
      <c r="J7" s="17" t="s">
        <v>8881</v>
      </c>
      <c r="K7" s="22">
        <v>45378</v>
      </c>
      <c r="L7" s="22">
        <v>39129</v>
      </c>
      <c r="M7" s="22">
        <v>39129</v>
      </c>
      <c r="N7" s="22">
        <v>39493</v>
      </c>
      <c r="O7" s="22">
        <v>46444</v>
      </c>
      <c r="P7" s="102">
        <f t="shared" si="0"/>
        <v>364</v>
      </c>
      <c r="Q7" s="103">
        <f t="shared" si="1"/>
        <v>7315</v>
      </c>
      <c r="R7" s="54">
        <v>0</v>
      </c>
      <c r="S7" s="57">
        <v>610000000</v>
      </c>
      <c r="T7" s="57">
        <v>0</v>
      </c>
      <c r="U7" s="57">
        <v>610000000</v>
      </c>
      <c r="V7" s="17" t="s">
        <v>406</v>
      </c>
      <c r="W7" s="23" t="str">
        <f>IFERROR(VLOOKUP(V7,Listas!$A$1:$C$13,2,FALSE),"")</f>
        <v>EDUARDO ELÍAS BARCHA BOLÍVAR</v>
      </c>
      <c r="X7" s="23">
        <f>IFERROR(VLOOKUP(V7,Listas!$A$1:$C$13,3,FALSE),"")</f>
        <v>72133921</v>
      </c>
      <c r="Y7" s="17" t="s">
        <v>406</v>
      </c>
      <c r="Z7" s="17" t="s">
        <v>504</v>
      </c>
      <c r="AA7" s="23" t="str">
        <f>IFERROR(VLOOKUP(Z7,Listas!$AD$1:$AF$65,2,FALSE),"")</f>
        <v>EDUARDO ELÍAS BARCHA BOLÍVAR</v>
      </c>
      <c r="AB7" s="23">
        <f>IFERROR(VLOOKUP(Z7,Listas!$AD$1:$AF$65,3,FALSE),"")</f>
        <v>72133921</v>
      </c>
      <c r="AC7" s="26" t="s">
        <v>2938</v>
      </c>
      <c r="AD7" s="26" t="s">
        <v>2937</v>
      </c>
      <c r="AE7" s="100">
        <f t="shared" ca="1" si="2"/>
        <v>93.25936199722608</v>
      </c>
      <c r="AF7" s="100">
        <f t="shared" ca="1" si="3"/>
        <v>93.25936199722608</v>
      </c>
      <c r="AG7" s="100">
        <f t="shared" ca="1" si="4"/>
        <v>93.246753246753258</v>
      </c>
      <c r="AH7" s="101">
        <f t="shared" si="5"/>
        <v>0</v>
      </c>
      <c r="AI7" s="59"/>
      <c r="AJ7" s="54"/>
      <c r="AK7" s="56">
        <f t="shared" ca="1" si="6"/>
        <v>568805194.80519485</v>
      </c>
    </row>
    <row r="8" spans="1:37" ht="89.25" customHeight="1">
      <c r="A8" s="54"/>
      <c r="B8" s="54" t="s">
        <v>8895</v>
      </c>
      <c r="C8" s="17" t="s">
        <v>6292</v>
      </c>
      <c r="D8" s="17" t="s">
        <v>5866</v>
      </c>
      <c r="E8" s="17" t="s">
        <v>1426</v>
      </c>
      <c r="F8" s="17" t="s">
        <v>1427</v>
      </c>
      <c r="G8" s="16" t="s">
        <v>8896</v>
      </c>
      <c r="H8" s="16" t="s">
        <v>8897</v>
      </c>
      <c r="I8" s="32" t="s">
        <v>8898</v>
      </c>
      <c r="J8" s="17" t="s">
        <v>8752</v>
      </c>
      <c r="K8" s="22">
        <v>45378</v>
      </c>
      <c r="L8" s="22">
        <v>45196</v>
      </c>
      <c r="M8" s="22">
        <v>45196</v>
      </c>
      <c r="N8" s="22">
        <v>47540</v>
      </c>
      <c r="O8" s="22">
        <v>47540</v>
      </c>
      <c r="P8" s="102">
        <f t="shared" si="0"/>
        <v>2344</v>
      </c>
      <c r="Q8" s="103">
        <f t="shared" si="1"/>
        <v>2344</v>
      </c>
      <c r="R8" s="54">
        <v>0</v>
      </c>
      <c r="S8" s="57">
        <v>65556070178</v>
      </c>
      <c r="T8" s="57">
        <v>53965265580</v>
      </c>
      <c r="U8" s="57">
        <f>S8+T8</f>
        <v>119521335758</v>
      </c>
      <c r="V8" s="17" t="s">
        <v>427</v>
      </c>
      <c r="W8" s="23" t="str">
        <f>IFERROR(VLOOKUP(V8,Listas!$A$1:$C$13,2,FALSE),"")</f>
        <v>DINORAH PATRICIA ABADIA MURILLO</v>
      </c>
      <c r="X8" s="23">
        <f>IFERROR(VLOOKUP(V8,Listas!$A$1:$C$13,3,FALSE),"")</f>
        <v>52220857</v>
      </c>
      <c r="Y8" s="17" t="s">
        <v>427</v>
      </c>
      <c r="Z8" s="17" t="s">
        <v>428</v>
      </c>
      <c r="AA8" s="23" t="str">
        <f>IFERROR(VLOOKUP(Z8,Listas!$AD$1:$AF$65,2,FALSE),"")</f>
        <v>DINORAH PATRICIA ABADIA MURILLO</v>
      </c>
      <c r="AB8" s="23">
        <f>IFERROR(VLOOKUP(Z8,Listas!$AD$1:$AF$65,3,FALSE),"")</f>
        <v>52220857</v>
      </c>
      <c r="AC8" s="26" t="s">
        <v>3133</v>
      </c>
      <c r="AD8" s="26" t="s">
        <v>2937</v>
      </c>
      <c r="AE8" s="100">
        <f t="shared" ca="1" si="2"/>
        <v>32.178432221741019</v>
      </c>
      <c r="AF8" s="100">
        <f t="shared" ca="1" si="3"/>
        <v>32.178432221741019</v>
      </c>
      <c r="AG8" s="100">
        <f t="shared" ca="1" si="4"/>
        <v>32.167235494880551</v>
      </c>
      <c r="AH8" s="101">
        <f t="shared" si="5"/>
        <v>1.0368138109743765</v>
      </c>
      <c r="AI8" s="59">
        <v>1239213716.2</v>
      </c>
      <c r="AJ8" s="54"/>
      <c r="AK8" s="56">
        <f t="shared" ca="1" si="6"/>
        <v>38446709539.902733</v>
      </c>
    </row>
    <row r="9" spans="1:37" s="136" customFormat="1" ht="45.75">
      <c r="A9" s="125">
        <v>122069</v>
      </c>
      <c r="B9" s="125" t="s">
        <v>8899</v>
      </c>
      <c r="C9" s="126" t="s">
        <v>6292</v>
      </c>
      <c r="D9" s="126" t="s">
        <v>6197</v>
      </c>
      <c r="E9" s="126" t="s">
        <v>1426</v>
      </c>
      <c r="F9" s="126" t="s">
        <v>1427</v>
      </c>
      <c r="G9" s="126" t="s">
        <v>8900</v>
      </c>
      <c r="H9" s="126" t="s">
        <v>8901</v>
      </c>
      <c r="I9" s="127" t="s">
        <v>8902</v>
      </c>
      <c r="J9" s="126" t="s">
        <v>8739</v>
      </c>
      <c r="K9" s="128">
        <v>45397</v>
      </c>
      <c r="L9" s="128">
        <v>43789</v>
      </c>
      <c r="M9" s="128">
        <v>43789</v>
      </c>
      <c r="N9" s="128">
        <v>44196</v>
      </c>
      <c r="O9" s="128">
        <v>45838</v>
      </c>
      <c r="P9" s="129">
        <f t="shared" si="0"/>
        <v>407</v>
      </c>
      <c r="Q9" s="130">
        <f t="shared" si="1"/>
        <v>2049</v>
      </c>
      <c r="R9" s="125">
        <v>242</v>
      </c>
      <c r="S9" s="131">
        <v>68150340540.889999</v>
      </c>
      <c r="T9" s="131">
        <v>0</v>
      </c>
      <c r="U9" s="131">
        <v>68150340540.889999</v>
      </c>
      <c r="V9" s="126" t="s">
        <v>427</v>
      </c>
      <c r="W9" s="132" t="str">
        <f>IFERROR(VLOOKUP(V9,Listas!$A$1:$C$13,2,FALSE),"")</f>
        <v>DINORAH PATRICIA ABADIA MURILLO</v>
      </c>
      <c r="X9" s="132">
        <f>IFERROR(VLOOKUP(V9,Listas!$A$1:$C$13,3,FALSE),"")</f>
        <v>52220857</v>
      </c>
      <c r="Y9" s="126" t="s">
        <v>427</v>
      </c>
      <c r="Z9" s="126" t="s">
        <v>428</v>
      </c>
      <c r="AA9" s="132" t="str">
        <f>IFERROR(VLOOKUP(Z9,Listas!$AD$1:$AF$65,2,FALSE),"")</f>
        <v>DINORAH PATRICIA ABADIA MURILLO</v>
      </c>
      <c r="AB9" s="132">
        <f>IFERROR(VLOOKUP(Z9,Listas!$AD$1:$AF$65,3,FALSE),"")</f>
        <v>52220857</v>
      </c>
      <c r="AC9" s="133" t="s">
        <v>2938</v>
      </c>
      <c r="AD9" s="133" t="s">
        <v>2937</v>
      </c>
      <c r="AE9" s="125">
        <f t="shared" ca="1" si="2"/>
        <v>100</v>
      </c>
      <c r="AF9" s="125">
        <f t="shared" ca="1" si="3"/>
        <v>100</v>
      </c>
      <c r="AG9" s="125">
        <f t="shared" ca="1" si="4"/>
        <v>105.46608101512933</v>
      </c>
      <c r="AH9" s="134">
        <f t="shared" si="5"/>
        <v>35.635784333944052</v>
      </c>
      <c r="AI9" s="172">
        <v>24285908378</v>
      </c>
      <c r="AJ9" s="125"/>
      <c r="AK9" s="135">
        <f t="shared" ca="1" si="6"/>
        <v>71875493366.941574</v>
      </c>
    </row>
    <row r="10" spans="1:37" ht="91.5">
      <c r="A10" s="54"/>
      <c r="B10" s="54" t="s">
        <v>8903</v>
      </c>
      <c r="C10" s="17" t="s">
        <v>6292</v>
      </c>
      <c r="D10" s="17" t="s">
        <v>6197</v>
      </c>
      <c r="E10" s="17" t="s">
        <v>1426</v>
      </c>
      <c r="F10" s="17" t="s">
        <v>1427</v>
      </c>
      <c r="G10" s="16" t="s">
        <v>8891</v>
      </c>
      <c r="H10" s="16" t="s">
        <v>8904</v>
      </c>
      <c r="I10" s="32" t="s">
        <v>8905</v>
      </c>
      <c r="J10" s="17" t="s">
        <v>8739</v>
      </c>
      <c r="K10" s="22">
        <v>45412</v>
      </c>
      <c r="L10" s="22">
        <v>42124</v>
      </c>
      <c r="M10" s="22">
        <v>42124</v>
      </c>
      <c r="N10" s="22">
        <v>43950</v>
      </c>
      <c r="O10" s="22">
        <v>48029</v>
      </c>
      <c r="P10" s="102">
        <f t="shared" si="0"/>
        <v>1826</v>
      </c>
      <c r="Q10" s="103">
        <f t="shared" si="1"/>
        <v>5905</v>
      </c>
      <c r="R10" s="54">
        <v>2617</v>
      </c>
      <c r="S10" s="57">
        <v>32268246820</v>
      </c>
      <c r="T10" s="57">
        <v>0</v>
      </c>
      <c r="U10" s="57">
        <v>32268246820</v>
      </c>
      <c r="V10" s="17" t="s">
        <v>427</v>
      </c>
      <c r="W10" s="23" t="str">
        <f>IFERROR(VLOOKUP(V10,Listas!$A$1:$C$13,2,FALSE),"")</f>
        <v>DINORAH PATRICIA ABADIA MURILLO</v>
      </c>
      <c r="X10" s="23">
        <f>IFERROR(VLOOKUP(V10,Listas!$A$1:$C$13,3,FALSE),"")</f>
        <v>52220857</v>
      </c>
      <c r="Y10" s="17" t="s">
        <v>427</v>
      </c>
      <c r="Z10" s="17" t="s">
        <v>428</v>
      </c>
      <c r="AA10" s="23" t="str">
        <f>IFERROR(VLOOKUP(Z10,Listas!$AD$1:$AF$65,2,FALSE),"")</f>
        <v>DINORAH PATRICIA ABADIA MURILLO</v>
      </c>
      <c r="AB10" s="23">
        <f>IFERROR(VLOOKUP(Z10,Listas!$AD$1:$AF$65,3,FALSE),"")</f>
        <v>52220857</v>
      </c>
      <c r="AC10" s="26" t="s">
        <v>3501</v>
      </c>
      <c r="AD10" s="26" t="s">
        <v>2937</v>
      </c>
      <c r="AE10" s="100">
        <f t="shared" ca="1" si="2"/>
        <v>64.776632302405503</v>
      </c>
      <c r="AF10" s="100">
        <f t="shared" ca="1" si="3"/>
        <v>64.776632302405503</v>
      </c>
      <c r="AG10" s="100">
        <f t="shared" ca="1" si="4"/>
        <v>64.792548687552923</v>
      </c>
      <c r="AH10" s="101">
        <f t="shared" si="5"/>
        <v>97.543432698956906</v>
      </c>
      <c r="AI10" s="59">
        <v>31475555620</v>
      </c>
      <c r="AJ10" s="54"/>
      <c r="AK10" s="56">
        <f t="shared" ca="1" si="6"/>
        <v>20907419531.468246</v>
      </c>
    </row>
    <row r="11" spans="1:37" ht="76.5">
      <c r="A11" s="54">
        <v>120884</v>
      </c>
      <c r="B11" s="54" t="s">
        <v>8906</v>
      </c>
      <c r="C11" s="17" t="s">
        <v>6292</v>
      </c>
      <c r="D11" s="17" t="s">
        <v>6197</v>
      </c>
      <c r="E11" s="17" t="s">
        <v>1426</v>
      </c>
      <c r="F11" s="17" t="s">
        <v>1427</v>
      </c>
      <c r="G11" s="16" t="s">
        <v>6250</v>
      </c>
      <c r="H11" s="16" t="s">
        <v>8907</v>
      </c>
      <c r="I11" s="32" t="s">
        <v>8908</v>
      </c>
      <c r="J11" s="17" t="s">
        <v>8739</v>
      </c>
      <c r="K11" s="22">
        <v>45404</v>
      </c>
      <c r="L11" s="22">
        <v>34695</v>
      </c>
      <c r="M11" s="22">
        <v>34695</v>
      </c>
      <c r="N11" s="22">
        <v>36520</v>
      </c>
      <c r="O11" s="22">
        <v>46499</v>
      </c>
      <c r="P11" s="102">
        <f t="shared" si="0"/>
        <v>1825</v>
      </c>
      <c r="Q11" s="103">
        <f t="shared" si="1"/>
        <v>11804</v>
      </c>
      <c r="R11" s="54">
        <v>1095</v>
      </c>
      <c r="S11" s="57">
        <v>9681438836</v>
      </c>
      <c r="T11" s="57">
        <v>0</v>
      </c>
      <c r="U11" s="57">
        <v>9681438836</v>
      </c>
      <c r="V11" s="17" t="s">
        <v>427</v>
      </c>
      <c r="W11" s="23" t="str">
        <f>IFERROR(VLOOKUP(V11,Listas!$A$1:$C$13,2,FALSE),"")</f>
        <v>DINORAH PATRICIA ABADIA MURILLO</v>
      </c>
      <c r="X11" s="23">
        <f>IFERROR(VLOOKUP(V11,Listas!$A$1:$C$13,3,FALSE),"")</f>
        <v>52220857</v>
      </c>
      <c r="Y11" s="17" t="s">
        <v>427</v>
      </c>
      <c r="Z11" s="17" t="s">
        <v>428</v>
      </c>
      <c r="AA11" s="23" t="str">
        <f>IFERROR(VLOOKUP(Z11,Listas!$AD$1:$AF$65,2,FALSE),"")</f>
        <v>DINORAH PATRICIA ABADIA MURILLO</v>
      </c>
      <c r="AB11" s="23">
        <f>IFERROR(VLOOKUP(Z11,Listas!$AD$1:$AF$65,3,FALSE),"")</f>
        <v>52220857</v>
      </c>
      <c r="AC11" s="26" t="s">
        <v>2938</v>
      </c>
      <c r="AD11" s="26" t="s">
        <v>2937</v>
      </c>
      <c r="AE11" s="100">
        <f t="shared" ca="1" si="2"/>
        <v>95.341641598624832</v>
      </c>
      <c r="AF11" s="100">
        <f t="shared" ca="1" si="3"/>
        <v>95.341641598624832</v>
      </c>
      <c r="AG11" s="100">
        <f t="shared" ca="1" si="4"/>
        <v>95.349034225686196</v>
      </c>
      <c r="AH11" s="101">
        <f t="shared" si="5"/>
        <v>99.515500869296616</v>
      </c>
      <c r="AI11" s="59">
        <v>9634532349</v>
      </c>
      <c r="AJ11" s="54"/>
      <c r="AK11" s="56">
        <f t="shared" ca="1" si="6"/>
        <v>9231158429.276516</v>
      </c>
    </row>
    <row r="12" spans="1:37" s="136" customFormat="1" ht="167.25">
      <c r="A12" s="125">
        <v>121796</v>
      </c>
      <c r="B12" s="125" t="s">
        <v>8909</v>
      </c>
      <c r="C12" s="126" t="s">
        <v>6292</v>
      </c>
      <c r="D12" s="126" t="s">
        <v>6197</v>
      </c>
      <c r="E12" s="126" t="s">
        <v>1426</v>
      </c>
      <c r="F12" s="126" t="s">
        <v>1427</v>
      </c>
      <c r="G12" s="126" t="s">
        <v>8910</v>
      </c>
      <c r="H12" s="126" t="s">
        <v>8911</v>
      </c>
      <c r="I12" s="127" t="s">
        <v>8912</v>
      </c>
      <c r="J12" s="126" t="s">
        <v>8752</v>
      </c>
      <c r="K12" s="128">
        <v>45432</v>
      </c>
      <c r="L12" s="128">
        <v>41519</v>
      </c>
      <c r="M12" s="128">
        <v>41519</v>
      </c>
      <c r="N12" s="128">
        <v>43344</v>
      </c>
      <c r="O12" s="128">
        <v>46997</v>
      </c>
      <c r="P12" s="129">
        <f t="shared" si="0"/>
        <v>1825</v>
      </c>
      <c r="Q12" s="130">
        <f t="shared" si="1"/>
        <v>5478</v>
      </c>
      <c r="R12" s="125">
        <v>0</v>
      </c>
      <c r="S12" s="131">
        <v>2153000000</v>
      </c>
      <c r="T12" s="131">
        <v>200000000</v>
      </c>
      <c r="U12" s="131">
        <f>S12+T12</f>
        <v>2353000000</v>
      </c>
      <c r="V12" s="126" t="s">
        <v>427</v>
      </c>
      <c r="W12" s="132" t="str">
        <f>IFERROR(VLOOKUP(V12,Listas!$A$1:$C$13,2,FALSE),"")</f>
        <v>DINORAH PATRICIA ABADIA MURILLO</v>
      </c>
      <c r="X12" s="132">
        <f>IFERROR(VLOOKUP(V12,Listas!$A$1:$C$13,3,FALSE),"")</f>
        <v>52220857</v>
      </c>
      <c r="Y12" s="126" t="s">
        <v>427</v>
      </c>
      <c r="Z12" s="126" t="s">
        <v>428</v>
      </c>
      <c r="AA12" s="132" t="str">
        <f>IFERROR(VLOOKUP(Z12,Listas!$AD$1:$AF$65,2,FALSE),"")</f>
        <v>DINORAH PATRICIA ABADIA MURILLO</v>
      </c>
      <c r="AB12" s="132">
        <f>IFERROR(VLOOKUP(Z12,Listas!$AD$1:$AF$65,3,FALSE),"")</f>
        <v>52220857</v>
      </c>
      <c r="AC12" s="133" t="s">
        <v>3453</v>
      </c>
      <c r="AD12" s="133" t="s">
        <v>2937</v>
      </c>
      <c r="AE12" s="125">
        <f t="shared" ca="1" si="2"/>
        <v>80.903871087238372</v>
      </c>
      <c r="AF12" s="125">
        <f t="shared" ca="1" si="3"/>
        <v>80.903871087238372</v>
      </c>
      <c r="AG12" s="125">
        <f t="shared" ca="1" si="4"/>
        <v>80.887185104052577</v>
      </c>
      <c r="AH12" s="134">
        <f t="shared" si="5"/>
        <v>70.433324759456013</v>
      </c>
      <c r="AI12" s="172">
        <v>1657296131.5899999</v>
      </c>
      <c r="AJ12" s="125"/>
      <c r="AK12" s="135">
        <f t="shared" ca="1" si="6"/>
        <v>1903275465.4983571</v>
      </c>
    </row>
    <row r="13" spans="1:37" ht="76.5">
      <c r="A13" s="54">
        <v>121876</v>
      </c>
      <c r="B13" s="54" t="s">
        <v>8913</v>
      </c>
      <c r="C13" s="17" t="s">
        <v>6292</v>
      </c>
      <c r="D13" s="17" t="s">
        <v>6197</v>
      </c>
      <c r="E13" s="17" t="s">
        <v>1426</v>
      </c>
      <c r="F13" s="17" t="s">
        <v>1427</v>
      </c>
      <c r="G13" s="16" t="s">
        <v>8914</v>
      </c>
      <c r="H13" s="16" t="s">
        <v>8915</v>
      </c>
      <c r="I13" s="32" t="s">
        <v>8916</v>
      </c>
      <c r="J13" s="17" t="s">
        <v>8752</v>
      </c>
      <c r="K13" s="22">
        <v>45418</v>
      </c>
      <c r="L13" s="22">
        <v>42368</v>
      </c>
      <c r="M13" s="22">
        <v>42368</v>
      </c>
      <c r="N13" s="22">
        <v>44194</v>
      </c>
      <c r="O13" s="22">
        <v>46020</v>
      </c>
      <c r="P13" s="102">
        <f t="shared" si="0"/>
        <v>1826</v>
      </c>
      <c r="Q13" s="103">
        <f t="shared" si="1"/>
        <v>3652</v>
      </c>
      <c r="R13" s="54">
        <v>0</v>
      </c>
      <c r="S13" s="57">
        <f>998140680+50000000</f>
        <v>1048140680</v>
      </c>
      <c r="T13" s="57">
        <v>60000000</v>
      </c>
      <c r="U13" s="57">
        <f>S13+T13</f>
        <v>1108140680</v>
      </c>
      <c r="V13" s="17" t="s">
        <v>427</v>
      </c>
      <c r="W13" s="23" t="str">
        <f>IFERROR(VLOOKUP(V13,Listas!$A$1:$C$13,2,FALSE),"")</f>
        <v>DINORAH PATRICIA ABADIA MURILLO</v>
      </c>
      <c r="X13" s="23">
        <f>IFERROR(VLOOKUP(V13,Listas!$A$1:$C$13,3,FALSE),"")</f>
        <v>52220857</v>
      </c>
      <c r="Y13" s="17" t="s">
        <v>427</v>
      </c>
      <c r="Z13" s="17" t="s">
        <v>428</v>
      </c>
      <c r="AA13" s="23" t="str">
        <f>IFERROR(VLOOKUP(Z13,Listas!$AD$1:$AF$65,2,FALSE),"")</f>
        <v>DINORAH PATRICIA ABADIA MURILLO</v>
      </c>
      <c r="AB13" s="23">
        <f>IFERROR(VLOOKUP(Z13,Listas!$AD$1:$AF$65,3,FALSE),"")</f>
        <v>52220857</v>
      </c>
      <c r="AC13" s="26" t="s">
        <v>3067</v>
      </c>
      <c r="AD13" s="26" t="s">
        <v>2937</v>
      </c>
      <c r="AE13" s="100">
        <f t="shared" ca="1" si="2"/>
        <v>98.082800777993882</v>
      </c>
      <c r="AF13" s="100">
        <f t="shared" ca="1" si="3"/>
        <v>98.082800777993882</v>
      </c>
      <c r="AG13" s="100">
        <f t="shared" ca="1" si="4"/>
        <v>98.083242059145661</v>
      </c>
      <c r="AH13" s="101">
        <f t="shared" si="5"/>
        <v>86.235134691562806</v>
      </c>
      <c r="AI13" s="59">
        <v>955606607.97000003</v>
      </c>
      <c r="AJ13" s="54"/>
      <c r="AK13" s="56">
        <f t="shared" ca="1" si="6"/>
        <v>1086900305.5202627</v>
      </c>
    </row>
    <row r="14" spans="1:37" ht="76.5">
      <c r="A14" s="54">
        <v>121904</v>
      </c>
      <c r="B14" s="54" t="s">
        <v>8917</v>
      </c>
      <c r="C14" s="17" t="s">
        <v>6292</v>
      </c>
      <c r="D14" s="17" t="s">
        <v>6197</v>
      </c>
      <c r="E14" s="17" t="s">
        <v>1426</v>
      </c>
      <c r="F14" s="17" t="s">
        <v>1427</v>
      </c>
      <c r="G14" s="16" t="s">
        <v>8874</v>
      </c>
      <c r="H14" s="16" t="s">
        <v>8918</v>
      </c>
      <c r="I14" s="32" t="s">
        <v>8919</v>
      </c>
      <c r="J14" s="17" t="s">
        <v>8752</v>
      </c>
      <c r="K14" s="22">
        <v>45415</v>
      </c>
      <c r="L14" s="22">
        <v>42702</v>
      </c>
      <c r="M14" s="22">
        <v>42702</v>
      </c>
      <c r="N14" s="22">
        <v>44196</v>
      </c>
      <c r="O14" s="22">
        <v>46022</v>
      </c>
      <c r="P14" s="102">
        <f t="shared" si="0"/>
        <v>1494</v>
      </c>
      <c r="Q14" s="103">
        <f t="shared" si="1"/>
        <v>3320</v>
      </c>
      <c r="R14" s="54">
        <v>0</v>
      </c>
      <c r="S14" s="57">
        <v>12469507250</v>
      </c>
      <c r="T14" s="57">
        <v>4162323000</v>
      </c>
      <c r="U14" s="57">
        <f>S14+T14</f>
        <v>16631830250</v>
      </c>
      <c r="V14" s="17" t="s">
        <v>427</v>
      </c>
      <c r="W14" s="23" t="str">
        <f>IFERROR(VLOOKUP(V14,Listas!$A$1:$C$13,2,FALSE),"")</f>
        <v>DINORAH PATRICIA ABADIA MURILLO</v>
      </c>
      <c r="X14" s="23">
        <f>IFERROR(VLOOKUP(V14,Listas!$A$1:$C$13,3,FALSE),"")</f>
        <v>52220857</v>
      </c>
      <c r="Y14" s="17" t="s">
        <v>427</v>
      </c>
      <c r="Z14" s="17" t="s">
        <v>428</v>
      </c>
      <c r="AA14" s="23" t="str">
        <f>IFERROR(VLOOKUP(Z14,Listas!$AD$1:$AF$65,2,FALSE),"")</f>
        <v>DINORAH PATRICIA ABADIA MURILLO</v>
      </c>
      <c r="AB14" s="23">
        <f>IFERROR(VLOOKUP(Z14,Listas!$AD$1:$AF$65,3,FALSE),"")</f>
        <v>52220857</v>
      </c>
      <c r="AC14" s="26" t="s">
        <v>3067</v>
      </c>
      <c r="AD14" s="26" t="s">
        <v>2937</v>
      </c>
      <c r="AE14" s="100">
        <f t="shared" ca="1" si="2"/>
        <v>97.830736327528257</v>
      </c>
      <c r="AF14" s="100">
        <f t="shared" ca="1" si="3"/>
        <v>97.830736327528257</v>
      </c>
      <c r="AG14" s="100">
        <f t="shared" ca="1" si="4"/>
        <v>97.831325301204814</v>
      </c>
      <c r="AH14" s="101">
        <f t="shared" si="5"/>
        <v>71.345759921521562</v>
      </c>
      <c r="AI14" s="59">
        <v>11866105680.719999</v>
      </c>
      <c r="AJ14" s="54"/>
      <c r="AK14" s="56">
        <f t="shared" ca="1" si="6"/>
        <v>16271139955.421686</v>
      </c>
    </row>
    <row r="15" spans="1:37" ht="91.5">
      <c r="A15" s="54">
        <v>121780</v>
      </c>
      <c r="B15" s="54" t="s">
        <v>8920</v>
      </c>
      <c r="C15" s="17" t="s">
        <v>6292</v>
      </c>
      <c r="D15" s="17" t="s">
        <v>6197</v>
      </c>
      <c r="E15" s="17" t="s">
        <v>1426</v>
      </c>
      <c r="F15" s="17" t="s">
        <v>1427</v>
      </c>
      <c r="G15" s="16" t="s">
        <v>8874</v>
      </c>
      <c r="H15" s="16" t="s">
        <v>8918</v>
      </c>
      <c r="I15" s="32" t="s">
        <v>8921</v>
      </c>
      <c r="J15" s="17" t="s">
        <v>8752</v>
      </c>
      <c r="K15" s="22">
        <v>45419</v>
      </c>
      <c r="L15" s="22">
        <v>41274</v>
      </c>
      <c r="M15" s="22">
        <v>41274</v>
      </c>
      <c r="N15" s="22">
        <v>43082</v>
      </c>
      <c r="O15" s="22">
        <v>48011</v>
      </c>
      <c r="P15" s="102">
        <f t="shared" si="0"/>
        <v>1808</v>
      </c>
      <c r="Q15" s="103">
        <f t="shared" si="1"/>
        <v>6737</v>
      </c>
      <c r="R15" s="54">
        <v>0</v>
      </c>
      <c r="S15" s="57">
        <v>160017958325</v>
      </c>
      <c r="T15" s="57">
        <v>2325128000</v>
      </c>
      <c r="U15" s="57">
        <f>S15+T15</f>
        <v>162343086325</v>
      </c>
      <c r="V15" s="17" t="s">
        <v>427</v>
      </c>
      <c r="W15" s="23" t="str">
        <f>IFERROR(VLOOKUP(V15,Listas!$A$1:$C$13,2,FALSE),"")</f>
        <v>DINORAH PATRICIA ABADIA MURILLO</v>
      </c>
      <c r="X15" s="23">
        <f>IFERROR(VLOOKUP(V15,Listas!$A$1:$C$13,3,FALSE),"")</f>
        <v>52220857</v>
      </c>
      <c r="Y15" s="17" t="s">
        <v>427</v>
      </c>
      <c r="Z15" s="17" t="s">
        <v>428</v>
      </c>
      <c r="AA15" s="23" t="str">
        <f>IFERROR(VLOOKUP(Z15,Listas!$AD$1:$AF$65,2,FALSE),"")</f>
        <v>DINORAH PATRICIA ABADIA MURILLO</v>
      </c>
      <c r="AB15" s="23">
        <f>IFERROR(VLOOKUP(Z15,Listas!$AD$1:$AF$65,3,FALSE),"")</f>
        <v>52220857</v>
      </c>
      <c r="AC15" s="26" t="s">
        <v>3437</v>
      </c>
      <c r="AD15" s="26" t="s">
        <v>2937</v>
      </c>
      <c r="AE15" s="100">
        <f t="shared" ca="1" si="2"/>
        <v>69.406805179162902</v>
      </c>
      <c r="AF15" s="100">
        <f t="shared" ca="1" si="3"/>
        <v>69.406805179162902</v>
      </c>
      <c r="AG15" s="100">
        <f t="shared" ca="1" si="4"/>
        <v>69.407748255900259</v>
      </c>
      <c r="AH15" s="101">
        <f t="shared" si="5"/>
        <v>74.718746228905658</v>
      </c>
      <c r="AI15" s="59">
        <v>121300718691.35001</v>
      </c>
      <c r="AJ15" s="54"/>
      <c r="AK15" s="56">
        <f t="shared" ca="1" si="6"/>
        <v>112678680667.31483</v>
      </c>
    </row>
    <row r="16" spans="1:37" ht="152.25">
      <c r="A16" s="54">
        <v>122065</v>
      </c>
      <c r="B16" s="54" t="s">
        <v>8922</v>
      </c>
      <c r="C16" s="17" t="s">
        <v>6292</v>
      </c>
      <c r="D16" s="17" t="s">
        <v>6197</v>
      </c>
      <c r="E16" s="17" t="s">
        <v>1426</v>
      </c>
      <c r="F16" s="17" t="s">
        <v>1427</v>
      </c>
      <c r="G16" s="16" t="s">
        <v>8923</v>
      </c>
      <c r="H16" s="16" t="s">
        <v>8924</v>
      </c>
      <c r="I16" s="32" t="s">
        <v>8925</v>
      </c>
      <c r="J16" s="17" t="s">
        <v>8752</v>
      </c>
      <c r="K16" s="22">
        <v>45419</v>
      </c>
      <c r="L16" s="22">
        <v>43599</v>
      </c>
      <c r="M16" s="22">
        <v>43609</v>
      </c>
      <c r="N16" s="22">
        <v>45425</v>
      </c>
      <c r="O16" s="22">
        <v>47251</v>
      </c>
      <c r="P16" s="102">
        <f t="shared" si="0"/>
        <v>1816</v>
      </c>
      <c r="Q16" s="103">
        <f t="shared" si="1"/>
        <v>3642</v>
      </c>
      <c r="R16" s="54">
        <f>O16-N16</f>
        <v>1826</v>
      </c>
      <c r="S16" s="57">
        <v>3300000000</v>
      </c>
      <c r="T16" s="57">
        <v>1500000000</v>
      </c>
      <c r="U16" s="57">
        <f>S16+T16</f>
        <v>4800000000</v>
      </c>
      <c r="V16" s="17" t="s">
        <v>427</v>
      </c>
      <c r="W16" s="23" t="str">
        <f>IFERROR(VLOOKUP(V16,Listas!$A$1:$C$13,2,FALSE),"")</f>
        <v>DINORAH PATRICIA ABADIA MURILLO</v>
      </c>
      <c r="X16" s="23">
        <f>IFERROR(VLOOKUP(V16,Listas!$A$1:$C$13,3,FALSE),"")</f>
        <v>52220857</v>
      </c>
      <c r="Y16" s="17" t="s">
        <v>427</v>
      </c>
      <c r="Z16" s="17" t="s">
        <v>428</v>
      </c>
      <c r="AA16" s="23" t="str">
        <f>IFERROR(VLOOKUP(Z16,Listas!$AD$1:$AF$65,2,FALSE),"")</f>
        <v>DINORAH PATRICIA ABADIA MURILLO</v>
      </c>
      <c r="AB16" s="23">
        <f>IFERROR(VLOOKUP(Z16,Listas!$AD$1:$AF$65,3,FALSE),"")</f>
        <v>52220857</v>
      </c>
      <c r="AC16" s="26" t="s">
        <v>3133</v>
      </c>
      <c r="AD16" s="26" t="s">
        <v>2937</v>
      </c>
      <c r="AE16" s="100">
        <f t="shared" ca="1" si="2"/>
        <v>64.251880746726115</v>
      </c>
      <c r="AF16" s="100">
        <f t="shared" ca="1" si="3"/>
        <v>64.251880746726115</v>
      </c>
      <c r="AG16" s="100">
        <f t="shared" ca="1" si="4"/>
        <v>64.27786930258101</v>
      </c>
      <c r="AH16" s="101">
        <f t="shared" si="5"/>
        <v>33.513543258958336</v>
      </c>
      <c r="AI16" s="59">
        <v>1608650076.4300001</v>
      </c>
      <c r="AJ16" s="54"/>
      <c r="AK16" s="56">
        <f t="shared" ca="1" si="6"/>
        <v>3085337726.5238881</v>
      </c>
    </row>
    <row r="17" spans="1:37" ht="76.5">
      <c r="A17" s="54"/>
      <c r="B17" s="54" t="s">
        <v>8926</v>
      </c>
      <c r="C17" s="17" t="s">
        <v>6292</v>
      </c>
      <c r="D17" s="17" t="s">
        <v>6197</v>
      </c>
      <c r="E17" s="17" t="s">
        <v>1426</v>
      </c>
      <c r="F17" s="17" t="s">
        <v>1427</v>
      </c>
      <c r="G17" s="16" t="s">
        <v>8900</v>
      </c>
      <c r="H17" s="16" t="s">
        <v>8901</v>
      </c>
      <c r="I17" s="32" t="s">
        <v>8927</v>
      </c>
      <c r="J17" s="17" t="s">
        <v>8739</v>
      </c>
      <c r="K17" s="22">
        <v>45435</v>
      </c>
      <c r="L17" s="22">
        <v>42256</v>
      </c>
      <c r="M17" s="22">
        <v>42256</v>
      </c>
      <c r="N17" s="22">
        <v>45535</v>
      </c>
      <c r="O17" s="22">
        <v>45838</v>
      </c>
      <c r="P17" s="102">
        <f t="shared" si="0"/>
        <v>3279</v>
      </c>
      <c r="Q17" s="103">
        <f t="shared" si="1"/>
        <v>3582</v>
      </c>
      <c r="R17" s="54">
        <f>O17-N17</f>
        <v>303</v>
      </c>
      <c r="S17" s="57">
        <v>0</v>
      </c>
      <c r="T17" s="57">
        <v>0</v>
      </c>
      <c r="U17" s="57">
        <v>0</v>
      </c>
      <c r="V17" s="17" t="s">
        <v>427</v>
      </c>
      <c r="W17" s="23" t="str">
        <f>IFERROR(VLOOKUP(V17,Listas!$A$1:$C$13,2,FALSE),"")</f>
        <v>DINORAH PATRICIA ABADIA MURILLO</v>
      </c>
      <c r="X17" s="23">
        <f>IFERROR(VLOOKUP(V17,Listas!$A$1:$C$13,3,FALSE),"")</f>
        <v>52220857</v>
      </c>
      <c r="Y17" s="17" t="s">
        <v>427</v>
      </c>
      <c r="Z17" s="17" t="s">
        <v>428</v>
      </c>
      <c r="AA17" s="23" t="str">
        <f>IFERROR(VLOOKUP(Z17,Listas!$AD$1:$AF$65,2,FALSE),"")</f>
        <v>DINORAH PATRICIA ABADIA MURILLO</v>
      </c>
      <c r="AB17" s="23">
        <f>IFERROR(VLOOKUP(Z17,Listas!$AD$1:$AF$65,3,FALSE),"")</f>
        <v>52220857</v>
      </c>
      <c r="AC17" s="26" t="s">
        <v>4526</v>
      </c>
      <c r="AD17" s="26" t="s">
        <v>2937</v>
      </c>
      <c r="AE17" s="100">
        <f t="shared" ca="1" si="2"/>
        <v>100</v>
      </c>
      <c r="AF17" s="100">
        <f t="shared" ca="1" si="3"/>
        <v>100</v>
      </c>
      <c r="AG17" s="100" t="str">
        <f t="shared" ca="1" si="4"/>
        <v/>
      </c>
      <c r="AH17" s="101" t="str">
        <f t="shared" si="5"/>
        <v/>
      </c>
      <c r="AI17" s="59">
        <v>1932014520.4200001</v>
      </c>
      <c r="AJ17" s="54"/>
      <c r="AK17" s="56">
        <f t="shared" ca="1" si="6"/>
        <v>0</v>
      </c>
    </row>
    <row r="18" spans="1:37" ht="60.75">
      <c r="A18" s="54">
        <v>121926</v>
      </c>
      <c r="B18" s="174" t="s">
        <v>8928</v>
      </c>
      <c r="C18" s="17" t="s">
        <v>6292</v>
      </c>
      <c r="D18" s="17" t="s">
        <v>6197</v>
      </c>
      <c r="E18" s="17" t="s">
        <v>1426</v>
      </c>
      <c r="F18" s="17" t="s">
        <v>1427</v>
      </c>
      <c r="G18" s="16" t="s">
        <v>6594</v>
      </c>
      <c r="H18" s="16" t="s">
        <v>6595</v>
      </c>
      <c r="I18" s="32" t="s">
        <v>8929</v>
      </c>
      <c r="J18" s="17" t="s">
        <v>8739</v>
      </c>
      <c r="K18" s="22">
        <v>45436</v>
      </c>
      <c r="L18" s="22">
        <v>44148</v>
      </c>
      <c r="M18" s="22">
        <v>44161</v>
      </c>
      <c r="N18" s="22">
        <v>44706</v>
      </c>
      <c r="O18" s="22">
        <v>45607</v>
      </c>
      <c r="P18" s="102">
        <f t="shared" si="0"/>
        <v>545</v>
      </c>
      <c r="Q18" s="103">
        <f t="shared" si="1"/>
        <v>1446</v>
      </c>
      <c r="R18" s="54">
        <v>153</v>
      </c>
      <c r="S18" s="57">
        <v>200000000</v>
      </c>
      <c r="T18" s="57">
        <v>0</v>
      </c>
      <c r="U18" s="57">
        <v>200000000</v>
      </c>
      <c r="V18" s="17" t="s">
        <v>427</v>
      </c>
      <c r="W18" s="23" t="str">
        <f>IFERROR(VLOOKUP(V18,Listas!$A$1:$C$13,2,FALSE),"")</f>
        <v>DINORAH PATRICIA ABADIA MURILLO</v>
      </c>
      <c r="X18" s="23">
        <f>IFERROR(VLOOKUP(V18,Listas!$A$1:$C$13,3,FALSE),"")</f>
        <v>52220857</v>
      </c>
      <c r="Y18" s="17" t="s">
        <v>427</v>
      </c>
      <c r="Z18" s="17" t="s">
        <v>428</v>
      </c>
      <c r="AA18" s="23" t="str">
        <f>IFERROR(VLOOKUP(Z18,Listas!$AD$1:$AF$65,2,FALSE),"")</f>
        <v>DINORAH PATRICIA ABADIA MURILLO</v>
      </c>
      <c r="AB18" s="23">
        <f>IFERROR(VLOOKUP(Z18,Listas!$AD$1:$AF$65,3,FALSE),"")</f>
        <v>52220857</v>
      </c>
      <c r="AC18" s="26" t="s">
        <v>4526</v>
      </c>
      <c r="AD18" s="26" t="s">
        <v>2937</v>
      </c>
      <c r="AE18" s="100">
        <f t="shared" ca="1" si="2"/>
        <v>100</v>
      </c>
      <c r="AF18" s="100">
        <f t="shared" ca="1" si="3"/>
        <v>100</v>
      </c>
      <c r="AG18" s="100">
        <f t="shared" ca="1" si="4"/>
        <v>123.72060857538037</v>
      </c>
      <c r="AH18" s="101">
        <f t="shared" si="5"/>
        <v>62.788844600000004</v>
      </c>
      <c r="AI18" s="59">
        <v>125577689.2</v>
      </c>
      <c r="AJ18" s="54"/>
      <c r="AK18" s="56">
        <f t="shared" ca="1" si="6"/>
        <v>247441217.15076071</v>
      </c>
    </row>
    <row r="19" spans="1:37" ht="152.25">
      <c r="A19" s="54">
        <v>121834</v>
      </c>
      <c r="B19" s="54" t="s">
        <v>8930</v>
      </c>
      <c r="C19" s="17" t="s">
        <v>6292</v>
      </c>
      <c r="D19" s="17" t="s">
        <v>6197</v>
      </c>
      <c r="E19" s="17" t="s">
        <v>1426</v>
      </c>
      <c r="F19" s="17" t="s">
        <v>1427</v>
      </c>
      <c r="G19" s="16" t="s">
        <v>8874</v>
      </c>
      <c r="H19" s="16" t="s">
        <v>8924</v>
      </c>
      <c r="I19" s="32" t="s">
        <v>8931</v>
      </c>
      <c r="J19" s="17" t="s">
        <v>8745</v>
      </c>
      <c r="K19" s="22">
        <v>45414</v>
      </c>
      <c r="L19" s="22">
        <v>41967</v>
      </c>
      <c r="M19" s="22">
        <v>41967</v>
      </c>
      <c r="N19" s="22">
        <v>43793</v>
      </c>
      <c r="O19" s="22">
        <v>47445</v>
      </c>
      <c r="P19" s="102">
        <f t="shared" si="0"/>
        <v>1826</v>
      </c>
      <c r="Q19" s="103">
        <f t="shared" si="1"/>
        <v>5478</v>
      </c>
      <c r="R19" s="54">
        <v>1825</v>
      </c>
      <c r="S19" s="57">
        <v>11375511000</v>
      </c>
      <c r="T19" s="57">
        <v>2500000000</v>
      </c>
      <c r="U19" s="57">
        <f>S19+T19</f>
        <v>13875511000</v>
      </c>
      <c r="V19" s="17" t="s">
        <v>427</v>
      </c>
      <c r="W19" s="23" t="str">
        <f>IFERROR(VLOOKUP(V19,Listas!$A$1:$C$13,2,FALSE),"")</f>
        <v>DINORAH PATRICIA ABADIA MURILLO</v>
      </c>
      <c r="X19" s="23">
        <f>IFERROR(VLOOKUP(V19,Listas!$A$1:$C$13,3,FALSE),"")</f>
        <v>52220857</v>
      </c>
      <c r="Y19" s="17" t="s">
        <v>427</v>
      </c>
      <c r="Z19" s="17" t="s">
        <v>428</v>
      </c>
      <c r="AA19" s="23" t="str">
        <f>IFERROR(VLOOKUP(Z19,Listas!$AD$1:$AF$65,2,FALSE),"")</f>
        <v>DINORAH PATRICIA ABADIA MURILLO</v>
      </c>
      <c r="AB19" s="23">
        <f>IFERROR(VLOOKUP(Z19,Listas!$AD$1:$AF$65,3,FALSE),"")</f>
        <v>52220857</v>
      </c>
      <c r="AC19" s="26" t="s">
        <v>4526</v>
      </c>
      <c r="AD19" s="26" t="s">
        <v>2937</v>
      </c>
      <c r="AE19" s="100">
        <f t="shared" ca="1" si="2"/>
        <v>72.717169846267822</v>
      </c>
      <c r="AF19" s="100">
        <f t="shared" ca="1" si="3"/>
        <v>72.717169846267822</v>
      </c>
      <c r="AG19" s="100">
        <f t="shared" ca="1" si="4"/>
        <v>72.709017889740792</v>
      </c>
      <c r="AH19" s="101">
        <f t="shared" si="5"/>
        <v>60.142272715289543</v>
      </c>
      <c r="AI19" s="59">
        <v>8345047666.2600002</v>
      </c>
      <c r="AJ19" s="54"/>
      <c r="AK19" s="56">
        <f t="shared" ca="1" si="6"/>
        <v>10088747775.282951</v>
      </c>
    </row>
    <row r="20" spans="1:37" s="136" customFormat="1" ht="76.5">
      <c r="A20" s="125"/>
      <c r="B20" s="125" t="s">
        <v>8932</v>
      </c>
      <c r="C20" s="126" t="s">
        <v>104</v>
      </c>
      <c r="D20" s="126" t="s">
        <v>4162</v>
      </c>
      <c r="E20" s="126" t="s">
        <v>1426</v>
      </c>
      <c r="F20" s="126" t="s">
        <v>1427</v>
      </c>
      <c r="G20" s="126" t="s">
        <v>8933</v>
      </c>
      <c r="H20" s="126" t="s">
        <v>8934</v>
      </c>
      <c r="I20" s="127" t="s">
        <v>8935</v>
      </c>
      <c r="J20" s="126" t="s">
        <v>8886</v>
      </c>
      <c r="K20" s="128">
        <v>45463</v>
      </c>
      <c r="L20" s="128">
        <v>44560</v>
      </c>
      <c r="M20" s="128">
        <v>44753</v>
      </c>
      <c r="N20" s="128">
        <v>45484</v>
      </c>
      <c r="O20" s="128">
        <v>45849</v>
      </c>
      <c r="P20" s="129">
        <f t="shared" si="0"/>
        <v>731</v>
      </c>
      <c r="Q20" s="130">
        <f t="shared" si="1"/>
        <v>1096</v>
      </c>
      <c r="R20" s="134">
        <f>Q20-P20</f>
        <v>365</v>
      </c>
      <c r="S20" s="131">
        <v>615802678</v>
      </c>
      <c r="T20" s="131">
        <v>0</v>
      </c>
      <c r="U20" s="131">
        <v>615802678</v>
      </c>
      <c r="V20" s="126" t="s">
        <v>427</v>
      </c>
      <c r="W20" s="132" t="str">
        <f>IFERROR(VLOOKUP(V20,Listas!$A$1:$C$13,2,FALSE),"")</f>
        <v>DINORAH PATRICIA ABADIA MURILLO</v>
      </c>
      <c r="X20" s="132">
        <f>IFERROR(VLOOKUP(V20,Listas!$A$1:$C$13,3,FALSE),"")</f>
        <v>52220857</v>
      </c>
      <c r="Y20" s="126" t="s">
        <v>427</v>
      </c>
      <c r="Z20" s="126" t="s">
        <v>428</v>
      </c>
      <c r="AA20" s="132" t="str">
        <f>IFERROR(VLOOKUP(Z20,Listas!$AD$1:$AF$65,2,FALSE),"")</f>
        <v>DINORAH PATRICIA ABADIA MURILLO</v>
      </c>
      <c r="AB20" s="132">
        <f>IFERROR(VLOOKUP(Z20,Listas!$AD$1:$AF$65,3,FALSE),"")</f>
        <v>52220857</v>
      </c>
      <c r="AC20" s="133" t="s">
        <v>2938</v>
      </c>
      <c r="AD20" s="133" t="s">
        <v>2937</v>
      </c>
      <c r="AE20" s="125">
        <f t="shared" ca="1" si="2"/>
        <v>100</v>
      </c>
      <c r="AF20" s="125">
        <f t="shared" ca="1" si="3"/>
        <v>100</v>
      </c>
      <c r="AG20" s="125">
        <f t="shared" ca="1" si="4"/>
        <v>109.21532846715327</v>
      </c>
      <c r="AH20" s="134">
        <f t="shared" si="5"/>
        <v>68.114369421433409</v>
      </c>
      <c r="AI20" s="172">
        <v>419450111</v>
      </c>
      <c r="AJ20" s="125"/>
      <c r="AK20" s="135">
        <f t="shared" ca="1" si="6"/>
        <v>672550917.48722625</v>
      </c>
    </row>
    <row r="21" spans="1:37" ht="45.75">
      <c r="A21" s="54">
        <v>121806</v>
      </c>
      <c r="B21" s="54" t="s">
        <v>8936</v>
      </c>
      <c r="C21" s="17" t="s">
        <v>6292</v>
      </c>
      <c r="D21" s="17" t="s">
        <v>6197</v>
      </c>
      <c r="E21" s="17" t="s">
        <v>1426</v>
      </c>
      <c r="F21" s="17" t="s">
        <v>1427</v>
      </c>
      <c r="G21" s="16" t="s">
        <v>8937</v>
      </c>
      <c r="H21" s="16" t="s">
        <v>8938</v>
      </c>
      <c r="I21" s="32" t="s">
        <v>8939</v>
      </c>
      <c r="J21" s="17" t="s">
        <v>8752</v>
      </c>
      <c r="K21" s="22">
        <v>45434</v>
      </c>
      <c r="L21" s="22">
        <v>41607</v>
      </c>
      <c r="M21" s="22">
        <v>41607</v>
      </c>
      <c r="N21" s="22">
        <v>43432</v>
      </c>
      <c r="O21" s="22">
        <v>46021</v>
      </c>
      <c r="P21" s="102">
        <f t="shared" si="0"/>
        <v>1825</v>
      </c>
      <c r="Q21" s="103">
        <f t="shared" si="1"/>
        <v>4414</v>
      </c>
      <c r="R21" s="54">
        <v>0</v>
      </c>
      <c r="S21" s="57">
        <v>3095719050</v>
      </c>
      <c r="T21" s="57">
        <v>800000000</v>
      </c>
      <c r="U21" s="57">
        <f>S21+T21</f>
        <v>3895719050</v>
      </c>
      <c r="V21" s="17" t="s">
        <v>427</v>
      </c>
      <c r="W21" s="23" t="str">
        <f>IFERROR(VLOOKUP(V21,Listas!$A$1:$C$13,2,FALSE),"")</f>
        <v>DINORAH PATRICIA ABADIA MURILLO</v>
      </c>
      <c r="X21" s="23">
        <f>IFERROR(VLOOKUP(V21,Listas!$A$1:$C$13,3,FALSE),"")</f>
        <v>52220857</v>
      </c>
      <c r="Y21" s="17" t="s">
        <v>427</v>
      </c>
      <c r="Z21" s="17" t="s">
        <v>428</v>
      </c>
      <c r="AA21" s="23" t="str">
        <f>IFERROR(VLOOKUP(Z21,Listas!$AD$1:$AF$65,2,FALSE),"")</f>
        <v>DINORAH PATRICIA ABADIA MURILLO</v>
      </c>
      <c r="AB21" s="23">
        <f>IFERROR(VLOOKUP(Z21,Listas!$AD$1:$AF$65,3,FALSE),"")</f>
        <v>52220857</v>
      </c>
      <c r="AC21" s="26" t="s">
        <v>2938</v>
      </c>
      <c r="AD21" s="26" t="s">
        <v>2937</v>
      </c>
      <c r="AE21" s="100">
        <f t="shared" ca="1" si="2"/>
        <v>98.391174442656862</v>
      </c>
      <c r="AF21" s="100">
        <f t="shared" ca="1" si="3"/>
        <v>98.391174442656862</v>
      </c>
      <c r="AG21" s="100">
        <f t="shared" ca="1" si="4"/>
        <v>98.391481649297674</v>
      </c>
      <c r="AH21" s="101">
        <f t="shared" si="5"/>
        <v>82.828421521053997</v>
      </c>
      <c r="AI21" s="59">
        <v>3226762596.0100002</v>
      </c>
      <c r="AJ21" s="54"/>
      <c r="AK21" s="56">
        <f t="shared" ca="1" si="6"/>
        <v>3833055694.1889439</v>
      </c>
    </row>
    <row r="22" spans="1:37" ht="91.5">
      <c r="A22" s="54"/>
      <c r="B22" s="54" t="s">
        <v>8940</v>
      </c>
      <c r="C22" s="17" t="s">
        <v>104</v>
      </c>
      <c r="D22" s="17" t="s">
        <v>4162</v>
      </c>
      <c r="E22" s="17" t="s">
        <v>1426</v>
      </c>
      <c r="F22" s="17" t="s">
        <v>1427</v>
      </c>
      <c r="G22" s="16" t="s">
        <v>8933</v>
      </c>
      <c r="H22" s="16" t="s">
        <v>8934</v>
      </c>
      <c r="I22" s="32" t="s">
        <v>8941</v>
      </c>
      <c r="J22" s="17" t="s">
        <v>8739</v>
      </c>
      <c r="K22" s="22">
        <v>45463</v>
      </c>
      <c r="L22" s="22">
        <v>44560</v>
      </c>
      <c r="M22" s="22">
        <v>44747</v>
      </c>
      <c r="N22" s="22">
        <v>45478</v>
      </c>
      <c r="O22" s="22">
        <v>45693</v>
      </c>
      <c r="P22" s="102">
        <f t="shared" si="0"/>
        <v>731</v>
      </c>
      <c r="Q22" s="103">
        <f t="shared" si="1"/>
        <v>946</v>
      </c>
      <c r="R22" s="179">
        <f>Q22-P22</f>
        <v>215</v>
      </c>
      <c r="S22" s="57">
        <v>1029086308</v>
      </c>
      <c r="T22" s="57">
        <v>0</v>
      </c>
      <c r="U22" s="57">
        <v>1029086308</v>
      </c>
      <c r="V22" s="17" t="s">
        <v>427</v>
      </c>
      <c r="W22" s="23" t="str">
        <f>IFERROR(VLOOKUP(V22,Listas!$A$1:$C$13,2,FALSE),"")</f>
        <v>DINORAH PATRICIA ABADIA MURILLO</v>
      </c>
      <c r="X22" s="23">
        <f>IFERROR(VLOOKUP(V22,Listas!$A$1:$C$13,3,FALSE),"")</f>
        <v>52220857</v>
      </c>
      <c r="Y22" s="17" t="s">
        <v>427</v>
      </c>
      <c r="Z22" s="17" t="s">
        <v>428</v>
      </c>
      <c r="AA22" s="23" t="str">
        <f>IFERROR(VLOOKUP(Z22,Listas!$AD$1:$AF$65,2,FALSE),"")</f>
        <v>DINORAH PATRICIA ABADIA MURILLO</v>
      </c>
      <c r="AB22" s="23">
        <f>IFERROR(VLOOKUP(Z22,Listas!$AD$1:$AF$65,3,FALSE),"")</f>
        <v>52220857</v>
      </c>
      <c r="AC22" s="26" t="s">
        <v>4526</v>
      </c>
      <c r="AD22" s="26" t="s">
        <v>2937</v>
      </c>
      <c r="AE22" s="100">
        <f t="shared" ca="1" si="2"/>
        <v>100</v>
      </c>
      <c r="AF22" s="100">
        <f t="shared" ca="1" si="3"/>
        <v>100</v>
      </c>
      <c r="AG22" s="100">
        <f t="shared" ca="1" si="4"/>
        <v>127.16701902748417</v>
      </c>
      <c r="AH22" s="101">
        <f t="shared" si="5"/>
        <v>53.441381711591099</v>
      </c>
      <c r="AI22" s="59">
        <v>549957942</v>
      </c>
      <c r="AJ22" s="54"/>
      <c r="AK22" s="56">
        <f t="shared" ca="1" si="6"/>
        <v>1308658381.1035943</v>
      </c>
    </row>
    <row r="23" spans="1:37" ht="137.25">
      <c r="A23" s="54"/>
      <c r="B23" s="54" t="s">
        <v>8942</v>
      </c>
      <c r="C23" s="17" t="s">
        <v>104</v>
      </c>
      <c r="D23" s="17" t="s">
        <v>4162</v>
      </c>
      <c r="E23" s="17" t="s">
        <v>1426</v>
      </c>
      <c r="F23" s="17" t="s">
        <v>1427</v>
      </c>
      <c r="G23" s="16" t="s">
        <v>8943</v>
      </c>
      <c r="H23" s="16" t="s">
        <v>8934</v>
      </c>
      <c r="I23" s="32" t="s">
        <v>8944</v>
      </c>
      <c r="J23" s="17" t="s">
        <v>8752</v>
      </c>
      <c r="K23" s="22">
        <v>45463</v>
      </c>
      <c r="L23" s="22">
        <v>45051</v>
      </c>
      <c r="M23" s="22">
        <v>45112</v>
      </c>
      <c r="N23" s="22">
        <v>46208</v>
      </c>
      <c r="O23" s="22">
        <v>46208</v>
      </c>
      <c r="P23" s="102">
        <f t="shared" si="0"/>
        <v>1096</v>
      </c>
      <c r="Q23" s="103">
        <f t="shared" si="1"/>
        <v>1096</v>
      </c>
      <c r="R23" s="54">
        <v>0</v>
      </c>
      <c r="S23" s="57">
        <v>1016967093</v>
      </c>
      <c r="T23" s="57">
        <f>U23-S23</f>
        <v>175430656</v>
      </c>
      <c r="U23" s="57">
        <v>1192397749</v>
      </c>
      <c r="V23" s="17" t="s">
        <v>427</v>
      </c>
      <c r="W23" s="23" t="str">
        <f>IFERROR(VLOOKUP(V23,Listas!$A$1:$C$13,2,FALSE),"")</f>
        <v>DINORAH PATRICIA ABADIA MURILLO</v>
      </c>
      <c r="X23" s="23">
        <f>IFERROR(VLOOKUP(V23,Listas!$A$1:$C$13,3,FALSE),"")</f>
        <v>52220857</v>
      </c>
      <c r="Y23" s="17" t="s">
        <v>427</v>
      </c>
      <c r="Z23" s="17" t="s">
        <v>428</v>
      </c>
      <c r="AA23" s="23" t="str">
        <f>IFERROR(VLOOKUP(Z23,Listas!$AD$1:$AF$65,2,FALSE),"")</f>
        <v>DINORAH PATRICIA ABADIA MURILLO</v>
      </c>
      <c r="AB23" s="23">
        <f>IFERROR(VLOOKUP(Z23,Listas!$AD$1:$AF$65,3,FALSE),"")</f>
        <v>52220857</v>
      </c>
      <c r="AC23" s="26" t="s">
        <v>4526</v>
      </c>
      <c r="AD23" s="26" t="s">
        <v>2937</v>
      </c>
      <c r="AE23" s="100">
        <f t="shared" ca="1" si="2"/>
        <v>76.388888888888886</v>
      </c>
      <c r="AF23" s="100">
        <f t="shared" ca="1" si="3"/>
        <v>76.388888888888886</v>
      </c>
      <c r="AG23" s="100">
        <f t="shared" ca="1" si="4"/>
        <v>76.459854014598534</v>
      </c>
      <c r="AH23" s="101">
        <f t="shared" si="5"/>
        <v>45.702366719244786</v>
      </c>
      <c r="AI23" s="59">
        <v>544953992</v>
      </c>
      <c r="AJ23" s="54"/>
      <c r="AK23" s="56">
        <f t="shared" ca="1" si="6"/>
        <v>911705578.15875912</v>
      </c>
    </row>
    <row r="24" spans="1:37" ht="60.75">
      <c r="A24" s="54">
        <v>121827</v>
      </c>
      <c r="B24" s="54" t="s">
        <v>8945</v>
      </c>
      <c r="C24" s="17" t="s">
        <v>6292</v>
      </c>
      <c r="D24" s="17" t="s">
        <v>6197</v>
      </c>
      <c r="E24" s="17" t="s">
        <v>1426</v>
      </c>
      <c r="F24" s="17" t="s">
        <v>1427</v>
      </c>
      <c r="G24" s="16" t="s">
        <v>6594</v>
      </c>
      <c r="H24" s="16" t="s">
        <v>8946</v>
      </c>
      <c r="I24" s="32" t="s">
        <v>8947</v>
      </c>
      <c r="J24" s="17" t="s">
        <v>8739</v>
      </c>
      <c r="K24" s="22">
        <v>45447</v>
      </c>
      <c r="L24" s="22">
        <v>41907</v>
      </c>
      <c r="M24" s="22">
        <v>41907</v>
      </c>
      <c r="N24" s="22">
        <v>43732</v>
      </c>
      <c r="O24" s="22">
        <v>45863</v>
      </c>
      <c r="P24" s="102">
        <f t="shared" si="0"/>
        <v>1825</v>
      </c>
      <c r="Q24" s="103">
        <f t="shared" si="1"/>
        <v>3956</v>
      </c>
      <c r="R24" s="54">
        <v>365</v>
      </c>
      <c r="S24" s="57">
        <v>525000000</v>
      </c>
      <c r="T24" s="57">
        <v>0</v>
      </c>
      <c r="U24" s="57">
        <v>525000000</v>
      </c>
      <c r="V24" s="17" t="s">
        <v>427</v>
      </c>
      <c r="W24" s="23" t="str">
        <f>IFERROR(VLOOKUP(V24,Listas!$A$1:$C$13,2,FALSE),"")</f>
        <v>DINORAH PATRICIA ABADIA MURILLO</v>
      </c>
      <c r="X24" s="23">
        <f>IFERROR(VLOOKUP(V24,Listas!$A$1:$C$13,3,FALSE),"")</f>
        <v>52220857</v>
      </c>
      <c r="Y24" s="17" t="s">
        <v>427</v>
      </c>
      <c r="Z24" s="17" t="s">
        <v>428</v>
      </c>
      <c r="AA24" s="23" t="str">
        <f>IFERROR(VLOOKUP(Z24,Listas!$AD$1:$AF$65,2,FALSE),"")</f>
        <v>DINORAH PATRICIA ABADIA MURILLO</v>
      </c>
      <c r="AB24" s="23">
        <f>IFERROR(VLOOKUP(Z24,Listas!$AD$1:$AF$65,3,FALSE),"")</f>
        <v>52220857</v>
      </c>
      <c r="AC24" s="26" t="s">
        <v>3133</v>
      </c>
      <c r="AD24" s="26" t="s">
        <v>2937</v>
      </c>
      <c r="AE24" s="100">
        <f t="shared" ca="1" si="2"/>
        <v>100</v>
      </c>
      <c r="AF24" s="100">
        <f t="shared" ca="1" si="3"/>
        <v>100</v>
      </c>
      <c r="AG24" s="100">
        <f t="shared" ca="1" si="4"/>
        <v>102.19919110212336</v>
      </c>
      <c r="AH24" s="101">
        <f t="shared" si="5"/>
        <v>81.423171620952388</v>
      </c>
      <c r="AI24" s="59">
        <v>427471651.00999999</v>
      </c>
      <c r="AJ24" s="54"/>
      <c r="AK24" s="56">
        <f t="shared" ca="1" si="6"/>
        <v>536545753.28614765</v>
      </c>
    </row>
    <row r="25" spans="1:37" ht="91.5">
      <c r="A25" s="54"/>
      <c r="B25" s="54" t="s">
        <v>8948</v>
      </c>
      <c r="C25" s="17" t="s">
        <v>104</v>
      </c>
      <c r="D25" s="17" t="s">
        <v>4162</v>
      </c>
      <c r="E25" s="17" t="s">
        <v>1426</v>
      </c>
      <c r="F25" s="17" t="s">
        <v>1427</v>
      </c>
      <c r="G25" s="16" t="s">
        <v>8949</v>
      </c>
      <c r="H25" s="16" t="s">
        <v>8950</v>
      </c>
      <c r="I25" s="32" t="s">
        <v>8951</v>
      </c>
      <c r="J25" s="17" t="s">
        <v>8739</v>
      </c>
      <c r="K25" s="22">
        <v>45449</v>
      </c>
      <c r="L25" s="22">
        <v>44511</v>
      </c>
      <c r="M25" s="22">
        <v>44749</v>
      </c>
      <c r="N25" s="22">
        <v>45480</v>
      </c>
      <c r="O25" s="22">
        <v>45633</v>
      </c>
      <c r="P25" s="102">
        <f t="shared" si="0"/>
        <v>731</v>
      </c>
      <c r="Q25" s="103">
        <f t="shared" si="1"/>
        <v>884</v>
      </c>
      <c r="R25" s="179">
        <f>Q25-P25</f>
        <v>153</v>
      </c>
      <c r="S25" s="57">
        <v>517762992</v>
      </c>
      <c r="T25" s="57">
        <v>0</v>
      </c>
      <c r="U25" s="57">
        <v>517762992</v>
      </c>
      <c r="V25" s="17" t="s">
        <v>427</v>
      </c>
      <c r="W25" s="23" t="str">
        <f>IFERROR(VLOOKUP(V25,Listas!$A$1:$C$13,2,FALSE),"")</f>
        <v>DINORAH PATRICIA ABADIA MURILLO</v>
      </c>
      <c r="X25" s="23">
        <f>IFERROR(VLOOKUP(V25,Listas!$A$1:$C$13,3,FALSE),"")</f>
        <v>52220857</v>
      </c>
      <c r="Y25" s="17" t="s">
        <v>427</v>
      </c>
      <c r="Z25" s="17" t="s">
        <v>428</v>
      </c>
      <c r="AA25" s="23" t="str">
        <f>IFERROR(VLOOKUP(Z25,Listas!$AD$1:$AF$65,2,FALSE),"")</f>
        <v>DINORAH PATRICIA ABADIA MURILLO</v>
      </c>
      <c r="AB25" s="23">
        <f>IFERROR(VLOOKUP(Z25,Listas!$AD$1:$AF$65,3,FALSE),"")</f>
        <v>52220857</v>
      </c>
      <c r="AC25" s="26" t="s">
        <v>3133</v>
      </c>
      <c r="AD25" s="26" t="s">
        <v>2937</v>
      </c>
      <c r="AE25" s="100">
        <f t="shared" ca="1" si="2"/>
        <v>100</v>
      </c>
      <c r="AF25" s="100">
        <f t="shared" ca="1" si="3"/>
        <v>100</v>
      </c>
      <c r="AG25" s="100">
        <f t="shared" ca="1" si="4"/>
        <v>135.85972850678735</v>
      </c>
      <c r="AH25" s="101">
        <f t="shared" si="5"/>
        <v>105.44444706082817</v>
      </c>
      <c r="AI25" s="59">
        <v>545952324</v>
      </c>
      <c r="AJ25" s="54"/>
      <c r="AK25" s="56">
        <f t="shared" ca="1" si="6"/>
        <v>703431395.23981905</v>
      </c>
    </row>
    <row r="26" spans="1:37" ht="91.5">
      <c r="A26" s="54"/>
      <c r="B26" s="54" t="s">
        <v>8952</v>
      </c>
      <c r="C26" s="17" t="s">
        <v>104</v>
      </c>
      <c r="D26" s="17" t="s">
        <v>4162</v>
      </c>
      <c r="E26" s="17" t="s">
        <v>1426</v>
      </c>
      <c r="F26" s="17" t="s">
        <v>1427</v>
      </c>
      <c r="G26" s="16" t="s">
        <v>8949</v>
      </c>
      <c r="H26" s="16" t="s">
        <v>8950</v>
      </c>
      <c r="I26" s="32" t="s">
        <v>8953</v>
      </c>
      <c r="J26" s="17" t="s">
        <v>8739</v>
      </c>
      <c r="K26" s="22">
        <v>45449</v>
      </c>
      <c r="L26" s="22">
        <v>44511</v>
      </c>
      <c r="M26" s="22">
        <v>44720</v>
      </c>
      <c r="N26" s="22">
        <v>45451</v>
      </c>
      <c r="O26" s="22">
        <v>45907</v>
      </c>
      <c r="P26" s="102">
        <f t="shared" si="0"/>
        <v>731</v>
      </c>
      <c r="Q26" s="103">
        <f t="shared" si="1"/>
        <v>1187</v>
      </c>
      <c r="R26" s="54">
        <f>O26-N26</f>
        <v>456</v>
      </c>
      <c r="S26" s="57">
        <v>1127120726</v>
      </c>
      <c r="T26" s="57">
        <v>0</v>
      </c>
      <c r="U26" s="57">
        <v>1127120726</v>
      </c>
      <c r="V26" s="17" t="s">
        <v>427</v>
      </c>
      <c r="W26" s="23" t="str">
        <f>IFERROR(VLOOKUP(V26,Listas!$A$1:$C$13,2,FALSE),"")</f>
        <v>DINORAH PATRICIA ABADIA MURILLO</v>
      </c>
      <c r="X26" s="23">
        <f>IFERROR(VLOOKUP(V26,Listas!$A$1:$C$13,3,FALSE),"")</f>
        <v>52220857</v>
      </c>
      <c r="Y26" s="17" t="s">
        <v>427</v>
      </c>
      <c r="Z26" s="17" t="s">
        <v>428</v>
      </c>
      <c r="AA26" s="23" t="str">
        <f>IFERROR(VLOOKUP(Z26,Listas!$AD$1:$AF$65,2,FALSE),"")</f>
        <v>DINORAH PATRICIA ABADIA MURILLO</v>
      </c>
      <c r="AB26" s="23">
        <f>IFERROR(VLOOKUP(Z26,Listas!$AD$1:$AF$65,3,FALSE),"")</f>
        <v>52220857</v>
      </c>
      <c r="AC26" s="26" t="s">
        <v>3133</v>
      </c>
      <c r="AD26" s="26" t="s">
        <v>2937</v>
      </c>
      <c r="AE26" s="100">
        <f t="shared" ca="1" si="2"/>
        <v>100</v>
      </c>
      <c r="AF26" s="100">
        <f t="shared" ca="1" si="3"/>
        <v>100</v>
      </c>
      <c r="AG26" s="100">
        <f t="shared" ca="1" si="4"/>
        <v>103.62257792754843</v>
      </c>
      <c r="AH26" s="101">
        <f t="shared" si="5"/>
        <v>48.608102518380981</v>
      </c>
      <c r="AI26" s="59">
        <v>547871998</v>
      </c>
      <c r="AJ26" s="54"/>
      <c r="AK26" s="56">
        <f t="shared" ca="1" si="6"/>
        <v>1167951552.6368997</v>
      </c>
    </row>
    <row r="27" spans="1:37" ht="91.5">
      <c r="A27" s="54"/>
      <c r="B27" s="54" t="s">
        <v>8954</v>
      </c>
      <c r="C27" s="17" t="s">
        <v>104</v>
      </c>
      <c r="D27" s="17" t="s">
        <v>4162</v>
      </c>
      <c r="E27" s="17" t="s">
        <v>1426</v>
      </c>
      <c r="F27" s="17" t="s">
        <v>1427</v>
      </c>
      <c r="G27" s="16" t="s">
        <v>8933</v>
      </c>
      <c r="H27" s="16" t="s">
        <v>8934</v>
      </c>
      <c r="I27" s="32" t="s">
        <v>8955</v>
      </c>
      <c r="J27" s="17" t="s">
        <v>8739</v>
      </c>
      <c r="K27" s="22">
        <v>45463</v>
      </c>
      <c r="L27" s="22">
        <v>44589</v>
      </c>
      <c r="M27" s="22">
        <v>44747</v>
      </c>
      <c r="N27" s="22">
        <v>45478</v>
      </c>
      <c r="O27" s="22">
        <v>45843</v>
      </c>
      <c r="P27" s="102">
        <f t="shared" si="0"/>
        <v>731</v>
      </c>
      <c r="Q27" s="103">
        <f t="shared" si="1"/>
        <v>1096</v>
      </c>
      <c r="R27" s="179">
        <f>Q27-P27</f>
        <v>365</v>
      </c>
      <c r="S27" s="57">
        <v>780703792</v>
      </c>
      <c r="T27" s="57">
        <v>0</v>
      </c>
      <c r="U27" s="57">
        <v>780703792</v>
      </c>
      <c r="V27" s="17" t="s">
        <v>427</v>
      </c>
      <c r="W27" s="23" t="str">
        <f>IFERROR(VLOOKUP(V27,Listas!$A$1:$C$13,2,FALSE),"")</f>
        <v>DINORAH PATRICIA ABADIA MURILLO</v>
      </c>
      <c r="X27" s="23">
        <f>IFERROR(VLOOKUP(V27,Listas!$A$1:$C$13,3,FALSE),"")</f>
        <v>52220857</v>
      </c>
      <c r="Y27" s="17" t="s">
        <v>427</v>
      </c>
      <c r="Z27" s="17" t="s">
        <v>428</v>
      </c>
      <c r="AA27" s="23" t="str">
        <f>IFERROR(VLOOKUP(Z27,Listas!$AD$1:$AF$65,2,FALSE),"")</f>
        <v>DINORAH PATRICIA ABADIA MURILLO</v>
      </c>
      <c r="AB27" s="23">
        <f>IFERROR(VLOOKUP(Z27,Listas!$AD$1:$AF$65,3,FALSE),"")</f>
        <v>52220857</v>
      </c>
      <c r="AC27" s="26" t="s">
        <v>3133</v>
      </c>
      <c r="AD27" s="26" t="s">
        <v>2937</v>
      </c>
      <c r="AE27" s="100">
        <f t="shared" ca="1" si="2"/>
        <v>100</v>
      </c>
      <c r="AF27" s="100">
        <f t="shared" ca="1" si="3"/>
        <v>100</v>
      </c>
      <c r="AG27" s="100">
        <f t="shared" ca="1" si="4"/>
        <v>109.76277372262774</v>
      </c>
      <c r="AH27" s="101">
        <f t="shared" si="5"/>
        <v>39.943725545526746</v>
      </c>
      <c r="AI27" s="59">
        <v>311842180</v>
      </c>
      <c r="AJ27" s="54"/>
      <c r="AK27" s="56">
        <f t="shared" ca="1" si="6"/>
        <v>856922136.65693438</v>
      </c>
    </row>
    <row r="28" spans="1:37" ht="91.5">
      <c r="A28" s="54"/>
      <c r="B28" s="54" t="s">
        <v>8956</v>
      </c>
      <c r="C28" s="17" t="s">
        <v>104</v>
      </c>
      <c r="D28" s="17" t="s">
        <v>4162</v>
      </c>
      <c r="E28" s="17" t="s">
        <v>1426</v>
      </c>
      <c r="F28" s="17" t="s">
        <v>1427</v>
      </c>
      <c r="G28" s="16" t="s">
        <v>8949</v>
      </c>
      <c r="H28" s="16" t="s">
        <v>8950</v>
      </c>
      <c r="I28" s="32" t="s">
        <v>8957</v>
      </c>
      <c r="J28" s="17" t="s">
        <v>8739</v>
      </c>
      <c r="K28" s="22">
        <v>45449</v>
      </c>
      <c r="L28" s="22">
        <v>44511</v>
      </c>
      <c r="M28" s="22">
        <v>44720</v>
      </c>
      <c r="N28" s="22">
        <v>45451</v>
      </c>
      <c r="O28" s="22">
        <v>45815</v>
      </c>
      <c r="P28" s="102">
        <f t="shared" si="0"/>
        <v>731</v>
      </c>
      <c r="Q28" s="103">
        <f t="shared" si="1"/>
        <v>1095</v>
      </c>
      <c r="R28" s="179">
        <f>Q28-P28</f>
        <v>364</v>
      </c>
      <c r="S28" s="57">
        <v>484796881</v>
      </c>
      <c r="T28" s="57">
        <v>0</v>
      </c>
      <c r="U28" s="57">
        <v>484796881</v>
      </c>
      <c r="V28" s="17" t="s">
        <v>427</v>
      </c>
      <c r="W28" s="23" t="str">
        <f>IFERROR(VLOOKUP(V28,Listas!$A$1:$C$13,2,FALSE),"")</f>
        <v>DINORAH PATRICIA ABADIA MURILLO</v>
      </c>
      <c r="X28" s="23">
        <f>IFERROR(VLOOKUP(V28,Listas!$A$1:$C$13,3,FALSE),"")</f>
        <v>52220857</v>
      </c>
      <c r="Y28" s="17" t="s">
        <v>427</v>
      </c>
      <c r="Z28" s="17" t="s">
        <v>428</v>
      </c>
      <c r="AA28" s="23" t="str">
        <f>IFERROR(VLOOKUP(Z28,Listas!$AD$1:$AF$65,2,FALSE),"")</f>
        <v>DINORAH PATRICIA ABADIA MURILLO</v>
      </c>
      <c r="AB28" s="23">
        <f>IFERROR(VLOOKUP(Z28,Listas!$AD$1:$AF$65,3,FALSE),"")</f>
        <v>52220857</v>
      </c>
      <c r="AC28" s="26" t="s">
        <v>3453</v>
      </c>
      <c r="AD28" s="26" t="s">
        <v>2937</v>
      </c>
      <c r="AE28" s="100">
        <f t="shared" ca="1" si="2"/>
        <v>100</v>
      </c>
      <c r="AF28" s="100">
        <f t="shared" ca="1" si="3"/>
        <v>100</v>
      </c>
      <c r="AG28" s="100">
        <f t="shared" ca="1" si="4"/>
        <v>112.32876712328765</v>
      </c>
      <c r="AH28" s="101">
        <f t="shared" si="5"/>
        <v>113.44271086595543</v>
      </c>
      <c r="AI28" s="59">
        <v>549966724</v>
      </c>
      <c r="AJ28" s="54"/>
      <c r="AK28" s="56">
        <f t="shared" ca="1" si="6"/>
        <v>544566359.47945201</v>
      </c>
    </row>
    <row r="29" spans="1:37" ht="137.25">
      <c r="A29" s="54"/>
      <c r="B29" s="54" t="s">
        <v>8958</v>
      </c>
      <c r="C29" s="17" t="s">
        <v>104</v>
      </c>
      <c r="D29" s="17" t="s">
        <v>4162</v>
      </c>
      <c r="E29" s="17" t="s">
        <v>1426</v>
      </c>
      <c r="F29" s="17" t="s">
        <v>1427</v>
      </c>
      <c r="G29" s="16" t="s">
        <v>8933</v>
      </c>
      <c r="H29" s="16" t="s">
        <v>8934</v>
      </c>
      <c r="I29" s="32" t="s">
        <v>8959</v>
      </c>
      <c r="J29" s="17" t="s">
        <v>8881</v>
      </c>
      <c r="K29" s="22">
        <v>45463</v>
      </c>
      <c r="L29" s="22">
        <v>44589</v>
      </c>
      <c r="M29" s="22">
        <v>44736</v>
      </c>
      <c r="N29" s="22">
        <v>45832</v>
      </c>
      <c r="O29" s="22">
        <v>45832</v>
      </c>
      <c r="P29" s="102">
        <f t="shared" si="0"/>
        <v>1096</v>
      </c>
      <c r="Q29" s="103">
        <f t="shared" si="1"/>
        <v>1096</v>
      </c>
      <c r="R29" s="54">
        <v>0</v>
      </c>
      <c r="S29" s="57">
        <v>999368244</v>
      </c>
      <c r="T29" s="57">
        <v>0</v>
      </c>
      <c r="U29" s="57">
        <v>999368244</v>
      </c>
      <c r="V29" s="17" t="s">
        <v>427</v>
      </c>
      <c r="W29" s="23" t="str">
        <f>IFERROR(VLOOKUP(V29,Listas!$A$1:$C$13,2,FALSE),"")</f>
        <v>DINORAH PATRICIA ABADIA MURILLO</v>
      </c>
      <c r="X29" s="23">
        <f>IFERROR(VLOOKUP(V29,Listas!$A$1:$C$13,3,FALSE),"")</f>
        <v>52220857</v>
      </c>
      <c r="Y29" s="17" t="s">
        <v>427</v>
      </c>
      <c r="Z29" s="17" t="s">
        <v>428</v>
      </c>
      <c r="AA29" s="23" t="str">
        <f>IFERROR(VLOOKUP(Z29,Listas!$AD$1:$AF$65,2,FALSE),"")</f>
        <v>DINORAH PATRICIA ABADIA MURILLO</v>
      </c>
      <c r="AB29" s="23">
        <f>IFERROR(VLOOKUP(Z29,Listas!$AD$1:$AF$65,3,FALSE),"")</f>
        <v>52220857</v>
      </c>
      <c r="AC29" s="26" t="s">
        <v>3453</v>
      </c>
      <c r="AD29" s="26" t="s">
        <v>2937</v>
      </c>
      <c r="AE29" s="100">
        <f t="shared" ca="1" si="2"/>
        <v>100</v>
      </c>
      <c r="AF29" s="100">
        <f t="shared" ca="1" si="3"/>
        <v>100</v>
      </c>
      <c r="AG29" s="100">
        <f t="shared" ca="1" si="4"/>
        <v>110.76642335766422</v>
      </c>
      <c r="AH29" s="101">
        <f t="shared" si="5"/>
        <v>27.839683286954632</v>
      </c>
      <c r="AI29" s="59">
        <v>278220954</v>
      </c>
      <c r="AJ29" s="54"/>
      <c r="AK29" s="56">
        <f t="shared" ca="1" si="6"/>
        <v>1106964460.0510948</v>
      </c>
    </row>
    <row r="30" spans="1:37" ht="60.75">
      <c r="A30" s="54"/>
      <c r="B30" s="54" t="s">
        <v>8960</v>
      </c>
      <c r="C30" s="17" t="s">
        <v>6292</v>
      </c>
      <c r="D30" s="17" t="s">
        <v>6197</v>
      </c>
      <c r="E30" s="17" t="s">
        <v>1426</v>
      </c>
      <c r="F30" s="17" t="s">
        <v>1427</v>
      </c>
      <c r="G30" s="16" t="s">
        <v>8961</v>
      </c>
      <c r="H30" s="16" t="s">
        <v>8962</v>
      </c>
      <c r="I30" s="32" t="s">
        <v>8963</v>
      </c>
      <c r="J30" s="17" t="s">
        <v>8752</v>
      </c>
      <c r="K30" s="22">
        <v>45463</v>
      </c>
      <c r="L30" s="22">
        <v>43448</v>
      </c>
      <c r="M30" s="22">
        <v>43448</v>
      </c>
      <c r="N30" s="22">
        <v>47100</v>
      </c>
      <c r="O30" s="22">
        <v>47100</v>
      </c>
      <c r="P30" s="102">
        <f t="shared" si="0"/>
        <v>3652</v>
      </c>
      <c r="Q30" s="103">
        <f t="shared" si="1"/>
        <v>3652</v>
      </c>
      <c r="R30" s="54">
        <v>0</v>
      </c>
      <c r="S30" s="57">
        <v>65523948037</v>
      </c>
      <c r="T30" s="57">
        <v>6400000000</v>
      </c>
      <c r="U30" s="57">
        <f>S30+T30</f>
        <v>71923948037</v>
      </c>
      <c r="V30" s="17" t="s">
        <v>427</v>
      </c>
      <c r="W30" s="23" t="str">
        <f>IFERROR(VLOOKUP(V30,Listas!$A$1:$C$13,2,FALSE),"")</f>
        <v>DINORAH PATRICIA ABADIA MURILLO</v>
      </c>
      <c r="X30" s="23">
        <f>IFERROR(VLOOKUP(V30,Listas!$A$1:$C$13,3,FALSE),"")</f>
        <v>52220857</v>
      </c>
      <c r="Y30" s="17" t="s">
        <v>427</v>
      </c>
      <c r="Z30" s="17" t="s">
        <v>428</v>
      </c>
      <c r="AA30" s="23" t="str">
        <f>IFERROR(VLOOKUP(Z30,Listas!$AD$1:$AF$65,2,FALSE),"")</f>
        <v>DINORAH PATRICIA ABADIA MURILLO</v>
      </c>
      <c r="AB30" s="23">
        <f>IFERROR(VLOOKUP(Z30,Listas!$AD$1:$AF$65,3,FALSE),"")</f>
        <v>52220857</v>
      </c>
      <c r="AC30" s="26" t="s">
        <v>3453</v>
      </c>
      <c r="AD30" s="26" t="s">
        <v>2937</v>
      </c>
      <c r="AE30" s="100">
        <f t="shared" ca="1" si="2"/>
        <v>68.519033064740213</v>
      </c>
      <c r="AF30" s="100">
        <f t="shared" ca="1" si="3"/>
        <v>68.519033064740213</v>
      </c>
      <c r="AG30" s="100">
        <f t="shared" ca="1" si="4"/>
        <v>68.510405257393217</v>
      </c>
      <c r="AH30" s="101">
        <f t="shared" si="5"/>
        <v>68.118879819703466</v>
      </c>
      <c r="AI30" s="59">
        <v>48993787724.910004</v>
      </c>
      <c r="AJ30" s="54"/>
      <c r="AK30" s="56">
        <f t="shared" ca="1" si="6"/>
        <v>49275388277.26561</v>
      </c>
    </row>
    <row r="31" spans="1:37" ht="60.75">
      <c r="A31" s="54"/>
      <c r="B31" s="54" t="s">
        <v>8964</v>
      </c>
      <c r="C31" s="17" t="s">
        <v>104</v>
      </c>
      <c r="D31" s="17" t="s">
        <v>4162</v>
      </c>
      <c r="E31" s="17" t="s">
        <v>1426</v>
      </c>
      <c r="F31" s="17" t="s">
        <v>1427</v>
      </c>
      <c r="G31" s="16" t="s">
        <v>8965</v>
      </c>
      <c r="H31" s="16" t="s">
        <v>8966</v>
      </c>
      <c r="I31" s="32" t="s">
        <v>8967</v>
      </c>
      <c r="J31" s="17" t="s">
        <v>8739</v>
      </c>
      <c r="K31" s="22">
        <v>45471</v>
      </c>
      <c r="L31" s="22">
        <v>44910</v>
      </c>
      <c r="M31" s="22">
        <v>45106</v>
      </c>
      <c r="N31" s="22">
        <v>45472</v>
      </c>
      <c r="O31" s="22">
        <v>45655</v>
      </c>
      <c r="P31" s="102">
        <f t="shared" si="0"/>
        <v>366</v>
      </c>
      <c r="Q31" s="103">
        <f t="shared" si="1"/>
        <v>549</v>
      </c>
      <c r="R31" s="179">
        <f>Q31-P31</f>
        <v>183</v>
      </c>
      <c r="S31" s="57">
        <v>707777549</v>
      </c>
      <c r="T31" s="57">
        <v>0</v>
      </c>
      <c r="U31" s="57">
        <v>707777549</v>
      </c>
      <c r="V31" s="17" t="s">
        <v>427</v>
      </c>
      <c r="W31" s="23" t="str">
        <f>IFERROR(VLOOKUP(V31,Listas!$A$1:$C$13,2,FALSE),"")</f>
        <v>DINORAH PATRICIA ABADIA MURILLO</v>
      </c>
      <c r="X31" s="23">
        <f>IFERROR(VLOOKUP(V31,Listas!$A$1:$C$13,3,FALSE),"")</f>
        <v>52220857</v>
      </c>
      <c r="Y31" s="17" t="s">
        <v>427</v>
      </c>
      <c r="Z31" s="17" t="s">
        <v>428</v>
      </c>
      <c r="AA31" s="23" t="str">
        <f>IFERROR(VLOOKUP(Z31,Listas!$AD$1:$AF$65,2,FALSE),"")</f>
        <v>DINORAH PATRICIA ABADIA MURILLO</v>
      </c>
      <c r="AB31" s="23">
        <f>IFERROR(VLOOKUP(Z31,Listas!$AD$1:$AF$65,3,FALSE),"")</f>
        <v>52220857</v>
      </c>
      <c r="AC31" s="26" t="s">
        <v>2938</v>
      </c>
      <c r="AD31" s="26" t="s">
        <v>2937</v>
      </c>
      <c r="AE31" s="100">
        <f t="shared" ca="1" si="2"/>
        <v>100</v>
      </c>
      <c r="AF31" s="100">
        <f t="shared" ca="1" si="3"/>
        <v>100</v>
      </c>
      <c r="AG31" s="100">
        <f t="shared" ca="1" si="4"/>
        <v>153.73406193078324</v>
      </c>
      <c r="AH31" s="101">
        <f t="shared" si="5"/>
        <v>62.717445562828956</v>
      </c>
      <c r="AI31" s="59">
        <v>443899999</v>
      </c>
      <c r="AJ31" s="54"/>
      <c r="AK31" s="56">
        <f t="shared" ca="1" si="6"/>
        <v>1088095175.5118396</v>
      </c>
    </row>
    <row r="32" spans="1:37" ht="76.5">
      <c r="A32" s="54">
        <v>121870</v>
      </c>
      <c r="B32" s="54" t="s">
        <v>8968</v>
      </c>
      <c r="C32" s="17" t="s">
        <v>6292</v>
      </c>
      <c r="D32" s="17" t="s">
        <v>6197</v>
      </c>
      <c r="E32" s="17" t="s">
        <v>1426</v>
      </c>
      <c r="F32" s="17" t="s">
        <v>1427</v>
      </c>
      <c r="G32" s="16" t="s">
        <v>8900</v>
      </c>
      <c r="H32" s="16" t="s">
        <v>8969</v>
      </c>
      <c r="I32" s="32" t="s">
        <v>8970</v>
      </c>
      <c r="J32" s="17" t="s">
        <v>8739</v>
      </c>
      <c r="K32" s="22">
        <v>45471</v>
      </c>
      <c r="L32" s="22">
        <v>42355</v>
      </c>
      <c r="M32" s="22">
        <v>42355</v>
      </c>
      <c r="N32" s="22">
        <v>44377</v>
      </c>
      <c r="O32" s="22">
        <v>45838</v>
      </c>
      <c r="P32" s="102">
        <f t="shared" si="0"/>
        <v>2022</v>
      </c>
      <c r="Q32" s="103">
        <f t="shared" si="1"/>
        <v>3483</v>
      </c>
      <c r="R32" s="54">
        <v>365</v>
      </c>
      <c r="S32" s="57">
        <v>2953708059.6900001</v>
      </c>
      <c r="T32" s="57">
        <v>0</v>
      </c>
      <c r="U32" s="57">
        <v>2953708059.6900001</v>
      </c>
      <c r="V32" s="17" t="s">
        <v>427</v>
      </c>
      <c r="W32" s="23" t="str">
        <f>IFERROR(VLOOKUP(V32,Listas!$A$1:$C$13,2,FALSE),"")</f>
        <v>DINORAH PATRICIA ABADIA MURILLO</v>
      </c>
      <c r="X32" s="23">
        <f>IFERROR(VLOOKUP(V32,Listas!$A$1:$C$13,3,FALSE),"")</f>
        <v>52220857</v>
      </c>
      <c r="Y32" s="17" t="s">
        <v>427</v>
      </c>
      <c r="Z32" s="17" t="s">
        <v>428</v>
      </c>
      <c r="AA32" s="23" t="str">
        <f>IFERROR(VLOOKUP(Z32,Listas!$AD$1:$AF$65,2,FALSE),"")</f>
        <v>DINORAH PATRICIA ABADIA MURILLO</v>
      </c>
      <c r="AB32" s="23">
        <f>IFERROR(VLOOKUP(Z32,Listas!$AD$1:$AF$65,3,FALSE),"")</f>
        <v>52220857</v>
      </c>
      <c r="AC32" s="26" t="s">
        <v>3453</v>
      </c>
      <c r="AD32" s="26" t="s">
        <v>2937</v>
      </c>
      <c r="AE32" s="100">
        <f t="shared" ca="1" si="2"/>
        <v>100</v>
      </c>
      <c r="AF32" s="100">
        <f t="shared" ca="1" si="3"/>
        <v>100</v>
      </c>
      <c r="AG32" s="100">
        <f t="shared" ca="1" si="4"/>
        <v>103.2156187194947</v>
      </c>
      <c r="AH32" s="101">
        <f t="shared" si="5"/>
        <v>99.73699171201045</v>
      </c>
      <c r="AI32" s="59">
        <v>2945939562.6900001</v>
      </c>
      <c r="AJ32" s="54"/>
      <c r="AK32" s="56">
        <f t="shared" ca="1" si="6"/>
        <v>3048688048.976615</v>
      </c>
    </row>
    <row r="33" spans="1:38" ht="106.5">
      <c r="A33" s="54"/>
      <c r="B33" s="54" t="s">
        <v>8971</v>
      </c>
      <c r="C33" s="17" t="s">
        <v>6292</v>
      </c>
      <c r="D33" s="17" t="s">
        <v>6197</v>
      </c>
      <c r="E33" s="17" t="s">
        <v>1426</v>
      </c>
      <c r="F33" s="17" t="s">
        <v>1427</v>
      </c>
      <c r="G33" s="16" t="s">
        <v>8972</v>
      </c>
      <c r="H33" s="16" t="s">
        <v>8973</v>
      </c>
      <c r="I33" s="32" t="s">
        <v>8974</v>
      </c>
      <c r="J33" s="17" t="s">
        <v>8739</v>
      </c>
      <c r="K33" s="22">
        <v>45471</v>
      </c>
      <c r="L33" s="22">
        <v>45016</v>
      </c>
      <c r="M33" s="22">
        <v>45016</v>
      </c>
      <c r="N33" s="22">
        <v>45275</v>
      </c>
      <c r="O33" s="22">
        <v>46022</v>
      </c>
      <c r="P33" s="102">
        <f t="shared" si="0"/>
        <v>259</v>
      </c>
      <c r="Q33" s="103">
        <f t="shared" si="1"/>
        <v>1006</v>
      </c>
      <c r="R33" s="54">
        <v>549</v>
      </c>
      <c r="S33" s="57">
        <v>318000000</v>
      </c>
      <c r="T33" s="57">
        <v>0</v>
      </c>
      <c r="U33" s="57">
        <v>318000000</v>
      </c>
      <c r="V33" s="17" t="s">
        <v>427</v>
      </c>
      <c r="W33" s="23" t="str">
        <f>IFERROR(VLOOKUP(V33,Listas!$A$1:$C$13,2,FALSE),"")</f>
        <v>DINORAH PATRICIA ABADIA MURILLO</v>
      </c>
      <c r="X33" s="23">
        <f>IFERROR(VLOOKUP(V33,Listas!$A$1:$C$13,3,FALSE),"")</f>
        <v>52220857</v>
      </c>
      <c r="Y33" s="17" t="s">
        <v>427</v>
      </c>
      <c r="Z33" s="17" t="s">
        <v>428</v>
      </c>
      <c r="AA33" s="23" t="str">
        <f>IFERROR(VLOOKUP(Z33,Listas!$AD$1:$AF$65,2,FALSE),"")</f>
        <v>DINORAH PATRICIA ABADIA MURILLO</v>
      </c>
      <c r="AB33" s="23">
        <f>IFERROR(VLOOKUP(Z33,Listas!$AD$1:$AF$65,3,FALSE),"")</f>
        <v>52220857</v>
      </c>
      <c r="AC33" s="26" t="s">
        <v>3067</v>
      </c>
      <c r="AD33" s="26" t="s">
        <v>2937</v>
      </c>
      <c r="AE33" s="100">
        <f t="shared" ca="1" si="2"/>
        <v>92.929292929292927</v>
      </c>
      <c r="AF33" s="100">
        <f t="shared" ca="1" si="3"/>
        <v>92.929292929292927</v>
      </c>
      <c r="AG33" s="100">
        <f t="shared" ca="1" si="4"/>
        <v>92.842942345924456</v>
      </c>
      <c r="AH33" s="101">
        <f t="shared" si="5"/>
        <v>69.630913157232712</v>
      </c>
      <c r="AI33" s="59">
        <v>221426303.84</v>
      </c>
      <c r="AJ33" s="54"/>
      <c r="AK33" s="56">
        <f t="shared" ca="1" si="6"/>
        <v>295240556.66003978</v>
      </c>
    </row>
    <row r="34" spans="1:38" s="136" customFormat="1" ht="76.5">
      <c r="A34" s="125">
        <v>121901</v>
      </c>
      <c r="B34" s="125" t="s">
        <v>8975</v>
      </c>
      <c r="C34" s="126" t="s">
        <v>6292</v>
      </c>
      <c r="D34" s="126" t="s">
        <v>6197</v>
      </c>
      <c r="E34" s="126" t="s">
        <v>1426</v>
      </c>
      <c r="F34" s="126" t="s">
        <v>1427</v>
      </c>
      <c r="G34" s="126" t="s">
        <v>7353</v>
      </c>
      <c r="H34" s="126" t="s">
        <v>7354</v>
      </c>
      <c r="I34" s="127" t="s">
        <v>8976</v>
      </c>
      <c r="J34" s="126" t="s">
        <v>8752</v>
      </c>
      <c r="K34" s="128">
        <v>45489</v>
      </c>
      <c r="L34" s="128">
        <v>42697</v>
      </c>
      <c r="M34" s="128">
        <v>42697</v>
      </c>
      <c r="N34" s="128">
        <v>44523</v>
      </c>
      <c r="O34" s="128">
        <v>46348</v>
      </c>
      <c r="P34" s="129">
        <f t="shared" si="0"/>
        <v>1826</v>
      </c>
      <c r="Q34" s="130">
        <f t="shared" si="1"/>
        <v>3651</v>
      </c>
      <c r="R34" s="125">
        <v>0</v>
      </c>
      <c r="S34" s="131">
        <v>1370000000</v>
      </c>
      <c r="T34" s="131">
        <v>70000000</v>
      </c>
      <c r="U34" s="131">
        <f>S34+T34</f>
        <v>1440000000</v>
      </c>
      <c r="V34" s="126" t="s">
        <v>427</v>
      </c>
      <c r="W34" s="132" t="str">
        <f>IFERROR(VLOOKUP(V34,Listas!$A$1:$C$13,2,FALSE),"")</f>
        <v>DINORAH PATRICIA ABADIA MURILLO</v>
      </c>
      <c r="X34" s="132">
        <f>IFERROR(VLOOKUP(V34,Listas!$A$1:$C$13,3,FALSE),"")</f>
        <v>52220857</v>
      </c>
      <c r="Y34" s="126" t="s">
        <v>427</v>
      </c>
      <c r="Z34" s="126" t="s">
        <v>428</v>
      </c>
      <c r="AA34" s="132" t="str">
        <f>IFERROR(VLOOKUP(Z34,Listas!$AD$1:$AF$65,2,FALSE),"")</f>
        <v>DINORAH PATRICIA ABADIA MURILLO</v>
      </c>
      <c r="AB34" s="132">
        <f>IFERROR(VLOOKUP(Z34,Listas!$AD$1:$AF$65,3,FALSE),"")</f>
        <v>52220857</v>
      </c>
      <c r="AC34" s="133" t="s">
        <v>4526</v>
      </c>
      <c r="AD34" s="133" t="s">
        <v>2937</v>
      </c>
      <c r="AE34" s="125">
        <f t="shared" ca="1" si="2"/>
        <v>89.108085579327593</v>
      </c>
      <c r="AF34" s="125">
        <f t="shared" ca="1" si="3"/>
        <v>89.108085579327593</v>
      </c>
      <c r="AG34" s="125">
        <f t="shared" ca="1" si="4"/>
        <v>89.098877019994532</v>
      </c>
      <c r="AH34" s="134">
        <f t="shared" si="5"/>
        <v>81.991725265277765</v>
      </c>
      <c r="AI34" s="172">
        <v>1180680843.8199999</v>
      </c>
      <c r="AJ34" s="125"/>
      <c r="AK34" s="135">
        <f t="shared" ca="1" si="6"/>
        <v>1283023829.0879211</v>
      </c>
    </row>
    <row r="35" spans="1:38" ht="76.5">
      <c r="A35" s="54">
        <v>120555</v>
      </c>
      <c r="B35" s="174" t="s">
        <v>8977</v>
      </c>
      <c r="C35" s="17" t="s">
        <v>6292</v>
      </c>
      <c r="D35" s="17" t="s">
        <v>6197</v>
      </c>
      <c r="E35" s="17" t="s">
        <v>1426</v>
      </c>
      <c r="F35" s="17" t="s">
        <v>1427</v>
      </c>
      <c r="G35" s="16" t="s">
        <v>8978</v>
      </c>
      <c r="H35" s="16" t="s">
        <v>8979</v>
      </c>
      <c r="I35" s="32" t="s">
        <v>8980</v>
      </c>
      <c r="J35" s="17" t="s">
        <v>8752</v>
      </c>
      <c r="K35" s="22">
        <v>45491</v>
      </c>
      <c r="L35" s="22">
        <v>39806</v>
      </c>
      <c r="M35" s="22">
        <v>39812</v>
      </c>
      <c r="N35" s="22">
        <v>40906</v>
      </c>
      <c r="O35" s="22">
        <v>46385</v>
      </c>
      <c r="P35" s="102">
        <f t="shared" si="0"/>
        <v>1094</v>
      </c>
      <c r="Q35" s="103">
        <f t="shared" si="1"/>
        <v>6573</v>
      </c>
      <c r="R35" s="54">
        <v>0</v>
      </c>
      <c r="S35" s="57">
        <v>2152110281</v>
      </c>
      <c r="T35" s="57">
        <v>131000000</v>
      </c>
      <c r="U35" s="57">
        <f>S35+T35</f>
        <v>2283110281</v>
      </c>
      <c r="V35" s="17" t="s">
        <v>427</v>
      </c>
      <c r="W35" s="23" t="str">
        <f>IFERROR(VLOOKUP(V35,Listas!$A$1:$C$13,2,FALSE),"")</f>
        <v>DINORAH PATRICIA ABADIA MURILLO</v>
      </c>
      <c r="X35" s="23">
        <f>IFERROR(VLOOKUP(V35,Listas!$A$1:$C$13,3,FALSE),"")</f>
        <v>52220857</v>
      </c>
      <c r="Y35" s="17" t="s">
        <v>427</v>
      </c>
      <c r="Z35" s="17" t="s">
        <v>428</v>
      </c>
      <c r="AA35" s="23" t="str">
        <f>IFERROR(VLOOKUP(Z35,Listas!$AD$1:$AF$65,2,FALSE),"")</f>
        <v>DINORAH PATRICIA ABADIA MURILLO</v>
      </c>
      <c r="AB35" s="23">
        <f>IFERROR(VLOOKUP(Z35,Listas!$AD$1:$AF$65,3,FALSE),"")</f>
        <v>52220857</v>
      </c>
      <c r="AC35" s="26" t="s">
        <v>3453</v>
      </c>
      <c r="AD35" s="26" t="s">
        <v>2937</v>
      </c>
      <c r="AE35" s="100">
        <f t="shared" ca="1" si="2"/>
        <v>93.378607809847196</v>
      </c>
      <c r="AF35" s="100">
        <f t="shared" ca="1" si="3"/>
        <v>93.378607809847196</v>
      </c>
      <c r="AG35" s="100">
        <f t="shared" ca="1" si="4"/>
        <v>93.382017343678697</v>
      </c>
      <c r="AH35" s="101">
        <f t="shared" si="5"/>
        <v>91.61119363642338</v>
      </c>
      <c r="AI35" s="59">
        <v>2091584580.46</v>
      </c>
      <c r="AJ35" s="54"/>
      <c r="AK35" s="56">
        <f t="shared" ca="1" si="6"/>
        <v>2132014438.5787313</v>
      </c>
    </row>
    <row r="36" spans="1:38" ht="91.5">
      <c r="A36" s="54">
        <v>122059</v>
      </c>
      <c r="B36" s="54" t="s">
        <v>8981</v>
      </c>
      <c r="C36" s="17" t="s">
        <v>6292</v>
      </c>
      <c r="D36" s="17" t="s">
        <v>6197</v>
      </c>
      <c r="E36" s="17" t="s">
        <v>1426</v>
      </c>
      <c r="F36" s="17" t="s">
        <v>1427</v>
      </c>
      <c r="G36" s="16" t="s">
        <v>8978</v>
      </c>
      <c r="H36" s="16" t="s">
        <v>8979</v>
      </c>
      <c r="I36" s="32" t="s">
        <v>8982</v>
      </c>
      <c r="J36" s="17" t="s">
        <v>8752</v>
      </c>
      <c r="K36" s="22">
        <v>45495</v>
      </c>
      <c r="L36" s="22">
        <v>43581</v>
      </c>
      <c r="M36" s="22">
        <v>43581</v>
      </c>
      <c r="N36" s="22">
        <v>44676</v>
      </c>
      <c r="O36" s="22">
        <v>45656</v>
      </c>
      <c r="P36" s="102">
        <f t="shared" si="0"/>
        <v>1095</v>
      </c>
      <c r="Q36" s="103">
        <f t="shared" si="1"/>
        <v>2075</v>
      </c>
      <c r="R36" s="54">
        <v>0</v>
      </c>
      <c r="S36" s="57">
        <v>1053000000</v>
      </c>
      <c r="T36" s="57">
        <v>242781000</v>
      </c>
      <c r="U36" s="57">
        <f>S36+T36</f>
        <v>1295781000</v>
      </c>
      <c r="V36" s="17" t="s">
        <v>427</v>
      </c>
      <c r="W36" s="23" t="str">
        <f>IFERROR(VLOOKUP(V36,Listas!$A$1:$C$13,2,FALSE),"")</f>
        <v>DINORAH PATRICIA ABADIA MURILLO</v>
      </c>
      <c r="X36" s="23">
        <f>IFERROR(VLOOKUP(V36,Listas!$A$1:$C$13,3,FALSE),"")</f>
        <v>52220857</v>
      </c>
      <c r="Y36" s="17" t="s">
        <v>427</v>
      </c>
      <c r="Z36" s="17" t="s">
        <v>428</v>
      </c>
      <c r="AA36" s="23" t="str">
        <f>IFERROR(VLOOKUP(Z36,Listas!$AD$1:$AF$65,2,FALSE),"")</f>
        <v>DINORAH PATRICIA ABADIA MURILLO</v>
      </c>
      <c r="AB36" s="23">
        <f>IFERROR(VLOOKUP(Z36,Listas!$AD$1:$AF$65,3,FALSE),"")</f>
        <v>52220857</v>
      </c>
      <c r="AC36" s="26" t="s">
        <v>3067</v>
      </c>
      <c r="AD36" s="26" t="s">
        <v>2937</v>
      </c>
      <c r="AE36" s="100">
        <f t="shared" ca="1" si="2"/>
        <v>100</v>
      </c>
      <c r="AF36" s="100">
        <f t="shared" ca="1" si="3"/>
        <v>100</v>
      </c>
      <c r="AG36" s="100">
        <f t="shared" ca="1" si="4"/>
        <v>114.16867469879519</v>
      </c>
      <c r="AH36" s="101">
        <f t="shared" si="5"/>
        <v>74.644012778393886</v>
      </c>
      <c r="AI36" s="59">
        <v>967222935.22000003</v>
      </c>
      <c r="AJ36" s="54"/>
      <c r="AK36" s="56">
        <f t="shared" ca="1" si="6"/>
        <v>1479375994.6987953</v>
      </c>
    </row>
    <row r="37" spans="1:38" s="85" customFormat="1" ht="76.5">
      <c r="A37" s="54"/>
      <c r="B37" s="54" t="s">
        <v>8983</v>
      </c>
      <c r="C37" s="17" t="s">
        <v>104</v>
      </c>
      <c r="D37" s="17" t="s">
        <v>4162</v>
      </c>
      <c r="E37" s="17" t="s">
        <v>1426</v>
      </c>
      <c r="F37" s="17" t="s">
        <v>1427</v>
      </c>
      <c r="G37" s="16" t="s">
        <v>8984</v>
      </c>
      <c r="H37" s="16" t="s">
        <v>8985</v>
      </c>
      <c r="I37" s="32" t="s">
        <v>8986</v>
      </c>
      <c r="J37" s="17" t="s">
        <v>8881</v>
      </c>
      <c r="K37" s="22">
        <v>45477</v>
      </c>
      <c r="L37" s="22">
        <v>44909</v>
      </c>
      <c r="M37" s="22">
        <v>45111</v>
      </c>
      <c r="N37" s="22">
        <v>46207</v>
      </c>
      <c r="O37" s="22">
        <v>46207</v>
      </c>
      <c r="P37" s="102">
        <f t="shared" si="0"/>
        <v>1096</v>
      </c>
      <c r="Q37" s="103">
        <f t="shared" si="1"/>
        <v>1096</v>
      </c>
      <c r="R37" s="179">
        <v>0</v>
      </c>
      <c r="S37" s="57">
        <v>902754149</v>
      </c>
      <c r="T37" s="57"/>
      <c r="U37" s="57">
        <v>902754149</v>
      </c>
      <c r="V37" s="17" t="s">
        <v>427</v>
      </c>
      <c r="W37" s="23" t="str">
        <f>IFERROR(VLOOKUP(V37,Listas!$A$1:$C$13,2,FALSE),"")</f>
        <v>DINORAH PATRICIA ABADIA MURILLO</v>
      </c>
      <c r="X37" s="23">
        <f>IFERROR(VLOOKUP(V37,Listas!$A$1:$C$13,3,FALSE),"")</f>
        <v>52220857</v>
      </c>
      <c r="Y37" s="17" t="s">
        <v>427</v>
      </c>
      <c r="Z37" s="17" t="s">
        <v>428</v>
      </c>
      <c r="AA37" s="23" t="str">
        <f>IFERROR(VLOOKUP(Z37,Listas!$AD$1:$AF$65,2,FALSE),"")</f>
        <v>DINORAH PATRICIA ABADIA MURILLO</v>
      </c>
      <c r="AB37" s="23">
        <f>IFERROR(VLOOKUP(Z37,Listas!$AD$1:$AF$65,3,FALSE),"")</f>
        <v>52220857</v>
      </c>
      <c r="AC37" s="26" t="s">
        <v>4526</v>
      </c>
      <c r="AD37" s="26" t="s">
        <v>2937</v>
      </c>
      <c r="AE37" s="100">
        <f t="shared" ca="1" si="2"/>
        <v>76.481481481481481</v>
      </c>
      <c r="AF37" s="100">
        <f t="shared" ca="1" si="3"/>
        <v>76.481481481481481</v>
      </c>
      <c r="AG37" s="100">
        <f t="shared" ca="1" si="4"/>
        <v>76.551094890510939</v>
      </c>
      <c r="AH37" s="101">
        <f t="shared" si="5"/>
        <v>60.924671529812045</v>
      </c>
      <c r="AI37" s="59">
        <v>550000000</v>
      </c>
      <c r="AJ37" s="54"/>
      <c r="AK37" s="56">
        <f t="shared" ca="1" si="6"/>
        <v>691068185.22901452</v>
      </c>
    </row>
    <row r="38" spans="1:38" ht="91.5">
      <c r="A38" s="54"/>
      <c r="B38" s="54" t="s">
        <v>8987</v>
      </c>
      <c r="C38" s="17" t="s">
        <v>104</v>
      </c>
      <c r="D38" s="17" t="s">
        <v>4162</v>
      </c>
      <c r="E38" s="17" t="s">
        <v>1426</v>
      </c>
      <c r="F38" s="17" t="s">
        <v>1427</v>
      </c>
      <c r="G38" s="16" t="s">
        <v>8988</v>
      </c>
      <c r="H38" s="16" t="s">
        <v>8989</v>
      </c>
      <c r="I38" s="32" t="s">
        <v>8990</v>
      </c>
      <c r="J38" s="17" t="s">
        <v>8739</v>
      </c>
      <c r="K38" s="22">
        <v>45475</v>
      </c>
      <c r="L38" s="22">
        <v>44512</v>
      </c>
      <c r="M38" s="22">
        <v>44749</v>
      </c>
      <c r="N38" s="22">
        <v>45479</v>
      </c>
      <c r="O38" s="22">
        <v>45845</v>
      </c>
      <c r="P38" s="102">
        <f t="shared" si="0"/>
        <v>730</v>
      </c>
      <c r="Q38" s="103">
        <f t="shared" si="1"/>
        <v>1096</v>
      </c>
      <c r="R38" s="179">
        <f>Q38-P38</f>
        <v>366</v>
      </c>
      <c r="S38" s="57">
        <v>1538561231</v>
      </c>
      <c r="T38" s="57">
        <v>0</v>
      </c>
      <c r="U38" s="57">
        <v>1538561231</v>
      </c>
      <c r="V38" s="17" t="s">
        <v>427</v>
      </c>
      <c r="W38" s="23" t="str">
        <f>IFERROR(VLOOKUP(V38,Listas!$A$1:$C$13,2,FALSE),"")</f>
        <v>DINORAH PATRICIA ABADIA MURILLO</v>
      </c>
      <c r="X38" s="23">
        <f>IFERROR(VLOOKUP(V38,Listas!$A$1:$C$13,3,FALSE),"")</f>
        <v>52220857</v>
      </c>
      <c r="Y38" s="17" t="s">
        <v>427</v>
      </c>
      <c r="Z38" s="17" t="s">
        <v>428</v>
      </c>
      <c r="AA38" s="23" t="str">
        <f>IFERROR(VLOOKUP(Z38,Listas!$AD$1:$AF$65,2,FALSE),"")</f>
        <v>DINORAH PATRICIA ABADIA MURILLO</v>
      </c>
      <c r="AB38" s="23">
        <f>IFERROR(VLOOKUP(Z38,Listas!$AD$1:$AF$65,3,FALSE),"")</f>
        <v>52220857</v>
      </c>
      <c r="AC38" s="26" t="s">
        <v>3453</v>
      </c>
      <c r="AD38" s="26" t="s">
        <v>2937</v>
      </c>
      <c r="AE38" s="100">
        <f t="shared" ca="1" si="2"/>
        <v>100</v>
      </c>
      <c r="AF38" s="100">
        <f t="shared" ca="1" si="3"/>
        <v>100</v>
      </c>
      <c r="AG38" s="100">
        <f t="shared" ca="1" si="4"/>
        <v>109.58029197080295</v>
      </c>
      <c r="AH38" s="101">
        <f t="shared" si="5"/>
        <v>35.747677825114785</v>
      </c>
      <c r="AI38" s="59">
        <v>549999912</v>
      </c>
      <c r="AJ38" s="54"/>
      <c r="AK38" s="56">
        <f t="shared" ca="1" si="6"/>
        <v>1685959889.0793798</v>
      </c>
    </row>
    <row r="39" spans="1:38" ht="91.5">
      <c r="A39" s="54">
        <v>121979</v>
      </c>
      <c r="B39" s="54" t="s">
        <v>8991</v>
      </c>
      <c r="C39" s="17" t="s">
        <v>6292</v>
      </c>
      <c r="D39" s="17" t="s">
        <v>6197</v>
      </c>
      <c r="E39" s="17" t="s">
        <v>1426</v>
      </c>
      <c r="F39" s="17" t="s">
        <v>1427</v>
      </c>
      <c r="G39" s="16" t="s">
        <v>8992</v>
      </c>
      <c r="H39" s="16" t="s">
        <v>8993</v>
      </c>
      <c r="I39" s="32" t="s">
        <v>8994</v>
      </c>
      <c r="J39" s="17" t="s">
        <v>8752</v>
      </c>
      <c r="K39" s="22">
        <v>45469</v>
      </c>
      <c r="L39" s="22">
        <v>43430</v>
      </c>
      <c r="M39" s="22">
        <v>43430</v>
      </c>
      <c r="N39" s="22">
        <v>44525</v>
      </c>
      <c r="O39" s="22">
        <v>45621</v>
      </c>
      <c r="P39" s="102">
        <f t="shared" si="0"/>
        <v>1095</v>
      </c>
      <c r="Q39" s="103">
        <f t="shared" si="1"/>
        <v>2191</v>
      </c>
      <c r="R39" s="54">
        <v>0</v>
      </c>
      <c r="S39" s="57">
        <v>2142886069</v>
      </c>
      <c r="T39" s="57">
        <v>800825000</v>
      </c>
      <c r="U39" s="57">
        <f>S39+T39</f>
        <v>2943711069</v>
      </c>
      <c r="V39" s="17" t="s">
        <v>427</v>
      </c>
      <c r="W39" s="23" t="str">
        <f>IFERROR(VLOOKUP(V39,Listas!$A$1:$C$13,2,FALSE),"")</f>
        <v>DINORAH PATRICIA ABADIA MURILLO</v>
      </c>
      <c r="X39" s="23">
        <f>IFERROR(VLOOKUP(V39,Listas!$A$1:$C$13,3,FALSE),"")</f>
        <v>52220857</v>
      </c>
      <c r="Y39" s="17" t="s">
        <v>427</v>
      </c>
      <c r="Z39" s="17" t="s">
        <v>428</v>
      </c>
      <c r="AA39" s="23" t="str">
        <f>IFERROR(VLOOKUP(Z39,Listas!$AD$1:$AF$65,2,FALSE),"")</f>
        <v>DINORAH PATRICIA ABADIA MURILLO</v>
      </c>
      <c r="AB39" s="23">
        <f>IFERROR(VLOOKUP(Z39,Listas!$AD$1:$AF$65,3,FALSE),"")</f>
        <v>52220857</v>
      </c>
      <c r="AC39" s="26" t="s">
        <v>3437</v>
      </c>
      <c r="AD39" s="26" t="s">
        <v>2937</v>
      </c>
      <c r="AE39" s="100">
        <f t="shared" ca="1" si="2"/>
        <v>100</v>
      </c>
      <c r="AF39" s="100">
        <f t="shared" ca="1" si="3"/>
        <v>100</v>
      </c>
      <c r="AG39" s="100">
        <f t="shared" ca="1" si="4"/>
        <v>115.01597444089458</v>
      </c>
      <c r="AH39" s="101">
        <f t="shared" si="5"/>
        <v>69.84257092012858</v>
      </c>
      <c r="AI39" s="59">
        <v>2055963491.05</v>
      </c>
      <c r="AJ39" s="54"/>
      <c r="AK39" s="56">
        <f t="shared" ca="1" si="6"/>
        <v>3385737970.7348247</v>
      </c>
    </row>
    <row r="40" spans="1:38" ht="106.5">
      <c r="A40" s="54" t="s">
        <v>8995</v>
      </c>
      <c r="B40" s="54" t="s">
        <v>8996</v>
      </c>
      <c r="C40" s="17" t="s">
        <v>6292</v>
      </c>
      <c r="D40" s="17" t="s">
        <v>6197</v>
      </c>
      <c r="E40" s="17" t="s">
        <v>1426</v>
      </c>
      <c r="F40" s="17" t="s">
        <v>1427</v>
      </c>
      <c r="G40" s="16" t="s">
        <v>8997</v>
      </c>
      <c r="H40" s="16" t="s">
        <v>8998</v>
      </c>
      <c r="I40" s="32" t="s">
        <v>8999</v>
      </c>
      <c r="J40" s="17" t="s">
        <v>8739</v>
      </c>
      <c r="K40" s="22">
        <v>45492</v>
      </c>
      <c r="L40" s="22">
        <v>40722</v>
      </c>
      <c r="M40" s="22">
        <v>40722</v>
      </c>
      <c r="N40" s="22">
        <v>43277</v>
      </c>
      <c r="O40" s="22">
        <v>48049</v>
      </c>
      <c r="P40" s="102">
        <f t="shared" si="0"/>
        <v>2555</v>
      </c>
      <c r="Q40" s="103">
        <f t="shared" si="1"/>
        <v>7327</v>
      </c>
      <c r="R40" s="54">
        <v>2556</v>
      </c>
      <c r="S40" s="57">
        <v>13207261000</v>
      </c>
      <c r="T40" s="57">
        <v>0</v>
      </c>
      <c r="U40" s="57">
        <v>13207261000</v>
      </c>
      <c r="V40" s="17" t="s">
        <v>427</v>
      </c>
      <c r="W40" s="23" t="str">
        <f>IFERROR(VLOOKUP(V40,Listas!$A$1:$C$13,2,FALSE),"")</f>
        <v>DINORAH PATRICIA ABADIA MURILLO</v>
      </c>
      <c r="X40" s="23">
        <f>IFERROR(VLOOKUP(V40,Listas!$A$1:$C$13,3,FALSE),"")</f>
        <v>52220857</v>
      </c>
      <c r="Y40" s="17" t="s">
        <v>427</v>
      </c>
      <c r="Z40" s="17" t="s">
        <v>428</v>
      </c>
      <c r="AA40" s="23" t="str">
        <f>IFERROR(VLOOKUP(Z40,Listas!$AD$1:$AF$65,2,FALSE),"")</f>
        <v>DINORAH PATRICIA ABADIA MURILLO</v>
      </c>
      <c r="AB40" s="23">
        <f>IFERROR(VLOOKUP(Z40,Listas!$AD$1:$AF$65,3,FALSE),"")</f>
        <v>52220857</v>
      </c>
      <c r="AC40" s="26" t="s">
        <v>3133</v>
      </c>
      <c r="AD40" s="26" t="s">
        <v>2937</v>
      </c>
      <c r="AE40" s="100">
        <f t="shared" ca="1" si="2"/>
        <v>71.337579617834393</v>
      </c>
      <c r="AF40" s="100">
        <f t="shared" ca="1" si="3"/>
        <v>71.337579617834393</v>
      </c>
      <c r="AG40" s="100">
        <f ca="1">IFERROR((AK40/U40)*100,"")</f>
        <v>71.352531731950322</v>
      </c>
      <c r="AH40" s="101">
        <f t="shared" si="5"/>
        <v>74.184333428634446</v>
      </c>
      <c r="AI40" s="59">
        <v>9797718537.0300007</v>
      </c>
      <c r="AJ40" s="59"/>
      <c r="AK40" s="56">
        <f ca="1">IFERROR((U40/Q40)*(TODAY()-M40),"")</f>
        <v>9423715095.9464989</v>
      </c>
      <c r="AL40" s="141">
        <f>U40-AI40</f>
        <v>3409542462.9699993</v>
      </c>
    </row>
    <row r="41" spans="1:38" ht="106.5">
      <c r="A41" s="54">
        <v>122080</v>
      </c>
      <c r="B41" s="174" t="s">
        <v>9000</v>
      </c>
      <c r="C41" s="17" t="s">
        <v>6292</v>
      </c>
      <c r="D41" s="17" t="s">
        <v>6197</v>
      </c>
      <c r="E41" s="17" t="s">
        <v>1426</v>
      </c>
      <c r="F41" s="17" t="s">
        <v>1427</v>
      </c>
      <c r="G41" s="16" t="s">
        <v>8900</v>
      </c>
      <c r="H41" s="16" t="s">
        <v>8901</v>
      </c>
      <c r="I41" s="32" t="s">
        <v>9001</v>
      </c>
      <c r="J41" s="17" t="s">
        <v>8752</v>
      </c>
      <c r="K41" s="22">
        <v>45475</v>
      </c>
      <c r="L41" s="22">
        <v>44001</v>
      </c>
      <c r="M41" s="22">
        <v>44001</v>
      </c>
      <c r="N41" s="22">
        <v>44926</v>
      </c>
      <c r="O41" s="22">
        <v>45657</v>
      </c>
      <c r="P41" s="102">
        <f t="shared" si="0"/>
        <v>925</v>
      </c>
      <c r="Q41" s="103">
        <f t="shared" si="1"/>
        <v>1656</v>
      </c>
      <c r="R41" s="54">
        <v>0</v>
      </c>
      <c r="S41" s="57">
        <f>U41-T41</f>
        <v>2729856256453</v>
      </c>
      <c r="T41" s="57">
        <v>81954446101</v>
      </c>
      <c r="U41" s="57">
        <v>2811810702554</v>
      </c>
      <c r="V41" s="17" t="s">
        <v>427</v>
      </c>
      <c r="W41" s="23" t="str">
        <f>IFERROR(VLOOKUP(V41,Listas!$A$1:$C$13,2,FALSE),"")</f>
        <v>DINORAH PATRICIA ABADIA MURILLO</v>
      </c>
      <c r="X41" s="23">
        <f>IFERROR(VLOOKUP(V41,Listas!$A$1:$C$13,3,FALSE),"")</f>
        <v>52220857</v>
      </c>
      <c r="Y41" s="17" t="s">
        <v>427</v>
      </c>
      <c r="Z41" s="17" t="s">
        <v>428</v>
      </c>
      <c r="AA41" s="23" t="str">
        <f>IFERROR(VLOOKUP(Z41,Listas!$AD$1:$AF$65,2,FALSE),"")</f>
        <v>DINORAH PATRICIA ABADIA MURILLO</v>
      </c>
      <c r="AB41" s="23">
        <f>IFERROR(VLOOKUP(Z41,Listas!$AD$1:$AF$65,3,FALSE),"")</f>
        <v>52220857</v>
      </c>
      <c r="AC41" s="26" t="s">
        <v>2938</v>
      </c>
      <c r="AD41" s="26" t="s">
        <v>2937</v>
      </c>
      <c r="AE41" s="100">
        <f t="shared" ca="1" si="2"/>
        <v>100</v>
      </c>
      <c r="AF41" s="100">
        <f t="shared" ca="1" si="3"/>
        <v>100</v>
      </c>
      <c r="AG41" s="100">
        <f t="shared" ca="1" si="4"/>
        <v>117.69323671497582</v>
      </c>
      <c r="AH41" s="101">
        <f t="shared" si="5"/>
        <v>88.233023328870914</v>
      </c>
      <c r="AI41" s="59">
        <v>2480945593148.1602</v>
      </c>
      <c r="AJ41" s="54"/>
      <c r="AK41" s="56">
        <f t="shared" ca="1" si="6"/>
        <v>3309311026133.9043</v>
      </c>
    </row>
    <row r="42" spans="1:38" ht="121.5">
      <c r="A42" s="54">
        <v>121958</v>
      </c>
      <c r="B42" s="174" t="s">
        <v>9002</v>
      </c>
      <c r="C42" s="17" t="s">
        <v>6292</v>
      </c>
      <c r="D42" s="17" t="s">
        <v>6197</v>
      </c>
      <c r="E42" s="17" t="s">
        <v>1426</v>
      </c>
      <c r="F42" s="17" t="s">
        <v>1427</v>
      </c>
      <c r="G42" s="16" t="s">
        <v>8900</v>
      </c>
      <c r="H42" s="16" t="s">
        <v>8969</v>
      </c>
      <c r="I42" s="32" t="s">
        <v>9003</v>
      </c>
      <c r="J42" s="17" t="s">
        <v>8745</v>
      </c>
      <c r="K42" s="22">
        <v>45469</v>
      </c>
      <c r="L42" s="22">
        <v>43097</v>
      </c>
      <c r="M42" s="22">
        <v>43097</v>
      </c>
      <c r="N42" s="22">
        <v>45290</v>
      </c>
      <c r="O42" s="22">
        <v>46752</v>
      </c>
      <c r="P42" s="102">
        <f t="shared" si="0"/>
        <v>2193</v>
      </c>
      <c r="Q42" s="103">
        <f t="shared" si="1"/>
        <v>3655</v>
      </c>
      <c r="R42" s="54">
        <v>730</v>
      </c>
      <c r="S42" s="57">
        <v>308095754</v>
      </c>
      <c r="T42" s="57">
        <v>76602803</v>
      </c>
      <c r="U42" s="57">
        <f>S42+T42</f>
        <v>384698557</v>
      </c>
      <c r="V42" s="17" t="s">
        <v>427</v>
      </c>
      <c r="W42" s="23" t="str">
        <f>IFERROR(VLOOKUP(V42,Listas!$A$1:$C$13,2,FALSE),"")</f>
        <v>DINORAH PATRICIA ABADIA MURILLO</v>
      </c>
      <c r="X42" s="23">
        <f>IFERROR(VLOOKUP(V42,Listas!$A$1:$C$13,3,FALSE),"")</f>
        <v>52220857</v>
      </c>
      <c r="Y42" s="17" t="s">
        <v>427</v>
      </c>
      <c r="Z42" s="17" t="s">
        <v>428</v>
      </c>
      <c r="AA42" s="23" t="str">
        <f>IFERROR(VLOOKUP(Z42,Listas!$AD$1:$AF$65,2,FALSE),"")</f>
        <v>DINORAH PATRICIA ABADIA MURILLO</v>
      </c>
      <c r="AB42" s="23">
        <f>IFERROR(VLOOKUP(Z42,Listas!$AD$1:$AF$65,3,FALSE),"")</f>
        <v>52220857</v>
      </c>
      <c r="AC42" s="26" t="s">
        <v>3501</v>
      </c>
      <c r="AD42" s="26" t="s">
        <v>2937</v>
      </c>
      <c r="AE42" s="100">
        <f t="shared" ca="1" si="2"/>
        <v>78.046072717180124</v>
      </c>
      <c r="AF42" s="100">
        <f t="shared" ca="1" si="3"/>
        <v>78.046072717180124</v>
      </c>
      <c r="AG42" s="100">
        <f t="shared" ca="1" si="4"/>
        <v>78.057455540355676</v>
      </c>
      <c r="AH42" s="101">
        <f t="shared" si="5"/>
        <v>63.965577396226102</v>
      </c>
      <c r="AI42" s="59">
        <v>246074653.22</v>
      </c>
      <c r="AJ42" s="54"/>
      <c r="AK42" s="56">
        <f t="shared" ca="1" si="6"/>
        <v>300285905.09466481</v>
      </c>
    </row>
    <row r="43" spans="1:38" s="136" customFormat="1" ht="91.5">
      <c r="A43" s="125">
        <v>121864</v>
      </c>
      <c r="B43" s="125" t="s">
        <v>9004</v>
      </c>
      <c r="C43" s="126" t="s">
        <v>6292</v>
      </c>
      <c r="D43" s="126" t="s">
        <v>6197</v>
      </c>
      <c r="E43" s="126" t="s">
        <v>1426</v>
      </c>
      <c r="F43" s="126" t="s">
        <v>1427</v>
      </c>
      <c r="G43" s="126" t="s">
        <v>8900</v>
      </c>
      <c r="H43" s="126" t="s">
        <v>8901</v>
      </c>
      <c r="I43" s="127" t="s">
        <v>9005</v>
      </c>
      <c r="J43" s="126" t="s">
        <v>8752</v>
      </c>
      <c r="K43" s="128">
        <v>45465</v>
      </c>
      <c r="L43" s="128">
        <v>42215</v>
      </c>
      <c r="M43" s="128">
        <v>42215</v>
      </c>
      <c r="N43" s="128">
        <v>44196</v>
      </c>
      <c r="O43" s="128">
        <v>47118</v>
      </c>
      <c r="P43" s="129">
        <f t="shared" si="0"/>
        <v>1981</v>
      </c>
      <c r="Q43" s="130">
        <f t="shared" si="1"/>
        <v>4903</v>
      </c>
      <c r="R43" s="125">
        <v>0</v>
      </c>
      <c r="S43" s="131">
        <v>1972998703</v>
      </c>
      <c r="T43" s="131">
        <v>1608978637</v>
      </c>
      <c r="U43" s="131">
        <f>S43+T43</f>
        <v>3581977340</v>
      </c>
      <c r="V43" s="126" t="s">
        <v>427</v>
      </c>
      <c r="W43" s="132" t="str">
        <f>IFERROR(VLOOKUP(V43,Listas!$A$1:$C$13,2,FALSE),"")</f>
        <v>DINORAH PATRICIA ABADIA MURILLO</v>
      </c>
      <c r="X43" s="132">
        <f>IFERROR(VLOOKUP(V43,Listas!$A$1:$C$13,3,FALSE),"")</f>
        <v>52220857</v>
      </c>
      <c r="Y43" s="126" t="s">
        <v>427</v>
      </c>
      <c r="Z43" s="126" t="s">
        <v>428</v>
      </c>
      <c r="AA43" s="132" t="str">
        <f>IFERROR(VLOOKUP(Z43,Listas!$AD$1:$AF$65,2,FALSE),"")</f>
        <v>DINORAH PATRICIA ABADIA MURILLO</v>
      </c>
      <c r="AB43" s="132">
        <f>IFERROR(VLOOKUP(Z43,Listas!$AD$1:$AF$65,3,FALSE),"")</f>
        <v>52220857</v>
      </c>
      <c r="AC43" s="133" t="s">
        <v>3501</v>
      </c>
      <c r="AD43" s="133" t="s">
        <v>2937</v>
      </c>
      <c r="AE43" s="125">
        <f t="shared" ca="1" si="2"/>
        <v>76.19047619047619</v>
      </c>
      <c r="AF43" s="125">
        <f t="shared" ca="1" si="3"/>
        <v>76.19047619047619</v>
      </c>
      <c r="AG43" s="125">
        <f t="shared" ca="1" si="4"/>
        <v>76.177850295737301</v>
      </c>
      <c r="AH43" s="134">
        <f t="shared" si="5"/>
        <v>29.535312051974067</v>
      </c>
      <c r="AI43" s="172">
        <v>1057948185</v>
      </c>
      <c r="AJ43" s="125"/>
      <c r="AK43" s="135">
        <f t="shared" ca="1" si="6"/>
        <v>2728673335.6924334</v>
      </c>
    </row>
    <row r="44" spans="1:38" ht="76.5">
      <c r="A44" s="54">
        <v>121790</v>
      </c>
      <c r="B44" s="174" t="s">
        <v>9006</v>
      </c>
      <c r="C44" s="17" t="s">
        <v>6292</v>
      </c>
      <c r="D44" s="17" t="s">
        <v>6197</v>
      </c>
      <c r="E44" s="17" t="s">
        <v>1426</v>
      </c>
      <c r="F44" s="17" t="s">
        <v>1427</v>
      </c>
      <c r="G44" s="16" t="s">
        <v>8900</v>
      </c>
      <c r="H44" s="16" t="s">
        <v>8969</v>
      </c>
      <c r="I44" s="32" t="s">
        <v>9007</v>
      </c>
      <c r="J44" s="17" t="s">
        <v>8752</v>
      </c>
      <c r="K44" s="22">
        <v>45503</v>
      </c>
      <c r="L44" s="22">
        <v>41418</v>
      </c>
      <c r="M44" s="22">
        <v>41418</v>
      </c>
      <c r="N44" s="22">
        <v>43100</v>
      </c>
      <c r="O44" s="22">
        <v>47118</v>
      </c>
      <c r="P44" s="102">
        <f t="shared" si="0"/>
        <v>1682</v>
      </c>
      <c r="Q44" s="103">
        <f t="shared" si="1"/>
        <v>5700</v>
      </c>
      <c r="R44" s="54">
        <v>0</v>
      </c>
      <c r="S44" s="57">
        <v>268368860917.95001</v>
      </c>
      <c r="T44" s="57">
        <v>102572730000</v>
      </c>
      <c r="U44" s="57">
        <f>S44+T44</f>
        <v>370941590917.95001</v>
      </c>
      <c r="V44" s="17" t="s">
        <v>427</v>
      </c>
      <c r="W44" s="23" t="str">
        <f>IFERROR(VLOOKUP(V44,Listas!$A$1:$C$13,2,FALSE),"")</f>
        <v>DINORAH PATRICIA ABADIA MURILLO</v>
      </c>
      <c r="X44" s="23">
        <f>IFERROR(VLOOKUP(V44,Listas!$A$1:$C$13,3,FALSE),"")</f>
        <v>52220857</v>
      </c>
      <c r="Y44" s="17" t="s">
        <v>427</v>
      </c>
      <c r="Z44" s="17" t="s">
        <v>428</v>
      </c>
      <c r="AA44" s="23" t="str">
        <f>IFERROR(VLOOKUP(Z44,Listas!$AD$1:$AF$65,2,FALSE),"")</f>
        <v>DINORAH PATRICIA ABADIA MURILLO</v>
      </c>
      <c r="AB44" s="23">
        <f>IFERROR(VLOOKUP(Z44,Listas!$AD$1:$AF$65,3,FALSE),"")</f>
        <v>52220857</v>
      </c>
      <c r="AC44" s="26" t="s">
        <v>3133</v>
      </c>
      <c r="AD44" s="26" t="s">
        <v>2937</v>
      </c>
      <c r="AE44" s="100">
        <f t="shared" ca="1" si="2"/>
        <v>79.508634502403424</v>
      </c>
      <c r="AF44" s="100">
        <f t="shared" ca="1" si="3"/>
        <v>79.508634502403424</v>
      </c>
      <c r="AG44" s="100">
        <f t="shared" ca="1" si="4"/>
        <v>79.508771929824547</v>
      </c>
      <c r="AH44" s="101">
        <f t="shared" si="5"/>
        <v>4.7867467136969077</v>
      </c>
      <c r="AI44" s="59">
        <v>17756034413</v>
      </c>
      <c r="AJ44" s="54"/>
      <c r="AK44" s="56">
        <f t="shared" ca="1" si="6"/>
        <v>294931103515.81567</v>
      </c>
    </row>
    <row r="45" spans="1:38" ht="60.75">
      <c r="A45" s="54"/>
      <c r="B45" s="54" t="s">
        <v>9008</v>
      </c>
      <c r="C45" s="17" t="s">
        <v>6292</v>
      </c>
      <c r="D45" s="17" t="s">
        <v>6197</v>
      </c>
      <c r="E45" s="17" t="s">
        <v>1426</v>
      </c>
      <c r="F45" s="17" t="s">
        <v>1427</v>
      </c>
      <c r="G45" s="16" t="s">
        <v>6250</v>
      </c>
      <c r="H45" s="16" t="s">
        <v>9009</v>
      </c>
      <c r="I45" s="32" t="s">
        <v>9010</v>
      </c>
      <c r="J45" s="17" t="s">
        <v>8881</v>
      </c>
      <c r="K45" s="22">
        <v>45510</v>
      </c>
      <c r="L45" s="22">
        <v>45289</v>
      </c>
      <c r="M45" s="22">
        <v>45289</v>
      </c>
      <c r="N45" s="22">
        <v>46201</v>
      </c>
      <c r="O45" s="22">
        <v>46201</v>
      </c>
      <c r="P45" s="102">
        <f t="shared" si="0"/>
        <v>912</v>
      </c>
      <c r="Q45" s="103">
        <f t="shared" si="1"/>
        <v>912</v>
      </c>
      <c r="R45" s="54">
        <v>0</v>
      </c>
      <c r="S45" s="57">
        <v>67625367324</v>
      </c>
      <c r="T45" s="57">
        <v>0</v>
      </c>
      <c r="U45" s="57">
        <v>67625367324</v>
      </c>
      <c r="V45" s="17" t="s">
        <v>427</v>
      </c>
      <c r="W45" s="23" t="str">
        <f>IFERROR(VLOOKUP(V45,Listas!$A$1:$C$13,2,FALSE),"")</f>
        <v>DINORAH PATRICIA ABADIA MURILLO</v>
      </c>
      <c r="X45" s="23">
        <f>IFERROR(VLOOKUP(V45,Listas!$A$1:$C$13,3,FALSE),"")</f>
        <v>52220857</v>
      </c>
      <c r="Y45" s="17" t="s">
        <v>427</v>
      </c>
      <c r="Z45" s="17" t="s">
        <v>428</v>
      </c>
      <c r="AA45" s="23" t="str">
        <f>IFERROR(VLOOKUP(Z45,Listas!$AD$1:$AF$65,2,FALSE),"")</f>
        <v>DINORAH PATRICIA ABADIA MURILLO</v>
      </c>
      <c r="AB45" s="23">
        <f>IFERROR(VLOOKUP(Z45,Listas!$AD$1:$AF$65,3,FALSE),"")</f>
        <v>52220857</v>
      </c>
      <c r="AC45" s="26" t="s">
        <v>3453</v>
      </c>
      <c r="AD45" s="26" t="s">
        <v>2937</v>
      </c>
      <c r="AE45" s="100">
        <f t="shared" ca="1" si="2"/>
        <v>72.41379310344827</v>
      </c>
      <c r="AF45" s="100">
        <f t="shared" ca="1" si="3"/>
        <v>72.41379310344827</v>
      </c>
      <c r="AG45" s="100">
        <f t="shared" ca="1" si="4"/>
        <v>72.478070175438603</v>
      </c>
      <c r="AH45" s="101">
        <f t="shared" si="5"/>
        <v>1.9970425292177449</v>
      </c>
      <c r="AI45" s="59">
        <v>1350507346</v>
      </c>
      <c r="AJ45" s="54"/>
      <c r="AK45" s="56">
        <f t="shared" ca="1" si="6"/>
        <v>49013561185.486847</v>
      </c>
    </row>
    <row r="46" spans="1:38" ht="91.5">
      <c r="A46" s="54"/>
      <c r="B46" s="54" t="s">
        <v>9011</v>
      </c>
      <c r="C46" s="17" t="s">
        <v>2927</v>
      </c>
      <c r="D46" s="17" t="s">
        <v>5866</v>
      </c>
      <c r="E46" s="17" t="s">
        <v>1426</v>
      </c>
      <c r="F46" s="17" t="s">
        <v>1427</v>
      </c>
      <c r="G46" s="16"/>
      <c r="H46" s="16" t="s">
        <v>9012</v>
      </c>
      <c r="I46" s="32" t="s">
        <v>9013</v>
      </c>
      <c r="J46" s="17" t="s">
        <v>9014</v>
      </c>
      <c r="K46" s="22">
        <v>45518</v>
      </c>
      <c r="L46" s="22">
        <v>45286</v>
      </c>
      <c r="M46" s="22">
        <v>45286</v>
      </c>
      <c r="N46" s="22">
        <v>46599</v>
      </c>
      <c r="O46" s="22">
        <v>46599</v>
      </c>
      <c r="P46" s="102">
        <f t="shared" si="0"/>
        <v>1313</v>
      </c>
      <c r="Q46" s="103">
        <f t="shared" si="1"/>
        <v>1313</v>
      </c>
      <c r="R46" s="54">
        <v>0</v>
      </c>
      <c r="S46" s="57">
        <v>0</v>
      </c>
      <c r="T46" s="57">
        <v>0</v>
      </c>
      <c r="U46" s="57">
        <v>1544951567</v>
      </c>
      <c r="V46" s="17" t="s">
        <v>607</v>
      </c>
      <c r="W46" s="23" t="str">
        <f>IFERROR(VLOOKUP(V46,Listas!$A$1:$C$13,2,FALSE),"")</f>
        <v>MARÍA FRANCISCA CEPEDA QUINTERO</v>
      </c>
      <c r="X46" s="23">
        <f>IFERROR(VLOOKUP(V46,Listas!$A$1:$C$13,3,FALSE),"")</f>
        <v>53062608</v>
      </c>
      <c r="Y46" s="17" t="s">
        <v>607</v>
      </c>
      <c r="Z46" s="17" t="s">
        <v>1155</v>
      </c>
      <c r="AA46" s="23" t="str">
        <f>IFERROR(VLOOKUP(Z46,Listas!$AD$1:$AF$65,2,FALSE),"")</f>
        <v>MARÍA FRANCISCA CEPEDA QUINTERO</v>
      </c>
      <c r="AB46" s="23">
        <f>IFERROR(VLOOKUP(Z46,Listas!$AD$1:$AF$65,3,FALSE),"")</f>
        <v>53062608</v>
      </c>
      <c r="AC46" s="26" t="s">
        <v>3501</v>
      </c>
      <c r="AD46" s="26" t="s">
        <v>2937</v>
      </c>
      <c r="AE46" s="100">
        <f t="shared" ca="1" si="2"/>
        <v>50.501930501930502</v>
      </c>
      <c r="AF46" s="100">
        <f t="shared" ca="1" si="3"/>
        <v>50.501930501930502</v>
      </c>
      <c r="AG46" s="100">
        <f t="shared" ca="1" si="4"/>
        <v>50.571210967250565</v>
      </c>
      <c r="AH46" s="101">
        <f t="shared" si="5"/>
        <v>100</v>
      </c>
      <c r="AI46" s="59">
        <v>1544951567</v>
      </c>
      <c r="AJ46" s="54"/>
      <c r="AK46" s="56">
        <f t="shared" ca="1" si="6"/>
        <v>781300716.28941345</v>
      </c>
    </row>
    <row r="47" spans="1:38" s="136" customFormat="1" ht="91.5">
      <c r="A47" s="125"/>
      <c r="B47" s="125" t="s">
        <v>8971</v>
      </c>
      <c r="C47" s="126" t="s">
        <v>6292</v>
      </c>
      <c r="D47" s="126" t="s">
        <v>6197</v>
      </c>
      <c r="E47" s="126" t="s">
        <v>1426</v>
      </c>
      <c r="F47" s="126" t="s">
        <v>1427</v>
      </c>
      <c r="G47" s="126" t="s">
        <v>8972</v>
      </c>
      <c r="H47" s="126" t="s">
        <v>8973</v>
      </c>
      <c r="I47" s="127" t="s">
        <v>9015</v>
      </c>
      <c r="J47" s="126" t="s">
        <v>9014</v>
      </c>
      <c r="K47" s="128">
        <v>45548</v>
      </c>
      <c r="L47" s="128">
        <v>45016</v>
      </c>
      <c r="M47" s="128">
        <v>45016</v>
      </c>
      <c r="N47" s="128">
        <v>45275</v>
      </c>
      <c r="O47" s="128">
        <v>46022</v>
      </c>
      <c r="P47" s="129">
        <f t="shared" si="0"/>
        <v>259</v>
      </c>
      <c r="Q47" s="130">
        <f t="shared" si="1"/>
        <v>1006</v>
      </c>
      <c r="R47" s="125">
        <v>0</v>
      </c>
      <c r="S47" s="131">
        <v>318000000</v>
      </c>
      <c r="T47" s="131">
        <v>150000000</v>
      </c>
      <c r="U47" s="131">
        <f>S47+T47</f>
        <v>468000000</v>
      </c>
      <c r="V47" s="126" t="s">
        <v>427</v>
      </c>
      <c r="W47" s="132" t="str">
        <f>IFERROR(VLOOKUP(V47,Listas!$A$1:$C$13,2,FALSE),"")</f>
        <v>DINORAH PATRICIA ABADIA MURILLO</v>
      </c>
      <c r="X47" s="132">
        <f>IFERROR(VLOOKUP(V47,Listas!$A$1:$C$13,3,FALSE),"")</f>
        <v>52220857</v>
      </c>
      <c r="Y47" s="126" t="s">
        <v>427</v>
      </c>
      <c r="Z47" s="126" t="s">
        <v>428</v>
      </c>
      <c r="AA47" s="132" t="str">
        <f>IFERROR(VLOOKUP(Z47,Listas!$AD$1:$AF$65,2,FALSE),"")</f>
        <v>DINORAH PATRICIA ABADIA MURILLO</v>
      </c>
      <c r="AB47" s="132">
        <f>IFERROR(VLOOKUP(Z47,Listas!$AD$1:$AF$65,3,FALSE),"")</f>
        <v>52220857</v>
      </c>
      <c r="AC47" s="133" t="s">
        <v>3067</v>
      </c>
      <c r="AD47" s="133" t="s">
        <v>2937</v>
      </c>
      <c r="AE47" s="125">
        <f t="shared" ca="1" si="2"/>
        <v>92.929292929292927</v>
      </c>
      <c r="AF47" s="125">
        <f t="shared" ca="1" si="3"/>
        <v>92.929292929292927</v>
      </c>
      <c r="AG47" s="125">
        <f t="shared" ca="1" si="4"/>
        <v>92.842942345924456</v>
      </c>
      <c r="AH47" s="134">
        <f>IFERROR((AI47/U47)*100,"")</f>
        <v>54.15329227350427</v>
      </c>
      <c r="AI47" s="172">
        <v>253437407.84</v>
      </c>
      <c r="AJ47" s="125"/>
      <c r="AK47" s="135">
        <f t="shared" ca="1" si="6"/>
        <v>434504970.17892641</v>
      </c>
    </row>
    <row r="48" spans="1:38" ht="106.5">
      <c r="A48" s="54">
        <v>121983</v>
      </c>
      <c r="B48" s="174" t="s">
        <v>9016</v>
      </c>
      <c r="C48" s="17" t="s">
        <v>6292</v>
      </c>
      <c r="D48" s="17" t="s">
        <v>6197</v>
      </c>
      <c r="E48" s="17" t="s">
        <v>1426</v>
      </c>
      <c r="F48" s="17" t="s">
        <v>1427</v>
      </c>
      <c r="G48" s="16" t="s">
        <v>9017</v>
      </c>
      <c r="H48" s="16" t="s">
        <v>9018</v>
      </c>
      <c r="I48" s="32" t="s">
        <v>9019</v>
      </c>
      <c r="J48" s="17" t="s">
        <v>8881</v>
      </c>
      <c r="K48" s="22">
        <v>45551</v>
      </c>
      <c r="L48" s="22">
        <v>43516</v>
      </c>
      <c r="M48" s="22">
        <v>43516</v>
      </c>
      <c r="N48" s="22">
        <v>45341</v>
      </c>
      <c r="O48" s="22">
        <v>45694</v>
      </c>
      <c r="P48" s="102">
        <f t="shared" si="0"/>
        <v>1825</v>
      </c>
      <c r="Q48" s="103">
        <f t="shared" si="1"/>
        <v>2178</v>
      </c>
      <c r="R48" s="54">
        <v>0</v>
      </c>
      <c r="S48" s="57">
        <f>U48-T48</f>
        <v>3365901953279</v>
      </c>
      <c r="T48" s="57">
        <v>-1426404916122</v>
      </c>
      <c r="U48" s="57">
        <v>1939497037157</v>
      </c>
      <c r="V48" s="17" t="s">
        <v>427</v>
      </c>
      <c r="W48" s="23" t="str">
        <f>IFERROR(VLOOKUP(V48,Listas!$A$1:$C$13,2,FALSE),"")</f>
        <v>DINORAH PATRICIA ABADIA MURILLO</v>
      </c>
      <c r="X48" s="23">
        <f>IFERROR(VLOOKUP(V48,Listas!$A$1:$C$13,3,FALSE),"")</f>
        <v>52220857</v>
      </c>
      <c r="Y48" s="17" t="s">
        <v>427</v>
      </c>
      <c r="Z48" s="17" t="s">
        <v>428</v>
      </c>
      <c r="AA48" s="23" t="str">
        <f>IFERROR(VLOOKUP(Z48,Listas!$AD$1:$AF$65,2,FALSE),"")</f>
        <v>DINORAH PATRICIA ABADIA MURILLO</v>
      </c>
      <c r="AB48" s="23">
        <f>IFERROR(VLOOKUP(Z48,Listas!$AD$1:$AF$65,3,FALSE),"")</f>
        <v>52220857</v>
      </c>
      <c r="AC48" s="26" t="s">
        <v>2938</v>
      </c>
      <c r="AD48" s="26" t="s">
        <v>2937</v>
      </c>
      <c r="AE48" s="100">
        <f t="shared" ca="1" si="2"/>
        <v>100</v>
      </c>
      <c r="AF48" s="100">
        <f t="shared" ca="1" si="3"/>
        <v>100</v>
      </c>
      <c r="AG48" s="100">
        <f t="shared" ca="1" si="4"/>
        <v>111.75390266299357</v>
      </c>
      <c r="AH48" s="101">
        <f t="shared" si="5"/>
        <v>89.640444758134194</v>
      </c>
      <c r="AI48" s="59">
        <v>1738573770178.3701</v>
      </c>
      <c r="AJ48" s="54"/>
      <c r="AK48" s="56">
        <f t="shared" ca="1" si="6"/>
        <v>2167463631056.0781</v>
      </c>
    </row>
    <row r="49" spans="1:37" ht="137.25">
      <c r="A49" s="54">
        <v>122104</v>
      </c>
      <c r="B49" s="54" t="s">
        <v>9020</v>
      </c>
      <c r="C49" s="17" t="s">
        <v>6292</v>
      </c>
      <c r="D49" s="17" t="s">
        <v>6197</v>
      </c>
      <c r="E49" s="17" t="s">
        <v>1426</v>
      </c>
      <c r="F49" s="17" t="s">
        <v>1427</v>
      </c>
      <c r="G49" s="16" t="s">
        <v>6702</v>
      </c>
      <c r="H49" s="16" t="s">
        <v>9021</v>
      </c>
      <c r="I49" s="32" t="s">
        <v>9022</v>
      </c>
      <c r="J49" s="17" t="s">
        <v>8745</v>
      </c>
      <c r="K49" s="22">
        <v>45547</v>
      </c>
      <c r="L49" s="22">
        <v>44407</v>
      </c>
      <c r="M49" s="22">
        <v>44407</v>
      </c>
      <c r="N49" s="22">
        <v>46597</v>
      </c>
      <c r="O49" s="22">
        <v>47848</v>
      </c>
      <c r="P49" s="102">
        <f t="shared" si="0"/>
        <v>2190</v>
      </c>
      <c r="Q49" s="103">
        <f t="shared" si="1"/>
        <v>3441</v>
      </c>
      <c r="R49" s="54">
        <v>519</v>
      </c>
      <c r="S49" s="57">
        <v>4500000000</v>
      </c>
      <c r="T49" s="57">
        <v>2000000000</v>
      </c>
      <c r="U49" s="57">
        <f>S49+T49</f>
        <v>6500000000</v>
      </c>
      <c r="V49" s="17" t="s">
        <v>427</v>
      </c>
      <c r="W49" s="23" t="str">
        <f>IFERROR(VLOOKUP(V49,Listas!$A$1:$C$13,2,FALSE),"")</f>
        <v>DINORAH PATRICIA ABADIA MURILLO</v>
      </c>
      <c r="X49" s="23">
        <f>IFERROR(VLOOKUP(V49,Listas!$A$1:$C$13,3,FALSE),"")</f>
        <v>52220857</v>
      </c>
      <c r="Y49" s="17" t="s">
        <v>427</v>
      </c>
      <c r="Z49" s="17" t="s">
        <v>428</v>
      </c>
      <c r="AA49" s="23" t="str">
        <f>IFERROR(VLOOKUP(Z49,Listas!$AD$1:$AF$65,2,FALSE),"")</f>
        <v>DINORAH PATRICIA ABADIA MURILLO</v>
      </c>
      <c r="AB49" s="23">
        <f>IFERROR(VLOOKUP(Z49,Listas!$AD$1:$AF$65,3,FALSE),"")</f>
        <v>52220857</v>
      </c>
      <c r="AC49" s="26" t="s">
        <v>4526</v>
      </c>
      <c r="AD49" s="26" t="s">
        <v>2937</v>
      </c>
      <c r="AE49" s="100">
        <f t="shared" ca="1" si="2"/>
        <v>44.837758112094392</v>
      </c>
      <c r="AF49" s="100">
        <f t="shared" ca="1" si="3"/>
        <v>44.837758112094392</v>
      </c>
      <c r="AG49" s="100">
        <f t="shared" ca="1" si="4"/>
        <v>44.841615809357741</v>
      </c>
      <c r="AH49" s="101">
        <f t="shared" si="5"/>
        <v>36.157393200000001</v>
      </c>
      <c r="AI49" s="59">
        <v>2350230558</v>
      </c>
      <c r="AJ49" s="54"/>
      <c r="AK49" s="56">
        <f t="shared" ca="1" si="6"/>
        <v>2914705027.6082535</v>
      </c>
    </row>
    <row r="50" spans="1:37" ht="76.5">
      <c r="A50" s="54"/>
      <c r="B50" s="54" t="s">
        <v>9023</v>
      </c>
      <c r="C50" s="17" t="s">
        <v>104</v>
      </c>
      <c r="D50" s="17" t="s">
        <v>4162</v>
      </c>
      <c r="E50" s="17" t="s">
        <v>1426</v>
      </c>
      <c r="F50" s="17" t="s">
        <v>1427</v>
      </c>
      <c r="G50" s="16" t="s">
        <v>9024</v>
      </c>
      <c r="H50" s="16" t="s">
        <v>9025</v>
      </c>
      <c r="I50" s="32" t="s">
        <v>9026</v>
      </c>
      <c r="J50" s="17" t="s">
        <v>8739</v>
      </c>
      <c r="K50" s="22">
        <v>45554</v>
      </c>
      <c r="L50" s="22">
        <v>44855</v>
      </c>
      <c r="M50" s="22">
        <v>44946</v>
      </c>
      <c r="N50" s="22">
        <v>45555</v>
      </c>
      <c r="O50" s="22">
        <v>45828</v>
      </c>
      <c r="P50" s="102">
        <f t="shared" si="0"/>
        <v>609</v>
      </c>
      <c r="Q50" s="103">
        <f t="shared" si="1"/>
        <v>882</v>
      </c>
      <c r="R50" s="54">
        <f>O50-N50</f>
        <v>273</v>
      </c>
      <c r="S50" s="57">
        <v>780809454</v>
      </c>
      <c r="T50" s="57">
        <v>0</v>
      </c>
      <c r="U50" s="57">
        <v>780809454</v>
      </c>
      <c r="V50" s="17" t="s">
        <v>427</v>
      </c>
      <c r="W50" s="23" t="str">
        <f>IFERROR(VLOOKUP(V50,Listas!$A$1:$C$13,2,FALSE),"")</f>
        <v>DINORAH PATRICIA ABADIA MURILLO</v>
      </c>
      <c r="X50" s="23">
        <f>IFERROR(VLOOKUP(V50,Listas!$A$1:$C$13,3,FALSE),"")</f>
        <v>52220857</v>
      </c>
      <c r="Y50" s="17" t="s">
        <v>427</v>
      </c>
      <c r="Z50" s="17" t="s">
        <v>428</v>
      </c>
      <c r="AA50" s="23" t="str">
        <f>IFERROR(VLOOKUP(Z50,Listas!$AD$1:$AF$65,2,FALSE),"")</f>
        <v>DINORAH PATRICIA ABADIA MURILLO</v>
      </c>
      <c r="AB50" s="23">
        <f>IFERROR(VLOOKUP(Z50,Listas!$AD$1:$AF$65,3,FALSE),"")</f>
        <v>52220857</v>
      </c>
      <c r="AC50" s="26" t="s">
        <v>3453</v>
      </c>
      <c r="AD50" s="26" t="s">
        <v>2937</v>
      </c>
      <c r="AE50" s="100">
        <f t="shared" ca="1" si="2"/>
        <v>100</v>
      </c>
      <c r="AF50" s="100">
        <f t="shared" ca="1" si="3"/>
        <v>100</v>
      </c>
      <c r="AG50" s="100">
        <f t="shared" ca="1" si="4"/>
        <v>113.83219954648527</v>
      </c>
      <c r="AH50" s="101">
        <f t="shared" si="5"/>
        <v>57.630066810128554</v>
      </c>
      <c r="AI50" s="59">
        <v>449981010</v>
      </c>
      <c r="AJ50" s="54"/>
      <c r="AK50" s="56">
        <f t="shared" ca="1" si="6"/>
        <v>888812575.75510204</v>
      </c>
    </row>
    <row r="51" spans="1:37" ht="60.75">
      <c r="A51" s="54">
        <v>122082</v>
      </c>
      <c r="B51" s="54" t="s">
        <v>9027</v>
      </c>
      <c r="C51" s="17" t="s">
        <v>6292</v>
      </c>
      <c r="D51" s="17" t="s">
        <v>6197</v>
      </c>
      <c r="E51" s="17" t="s">
        <v>1426</v>
      </c>
      <c r="F51" s="17" t="s">
        <v>1427</v>
      </c>
      <c r="G51" s="16" t="s">
        <v>9028</v>
      </c>
      <c r="H51" s="16" t="s">
        <v>9029</v>
      </c>
      <c r="I51" s="32" t="s">
        <v>9030</v>
      </c>
      <c r="J51" s="17" t="s">
        <v>8739</v>
      </c>
      <c r="K51" s="22">
        <v>45545</v>
      </c>
      <c r="L51" s="22">
        <v>44067</v>
      </c>
      <c r="M51" s="22">
        <v>44067</v>
      </c>
      <c r="N51" s="22">
        <v>48083</v>
      </c>
      <c r="O51" s="22">
        <v>49179</v>
      </c>
      <c r="P51" s="102">
        <f t="shared" si="0"/>
        <v>4016</v>
      </c>
      <c r="Q51" s="103">
        <f t="shared" si="1"/>
        <v>5112</v>
      </c>
      <c r="R51" s="54">
        <v>365</v>
      </c>
      <c r="S51" s="57">
        <v>8826143543</v>
      </c>
      <c r="T51" s="57">
        <v>2401437540</v>
      </c>
      <c r="U51" s="57">
        <f>S51+T51</f>
        <v>11227581083</v>
      </c>
      <c r="V51" s="17" t="s">
        <v>427</v>
      </c>
      <c r="W51" s="23" t="str">
        <f>IFERROR(VLOOKUP(V51,Listas!$A$1:$C$13,2,FALSE),"")</f>
        <v>DINORAH PATRICIA ABADIA MURILLO</v>
      </c>
      <c r="X51" s="23">
        <f>IFERROR(VLOOKUP(V51,Listas!$A$1:$C$13,3,FALSE),"")</f>
        <v>52220857</v>
      </c>
      <c r="Y51" s="17" t="s">
        <v>427</v>
      </c>
      <c r="Z51" s="17" t="s">
        <v>428</v>
      </c>
      <c r="AA51" s="23" t="str">
        <f>IFERROR(VLOOKUP(Z51,Listas!$AD$1:$AF$65,2,FALSE),"")</f>
        <v>DINORAH PATRICIA ABADIA MURILLO</v>
      </c>
      <c r="AB51" s="23">
        <f>IFERROR(VLOOKUP(Z51,Listas!$AD$1:$AF$65,3,FALSE),"")</f>
        <v>52220857</v>
      </c>
      <c r="AC51" s="26" t="s">
        <v>3453</v>
      </c>
      <c r="AD51" s="26" t="s">
        <v>2937</v>
      </c>
      <c r="AE51" s="100">
        <f t="shared" ca="1" si="2"/>
        <v>36.83270490176622</v>
      </c>
      <c r="AF51" s="100">
        <f t="shared" ca="1" si="3"/>
        <v>36.83270490176622</v>
      </c>
      <c r="AG51" s="100">
        <f t="shared" ca="1" si="4"/>
        <v>36.834898278560253</v>
      </c>
      <c r="AH51" s="101">
        <f t="shared" si="5"/>
        <v>1.820567570422595</v>
      </c>
      <c r="AI51" s="59">
        <v>204405700.13999999</v>
      </c>
      <c r="AJ51" s="54"/>
      <c r="AK51" s="56">
        <f t="shared" ca="1" si="6"/>
        <v>4135668071.0659237</v>
      </c>
    </row>
    <row r="52" spans="1:37" ht="91.5">
      <c r="A52" s="54"/>
      <c r="B52" s="54" t="s">
        <v>9031</v>
      </c>
      <c r="C52" s="17" t="s">
        <v>104</v>
      </c>
      <c r="D52" s="17" t="s">
        <v>4162</v>
      </c>
      <c r="E52" s="17" t="s">
        <v>1426</v>
      </c>
      <c r="F52" s="17" t="s">
        <v>1427</v>
      </c>
      <c r="G52" s="16" t="s">
        <v>9032</v>
      </c>
      <c r="H52" s="16" t="s">
        <v>9033</v>
      </c>
      <c r="I52" s="32" t="s">
        <v>9034</v>
      </c>
      <c r="J52" s="17" t="s">
        <v>8881</v>
      </c>
      <c r="K52" s="22">
        <v>45548</v>
      </c>
      <c r="L52" s="22">
        <v>44925</v>
      </c>
      <c r="M52" s="22">
        <v>45232</v>
      </c>
      <c r="N52" s="22">
        <v>46328</v>
      </c>
      <c r="O52" s="22">
        <v>46328</v>
      </c>
      <c r="P52" s="102">
        <f t="shared" si="0"/>
        <v>1096</v>
      </c>
      <c r="Q52" s="103">
        <f t="shared" si="1"/>
        <v>1096</v>
      </c>
      <c r="R52" s="54">
        <v>0</v>
      </c>
      <c r="S52" s="57">
        <v>881235606</v>
      </c>
      <c r="T52" s="57">
        <v>0</v>
      </c>
      <c r="U52" s="57">
        <v>881235606</v>
      </c>
      <c r="V52" s="17" t="s">
        <v>427</v>
      </c>
      <c r="W52" s="23" t="str">
        <f>IFERROR(VLOOKUP(V52,Listas!$A$1:$C$13,2,FALSE),"")</f>
        <v>DINORAH PATRICIA ABADIA MURILLO</v>
      </c>
      <c r="X52" s="23">
        <f>IFERROR(VLOOKUP(V52,Listas!$A$1:$C$13,3,FALSE),"")</f>
        <v>52220857</v>
      </c>
      <c r="Y52" s="17" t="s">
        <v>427</v>
      </c>
      <c r="Z52" s="17" t="s">
        <v>428</v>
      </c>
      <c r="AA52" s="23" t="str">
        <f>IFERROR(VLOOKUP(Z52,Listas!$AD$1:$AF$65,2,FALSE),"")</f>
        <v>DINORAH PATRICIA ABADIA MURILLO</v>
      </c>
      <c r="AB52" s="23">
        <f>IFERROR(VLOOKUP(Z52,Listas!$AD$1:$AF$65,3,FALSE),"")</f>
        <v>52220857</v>
      </c>
      <c r="AC52" s="26" t="s">
        <v>4526</v>
      </c>
      <c r="AD52" s="26" t="s">
        <v>2937</v>
      </c>
      <c r="AE52" s="100">
        <f t="shared" ca="1" si="2"/>
        <v>65.555555555555557</v>
      </c>
      <c r="AF52" s="100">
        <f t="shared" ca="1" si="3"/>
        <v>65.555555555555557</v>
      </c>
      <c r="AG52" s="100">
        <f t="shared" ca="1" si="4"/>
        <v>65.510948905109487</v>
      </c>
      <c r="AH52" s="101">
        <f t="shared" si="5"/>
        <v>62.412366937429439</v>
      </c>
      <c r="AI52" s="59">
        <v>550000000</v>
      </c>
      <c r="AJ52" s="54"/>
      <c r="AK52" s="56">
        <f t="shared" ca="1" si="6"/>
        <v>577305807.58029199</v>
      </c>
    </row>
    <row r="53" spans="1:37" ht="106.5">
      <c r="A53" s="54"/>
      <c r="B53" s="54" t="s">
        <v>9035</v>
      </c>
      <c r="C53" s="17" t="s">
        <v>6292</v>
      </c>
      <c r="D53" s="17" t="s">
        <v>6197</v>
      </c>
      <c r="E53" s="17" t="s">
        <v>1426</v>
      </c>
      <c r="F53" s="17" t="s">
        <v>1427</v>
      </c>
      <c r="G53" s="16" t="s">
        <v>8900</v>
      </c>
      <c r="H53" s="16" t="s">
        <v>9036</v>
      </c>
      <c r="I53" s="32" t="s">
        <v>9037</v>
      </c>
      <c r="J53" s="17" t="s">
        <v>8752</v>
      </c>
      <c r="K53" s="22">
        <v>45495</v>
      </c>
      <c r="L53" s="22">
        <v>45280</v>
      </c>
      <c r="M53" s="22">
        <v>45280</v>
      </c>
      <c r="N53" s="22">
        <v>46387</v>
      </c>
      <c r="O53" s="22">
        <v>46387</v>
      </c>
      <c r="P53" s="102">
        <f t="shared" si="0"/>
        <v>1107</v>
      </c>
      <c r="Q53" s="103">
        <f t="shared" si="1"/>
        <v>1107</v>
      </c>
      <c r="R53" s="54">
        <v>0</v>
      </c>
      <c r="S53" s="57">
        <v>22952541768</v>
      </c>
      <c r="T53" s="57">
        <v>8870060345.2099991</v>
      </c>
      <c r="U53" s="57">
        <f>S53+T53</f>
        <v>31822602113.209999</v>
      </c>
      <c r="V53" s="17" t="s">
        <v>427</v>
      </c>
      <c r="W53" s="23" t="str">
        <f>IFERROR(VLOOKUP(V53,Listas!$A$1:$C$13,2,FALSE),"")</f>
        <v>DINORAH PATRICIA ABADIA MURILLO</v>
      </c>
      <c r="X53" s="23">
        <f>IFERROR(VLOOKUP(V53,Listas!$A$1:$C$13,3,FALSE),"")</f>
        <v>52220857</v>
      </c>
      <c r="Y53" s="17" t="s">
        <v>427</v>
      </c>
      <c r="Z53" s="17" t="s">
        <v>428</v>
      </c>
      <c r="AA53" s="23" t="str">
        <f>IFERROR(VLOOKUP(Z53,Listas!$AD$1:$AF$65,2,FALSE),"")</f>
        <v>DINORAH PATRICIA ABADIA MURILLO</v>
      </c>
      <c r="AB53" s="23">
        <f>IFERROR(VLOOKUP(Z53,Listas!$AD$1:$AF$65,3,FALSE),"")</f>
        <v>52220857</v>
      </c>
      <c r="AC53" s="26" t="s">
        <v>3437</v>
      </c>
      <c r="AD53" s="26" t="s">
        <v>2937</v>
      </c>
      <c r="AE53" s="100">
        <f t="shared" ca="1" si="2"/>
        <v>60.49495875343721</v>
      </c>
      <c r="AF53" s="100">
        <f t="shared" ca="1" si="3"/>
        <v>60.49495875343721</v>
      </c>
      <c r="AG53" s="100">
        <f t="shared" ca="1" si="4"/>
        <v>60.523938572719061</v>
      </c>
      <c r="AH53" s="101">
        <f t="shared" si="5"/>
        <v>47.933492897829325</v>
      </c>
      <c r="AI53" s="59">
        <v>15253684723.84</v>
      </c>
      <c r="AJ53" s="54"/>
      <c r="AK53" s="56">
        <f t="shared" ca="1" si="6"/>
        <v>19260292155.240017</v>
      </c>
    </row>
    <row r="54" spans="1:37" ht="45.75">
      <c r="A54" s="54">
        <v>120965</v>
      </c>
      <c r="B54" s="54" t="s">
        <v>9038</v>
      </c>
      <c r="C54" s="17" t="s">
        <v>6292</v>
      </c>
      <c r="D54" s="17" t="s">
        <v>6197</v>
      </c>
      <c r="E54" s="17" t="s">
        <v>1426</v>
      </c>
      <c r="F54" s="17" t="s">
        <v>1427</v>
      </c>
      <c r="G54" s="16" t="s">
        <v>9039</v>
      </c>
      <c r="H54" s="16" t="s">
        <v>9040</v>
      </c>
      <c r="I54" s="32" t="s">
        <v>9041</v>
      </c>
      <c r="J54" s="17" t="s">
        <v>8881</v>
      </c>
      <c r="K54" s="22">
        <v>45548</v>
      </c>
      <c r="L54" s="22">
        <v>36511</v>
      </c>
      <c r="M54" s="22">
        <v>36511</v>
      </c>
      <c r="N54" s="22">
        <v>38337</v>
      </c>
      <c r="O54" s="22">
        <v>45808</v>
      </c>
      <c r="P54" s="102">
        <f t="shared" si="0"/>
        <v>1826</v>
      </c>
      <c r="Q54" s="103">
        <f t="shared" si="1"/>
        <v>9297</v>
      </c>
      <c r="R54" s="54">
        <v>0</v>
      </c>
      <c r="S54" s="57">
        <v>5853038273</v>
      </c>
      <c r="T54" s="57">
        <v>0</v>
      </c>
      <c r="U54" s="57">
        <v>5853038273</v>
      </c>
      <c r="V54" s="17" t="s">
        <v>427</v>
      </c>
      <c r="W54" s="23" t="str">
        <f>IFERROR(VLOOKUP(V54,Listas!$A$1:$C$13,2,FALSE),"")</f>
        <v>DINORAH PATRICIA ABADIA MURILLO</v>
      </c>
      <c r="X54" s="23">
        <f>IFERROR(VLOOKUP(V54,Listas!$A$1:$C$13,3,FALSE),"")</f>
        <v>52220857</v>
      </c>
      <c r="Y54" s="17" t="s">
        <v>427</v>
      </c>
      <c r="Z54" s="17" t="s">
        <v>428</v>
      </c>
      <c r="AA54" s="23" t="str">
        <f>IFERROR(VLOOKUP(Z54,Listas!$AD$1:$AF$65,2,FALSE),"")</f>
        <v>DINORAH PATRICIA ABADIA MURILLO</v>
      </c>
      <c r="AB54" s="23">
        <f>IFERROR(VLOOKUP(Z54,Listas!$AD$1:$AF$65,3,FALSE),"")</f>
        <v>52220857</v>
      </c>
      <c r="AC54" s="26" t="s">
        <v>3501</v>
      </c>
      <c r="AD54" s="26" t="s">
        <v>2937</v>
      </c>
      <c r="AE54" s="100">
        <f t="shared" ca="1" si="2"/>
        <v>100</v>
      </c>
      <c r="AF54" s="100">
        <f t="shared" ca="1" si="3"/>
        <v>100</v>
      </c>
      <c r="AG54" s="100">
        <f t="shared" ca="1" si="4"/>
        <v>101.52737442185651</v>
      </c>
      <c r="AH54" s="101">
        <f t="shared" si="5"/>
        <v>38.293394180407404</v>
      </c>
      <c r="AI54" s="59">
        <v>2241327017.4099998</v>
      </c>
      <c r="AJ54" s="54"/>
      <c r="AK54" s="56">
        <f t="shared" ca="1" si="6"/>
        <v>5942436082.4832735</v>
      </c>
    </row>
    <row r="55" spans="1:37" ht="91.5">
      <c r="A55" s="54"/>
      <c r="B55" s="54" t="s">
        <v>9042</v>
      </c>
      <c r="C55" s="17" t="s">
        <v>104</v>
      </c>
      <c r="D55" s="17" t="s">
        <v>4162</v>
      </c>
      <c r="E55" s="17" t="s">
        <v>1426</v>
      </c>
      <c r="F55" s="17" t="s">
        <v>1427</v>
      </c>
      <c r="G55" s="16" t="s">
        <v>9043</v>
      </c>
      <c r="H55" s="16" t="s">
        <v>9044</v>
      </c>
      <c r="I55" s="32" t="s">
        <v>9045</v>
      </c>
      <c r="J55" s="17" t="s">
        <v>8739</v>
      </c>
      <c r="K55" s="22">
        <v>45554</v>
      </c>
      <c r="L55" s="22">
        <v>44910</v>
      </c>
      <c r="M55" s="22">
        <v>45007</v>
      </c>
      <c r="N55" s="22">
        <v>45557</v>
      </c>
      <c r="O55" s="22">
        <v>45922</v>
      </c>
      <c r="P55" s="102">
        <f t="shared" si="0"/>
        <v>550</v>
      </c>
      <c r="Q55" s="103">
        <f t="shared" si="1"/>
        <v>915</v>
      </c>
      <c r="R55" s="54">
        <f>O55-N55</f>
        <v>365</v>
      </c>
      <c r="S55" s="57">
        <v>784394760</v>
      </c>
      <c r="T55" s="57">
        <v>0</v>
      </c>
      <c r="U55" s="57">
        <v>784394760</v>
      </c>
      <c r="V55" s="17" t="s">
        <v>427</v>
      </c>
      <c r="W55" s="23" t="str">
        <f>IFERROR(VLOOKUP(V55,Listas!$A$1:$C$13,2,FALSE),"")</f>
        <v>DINORAH PATRICIA ABADIA MURILLO</v>
      </c>
      <c r="X55" s="23">
        <f>IFERROR(VLOOKUP(V55,Listas!$A$1:$C$13,3,FALSE),"")</f>
        <v>52220857</v>
      </c>
      <c r="Y55" s="17" t="s">
        <v>427</v>
      </c>
      <c r="Z55" s="17" t="s">
        <v>428</v>
      </c>
      <c r="AA55" s="23" t="str">
        <f>IFERROR(VLOOKUP(Z55,Listas!$AD$1:$AF$65,2,FALSE),"")</f>
        <v>DINORAH PATRICIA ABADIA MURILLO</v>
      </c>
      <c r="AB55" s="23">
        <f>IFERROR(VLOOKUP(Z55,Listas!$AD$1:$AF$65,3,FALSE),"")</f>
        <v>52220857</v>
      </c>
      <c r="AC55" s="26" t="s">
        <v>3501</v>
      </c>
      <c r="AD55" s="26" t="s">
        <v>2937</v>
      </c>
      <c r="AE55" s="100">
        <f t="shared" ca="1" si="2"/>
        <v>100</v>
      </c>
      <c r="AF55" s="100">
        <f t="shared" ca="1" si="3"/>
        <v>100</v>
      </c>
      <c r="AG55" s="100">
        <f t="shared" ca="1" si="4"/>
        <v>103.06010928961749</v>
      </c>
      <c r="AH55" s="101">
        <f t="shared" si="5"/>
        <v>70.117755503619122</v>
      </c>
      <c r="AI55" s="59">
        <v>550000000</v>
      </c>
      <c r="AJ55" s="54"/>
      <c r="AK55" s="56">
        <f t="shared" ca="1" si="6"/>
        <v>808398096.91803277</v>
      </c>
    </row>
    <row r="56" spans="1:37" ht="76.5">
      <c r="A56" s="54">
        <v>121848</v>
      </c>
      <c r="B56" s="54" t="s">
        <v>9046</v>
      </c>
      <c r="C56" s="17" t="s">
        <v>6292</v>
      </c>
      <c r="D56" s="17" t="s">
        <v>6197</v>
      </c>
      <c r="E56" s="17" t="s">
        <v>1426</v>
      </c>
      <c r="F56" s="17" t="s">
        <v>1427</v>
      </c>
      <c r="G56" s="16" t="s">
        <v>9047</v>
      </c>
      <c r="H56" s="16" t="s">
        <v>9048</v>
      </c>
      <c r="I56" s="32" t="s">
        <v>9049</v>
      </c>
      <c r="J56" s="17" t="s">
        <v>8752</v>
      </c>
      <c r="K56" s="22">
        <v>45548</v>
      </c>
      <c r="L56" s="22">
        <v>42178</v>
      </c>
      <c r="M56" s="22">
        <v>42178</v>
      </c>
      <c r="N56" s="22">
        <v>44004</v>
      </c>
      <c r="O56" s="22">
        <v>45831</v>
      </c>
      <c r="P56" s="102">
        <f t="shared" ref="P56:P63" si="7">N56-M56</f>
        <v>1826</v>
      </c>
      <c r="Q56" s="103">
        <f t="shared" ref="Q56:Q63" si="8">O56-M56</f>
        <v>3653</v>
      </c>
      <c r="R56" s="54">
        <v>0</v>
      </c>
      <c r="S56" s="57">
        <v>56759485989.459999</v>
      </c>
      <c r="T56" s="57">
        <v>4955000000</v>
      </c>
      <c r="U56" s="57">
        <f t="shared" ref="U56:U61" si="9">S56+T56</f>
        <v>61714485989.459999</v>
      </c>
      <c r="V56" s="17" t="s">
        <v>427</v>
      </c>
      <c r="W56" s="23" t="str">
        <f>IFERROR(VLOOKUP(V56,Listas!$A$1:$C$13,2,FALSE),"")</f>
        <v>DINORAH PATRICIA ABADIA MURILLO</v>
      </c>
      <c r="X56" s="23">
        <f>IFERROR(VLOOKUP(V56,Listas!$A$1:$C$13,3,FALSE),"")</f>
        <v>52220857</v>
      </c>
      <c r="Y56" s="17" t="s">
        <v>427</v>
      </c>
      <c r="Z56" s="17" t="s">
        <v>428</v>
      </c>
      <c r="AA56" s="23" t="str">
        <f>IFERROR(VLOOKUP(Z56,Listas!$AD$1:$AF$65,2,FALSE),"")</f>
        <v>DINORAH PATRICIA ABADIA MURILLO</v>
      </c>
      <c r="AB56" s="23">
        <f>IFERROR(VLOOKUP(Z56,Listas!$AD$1:$AF$65,3,FALSE),"")</f>
        <v>52220857</v>
      </c>
      <c r="AC56" s="26" t="s">
        <v>2938</v>
      </c>
      <c r="AD56" s="26" t="s">
        <v>2937</v>
      </c>
      <c r="AE56" s="100">
        <f t="shared" ref="AE56:AE63" ca="1" si="10">IF(TODAY()&gt;O56,1,+(DAYS360(M56,TODAY())/DAYS360(M56,O56)))*100</f>
        <v>100</v>
      </c>
      <c r="AF56" s="100">
        <f t="shared" ref="AF56:AF63" ca="1" si="11">+IF(AJ56&gt;0,DAYS360(P56,AJ56)/DAYS360(P56,R56),AE56)</f>
        <v>100</v>
      </c>
      <c r="AG56" s="100">
        <f t="shared" ref="AG56:AG63" ca="1" si="12">IFERROR((AK56/U56)*100,"")</f>
        <v>103.25759649603066</v>
      </c>
      <c r="AH56" s="101">
        <f t="shared" ref="AH56:AH63" si="13">IFERROR((AI56/U56)*100,"")</f>
        <v>23.463436223714229</v>
      </c>
      <c r="AI56" s="59">
        <v>14480339060.93</v>
      </c>
      <c r="AJ56" s="54"/>
      <c r="AK56" s="56">
        <f t="shared" ref="AK56:AK63" ca="1" si="14">IFERROR((U56/Q56)*(TODAY()-M56),"")</f>
        <v>63724894922.595985</v>
      </c>
    </row>
    <row r="57" spans="1:37" s="136" customFormat="1" ht="106.5">
      <c r="A57" s="133" t="s">
        <v>9050</v>
      </c>
      <c r="B57" s="133" t="s">
        <v>9051</v>
      </c>
      <c r="C57" s="126" t="s">
        <v>6292</v>
      </c>
      <c r="D57" s="126" t="s">
        <v>6197</v>
      </c>
      <c r="E57" s="126" t="s">
        <v>1426</v>
      </c>
      <c r="F57" s="126" t="s">
        <v>1427</v>
      </c>
      <c r="G57" s="126" t="s">
        <v>8900</v>
      </c>
      <c r="H57" s="126" t="s">
        <v>8969</v>
      </c>
      <c r="I57" s="127" t="s">
        <v>9052</v>
      </c>
      <c r="J57" s="126" t="s">
        <v>8752</v>
      </c>
      <c r="K57" s="128">
        <v>45499</v>
      </c>
      <c r="L57" s="128">
        <v>40207</v>
      </c>
      <c r="M57" s="128">
        <v>40207</v>
      </c>
      <c r="N57" s="128">
        <v>41647</v>
      </c>
      <c r="O57" s="128">
        <v>48579</v>
      </c>
      <c r="P57" s="129">
        <f t="shared" si="7"/>
        <v>1440</v>
      </c>
      <c r="Q57" s="130">
        <f t="shared" si="8"/>
        <v>8372</v>
      </c>
      <c r="R57" s="125">
        <v>0</v>
      </c>
      <c r="S57" s="131">
        <v>13530577870</v>
      </c>
      <c r="T57" s="131">
        <v>3756441312</v>
      </c>
      <c r="U57" s="131">
        <f t="shared" si="9"/>
        <v>17287019182</v>
      </c>
      <c r="V57" s="126" t="s">
        <v>427</v>
      </c>
      <c r="W57" s="132" t="str">
        <f>IFERROR(VLOOKUP(V57,Listas!$A$1:$C$13,2,FALSE),"")</f>
        <v>DINORAH PATRICIA ABADIA MURILLO</v>
      </c>
      <c r="X57" s="132">
        <f>IFERROR(VLOOKUP(V57,Listas!$A$1:$C$13,3,FALSE),"")</f>
        <v>52220857</v>
      </c>
      <c r="Y57" s="126" t="s">
        <v>427</v>
      </c>
      <c r="Z57" s="126" t="s">
        <v>428</v>
      </c>
      <c r="AA57" s="132" t="str">
        <f>IFERROR(VLOOKUP(Z57,Listas!$AD$1:$AF$65,2,FALSE),"")</f>
        <v>DINORAH PATRICIA ABADIA MURILLO</v>
      </c>
      <c r="AB57" s="132">
        <f>IFERROR(VLOOKUP(Z57,Listas!$AD$1:$AF$65,3,FALSE),"")</f>
        <v>52220857</v>
      </c>
      <c r="AC57" s="133" t="s">
        <v>3437</v>
      </c>
      <c r="AD57" s="133" t="s">
        <v>2937</v>
      </c>
      <c r="AE57" s="125">
        <f t="shared" ca="1" si="10"/>
        <v>68.601551139117788</v>
      </c>
      <c r="AF57" s="125">
        <f t="shared" ca="1" si="11"/>
        <v>68.601551139117788</v>
      </c>
      <c r="AG57" s="125">
        <f t="shared" ca="1" si="12"/>
        <v>68.597706641184914</v>
      </c>
      <c r="AH57" s="134">
        <f t="shared" si="13"/>
        <v>64.35738174868591</v>
      </c>
      <c r="AI57" s="172">
        <v>11125472927.928301</v>
      </c>
      <c r="AJ57" s="125"/>
      <c r="AK57" s="135">
        <f t="shared" ca="1" si="14"/>
        <v>11858498705.473722</v>
      </c>
    </row>
    <row r="58" spans="1:37" ht="137.25">
      <c r="A58" s="54">
        <v>121842</v>
      </c>
      <c r="B58" s="54" t="s">
        <v>9053</v>
      </c>
      <c r="C58" s="17" t="s">
        <v>6292</v>
      </c>
      <c r="D58" s="17" t="s">
        <v>6197</v>
      </c>
      <c r="E58" s="17" t="s">
        <v>1426</v>
      </c>
      <c r="F58" s="17" t="s">
        <v>1427</v>
      </c>
      <c r="G58" s="16" t="s">
        <v>8874</v>
      </c>
      <c r="H58" s="16" t="s">
        <v>9054</v>
      </c>
      <c r="I58" s="32" t="s">
        <v>9055</v>
      </c>
      <c r="J58" s="17" t="s">
        <v>8752</v>
      </c>
      <c r="K58" s="22">
        <v>45524</v>
      </c>
      <c r="L58" s="22">
        <v>42002</v>
      </c>
      <c r="M58" s="22">
        <v>42002</v>
      </c>
      <c r="N58" s="22">
        <v>43827</v>
      </c>
      <c r="O58" s="22">
        <v>45654</v>
      </c>
      <c r="P58" s="102">
        <f t="shared" si="7"/>
        <v>1825</v>
      </c>
      <c r="Q58" s="103">
        <f t="shared" si="8"/>
        <v>3652</v>
      </c>
      <c r="R58" s="54">
        <v>0</v>
      </c>
      <c r="S58" s="57">
        <v>2400000000</v>
      </c>
      <c r="T58" s="57">
        <v>300000000</v>
      </c>
      <c r="U58" s="57">
        <f t="shared" si="9"/>
        <v>2700000000</v>
      </c>
      <c r="V58" s="17" t="s">
        <v>427</v>
      </c>
      <c r="W58" s="23" t="str">
        <f>IFERROR(VLOOKUP(V58,Listas!$A$1:$C$13,2,FALSE),"")</f>
        <v>DINORAH PATRICIA ABADIA MURILLO</v>
      </c>
      <c r="X58" s="23">
        <f>IFERROR(VLOOKUP(V58,Listas!$A$1:$C$13,3,FALSE),"")</f>
        <v>52220857</v>
      </c>
      <c r="Y58" s="17" t="s">
        <v>427</v>
      </c>
      <c r="Z58" s="17" t="s">
        <v>428</v>
      </c>
      <c r="AA58" s="23" t="str">
        <f>IFERROR(VLOOKUP(Z58,Listas!$AD$1:$AF$65,2,FALSE),"")</f>
        <v>DINORAH PATRICIA ABADIA MURILLO</v>
      </c>
      <c r="AB58" s="23">
        <f>IFERROR(VLOOKUP(Z58,Listas!$AD$1:$AF$65,3,FALSE),"")</f>
        <v>52220857</v>
      </c>
      <c r="AC58" s="26" t="s">
        <v>4526</v>
      </c>
      <c r="AD58" s="26" t="s">
        <v>2937</v>
      </c>
      <c r="AE58" s="100">
        <f t="shared" ca="1" si="10"/>
        <v>100</v>
      </c>
      <c r="AF58" s="100">
        <f t="shared" ca="1" si="11"/>
        <v>100</v>
      </c>
      <c r="AG58" s="100">
        <f t="shared" ca="1" si="12"/>
        <v>108.10514786418402</v>
      </c>
      <c r="AH58" s="101">
        <f t="shared" si="13"/>
        <v>72.164521572592605</v>
      </c>
      <c r="AI58" s="59">
        <v>1948442082.46</v>
      </c>
      <c r="AJ58" s="54"/>
      <c r="AK58" s="56">
        <f t="shared" ca="1" si="14"/>
        <v>2918838992.3329682</v>
      </c>
    </row>
    <row r="59" spans="1:37" ht="60.75">
      <c r="A59" s="54"/>
      <c r="B59" s="54" t="s">
        <v>9056</v>
      </c>
      <c r="C59" s="17" t="s">
        <v>6292</v>
      </c>
      <c r="D59" s="17" t="s">
        <v>5941</v>
      </c>
      <c r="E59" s="17" t="s">
        <v>1426</v>
      </c>
      <c r="F59" s="17" t="s">
        <v>1427</v>
      </c>
      <c r="G59" s="16" t="s">
        <v>9047</v>
      </c>
      <c r="H59" s="16" t="s">
        <v>9048</v>
      </c>
      <c r="I59" s="32" t="s">
        <v>9057</v>
      </c>
      <c r="J59" s="17" t="s">
        <v>8752</v>
      </c>
      <c r="K59" s="22">
        <v>45548</v>
      </c>
      <c r="L59" s="22">
        <v>37721</v>
      </c>
      <c r="M59" s="22">
        <v>37812</v>
      </c>
      <c r="N59" s="22">
        <v>39639</v>
      </c>
      <c r="O59" s="22">
        <v>46944</v>
      </c>
      <c r="P59" s="102">
        <f t="shared" si="7"/>
        <v>1827</v>
      </c>
      <c r="Q59" s="103">
        <f t="shared" si="8"/>
        <v>9132</v>
      </c>
      <c r="R59" s="54">
        <v>0</v>
      </c>
      <c r="S59" s="57">
        <v>24895543926</v>
      </c>
      <c r="T59" s="57">
        <v>3000000000</v>
      </c>
      <c r="U59" s="57">
        <f t="shared" si="9"/>
        <v>27895543926</v>
      </c>
      <c r="V59" s="17" t="s">
        <v>406</v>
      </c>
      <c r="W59" s="23" t="str">
        <f>IFERROR(VLOOKUP(V59,Listas!$A$1:$C$13,2,FALSE),"")</f>
        <v>EDUARDO ELÍAS BARCHA BOLÍVAR</v>
      </c>
      <c r="X59" s="23">
        <f>IFERROR(VLOOKUP(V59,Listas!$A$1:$C$13,3,FALSE),"")</f>
        <v>72133921</v>
      </c>
      <c r="Y59" s="17" t="s">
        <v>406</v>
      </c>
      <c r="Z59" s="17" t="s">
        <v>504</v>
      </c>
      <c r="AA59" s="23" t="str">
        <f>IFERROR(VLOOKUP(Z59,Listas!$AD$1:$AF$65,2,FALSE),"")</f>
        <v>EDUARDO ELÍAS BARCHA BOLÍVAR</v>
      </c>
      <c r="AB59" s="23">
        <f>IFERROR(VLOOKUP(Z59,Listas!$AD$1:$AF$65,3,FALSE),"")</f>
        <v>72133921</v>
      </c>
      <c r="AC59" s="26" t="s">
        <v>3437</v>
      </c>
      <c r="AD59" s="26" t="s">
        <v>2937</v>
      </c>
      <c r="AE59" s="100">
        <f t="shared" ca="1" si="10"/>
        <v>89.111111111111114</v>
      </c>
      <c r="AF59" s="100">
        <f t="shared" ca="1" si="11"/>
        <v>89.111111111111114</v>
      </c>
      <c r="AG59" s="100">
        <f t="shared" ca="1" si="12"/>
        <v>89.115199299167756</v>
      </c>
      <c r="AH59" s="101">
        <f t="shared" si="13"/>
        <v>71.049649437117054</v>
      </c>
      <c r="AI59" s="59">
        <v>19819686168</v>
      </c>
      <c r="AJ59" s="54"/>
      <c r="AK59" s="56">
        <f t="shared" ca="1" si="14"/>
        <v>24859169565.241787</v>
      </c>
    </row>
    <row r="60" spans="1:37" ht="76.5">
      <c r="A60" s="54">
        <v>122071</v>
      </c>
      <c r="B60" s="54" t="s">
        <v>9058</v>
      </c>
      <c r="C60" s="17" t="s">
        <v>6292</v>
      </c>
      <c r="D60" s="17" t="s">
        <v>6197</v>
      </c>
      <c r="E60" s="17" t="s">
        <v>1426</v>
      </c>
      <c r="F60" s="17" t="s">
        <v>1427</v>
      </c>
      <c r="G60" s="16" t="s">
        <v>8900</v>
      </c>
      <c r="H60" s="16" t="s">
        <v>8969</v>
      </c>
      <c r="I60" s="32" t="s">
        <v>9059</v>
      </c>
      <c r="J60" s="17" t="s">
        <v>8752</v>
      </c>
      <c r="K60" s="22">
        <v>45462</v>
      </c>
      <c r="L60" s="22">
        <v>43796</v>
      </c>
      <c r="M60" s="22">
        <v>43796</v>
      </c>
      <c r="N60" s="22">
        <v>45622</v>
      </c>
      <c r="O60" s="22">
        <v>46996</v>
      </c>
      <c r="P60" s="102">
        <f t="shared" si="7"/>
        <v>1826</v>
      </c>
      <c r="Q60" s="103">
        <f t="shared" si="8"/>
        <v>3200</v>
      </c>
      <c r="R60" s="54">
        <v>0</v>
      </c>
      <c r="S60" s="57">
        <v>13073529360</v>
      </c>
      <c r="T60" s="57">
        <v>5477706000</v>
      </c>
      <c r="U60" s="57">
        <f t="shared" si="9"/>
        <v>18551235360</v>
      </c>
      <c r="V60" s="17" t="s">
        <v>427</v>
      </c>
      <c r="W60" s="23" t="str">
        <f>IFERROR(VLOOKUP(V60,Listas!$A$1:$C$13,2,FALSE),"")</f>
        <v>DINORAH PATRICIA ABADIA MURILLO</v>
      </c>
      <c r="X60" s="23">
        <f>IFERROR(VLOOKUP(V60,Listas!$A$1:$C$13,3,FALSE),"")</f>
        <v>52220857</v>
      </c>
      <c r="Y60" s="17" t="s">
        <v>427</v>
      </c>
      <c r="Z60" s="17" t="s">
        <v>428</v>
      </c>
      <c r="AA60" s="23" t="str">
        <f>IFERROR(VLOOKUP(Z60,Listas!$AD$1:$AF$65,2,FALSE),"")</f>
        <v>DINORAH PATRICIA ABADIA MURILLO</v>
      </c>
      <c r="AB60" s="23">
        <f>IFERROR(VLOOKUP(Z60,Listas!$AD$1:$AF$65,3,FALSE),"")</f>
        <v>52220857</v>
      </c>
      <c r="AC60" s="26" t="s">
        <v>3437</v>
      </c>
      <c r="AD60" s="26" t="s">
        <v>2937</v>
      </c>
      <c r="AE60" s="100">
        <f t="shared" ca="1" si="10"/>
        <v>67.31135066582118</v>
      </c>
      <c r="AF60" s="100">
        <f t="shared" ca="1" si="11"/>
        <v>67.31135066582118</v>
      </c>
      <c r="AG60" s="100">
        <f t="shared" ca="1" si="12"/>
        <v>67.3125</v>
      </c>
      <c r="AH60" s="101">
        <f t="shared" si="13"/>
        <v>56.403442903599711</v>
      </c>
      <c r="AI60" s="59">
        <v>10463535444.190001</v>
      </c>
      <c r="AJ60" s="54"/>
      <c r="AK60" s="56">
        <f t="shared" ca="1" si="14"/>
        <v>12487300301.699999</v>
      </c>
    </row>
    <row r="61" spans="1:37" ht="121.5">
      <c r="A61" s="54"/>
      <c r="B61" s="54" t="s">
        <v>9060</v>
      </c>
      <c r="C61" s="17" t="s">
        <v>6292</v>
      </c>
      <c r="D61" s="17" t="s">
        <v>6197</v>
      </c>
      <c r="E61" s="17" t="s">
        <v>1426</v>
      </c>
      <c r="F61" s="17" t="s">
        <v>1427</v>
      </c>
      <c r="G61" s="16" t="s">
        <v>9061</v>
      </c>
      <c r="H61" s="16" t="s">
        <v>9062</v>
      </c>
      <c r="I61" s="32" t="s">
        <v>9063</v>
      </c>
      <c r="J61" s="17" t="s">
        <v>8752</v>
      </c>
      <c r="K61" s="22">
        <v>45572</v>
      </c>
      <c r="L61" s="22">
        <v>44918</v>
      </c>
      <c r="M61" s="22">
        <v>44918</v>
      </c>
      <c r="N61" s="22">
        <v>46744</v>
      </c>
      <c r="O61" s="22">
        <v>46744</v>
      </c>
      <c r="P61" s="102">
        <f t="shared" si="7"/>
        <v>1826</v>
      </c>
      <c r="Q61" s="103">
        <f t="shared" si="8"/>
        <v>1826</v>
      </c>
      <c r="R61" s="54">
        <v>0</v>
      </c>
      <c r="S61" s="57">
        <v>725000000</v>
      </c>
      <c r="T61" s="57">
        <v>132206844</v>
      </c>
      <c r="U61" s="57">
        <f t="shared" si="9"/>
        <v>857206844</v>
      </c>
      <c r="V61" s="17" t="s">
        <v>427</v>
      </c>
      <c r="W61" s="23" t="str">
        <f>IFERROR(VLOOKUP(V61,Listas!$A$1:$C$13,2,FALSE),"")</f>
        <v>DINORAH PATRICIA ABADIA MURILLO</v>
      </c>
      <c r="X61" s="23">
        <f>IFERROR(VLOOKUP(V61,Listas!$A$1:$C$13,3,FALSE),"")</f>
        <v>52220857</v>
      </c>
      <c r="Y61" s="17" t="s">
        <v>427</v>
      </c>
      <c r="Z61" s="17" t="s">
        <v>428</v>
      </c>
      <c r="AA61" s="23" t="str">
        <f>IFERROR(VLOOKUP(Z61,Listas!$AD$1:$AF$65,2,FALSE),"")</f>
        <v>DINORAH PATRICIA ABADIA MURILLO</v>
      </c>
      <c r="AB61" s="23">
        <f>IFERROR(VLOOKUP(Z61,Listas!$AD$1:$AF$65,3,FALSE),"")</f>
        <v>52220857</v>
      </c>
      <c r="AC61" s="26" t="s">
        <v>3437</v>
      </c>
      <c r="AD61" s="26" t="s">
        <v>2937</v>
      </c>
      <c r="AE61" s="100">
        <f t="shared" ca="1" si="10"/>
        <v>56.499999999999993</v>
      </c>
      <c r="AF61" s="100">
        <f t="shared" ca="1" si="11"/>
        <v>56.499999999999993</v>
      </c>
      <c r="AG61" s="100">
        <f t="shared" ca="1" si="12"/>
        <v>56.51697699890471</v>
      </c>
      <c r="AH61" s="101">
        <f t="shared" si="13"/>
        <v>27.855916195881424</v>
      </c>
      <c r="AI61" s="59">
        <v>238782820.09</v>
      </c>
      <c r="AJ61" s="54"/>
      <c r="AK61" s="56">
        <f t="shared" ca="1" si="14"/>
        <v>484467394.85651702</v>
      </c>
    </row>
    <row r="62" spans="1:37" ht="91.5">
      <c r="A62" s="54"/>
      <c r="B62" s="54" t="s">
        <v>9064</v>
      </c>
      <c r="C62" s="17" t="s">
        <v>104</v>
      </c>
      <c r="D62" s="17" t="s">
        <v>4162</v>
      </c>
      <c r="E62" s="17" t="s">
        <v>1426</v>
      </c>
      <c r="F62" s="17" t="s">
        <v>1427</v>
      </c>
      <c r="G62" s="19" t="s">
        <v>8965</v>
      </c>
      <c r="H62" s="16" t="s">
        <v>9065</v>
      </c>
      <c r="I62" s="32" t="s">
        <v>9066</v>
      </c>
      <c r="J62" s="17" t="s">
        <v>8739</v>
      </c>
      <c r="K62" s="22">
        <v>45590</v>
      </c>
      <c r="L62" s="22">
        <v>44925</v>
      </c>
      <c r="M62" s="22">
        <v>45013</v>
      </c>
      <c r="N62" s="22">
        <v>45593</v>
      </c>
      <c r="O62" s="22">
        <v>45775</v>
      </c>
      <c r="P62" s="102">
        <f t="shared" si="7"/>
        <v>580</v>
      </c>
      <c r="Q62" s="103">
        <f t="shared" si="8"/>
        <v>762</v>
      </c>
      <c r="R62" s="54">
        <f>O62-N62</f>
        <v>182</v>
      </c>
      <c r="S62" s="57">
        <v>788342800</v>
      </c>
      <c r="T62" s="57">
        <v>0</v>
      </c>
      <c r="U62" s="57">
        <v>788342800</v>
      </c>
      <c r="V62" s="17" t="s">
        <v>427</v>
      </c>
      <c r="W62" s="23" t="str">
        <f>IFERROR(VLOOKUP(V62,Listas!$A$1:$C$13,2,FALSE),"")</f>
        <v>DINORAH PATRICIA ABADIA MURILLO</v>
      </c>
      <c r="X62" s="23">
        <f>IFERROR(VLOOKUP(V62,Listas!$A$1:$C$13,3,FALSE),"")</f>
        <v>52220857</v>
      </c>
      <c r="Y62" s="17" t="s">
        <v>427</v>
      </c>
      <c r="Z62" s="17" t="s">
        <v>428</v>
      </c>
      <c r="AA62" s="23" t="str">
        <f>IFERROR(VLOOKUP(Z62,Listas!$AD$1:$AF$65,2,FALSE),"")</f>
        <v>DINORAH PATRICIA ABADIA MURILLO</v>
      </c>
      <c r="AB62" s="23">
        <f>IFERROR(VLOOKUP(Z62,Listas!$AD$1:$AF$65,3,FALSE),"")</f>
        <v>52220857</v>
      </c>
      <c r="AC62" s="26" t="s">
        <v>3501</v>
      </c>
      <c r="AD62" s="26" t="s">
        <v>2937</v>
      </c>
      <c r="AE62" s="100">
        <f t="shared" ca="1" si="10"/>
        <v>100</v>
      </c>
      <c r="AF62" s="100">
        <f t="shared" ca="1" si="11"/>
        <v>100</v>
      </c>
      <c r="AG62" s="100">
        <f t="shared" ca="1" si="12"/>
        <v>122.96587926509186</v>
      </c>
      <c r="AH62" s="101">
        <f t="shared" si="13"/>
        <v>68.845177503999537</v>
      </c>
      <c r="AI62" s="59">
        <v>542736000</v>
      </c>
      <c r="AJ62" s="54"/>
      <c r="AK62" s="56">
        <f t="shared" ca="1" si="14"/>
        <v>969392655.64304459</v>
      </c>
    </row>
    <row r="63" spans="1:37" ht="91.5">
      <c r="A63" s="54">
        <v>120906</v>
      </c>
      <c r="B63" s="54" t="s">
        <v>9067</v>
      </c>
      <c r="C63" s="17" t="s">
        <v>6292</v>
      </c>
      <c r="D63" s="17" t="s">
        <v>6197</v>
      </c>
      <c r="E63" s="17" t="s">
        <v>1426</v>
      </c>
      <c r="F63" s="17" t="s">
        <v>1427</v>
      </c>
      <c r="G63" s="16" t="s">
        <v>9068</v>
      </c>
      <c r="H63" s="16" t="s">
        <v>9069</v>
      </c>
      <c r="I63" s="32" t="s">
        <v>9070</v>
      </c>
      <c r="J63" s="17" t="s">
        <v>8752</v>
      </c>
      <c r="K63" s="22">
        <v>45583</v>
      </c>
      <c r="L63" s="22">
        <v>35213</v>
      </c>
      <c r="M63" s="22">
        <v>35213</v>
      </c>
      <c r="N63" s="22">
        <v>35943</v>
      </c>
      <c r="O63" s="22">
        <v>47787</v>
      </c>
      <c r="P63" s="102">
        <f t="shared" si="7"/>
        <v>730</v>
      </c>
      <c r="Q63" s="103">
        <f t="shared" si="8"/>
        <v>12574</v>
      </c>
      <c r="R63" s="54">
        <v>0</v>
      </c>
      <c r="S63" s="57">
        <f>2701925075.1+1300000000</f>
        <v>4001925075.0999999</v>
      </c>
      <c r="T63" s="57">
        <v>637000000</v>
      </c>
      <c r="U63" s="57">
        <f>S63+T63</f>
        <v>4638925075.1000004</v>
      </c>
      <c r="V63" s="17" t="s">
        <v>427</v>
      </c>
      <c r="W63" s="23" t="str">
        <f>IFERROR(VLOOKUP(V63,Listas!$A$1:$C$13,2,FALSE),"")</f>
        <v>DINORAH PATRICIA ABADIA MURILLO</v>
      </c>
      <c r="X63" s="23">
        <f>IFERROR(VLOOKUP(V63,Listas!$A$1:$C$13,3,FALSE),"")</f>
        <v>52220857</v>
      </c>
      <c r="Y63" s="17" t="s">
        <v>427</v>
      </c>
      <c r="Z63" s="17" t="s">
        <v>428</v>
      </c>
      <c r="AA63" s="23" t="str">
        <f>IFERROR(VLOOKUP(Z63,Listas!$AD$1:$AF$65,2,FALSE),"")</f>
        <v>DINORAH PATRICIA ABADIA MURILLO</v>
      </c>
      <c r="AB63" s="23">
        <f>IFERROR(VLOOKUP(Z63,Listas!$AD$1:$AF$65,3,FALSE),"")</f>
        <v>52220857</v>
      </c>
      <c r="AC63" s="26" t="s">
        <v>3067</v>
      </c>
      <c r="AD63" s="26" t="s">
        <v>2937</v>
      </c>
      <c r="AE63" s="100">
        <f t="shared" ca="1" si="10"/>
        <v>85.386911966432663</v>
      </c>
      <c r="AF63" s="100">
        <f t="shared" ca="1" si="11"/>
        <v>85.386911966432663</v>
      </c>
      <c r="AG63" s="100">
        <f t="shared" ca="1" si="12"/>
        <v>85.390488309209474</v>
      </c>
      <c r="AH63" s="101">
        <f t="shared" si="13"/>
        <v>83.349692459662123</v>
      </c>
      <c r="AI63" s="59">
        <v>3866529783.5300002</v>
      </c>
      <c r="AJ63" s="54"/>
      <c r="AK63" s="56">
        <f t="shared" ca="1" si="14"/>
        <v>3961200773.9262528</v>
      </c>
    </row>
    <row r="64" spans="1:37" s="136" customFormat="1" ht="60.75">
      <c r="A64" s="125"/>
      <c r="B64" s="125" t="s">
        <v>9071</v>
      </c>
      <c r="C64" s="126" t="s">
        <v>6292</v>
      </c>
      <c r="D64" s="126" t="s">
        <v>6197</v>
      </c>
      <c r="E64" s="126" t="s">
        <v>1426</v>
      </c>
      <c r="F64" s="126" t="s">
        <v>1427</v>
      </c>
      <c r="G64" s="126" t="s">
        <v>9072</v>
      </c>
      <c r="H64" s="126" t="s">
        <v>9073</v>
      </c>
      <c r="I64" s="127" t="s">
        <v>9074</v>
      </c>
      <c r="J64" s="126" t="s">
        <v>8739</v>
      </c>
      <c r="K64" s="128">
        <v>45604</v>
      </c>
      <c r="L64" s="128">
        <v>43049</v>
      </c>
      <c r="M64" s="128">
        <v>43049</v>
      </c>
      <c r="N64" s="128">
        <v>45606</v>
      </c>
      <c r="O64" s="128">
        <v>48528</v>
      </c>
      <c r="P64" s="129">
        <f t="shared" ref="P64:P80" si="15">N64-M64</f>
        <v>2557</v>
      </c>
      <c r="Q64" s="130">
        <f t="shared" ref="Q64:Q80" si="16">O64-M64</f>
        <v>5479</v>
      </c>
      <c r="R64" s="134">
        <f>Q64-P64</f>
        <v>2922</v>
      </c>
      <c r="S64" s="131">
        <v>3861321631</v>
      </c>
      <c r="T64" s="131">
        <v>0</v>
      </c>
      <c r="U64" s="131">
        <v>3861321631</v>
      </c>
      <c r="V64" s="126" t="s">
        <v>427</v>
      </c>
      <c r="W64" s="132" t="str">
        <f>IFERROR(VLOOKUP(V64,Listas!$A$1:$C$13,2,FALSE),"")</f>
        <v>DINORAH PATRICIA ABADIA MURILLO</v>
      </c>
      <c r="X64" s="132">
        <f>IFERROR(VLOOKUP(V64,Listas!$A$1:$C$13,3,FALSE),"")</f>
        <v>52220857</v>
      </c>
      <c r="Y64" s="126" t="s">
        <v>427</v>
      </c>
      <c r="Z64" s="126" t="s">
        <v>428</v>
      </c>
      <c r="AA64" s="132" t="str">
        <f>IFERROR(VLOOKUP(Z64,Listas!$AD$1:$AF$65,2,FALSE),"")</f>
        <v>DINORAH PATRICIA ABADIA MURILLO</v>
      </c>
      <c r="AB64" s="132">
        <f>IFERROR(VLOOKUP(Z64,Listas!$AD$1:$AF$65,3,FALSE),"")</f>
        <v>52220857</v>
      </c>
      <c r="AC64" s="133" t="s">
        <v>3501</v>
      </c>
      <c r="AD64" s="133" t="s">
        <v>2937</v>
      </c>
      <c r="AE64" s="125">
        <f t="shared" ref="AE64:AE80" ca="1" si="17">IF(TODAY()&gt;O64,1,+(DAYS360(M64,TODAY())/DAYS360(M64,O64)))*100</f>
        <v>52.962962962962969</v>
      </c>
      <c r="AF64" s="125">
        <f t="shared" ref="AF64:AF80" ca="1" si="18">+IF(AJ64&gt;0,DAYS360(P64,AJ64)/DAYS360(P64,R64),AE64)</f>
        <v>52.962962962962969</v>
      </c>
      <c r="AG64" s="125">
        <f t="shared" ref="AG64:AG80" ca="1" si="19">IFERROR((AK64/U64)*100,"")</f>
        <v>52.947618178499724</v>
      </c>
      <c r="AH64" s="134">
        <f t="shared" ref="AH64:AH80" si="20">IFERROR((AI64/U64)*100,"")</f>
        <v>55.972823132588204</v>
      </c>
      <c r="AI64" s="172">
        <v>2161290727.0999999</v>
      </c>
      <c r="AJ64" s="125"/>
      <c r="AK64" s="135">
        <f t="shared" ref="AK64:AK80" ca="1" si="21">IFERROR((U64/Q64)*(TODAY()-M64),"")</f>
        <v>2044477833.8256981</v>
      </c>
    </row>
    <row r="65" spans="1:37" ht="60.75">
      <c r="A65" s="54"/>
      <c r="B65" s="54" t="s">
        <v>9075</v>
      </c>
      <c r="C65" s="17" t="s">
        <v>6292</v>
      </c>
      <c r="D65" s="17" t="s">
        <v>6197</v>
      </c>
      <c r="E65" s="17" t="s">
        <v>1426</v>
      </c>
      <c r="F65" s="17" t="s">
        <v>1427</v>
      </c>
      <c r="G65" s="16" t="s">
        <v>9076</v>
      </c>
      <c r="H65" s="16" t="s">
        <v>9077</v>
      </c>
      <c r="I65" s="32" t="s">
        <v>9078</v>
      </c>
      <c r="J65" s="17" t="s">
        <v>8739</v>
      </c>
      <c r="K65" s="22">
        <v>45602</v>
      </c>
      <c r="L65" s="22">
        <v>43047</v>
      </c>
      <c r="M65" s="22">
        <v>43047</v>
      </c>
      <c r="N65" s="22">
        <v>45604</v>
      </c>
      <c r="O65" s="22">
        <v>46333</v>
      </c>
      <c r="P65" s="102">
        <f t="shared" si="15"/>
        <v>2557</v>
      </c>
      <c r="Q65" s="103">
        <f t="shared" si="16"/>
        <v>3286</v>
      </c>
      <c r="R65" s="54">
        <v>729</v>
      </c>
      <c r="S65" s="57">
        <v>11155688503</v>
      </c>
      <c r="T65" s="57">
        <v>0</v>
      </c>
      <c r="U65" s="57">
        <v>11155688503</v>
      </c>
      <c r="V65" s="17" t="s">
        <v>427</v>
      </c>
      <c r="W65" s="23" t="str">
        <f>IFERROR(VLOOKUP(V65,Listas!$A$1:$C$13,2,FALSE),"")</f>
        <v>DINORAH PATRICIA ABADIA MURILLO</v>
      </c>
      <c r="X65" s="23">
        <f>IFERROR(VLOOKUP(V65,Listas!$A$1:$C$13,3,FALSE),"")</f>
        <v>52220857</v>
      </c>
      <c r="Y65" s="17" t="s">
        <v>427</v>
      </c>
      <c r="Z65" s="17" t="s">
        <v>428</v>
      </c>
      <c r="AA65" s="23" t="str">
        <f>IFERROR(VLOOKUP(Z65,Listas!$AD$1:$AF$65,2,FALSE),"")</f>
        <v>DINORAH PATRICIA ABADIA MURILLO</v>
      </c>
      <c r="AB65" s="23">
        <f>IFERROR(VLOOKUP(Z65,Listas!$AD$1:$AF$65,3,FALSE),"")</f>
        <v>52220857</v>
      </c>
      <c r="AC65" s="26" t="s">
        <v>3501</v>
      </c>
      <c r="AD65" s="26" t="s">
        <v>2937</v>
      </c>
      <c r="AE65" s="100">
        <f t="shared" ca="1" si="17"/>
        <v>88.360605125038589</v>
      </c>
      <c r="AF65" s="100">
        <f t="shared" ca="1" si="18"/>
        <v>88.360605125038589</v>
      </c>
      <c r="AG65" s="100">
        <f t="shared" ca="1" si="19"/>
        <v>88.344491783323193</v>
      </c>
      <c r="AH65" s="101">
        <f t="shared" si="20"/>
        <v>79.808205231310964</v>
      </c>
      <c r="AI65" s="59">
        <v>8903154775.4400005</v>
      </c>
      <c r="AJ65" s="54"/>
      <c r="AK65" s="56">
        <f t="shared" ca="1" si="21"/>
        <v>9855436312.9059658</v>
      </c>
    </row>
    <row r="66" spans="1:37" ht="91.5">
      <c r="A66" s="54"/>
      <c r="B66" s="246" t="s">
        <v>9079</v>
      </c>
      <c r="C66" s="17" t="s">
        <v>6292</v>
      </c>
      <c r="D66" s="17" t="s">
        <v>6197</v>
      </c>
      <c r="E66" s="17" t="s">
        <v>1426</v>
      </c>
      <c r="F66" s="17" t="s">
        <v>1427</v>
      </c>
      <c r="G66" s="16" t="s">
        <v>9080</v>
      </c>
      <c r="H66" s="16" t="s">
        <v>9081</v>
      </c>
      <c r="I66" s="32" t="s">
        <v>9082</v>
      </c>
      <c r="J66" s="17" t="s">
        <v>8745</v>
      </c>
      <c r="K66" s="22">
        <v>45597</v>
      </c>
      <c r="L66" s="22">
        <v>37243</v>
      </c>
      <c r="M66" s="22">
        <v>37243</v>
      </c>
      <c r="N66" s="22">
        <v>39068</v>
      </c>
      <c r="O66" s="22">
        <v>47149</v>
      </c>
      <c r="P66" s="102">
        <f t="shared" si="15"/>
        <v>1825</v>
      </c>
      <c r="Q66" s="103">
        <f t="shared" si="16"/>
        <v>9906</v>
      </c>
      <c r="R66" s="54">
        <v>1461</v>
      </c>
      <c r="S66" s="57">
        <v>2218711291</v>
      </c>
      <c r="T66" s="57">
        <v>300000000</v>
      </c>
      <c r="U66" s="57">
        <f>S66+T66</f>
        <v>2518711291</v>
      </c>
      <c r="V66" s="17" t="s">
        <v>427</v>
      </c>
      <c r="W66" s="23" t="str">
        <f>IFERROR(VLOOKUP(V66,Listas!$A$1:$C$13,2,FALSE),"")</f>
        <v>DINORAH PATRICIA ABADIA MURILLO</v>
      </c>
      <c r="X66" s="23">
        <f>IFERROR(VLOOKUP(V66,Listas!$A$1:$C$13,3,FALSE),"")</f>
        <v>52220857</v>
      </c>
      <c r="Y66" s="17" t="s">
        <v>427</v>
      </c>
      <c r="Z66" s="17" t="s">
        <v>428</v>
      </c>
      <c r="AA66" s="23" t="str">
        <f>IFERROR(VLOOKUP(Z66,Listas!$AD$1:$AF$65,2,FALSE),"")</f>
        <v>DINORAH PATRICIA ABADIA MURILLO</v>
      </c>
      <c r="AB66" s="23">
        <f>IFERROR(VLOOKUP(Z66,Listas!$AD$1:$AF$65,3,FALSE),"")</f>
        <v>52220857</v>
      </c>
      <c r="AC66" s="26" t="s">
        <v>3501</v>
      </c>
      <c r="AD66" s="26" t="s">
        <v>2937</v>
      </c>
      <c r="AE66" s="100">
        <f t="shared" ca="1" si="17"/>
        <v>87.903308409300422</v>
      </c>
      <c r="AF66" s="100">
        <f t="shared" ca="1" si="18"/>
        <v>87.903308409300422</v>
      </c>
      <c r="AG66" s="100">
        <f t="shared" ca="1" si="19"/>
        <v>87.89622451039773</v>
      </c>
      <c r="AH66" s="101">
        <f t="shared" si="20"/>
        <v>54.672573846813307</v>
      </c>
      <c r="AI66" s="59">
        <v>1377044290.5599999</v>
      </c>
      <c r="AJ66" s="54"/>
      <c r="AK66" s="56">
        <f t="shared" ca="1" si="21"/>
        <v>2213852131.1060972</v>
      </c>
    </row>
    <row r="67" spans="1:37" ht="91.5">
      <c r="A67" s="54"/>
      <c r="B67" s="54" t="s">
        <v>9083</v>
      </c>
      <c r="C67" s="17" t="s">
        <v>104</v>
      </c>
      <c r="D67" s="17" t="s">
        <v>4162</v>
      </c>
      <c r="E67" s="17" t="s">
        <v>1426</v>
      </c>
      <c r="F67" s="17" t="s">
        <v>1427</v>
      </c>
      <c r="G67" s="16" t="s">
        <v>8988</v>
      </c>
      <c r="H67" s="16" t="s">
        <v>8989</v>
      </c>
      <c r="I67" s="32" t="s">
        <v>9084</v>
      </c>
      <c r="J67" s="17" t="s">
        <v>8739</v>
      </c>
      <c r="K67" s="22">
        <v>45602</v>
      </c>
      <c r="L67" s="22">
        <v>44512</v>
      </c>
      <c r="M67" s="22">
        <v>44749</v>
      </c>
      <c r="N67" s="22">
        <v>45603</v>
      </c>
      <c r="O67" s="22">
        <v>45968</v>
      </c>
      <c r="P67" s="102">
        <f t="shared" si="15"/>
        <v>854</v>
      </c>
      <c r="Q67" s="103">
        <f t="shared" si="16"/>
        <v>1219</v>
      </c>
      <c r="R67" s="54">
        <f>O67-N67</f>
        <v>365</v>
      </c>
      <c r="S67" s="57">
        <v>1264157192</v>
      </c>
      <c r="T67" s="57">
        <v>0</v>
      </c>
      <c r="U67" s="57">
        <v>1264157192</v>
      </c>
      <c r="V67" s="17" t="s">
        <v>427</v>
      </c>
      <c r="W67" s="23" t="str">
        <f>IFERROR(VLOOKUP(V67,Listas!$A$1:$C$13,2,FALSE),"")</f>
        <v>DINORAH PATRICIA ABADIA MURILLO</v>
      </c>
      <c r="X67" s="23">
        <f>IFERROR(VLOOKUP(V67,Listas!$A$1:$C$13,3,FALSE),"")</f>
        <v>52220857</v>
      </c>
      <c r="Y67" s="17" t="s">
        <v>427</v>
      </c>
      <c r="Z67" s="17" t="s">
        <v>428</v>
      </c>
      <c r="AA67" s="23" t="str">
        <f>IFERROR(VLOOKUP(Z67,Listas!$AD$1:$AF$65,2,FALSE),"")</f>
        <v>DINORAH PATRICIA ABADIA MURILLO</v>
      </c>
      <c r="AB67" s="23">
        <f>IFERROR(VLOOKUP(Z67,Listas!$AD$1:$AF$65,3,FALSE),"")</f>
        <v>52220857</v>
      </c>
      <c r="AC67" s="26" t="s">
        <v>3501</v>
      </c>
      <c r="AD67" s="26" t="s">
        <v>2937</v>
      </c>
      <c r="AE67" s="100">
        <f t="shared" ca="1" si="17"/>
        <v>98.583333333333329</v>
      </c>
      <c r="AF67" s="100">
        <f t="shared" ca="1" si="18"/>
        <v>98.583333333333329</v>
      </c>
      <c r="AG67" s="100">
        <f t="shared" ca="1" si="19"/>
        <v>98.523379819524209</v>
      </c>
      <c r="AH67" s="101">
        <f t="shared" si="20"/>
        <v>43.493589680103646</v>
      </c>
      <c r="AI67" s="59">
        <v>549827342</v>
      </c>
      <c r="AJ67" s="54"/>
      <c r="AK67" s="56">
        <f t="shared" ca="1" si="21"/>
        <v>1245490391.7899919</v>
      </c>
    </row>
    <row r="68" spans="1:37" ht="91.5">
      <c r="A68" s="54">
        <v>121880</v>
      </c>
      <c r="B68" s="54" t="s">
        <v>9085</v>
      </c>
      <c r="C68" s="17" t="s">
        <v>6292</v>
      </c>
      <c r="D68" s="17" t="s">
        <v>6197</v>
      </c>
      <c r="E68" s="17" t="s">
        <v>1426</v>
      </c>
      <c r="F68" s="17" t="s">
        <v>1427</v>
      </c>
      <c r="G68" s="16" t="s">
        <v>7551</v>
      </c>
      <c r="H68" s="16" t="s">
        <v>9086</v>
      </c>
      <c r="I68" s="32" t="s">
        <v>9087</v>
      </c>
      <c r="J68" s="17" t="s">
        <v>8752</v>
      </c>
      <c r="K68" s="22">
        <v>45602</v>
      </c>
      <c r="L68" s="22">
        <v>42422</v>
      </c>
      <c r="M68" s="22">
        <v>42422</v>
      </c>
      <c r="N68" s="22">
        <v>44248</v>
      </c>
      <c r="O68" s="22">
        <v>46074</v>
      </c>
      <c r="P68" s="102">
        <f t="shared" si="15"/>
        <v>1826</v>
      </c>
      <c r="Q68" s="103">
        <f t="shared" si="16"/>
        <v>3652</v>
      </c>
      <c r="R68" s="54">
        <v>0</v>
      </c>
      <c r="S68" s="57">
        <v>21950000000</v>
      </c>
      <c r="T68" s="57">
        <v>5000000000</v>
      </c>
      <c r="U68" s="57">
        <f>S68+T68</f>
        <v>26950000000</v>
      </c>
      <c r="V68" s="17" t="s">
        <v>427</v>
      </c>
      <c r="W68" s="23" t="str">
        <f>IFERROR(VLOOKUP(V68,Listas!$A$1:$C$13,2,FALSE),"")</f>
        <v>DINORAH PATRICIA ABADIA MURILLO</v>
      </c>
      <c r="X68" s="23">
        <f>IFERROR(VLOOKUP(V68,Listas!$A$1:$C$13,3,FALSE),"")</f>
        <v>52220857</v>
      </c>
      <c r="Y68" s="17" t="s">
        <v>427</v>
      </c>
      <c r="Z68" s="17" t="s">
        <v>428</v>
      </c>
      <c r="AA68" s="23" t="str">
        <f>IFERROR(VLOOKUP(Z68,Listas!$AD$1:$AF$65,2,FALSE),"")</f>
        <v>DINORAH PATRICIA ABADIA MURILLO</v>
      </c>
      <c r="AB68" s="23">
        <f>IFERROR(VLOOKUP(Z68,Listas!$AD$1:$AF$65,3,FALSE),"")</f>
        <v>52220857</v>
      </c>
      <c r="AC68" s="26" t="s">
        <v>3453</v>
      </c>
      <c r="AD68" s="26" t="s">
        <v>2937</v>
      </c>
      <c r="AE68" s="100">
        <f t="shared" ca="1" si="17"/>
        <v>96.637954987496528</v>
      </c>
      <c r="AF68" s="100">
        <f t="shared" ca="1" si="18"/>
        <v>96.637954987496528</v>
      </c>
      <c r="AG68" s="100">
        <f t="shared" ca="1" si="19"/>
        <v>96.604600219058042</v>
      </c>
      <c r="AH68" s="101">
        <f t="shared" si="20"/>
        <v>53.84255918812616</v>
      </c>
      <c r="AI68" s="59">
        <v>14510569701.200001</v>
      </c>
      <c r="AJ68" s="54"/>
      <c r="AK68" s="56">
        <f t="shared" ca="1" si="21"/>
        <v>26034939759.036144</v>
      </c>
    </row>
    <row r="69" spans="1:37" ht="106.5">
      <c r="A69" s="54"/>
      <c r="B69" s="54" t="s">
        <v>9088</v>
      </c>
      <c r="C69" s="17" t="s">
        <v>6292</v>
      </c>
      <c r="D69" s="17" t="s">
        <v>6197</v>
      </c>
      <c r="E69" s="17" t="s">
        <v>1426</v>
      </c>
      <c r="F69" s="17" t="s">
        <v>1427</v>
      </c>
      <c r="G69" s="16" t="s">
        <v>8874</v>
      </c>
      <c r="H69" s="16" t="s">
        <v>9089</v>
      </c>
      <c r="I69" s="32" t="s">
        <v>9090</v>
      </c>
      <c r="J69" s="17" t="s">
        <v>8752</v>
      </c>
      <c r="K69" s="22">
        <v>45605</v>
      </c>
      <c r="L69" s="22">
        <v>44827</v>
      </c>
      <c r="M69" s="22">
        <v>44827</v>
      </c>
      <c r="N69" s="22">
        <v>47383</v>
      </c>
      <c r="O69" s="22">
        <v>48113</v>
      </c>
      <c r="P69" s="102">
        <f t="shared" si="15"/>
        <v>2556</v>
      </c>
      <c r="Q69" s="103">
        <f t="shared" si="16"/>
        <v>3286</v>
      </c>
      <c r="R69" s="54">
        <v>365</v>
      </c>
      <c r="S69" s="57">
        <f>913930458</f>
        <v>913930458</v>
      </c>
      <c r="T69" s="57">
        <v>1050694405</v>
      </c>
      <c r="U69" s="57">
        <f>S69+T69</f>
        <v>1964624863</v>
      </c>
      <c r="V69" s="17" t="s">
        <v>427</v>
      </c>
      <c r="W69" s="23" t="str">
        <f>IFERROR(VLOOKUP(V69,Listas!$A$1:$C$13,2,FALSE),"")</f>
        <v>DINORAH PATRICIA ABADIA MURILLO</v>
      </c>
      <c r="X69" s="23">
        <f>IFERROR(VLOOKUP(V69,Listas!$A$1:$C$13,3,FALSE),"")</f>
        <v>52220857</v>
      </c>
      <c r="Y69" s="17" t="s">
        <v>427</v>
      </c>
      <c r="Z69" s="17" t="s">
        <v>428</v>
      </c>
      <c r="AA69" s="23" t="str">
        <f>IFERROR(VLOOKUP(Z69,Listas!$AD$1:$AF$65,2,FALSE),"")</f>
        <v>DINORAH PATRICIA ABADIA MURILLO</v>
      </c>
      <c r="AB69" s="23">
        <f>IFERROR(VLOOKUP(Z69,Listas!$AD$1:$AF$65,3,FALSE),"")</f>
        <v>52220857</v>
      </c>
      <c r="AC69" s="26" t="s">
        <v>3067</v>
      </c>
      <c r="AD69" s="26" t="s">
        <v>2937</v>
      </c>
      <c r="AE69" s="100">
        <f t="shared" ca="1" si="17"/>
        <v>34.177215189873415</v>
      </c>
      <c r="AF69" s="100">
        <f t="shared" ca="1" si="18"/>
        <v>34.177215189873415</v>
      </c>
      <c r="AG69" s="100">
        <f t="shared" ca="1" si="19"/>
        <v>34.175289105295185</v>
      </c>
      <c r="AH69" s="101">
        <f t="shared" si="20"/>
        <v>21.45588403560787</v>
      </c>
      <c r="AI69" s="59">
        <v>421527632.33999997</v>
      </c>
      <c r="AJ69" s="54"/>
      <c r="AK69" s="56">
        <f t="shared" ca="1" si="21"/>
        <v>671416226.76475954</v>
      </c>
    </row>
    <row r="70" spans="1:37" ht="152.25">
      <c r="A70" s="54"/>
      <c r="B70" s="54" t="s">
        <v>9091</v>
      </c>
      <c r="C70" s="17" t="s">
        <v>104</v>
      </c>
      <c r="D70" s="17" t="s">
        <v>4162</v>
      </c>
      <c r="E70" s="17" t="s">
        <v>1426</v>
      </c>
      <c r="F70" s="17" t="s">
        <v>1427</v>
      </c>
      <c r="G70" s="16" t="s">
        <v>9092</v>
      </c>
      <c r="H70" s="16" t="s">
        <v>9093</v>
      </c>
      <c r="I70" s="32" t="s">
        <v>9094</v>
      </c>
      <c r="J70" s="17" t="s">
        <v>8886</v>
      </c>
      <c r="K70" s="22">
        <v>45588</v>
      </c>
      <c r="L70" s="22">
        <v>44558</v>
      </c>
      <c r="M70" s="22">
        <v>45040</v>
      </c>
      <c r="N70" s="22">
        <v>45589</v>
      </c>
      <c r="O70" s="22">
        <v>45740</v>
      </c>
      <c r="P70" s="102">
        <f t="shared" si="15"/>
        <v>549</v>
      </c>
      <c r="Q70" s="103">
        <f t="shared" si="16"/>
        <v>700</v>
      </c>
      <c r="R70" s="54">
        <f>O70-N70</f>
        <v>151</v>
      </c>
      <c r="S70" s="57">
        <v>666229465</v>
      </c>
      <c r="T70" s="57">
        <v>0</v>
      </c>
      <c r="U70" s="57">
        <v>666229465</v>
      </c>
      <c r="V70" s="17" t="s">
        <v>427</v>
      </c>
      <c r="W70" s="23" t="str">
        <f>IFERROR(VLOOKUP(V70,Listas!$A$1:$C$13,2,FALSE),"")</f>
        <v>DINORAH PATRICIA ABADIA MURILLO</v>
      </c>
      <c r="X70" s="23">
        <f>IFERROR(VLOOKUP(V70,Listas!$A$1:$C$13,3,FALSE),"")</f>
        <v>52220857</v>
      </c>
      <c r="Y70" s="17" t="s">
        <v>427</v>
      </c>
      <c r="Z70" s="17" t="s">
        <v>428</v>
      </c>
      <c r="AA70" s="23" t="str">
        <f>IFERROR(VLOOKUP(Z70,Listas!$AD$1:$AF$65,2,FALSE),"")</f>
        <v>DINORAH PATRICIA ABADIA MURILLO</v>
      </c>
      <c r="AB70" s="23">
        <f>IFERROR(VLOOKUP(Z70,Listas!$AD$1:$AF$65,3,FALSE),"")</f>
        <v>52220857</v>
      </c>
      <c r="AC70" s="26" t="s">
        <v>4526</v>
      </c>
      <c r="AD70" s="26" t="s">
        <v>2937</v>
      </c>
      <c r="AE70" s="100">
        <f t="shared" ca="1" si="17"/>
        <v>100</v>
      </c>
      <c r="AF70" s="100">
        <f t="shared" ca="1" si="18"/>
        <v>100</v>
      </c>
      <c r="AG70" s="100">
        <f t="shared" ca="1" si="19"/>
        <v>130</v>
      </c>
      <c r="AH70" s="101">
        <f t="shared" si="20"/>
        <v>65.9494434098618</v>
      </c>
      <c r="AI70" s="59">
        <v>439374624</v>
      </c>
      <c r="AJ70" s="54"/>
      <c r="AK70" s="56">
        <f t="shared" ca="1" si="21"/>
        <v>866098304.5</v>
      </c>
    </row>
    <row r="71" spans="1:37" ht="76.5">
      <c r="A71" s="54"/>
      <c r="B71" s="54" t="s">
        <v>9095</v>
      </c>
      <c r="C71" s="17" t="s">
        <v>6292</v>
      </c>
      <c r="D71" s="17" t="s">
        <v>6197</v>
      </c>
      <c r="E71" s="17" t="s">
        <v>1426</v>
      </c>
      <c r="F71" s="17" t="s">
        <v>1427</v>
      </c>
      <c r="G71" s="16" t="s">
        <v>9096</v>
      </c>
      <c r="H71" s="16" t="s">
        <v>9097</v>
      </c>
      <c r="I71" s="32" t="s">
        <v>9098</v>
      </c>
      <c r="J71" s="17" t="s">
        <v>8739</v>
      </c>
      <c r="K71" s="22">
        <v>45604</v>
      </c>
      <c r="L71" s="22">
        <v>43048</v>
      </c>
      <c r="M71" s="22">
        <v>43048</v>
      </c>
      <c r="N71" s="22">
        <v>45605</v>
      </c>
      <c r="O71" s="22">
        <v>45991</v>
      </c>
      <c r="P71" s="102">
        <f t="shared" si="15"/>
        <v>2557</v>
      </c>
      <c r="Q71" s="103">
        <f t="shared" si="16"/>
        <v>2943</v>
      </c>
      <c r="R71" s="54">
        <f>O71-N71</f>
        <v>386</v>
      </c>
      <c r="S71" s="57">
        <v>3792432128</v>
      </c>
      <c r="T71" s="57">
        <v>0</v>
      </c>
      <c r="U71" s="57">
        <v>3792432128</v>
      </c>
      <c r="V71" s="17" t="s">
        <v>427</v>
      </c>
      <c r="W71" s="23" t="str">
        <f>IFERROR(VLOOKUP(V71,Listas!$A$1:$C$13,2,FALSE),"")</f>
        <v>DINORAH PATRICIA ABADIA MURILLO</v>
      </c>
      <c r="X71" s="23">
        <f>IFERROR(VLOOKUP(V71,Listas!$A$1:$C$13,3,FALSE),"")</f>
        <v>52220857</v>
      </c>
      <c r="Y71" s="17" t="s">
        <v>427</v>
      </c>
      <c r="Z71" s="17" t="s">
        <v>428</v>
      </c>
      <c r="AA71" s="23" t="str">
        <f>IFERROR(VLOOKUP(Z71,Listas!$AD$1:$AF$65,2,FALSE),"")</f>
        <v>DINORAH PATRICIA ABADIA MURILLO</v>
      </c>
      <c r="AB71" s="23">
        <f>IFERROR(VLOOKUP(Z71,Listas!$AD$1:$AF$65,3,FALSE),"")</f>
        <v>52220857</v>
      </c>
      <c r="AC71" s="26" t="s">
        <v>4526</v>
      </c>
      <c r="AD71" s="26" t="s">
        <v>2937</v>
      </c>
      <c r="AE71" s="100">
        <f t="shared" ca="1" si="17"/>
        <v>98.62116511547741</v>
      </c>
      <c r="AF71" s="100">
        <f t="shared" ca="1" si="18"/>
        <v>98.62116511547741</v>
      </c>
      <c r="AG71" s="100">
        <f t="shared" ca="1" si="19"/>
        <v>98.606863744478417</v>
      </c>
      <c r="AH71" s="101">
        <f t="shared" si="20"/>
        <v>46.48689639726625</v>
      </c>
      <c r="AI71" s="59">
        <v>1762983994.28</v>
      </c>
      <c r="AJ71" s="54"/>
      <c r="AK71" s="56">
        <f t="shared" ca="1" si="21"/>
        <v>3739598381.0587835</v>
      </c>
    </row>
    <row r="72" spans="1:37" ht="91.5">
      <c r="A72" s="54">
        <v>121909</v>
      </c>
      <c r="B72" s="174" t="s">
        <v>9099</v>
      </c>
      <c r="C72" s="17" t="s">
        <v>6292</v>
      </c>
      <c r="D72" s="17" t="s">
        <v>6197</v>
      </c>
      <c r="E72" s="17" t="s">
        <v>1426</v>
      </c>
      <c r="F72" s="17" t="s">
        <v>1427</v>
      </c>
      <c r="G72" s="16" t="s">
        <v>8900</v>
      </c>
      <c r="H72" s="16" t="s">
        <v>8901</v>
      </c>
      <c r="I72" s="32" t="s">
        <v>9100</v>
      </c>
      <c r="J72" s="17" t="s">
        <v>8752</v>
      </c>
      <c r="K72" s="22">
        <v>45593</v>
      </c>
      <c r="L72" s="22">
        <v>42726</v>
      </c>
      <c r="M72" s="22">
        <v>42726</v>
      </c>
      <c r="N72" s="22">
        <v>43084</v>
      </c>
      <c r="O72" s="22">
        <v>46752</v>
      </c>
      <c r="P72" s="102">
        <f t="shared" si="15"/>
        <v>358</v>
      </c>
      <c r="Q72" s="103">
        <f t="shared" si="16"/>
        <v>4026</v>
      </c>
      <c r="R72" s="54">
        <v>0</v>
      </c>
      <c r="S72" s="57">
        <v>67326525852.470001</v>
      </c>
      <c r="T72" s="57">
        <v>10000000000</v>
      </c>
      <c r="U72" s="57">
        <f>S72+T72</f>
        <v>77326525852.470001</v>
      </c>
      <c r="V72" s="17" t="s">
        <v>427</v>
      </c>
      <c r="W72" s="23" t="str">
        <f>IFERROR(VLOOKUP(V72,Listas!$A$1:$C$13,2,FALSE),"")</f>
        <v>DINORAH PATRICIA ABADIA MURILLO</v>
      </c>
      <c r="X72" s="23">
        <f>IFERROR(VLOOKUP(V72,Listas!$A$1:$C$13,3,FALSE),"")</f>
        <v>52220857</v>
      </c>
      <c r="Y72" s="17" t="s">
        <v>427</v>
      </c>
      <c r="Z72" s="17" t="s">
        <v>428</v>
      </c>
      <c r="AA72" s="23" t="str">
        <f>IFERROR(VLOOKUP(Z72,Listas!$AD$1:$AF$65,2,FALSE),"")</f>
        <v>DINORAH PATRICIA ABADIA MURILLO</v>
      </c>
      <c r="AB72" s="23">
        <f>IFERROR(VLOOKUP(Z72,Listas!$AD$1:$AF$65,3,FALSE),"")</f>
        <v>52220857</v>
      </c>
      <c r="AC72" s="26" t="s">
        <v>2938</v>
      </c>
      <c r="AD72" s="26" t="s">
        <v>2937</v>
      </c>
      <c r="AE72" s="100">
        <f t="shared" ca="1" si="17"/>
        <v>80.070546737213405</v>
      </c>
      <c r="AF72" s="100">
        <f t="shared" ca="1" si="18"/>
        <v>80.070546737213405</v>
      </c>
      <c r="AG72" s="100">
        <f t="shared" ca="1" si="19"/>
        <v>80.079483358171885</v>
      </c>
      <c r="AH72" s="101">
        <f t="shared" si="20"/>
        <v>61.255692514649532</v>
      </c>
      <c r="AI72" s="59">
        <v>47366898908.449997</v>
      </c>
      <c r="AJ72" s="54"/>
      <c r="AK72" s="56">
        <f t="shared" ca="1" si="21"/>
        <v>61922682401.481201</v>
      </c>
    </row>
    <row r="73" spans="1:37" ht="76.5">
      <c r="A73" s="54"/>
      <c r="B73" s="54" t="s">
        <v>9101</v>
      </c>
      <c r="C73" s="17" t="s">
        <v>6292</v>
      </c>
      <c r="D73" s="17" t="s">
        <v>6197</v>
      </c>
      <c r="E73" s="17" t="s">
        <v>1426</v>
      </c>
      <c r="F73" s="17" t="s">
        <v>1427</v>
      </c>
      <c r="G73" s="16" t="s">
        <v>7319</v>
      </c>
      <c r="H73" s="16" t="s">
        <v>9102</v>
      </c>
      <c r="I73" s="32" t="s">
        <v>9103</v>
      </c>
      <c r="J73" s="17" t="s">
        <v>8886</v>
      </c>
      <c r="K73" s="22">
        <v>45604</v>
      </c>
      <c r="L73" s="22">
        <v>43048</v>
      </c>
      <c r="M73" s="22">
        <v>43048</v>
      </c>
      <c r="N73" s="22">
        <v>45605</v>
      </c>
      <c r="O73" s="22">
        <v>47065</v>
      </c>
      <c r="P73" s="102">
        <f t="shared" si="15"/>
        <v>2557</v>
      </c>
      <c r="Q73" s="103">
        <f t="shared" si="16"/>
        <v>4017</v>
      </c>
      <c r="R73" s="54">
        <f>O73-N73</f>
        <v>1460</v>
      </c>
      <c r="S73" s="57">
        <v>4273401736</v>
      </c>
      <c r="T73" s="57">
        <v>0</v>
      </c>
      <c r="U73" s="57">
        <v>4273401736</v>
      </c>
      <c r="V73" s="17" t="s">
        <v>427</v>
      </c>
      <c r="W73" s="23" t="str">
        <f>IFERROR(VLOOKUP(V73,Listas!$A$1:$C$13,2,FALSE),"")</f>
        <v>DINORAH PATRICIA ABADIA MURILLO</v>
      </c>
      <c r="X73" s="23">
        <f>IFERROR(VLOOKUP(V73,Listas!$A$1:$C$13,3,FALSE),"")</f>
        <v>52220857</v>
      </c>
      <c r="Y73" s="17" t="s">
        <v>427</v>
      </c>
      <c r="Z73" s="17" t="s">
        <v>428</v>
      </c>
      <c r="AA73" s="23" t="str">
        <f>IFERROR(VLOOKUP(Z73,Listas!$AD$1:$AF$65,2,FALSE),"")</f>
        <v>DINORAH PATRICIA ABADIA MURILLO</v>
      </c>
      <c r="AB73" s="23">
        <f>IFERROR(VLOOKUP(Z73,Listas!$AD$1:$AF$65,3,FALSE),"")</f>
        <v>52220857</v>
      </c>
      <c r="AC73" s="26" t="s">
        <v>3437</v>
      </c>
      <c r="AD73" s="26" t="s">
        <v>2937</v>
      </c>
      <c r="AE73" s="100">
        <f t="shared" ca="1" si="17"/>
        <v>72.265723667592823</v>
      </c>
      <c r="AF73" s="100">
        <f t="shared" ca="1" si="18"/>
        <v>72.265723667592823</v>
      </c>
      <c r="AG73" s="100">
        <f t="shared" ca="1" si="19"/>
        <v>72.242967388598473</v>
      </c>
      <c r="AH73" s="101">
        <f t="shared" si="20"/>
        <v>89.03195009138733</v>
      </c>
      <c r="AI73" s="59">
        <v>3804692900.8000002</v>
      </c>
      <c r="AJ73" s="54"/>
      <c r="AK73" s="56">
        <f t="shared" ca="1" si="21"/>
        <v>3087232222.5222807</v>
      </c>
    </row>
    <row r="74" spans="1:37" ht="91.5">
      <c r="A74" s="54">
        <v>121979</v>
      </c>
      <c r="B74" s="54" t="s">
        <v>8991</v>
      </c>
      <c r="C74" s="17" t="s">
        <v>6292</v>
      </c>
      <c r="D74" s="17" t="s">
        <v>6197</v>
      </c>
      <c r="E74" s="17" t="s">
        <v>1426</v>
      </c>
      <c r="F74" s="17" t="s">
        <v>1427</v>
      </c>
      <c r="G74" s="16" t="s">
        <v>8992</v>
      </c>
      <c r="H74" s="16" t="s">
        <v>8993</v>
      </c>
      <c r="I74" s="32" t="s">
        <v>9104</v>
      </c>
      <c r="J74" s="17" t="s">
        <v>8739</v>
      </c>
      <c r="K74" s="22">
        <v>45618</v>
      </c>
      <c r="L74" s="22">
        <v>42726</v>
      </c>
      <c r="M74" s="22">
        <v>42726</v>
      </c>
      <c r="N74" s="22">
        <v>43084</v>
      </c>
      <c r="O74" s="22">
        <v>45986</v>
      </c>
      <c r="P74" s="102">
        <f t="shared" si="15"/>
        <v>358</v>
      </c>
      <c r="Q74" s="103">
        <f t="shared" si="16"/>
        <v>3260</v>
      </c>
      <c r="R74" s="54">
        <v>365</v>
      </c>
      <c r="S74" s="57">
        <v>2943711069</v>
      </c>
      <c r="T74" s="57">
        <v>0</v>
      </c>
      <c r="U74" s="57">
        <v>2943711069</v>
      </c>
      <c r="V74" s="17" t="s">
        <v>427</v>
      </c>
      <c r="W74" s="23" t="str">
        <f>IFERROR(VLOOKUP(V74,Listas!$A$1:$C$13,2,FALSE),"")</f>
        <v>DINORAH PATRICIA ABADIA MURILLO</v>
      </c>
      <c r="X74" s="23">
        <f>IFERROR(VLOOKUP(V74,Listas!$A$1:$C$13,3,FALSE),"")</f>
        <v>52220857</v>
      </c>
      <c r="Y74" s="17" t="s">
        <v>427</v>
      </c>
      <c r="Z74" s="17" t="s">
        <v>428</v>
      </c>
      <c r="AA74" s="23" t="str">
        <f>IFERROR(VLOOKUP(Z74,Listas!$AD$1:$AF$65,2,FALSE),"")</f>
        <v>DINORAH PATRICIA ABADIA MURILLO</v>
      </c>
      <c r="AB74" s="23">
        <f>IFERROR(VLOOKUP(Z74,Listas!$AD$1:$AF$65,3,FALSE),"")</f>
        <v>52220857</v>
      </c>
      <c r="AC74" s="26" t="s">
        <v>3437</v>
      </c>
      <c r="AD74" s="26" t="s">
        <v>2937</v>
      </c>
      <c r="AE74" s="100">
        <f t="shared" ca="1" si="17"/>
        <v>98.910675381263616</v>
      </c>
      <c r="AF74" s="100">
        <f t="shared" ca="1" si="18"/>
        <v>98.910675381263616</v>
      </c>
      <c r="AG74" s="100">
        <f t="shared" ca="1" si="19"/>
        <v>98.895705521472394</v>
      </c>
      <c r="AH74" s="101">
        <f t="shared" si="20"/>
        <v>28.304541922419226</v>
      </c>
      <c r="AI74" s="59">
        <v>833203933.60000002</v>
      </c>
      <c r="AJ74" s="54"/>
      <c r="AK74" s="56">
        <f t="shared" ca="1" si="21"/>
        <v>2911203830.2012272</v>
      </c>
    </row>
    <row r="75" spans="1:37" ht="76.5">
      <c r="A75" s="54"/>
      <c r="B75" s="174" t="s">
        <v>9105</v>
      </c>
      <c r="C75" s="17" t="s">
        <v>6292</v>
      </c>
      <c r="D75" s="17" t="s">
        <v>6197</v>
      </c>
      <c r="E75" s="17" t="s">
        <v>1426</v>
      </c>
      <c r="F75" s="17" t="s">
        <v>1427</v>
      </c>
      <c r="G75" s="16" t="s">
        <v>8978</v>
      </c>
      <c r="H75" s="16" t="s">
        <v>8979</v>
      </c>
      <c r="I75" s="32" t="s">
        <v>9106</v>
      </c>
      <c r="J75" s="17" t="s">
        <v>8752</v>
      </c>
      <c r="K75" s="22">
        <v>45611</v>
      </c>
      <c r="L75" s="22">
        <v>40739</v>
      </c>
      <c r="M75" s="22">
        <v>40739</v>
      </c>
      <c r="N75" s="22">
        <v>42565</v>
      </c>
      <c r="O75" s="22">
        <v>47117</v>
      </c>
      <c r="P75" s="102">
        <f t="shared" si="15"/>
        <v>1826</v>
      </c>
      <c r="Q75" s="103">
        <f t="shared" si="16"/>
        <v>6378</v>
      </c>
      <c r="R75" s="54">
        <v>0</v>
      </c>
      <c r="S75" s="57">
        <v>12248615425.41</v>
      </c>
      <c r="T75" s="57">
        <v>1200566684</v>
      </c>
      <c r="U75" s="57">
        <f>S75+T75</f>
        <v>13449182109.41</v>
      </c>
      <c r="V75" s="17" t="s">
        <v>427</v>
      </c>
      <c r="W75" s="23" t="str">
        <f>IFERROR(VLOOKUP(V75,Listas!$A$1:$C$13,2,FALSE),"")</f>
        <v>DINORAH PATRICIA ABADIA MURILLO</v>
      </c>
      <c r="X75" s="23">
        <f>IFERROR(VLOOKUP(V75,Listas!$A$1:$C$13,3,FALSE),"")</f>
        <v>52220857</v>
      </c>
      <c r="Y75" s="17" t="s">
        <v>427</v>
      </c>
      <c r="Z75" s="17" t="s">
        <v>428</v>
      </c>
      <c r="AA75" s="23" t="str">
        <f>IFERROR(VLOOKUP(Z75,Listas!$AD$1:$AF$65,2,FALSE),"")</f>
        <v>DINORAH PATRICIA ABADIA MURILLO</v>
      </c>
      <c r="AB75" s="23">
        <f>IFERROR(VLOOKUP(Z75,Listas!$AD$1:$AF$65,3,FALSE),"")</f>
        <v>52220857</v>
      </c>
      <c r="AC75" s="26" t="s">
        <v>3437</v>
      </c>
      <c r="AD75" s="26" t="s">
        <v>2937</v>
      </c>
      <c r="AE75" s="100">
        <f t="shared" ca="1" si="17"/>
        <v>81.702466189339702</v>
      </c>
      <c r="AF75" s="100">
        <f t="shared" ca="1" si="18"/>
        <v>81.702466189339702</v>
      </c>
      <c r="AG75" s="100">
        <f t="shared" ca="1" si="19"/>
        <v>81.702728127939778</v>
      </c>
      <c r="AH75" s="101">
        <f t="shared" si="20"/>
        <v>15.561207334055579</v>
      </c>
      <c r="AI75" s="59">
        <v>2092855112.78</v>
      </c>
      <c r="AJ75" s="54"/>
      <c r="AK75" s="56">
        <f t="shared" ca="1" si="21"/>
        <v>10988348694.282768</v>
      </c>
    </row>
    <row r="76" spans="1:37" ht="91.5">
      <c r="A76" s="54"/>
      <c r="B76" s="54" t="s">
        <v>9107</v>
      </c>
      <c r="C76" s="17" t="s">
        <v>104</v>
      </c>
      <c r="D76" s="17" t="s">
        <v>4162</v>
      </c>
      <c r="E76" s="17" t="s">
        <v>1426</v>
      </c>
      <c r="F76" s="17" t="s">
        <v>1427</v>
      </c>
      <c r="G76" s="16" t="s">
        <v>9108</v>
      </c>
      <c r="H76" s="16" t="s">
        <v>9109</v>
      </c>
      <c r="I76" s="32" t="s">
        <v>9110</v>
      </c>
      <c r="J76" s="17" t="s">
        <v>8881</v>
      </c>
      <c r="K76" s="22">
        <v>45611</v>
      </c>
      <c r="L76" s="22">
        <v>44589</v>
      </c>
      <c r="M76" s="22">
        <v>44985</v>
      </c>
      <c r="N76" s="22">
        <v>46081</v>
      </c>
      <c r="O76" s="22">
        <v>46081</v>
      </c>
      <c r="P76" s="102">
        <f t="shared" si="15"/>
        <v>1096</v>
      </c>
      <c r="Q76" s="103">
        <f t="shared" si="16"/>
        <v>1096</v>
      </c>
      <c r="R76" s="54">
        <v>0</v>
      </c>
      <c r="S76" s="57">
        <v>1359930177</v>
      </c>
      <c r="T76" s="57">
        <v>0</v>
      </c>
      <c r="U76" s="57">
        <v>1359930177</v>
      </c>
      <c r="V76" s="17" t="s">
        <v>427</v>
      </c>
      <c r="W76" s="23" t="str">
        <f>IFERROR(VLOOKUP(V76,Listas!$A$1:$C$13,2,FALSE),"")</f>
        <v>DINORAH PATRICIA ABADIA MURILLO</v>
      </c>
      <c r="X76" s="23">
        <f>IFERROR(VLOOKUP(V76,Listas!$A$1:$C$13,3,FALSE),"")</f>
        <v>52220857</v>
      </c>
      <c r="Y76" s="17" t="s">
        <v>427</v>
      </c>
      <c r="Z76" s="17" t="s">
        <v>428</v>
      </c>
      <c r="AA76" s="23" t="str">
        <f>IFERROR(VLOOKUP(Z76,Listas!$AD$1:$AF$65,2,FALSE),"")</f>
        <v>DINORAH PATRICIA ABADIA MURILLO</v>
      </c>
      <c r="AB76" s="23">
        <f>IFERROR(VLOOKUP(Z76,Listas!$AD$1:$AF$65,3,FALSE),"")</f>
        <v>52220857</v>
      </c>
      <c r="AC76" s="26" t="s">
        <v>3437</v>
      </c>
      <c r="AD76" s="26" t="s">
        <v>2937</v>
      </c>
      <c r="AE76" s="100">
        <f t="shared" ca="1" si="17"/>
        <v>88.126159554730989</v>
      </c>
      <c r="AF76" s="100">
        <f t="shared" ca="1" si="18"/>
        <v>88.126159554730989</v>
      </c>
      <c r="AG76" s="100">
        <f t="shared" ca="1" si="19"/>
        <v>88.047445255474457</v>
      </c>
      <c r="AH76" s="101">
        <f t="shared" si="20"/>
        <v>40.32420680668519</v>
      </c>
      <c r="AI76" s="59">
        <v>548381057</v>
      </c>
      <c r="AJ76" s="54"/>
      <c r="AK76" s="56">
        <f t="shared" ca="1" si="21"/>
        <v>1197383778.1067519</v>
      </c>
    </row>
    <row r="77" spans="1:37" s="136" customFormat="1" ht="76.5">
      <c r="A77" s="125">
        <v>122053</v>
      </c>
      <c r="B77" s="125" t="s">
        <v>9111</v>
      </c>
      <c r="C77" s="126" t="s">
        <v>6292</v>
      </c>
      <c r="D77" s="126" t="s">
        <v>6197</v>
      </c>
      <c r="E77" s="126" t="s">
        <v>1426</v>
      </c>
      <c r="F77" s="126" t="s">
        <v>1427</v>
      </c>
      <c r="G77" s="126" t="s">
        <v>9112</v>
      </c>
      <c r="H77" s="126" t="s">
        <v>9113</v>
      </c>
      <c r="I77" s="127" t="s">
        <v>9114</v>
      </c>
      <c r="J77" s="126" t="s">
        <v>8739</v>
      </c>
      <c r="K77" s="128">
        <v>45632</v>
      </c>
      <c r="L77" s="128">
        <v>43462</v>
      </c>
      <c r="M77" s="128">
        <v>43462</v>
      </c>
      <c r="N77" s="128">
        <v>45287</v>
      </c>
      <c r="O77" s="128">
        <v>47478</v>
      </c>
      <c r="P77" s="129">
        <f t="shared" si="15"/>
        <v>1825</v>
      </c>
      <c r="Q77" s="130">
        <f t="shared" si="16"/>
        <v>4016</v>
      </c>
      <c r="R77" s="125">
        <v>1825</v>
      </c>
      <c r="S77" s="131">
        <v>102780437</v>
      </c>
      <c r="T77" s="131"/>
      <c r="U77" s="131">
        <v>102780437</v>
      </c>
      <c r="V77" s="17" t="s">
        <v>427</v>
      </c>
      <c r="W77" s="132" t="str">
        <f>IFERROR(VLOOKUP(V77,Listas!$A$1:$C$13,2,FALSE),"")</f>
        <v>DINORAH PATRICIA ABADIA MURILLO</v>
      </c>
      <c r="X77" s="132">
        <f>IFERROR(VLOOKUP(V77,Listas!$A$1:$C$13,3,FALSE),"")</f>
        <v>52220857</v>
      </c>
      <c r="Y77" s="126" t="s">
        <v>427</v>
      </c>
      <c r="Z77" s="126" t="s">
        <v>428</v>
      </c>
      <c r="AA77" s="132" t="str">
        <f>IFERROR(VLOOKUP(Z77,Listas!$AD$1:$AF$65,2,FALSE),"")</f>
        <v>DINORAH PATRICIA ABADIA MURILLO</v>
      </c>
      <c r="AB77" s="132">
        <f>IFERROR(VLOOKUP(Z77,Listas!$AD$1:$AF$65,3,FALSE),"")</f>
        <v>52220857</v>
      </c>
      <c r="AC77" s="133" t="s">
        <v>3501</v>
      </c>
      <c r="AD77" s="133" t="s">
        <v>2937</v>
      </c>
      <c r="AE77" s="125">
        <f t="shared" ca="1" si="17"/>
        <v>61.950480040424459</v>
      </c>
      <c r="AF77" s="125">
        <f t="shared" ca="1" si="18"/>
        <v>61.950480040424459</v>
      </c>
      <c r="AG77" s="125">
        <f t="shared" ca="1" si="19"/>
        <v>61.952191235059765</v>
      </c>
      <c r="AH77" s="134">
        <f t="shared" si="20"/>
        <v>28.804990262884367</v>
      </c>
      <c r="AI77" s="172">
        <v>29605894.870000001</v>
      </c>
      <c r="AJ77" s="125"/>
      <c r="AK77" s="135">
        <f t="shared" ca="1" si="21"/>
        <v>63674732.882470123</v>
      </c>
    </row>
    <row r="78" spans="1:37" ht="91.5">
      <c r="A78" s="54">
        <v>121877</v>
      </c>
      <c r="B78" s="54" t="s">
        <v>9115</v>
      </c>
      <c r="C78" s="17" t="s">
        <v>6292</v>
      </c>
      <c r="D78" s="17" t="s">
        <v>6197</v>
      </c>
      <c r="E78" s="17" t="s">
        <v>1426</v>
      </c>
      <c r="F78" s="17" t="s">
        <v>1427</v>
      </c>
      <c r="G78" s="16" t="s">
        <v>9116</v>
      </c>
      <c r="H78" s="16" t="s">
        <v>9117</v>
      </c>
      <c r="I78" s="32" t="s">
        <v>9118</v>
      </c>
      <c r="J78" s="17" t="s">
        <v>8739</v>
      </c>
      <c r="K78" s="22">
        <v>45642</v>
      </c>
      <c r="L78" s="22">
        <v>42368</v>
      </c>
      <c r="M78" s="22">
        <v>42368</v>
      </c>
      <c r="N78" s="22">
        <v>44193</v>
      </c>
      <c r="O78" s="22">
        <v>46386</v>
      </c>
      <c r="P78" s="102">
        <f t="shared" si="15"/>
        <v>1825</v>
      </c>
      <c r="Q78" s="103">
        <f t="shared" si="16"/>
        <v>4018</v>
      </c>
      <c r="R78" s="54">
        <v>730</v>
      </c>
      <c r="S78" s="57">
        <v>1285532729</v>
      </c>
      <c r="T78" s="57">
        <v>0</v>
      </c>
      <c r="U78" s="57">
        <v>1285532729</v>
      </c>
      <c r="V78" s="17" t="s">
        <v>427</v>
      </c>
      <c r="W78" s="23" t="str">
        <f>IFERROR(VLOOKUP(V78,Listas!$A$1:$C$13,2,FALSE),"")</f>
        <v>DINORAH PATRICIA ABADIA MURILLO</v>
      </c>
      <c r="X78" s="23">
        <f>IFERROR(VLOOKUP(V78,Listas!$A$1:$C$13,3,FALSE),"")</f>
        <v>52220857</v>
      </c>
      <c r="Y78" s="17" t="s">
        <v>427</v>
      </c>
      <c r="Z78" s="17" t="s">
        <v>428</v>
      </c>
      <c r="AA78" s="23" t="str">
        <f>IFERROR(VLOOKUP(Z78,Listas!$AD$1:$AF$65,2,FALSE),"")</f>
        <v>DINORAH PATRICIA ABADIA MURILLO</v>
      </c>
      <c r="AB78" s="23">
        <f>IFERROR(VLOOKUP(Z78,Listas!$AD$1:$AF$65,3,FALSE),"")</f>
        <v>52220857</v>
      </c>
      <c r="AC78" s="26" t="s">
        <v>3437</v>
      </c>
      <c r="AD78" s="26" t="s">
        <v>2937</v>
      </c>
      <c r="AE78" s="100">
        <f t="shared" ca="1" si="17"/>
        <v>89.141414141414145</v>
      </c>
      <c r="AF78" s="100">
        <f t="shared" ca="1" si="18"/>
        <v>89.141414141414145</v>
      </c>
      <c r="AG78" s="100">
        <f t="shared" ca="1" si="19"/>
        <v>89.148830263812854</v>
      </c>
      <c r="AH78" s="101">
        <f t="shared" si="20"/>
        <v>64.773479686334767</v>
      </c>
      <c r="AI78" s="59">
        <v>832684281.08000004</v>
      </c>
      <c r="AJ78" s="54"/>
      <c r="AK78" s="56">
        <f t="shared" ca="1" si="21"/>
        <v>1146037390.5619712</v>
      </c>
    </row>
    <row r="79" spans="1:37" ht="60.75">
      <c r="A79" s="54">
        <v>122080</v>
      </c>
      <c r="B79" s="174" t="s">
        <v>9000</v>
      </c>
      <c r="C79" s="17" t="s">
        <v>6292</v>
      </c>
      <c r="D79" s="17" t="s">
        <v>6197</v>
      </c>
      <c r="E79" s="17" t="s">
        <v>1426</v>
      </c>
      <c r="F79" s="17" t="s">
        <v>1427</v>
      </c>
      <c r="G79" s="16" t="s">
        <v>8900</v>
      </c>
      <c r="H79" s="16" t="s">
        <v>8901</v>
      </c>
      <c r="I79" s="32" t="s">
        <v>9119</v>
      </c>
      <c r="J79" s="17" t="s">
        <v>8739</v>
      </c>
      <c r="K79" s="22">
        <v>45649</v>
      </c>
      <c r="L79" s="22">
        <v>44001</v>
      </c>
      <c r="M79" s="22">
        <v>44001</v>
      </c>
      <c r="N79" s="22">
        <v>44926</v>
      </c>
      <c r="O79" s="22">
        <v>46203</v>
      </c>
      <c r="P79" s="102">
        <f t="shared" si="15"/>
        <v>925</v>
      </c>
      <c r="Q79" s="103">
        <f t="shared" si="16"/>
        <v>2202</v>
      </c>
      <c r="R79" s="54">
        <v>546</v>
      </c>
      <c r="S79" s="57">
        <v>2811810702554</v>
      </c>
      <c r="T79" s="57">
        <v>0</v>
      </c>
      <c r="U79" s="57">
        <v>2811810702554</v>
      </c>
      <c r="V79" s="17" t="s">
        <v>427</v>
      </c>
      <c r="W79" s="23" t="str">
        <f>IFERROR(VLOOKUP(V79,Listas!$A$1:$C$13,2,FALSE),"")</f>
        <v>DINORAH PATRICIA ABADIA MURILLO</v>
      </c>
      <c r="X79" s="23">
        <f>IFERROR(VLOOKUP(V79,Listas!$A$1:$C$13,3,FALSE),"")</f>
        <v>52220857</v>
      </c>
      <c r="Y79" s="17" t="s">
        <v>427</v>
      </c>
      <c r="Z79" s="17" t="s">
        <v>428</v>
      </c>
      <c r="AA79" s="23" t="str">
        <f>IFERROR(VLOOKUP(Z79,Listas!$AD$1:$AF$65,2,FALSE),"")</f>
        <v>DINORAH PATRICIA ABADIA MURILLO</v>
      </c>
      <c r="AB79" s="23">
        <f>IFERROR(VLOOKUP(Z79,Listas!$AD$1:$AF$65,3,FALSE),"")</f>
        <v>52220857</v>
      </c>
      <c r="AC79" s="26" t="s">
        <v>3437</v>
      </c>
      <c r="AD79" s="26" t="s">
        <v>2937</v>
      </c>
      <c r="AE79" s="100">
        <f t="shared" ca="1" si="17"/>
        <v>88.484569322892682</v>
      </c>
      <c r="AF79" s="100">
        <f t="shared" ca="1" si="18"/>
        <v>88.484569322892682</v>
      </c>
      <c r="AG79" s="100">
        <f t="shared" ca="1" si="19"/>
        <v>88.510445049954583</v>
      </c>
      <c r="AH79" s="101">
        <f t="shared" si="20"/>
        <v>91.115086622952276</v>
      </c>
      <c r="AI79" s="59">
        <v>2561983757305.52</v>
      </c>
      <c r="AJ79" s="54"/>
      <c r="AK79" s="56">
        <f t="shared" ca="1" si="21"/>
        <v>2488746166792.8003</v>
      </c>
    </row>
    <row r="80" spans="1:37" ht="137.25">
      <c r="A80" s="54">
        <v>121861</v>
      </c>
      <c r="B80" s="174" t="s">
        <v>9120</v>
      </c>
      <c r="C80" s="17" t="s">
        <v>6292</v>
      </c>
      <c r="D80" s="17" t="s">
        <v>6197</v>
      </c>
      <c r="E80" s="17" t="s">
        <v>1426</v>
      </c>
      <c r="F80" s="17" t="s">
        <v>1427</v>
      </c>
      <c r="G80" s="16" t="s">
        <v>9121</v>
      </c>
      <c r="H80" s="16" t="s">
        <v>9122</v>
      </c>
      <c r="I80" s="32" t="s">
        <v>9123</v>
      </c>
      <c r="J80" s="17" t="s">
        <v>8745</v>
      </c>
      <c r="K80" s="22">
        <v>45642</v>
      </c>
      <c r="L80" s="22">
        <v>42243</v>
      </c>
      <c r="M80" s="22">
        <v>42243</v>
      </c>
      <c r="N80" s="22">
        <v>45895</v>
      </c>
      <c r="O80" s="22">
        <v>46022</v>
      </c>
      <c r="P80" s="102">
        <f t="shared" si="15"/>
        <v>3652</v>
      </c>
      <c r="Q80" s="103">
        <f t="shared" si="16"/>
        <v>3779</v>
      </c>
      <c r="R80" s="54">
        <v>127</v>
      </c>
      <c r="S80" s="57">
        <v>4438138803</v>
      </c>
      <c r="T80" s="57">
        <v>550000000</v>
      </c>
      <c r="U80" s="57">
        <f>S80+T80</f>
        <v>4988138803</v>
      </c>
      <c r="V80" s="17" t="s">
        <v>427</v>
      </c>
      <c r="W80" s="23" t="str">
        <f>IFERROR(VLOOKUP(V80,Listas!$A$1:$C$13,2,FALSE),"")</f>
        <v>DINORAH PATRICIA ABADIA MURILLO</v>
      </c>
      <c r="X80" s="23">
        <f>IFERROR(VLOOKUP(V80,Listas!$A$1:$C$13,3,FALSE),"")</f>
        <v>52220857</v>
      </c>
      <c r="Y80" s="17" t="s">
        <v>427</v>
      </c>
      <c r="Z80" s="17" t="s">
        <v>428</v>
      </c>
      <c r="AA80" s="23" t="str">
        <f>IFERROR(VLOOKUP(Z80,Listas!$AD$1:$AF$65,2,FALSE),"")</f>
        <v>DINORAH PATRICIA ABADIA MURILLO</v>
      </c>
      <c r="AB80" s="23">
        <f>IFERROR(VLOOKUP(Z80,Listas!$AD$1:$AF$65,3,FALSE),"")</f>
        <v>52220857</v>
      </c>
      <c r="AC80" s="26" t="s">
        <v>3501</v>
      </c>
      <c r="AD80" s="26" t="s">
        <v>2937</v>
      </c>
      <c r="AE80" s="100">
        <f t="shared" ca="1" si="17"/>
        <v>98.093447905477987</v>
      </c>
      <c r="AF80" s="100">
        <f t="shared" ca="1" si="18"/>
        <v>98.093447905477987</v>
      </c>
      <c r="AG80" s="100">
        <f t="shared" ca="1" si="19"/>
        <v>98.094734056628724</v>
      </c>
      <c r="AH80" s="101">
        <f t="shared" si="20"/>
        <v>43.091413175937639</v>
      </c>
      <c r="AI80" s="59">
        <v>2149459501.3899999</v>
      </c>
      <c r="AJ80" s="54"/>
      <c r="AK80" s="56">
        <f t="shared" ca="1" si="21"/>
        <v>4893101493.1783533</v>
      </c>
    </row>
    <row r="81" spans="1:37" ht="45.75">
      <c r="A81" s="54">
        <v>121909</v>
      </c>
      <c r="B81" s="174" t="s">
        <v>9099</v>
      </c>
      <c r="C81" s="17" t="s">
        <v>6292</v>
      </c>
      <c r="D81" s="17" t="s">
        <v>6197</v>
      </c>
      <c r="E81" s="17" t="s">
        <v>1426</v>
      </c>
      <c r="F81" s="17" t="s">
        <v>1427</v>
      </c>
      <c r="G81" s="16" t="s">
        <v>8900</v>
      </c>
      <c r="H81" s="16" t="s">
        <v>8901</v>
      </c>
      <c r="I81" s="32" t="s">
        <v>9124</v>
      </c>
      <c r="J81" s="17" t="s">
        <v>8752</v>
      </c>
      <c r="K81" s="22">
        <v>45639</v>
      </c>
      <c r="L81" s="22">
        <v>42726</v>
      </c>
      <c r="M81" s="22">
        <v>42726</v>
      </c>
      <c r="N81" s="22">
        <v>43084</v>
      </c>
      <c r="O81" s="22">
        <v>46752</v>
      </c>
      <c r="P81" s="102">
        <f t="shared" ref="P81:P126" si="22">N81-M81</f>
        <v>358</v>
      </c>
      <c r="Q81" s="103">
        <f t="shared" ref="Q81:Q126" si="23">O81-M81</f>
        <v>4026</v>
      </c>
      <c r="R81" s="54">
        <v>0</v>
      </c>
      <c r="S81" s="57">
        <v>77326525852.470001</v>
      </c>
      <c r="T81" s="57">
        <v>2400000000</v>
      </c>
      <c r="U81" s="57">
        <f>S81+T81</f>
        <v>79726525852.470001</v>
      </c>
      <c r="V81" s="17" t="s">
        <v>427</v>
      </c>
      <c r="W81" s="23" t="str">
        <f>IFERROR(VLOOKUP(V81,Listas!$A$1:$C$13,2,FALSE),"")</f>
        <v>DINORAH PATRICIA ABADIA MURILLO</v>
      </c>
      <c r="X81" s="23">
        <f>IFERROR(VLOOKUP(V81,Listas!$A$1:$C$13,3,FALSE),"")</f>
        <v>52220857</v>
      </c>
      <c r="Y81" s="17" t="s">
        <v>427</v>
      </c>
      <c r="Z81" s="17" t="s">
        <v>428</v>
      </c>
      <c r="AA81" s="23" t="str">
        <f>IFERROR(VLOOKUP(Z81,Listas!$AD$1:$AF$65,2,FALSE),"")</f>
        <v>DINORAH PATRICIA ABADIA MURILLO</v>
      </c>
      <c r="AB81" s="23">
        <f>IFERROR(VLOOKUP(Z81,Listas!$AD$1:$AF$65,3,FALSE),"")</f>
        <v>52220857</v>
      </c>
      <c r="AC81" s="26" t="s">
        <v>4526</v>
      </c>
      <c r="AD81" s="26" t="s">
        <v>2937</v>
      </c>
      <c r="AE81" s="100">
        <f t="shared" ref="AE81:AE126" ca="1" si="24">IF(TODAY()&gt;O81,1,+(DAYS360(M81,TODAY())/DAYS360(M81,O81)))*100</f>
        <v>80.070546737213405</v>
      </c>
      <c r="AF81" s="100">
        <f t="shared" ref="AF81:AF126" ca="1" si="25">+IF(AJ81&gt;0,DAYS360(P81,AJ81)/DAYS360(P81,R81),AE81)</f>
        <v>80.070546737213405</v>
      </c>
      <c r="AG81" s="100">
        <f t="shared" ref="AG81:AG126" ca="1" si="26">IFERROR((AK81/U81)*100,"")</f>
        <v>80.079483358171885</v>
      </c>
      <c r="AH81" s="101">
        <f t="shared" ref="AH81:AH126" si="27">IFERROR((AI81/U81)*100,"")</f>
        <v>59.41152740124388</v>
      </c>
      <c r="AI81" s="59">
        <v>47366746752.900002</v>
      </c>
      <c r="AJ81" s="54"/>
      <c r="AK81" s="56">
        <f t="shared" ref="AK81:AK126" ca="1" si="28">IFERROR((U81/Q81)*(TODAY()-M81),"")</f>
        <v>63844590002.077324</v>
      </c>
    </row>
    <row r="82" spans="1:37" ht="106.5">
      <c r="A82" s="54"/>
      <c r="B82" s="54" t="s">
        <v>9125</v>
      </c>
      <c r="C82" s="17" t="s">
        <v>6292</v>
      </c>
      <c r="D82" s="17" t="s">
        <v>6197</v>
      </c>
      <c r="E82" s="17" t="s">
        <v>1426</v>
      </c>
      <c r="F82" s="17" t="s">
        <v>1427</v>
      </c>
      <c r="G82" s="16" t="s">
        <v>9047</v>
      </c>
      <c r="H82" s="16" t="s">
        <v>9048</v>
      </c>
      <c r="I82" s="32" t="s">
        <v>9126</v>
      </c>
      <c r="J82" s="17" t="s">
        <v>8752</v>
      </c>
      <c r="K82" s="22">
        <v>45622</v>
      </c>
      <c r="L82" s="22">
        <v>45104</v>
      </c>
      <c r="M82" s="22">
        <v>45106</v>
      </c>
      <c r="N82" s="22">
        <v>45837</v>
      </c>
      <c r="O82" s="22">
        <v>45837</v>
      </c>
      <c r="P82" s="102">
        <f t="shared" si="22"/>
        <v>731</v>
      </c>
      <c r="Q82" s="103">
        <f t="shared" si="23"/>
        <v>731</v>
      </c>
      <c r="R82" s="54">
        <v>0</v>
      </c>
      <c r="S82" s="57">
        <v>199999998</v>
      </c>
      <c r="T82" s="57">
        <v>200000000</v>
      </c>
      <c r="U82" s="57">
        <f>S82+T82</f>
        <v>399999998</v>
      </c>
      <c r="V82" s="17" t="s">
        <v>427</v>
      </c>
      <c r="W82" s="23" t="str">
        <f>IFERROR(VLOOKUP(V82,Listas!$A$1:$C$13,2,FALSE),"")</f>
        <v>DINORAH PATRICIA ABADIA MURILLO</v>
      </c>
      <c r="X82" s="23">
        <f>IFERROR(VLOOKUP(V82,Listas!$A$1:$C$13,3,FALSE),"")</f>
        <v>52220857</v>
      </c>
      <c r="Y82" s="17" t="s">
        <v>427</v>
      </c>
      <c r="Z82" s="17" t="s">
        <v>428</v>
      </c>
      <c r="AA82" s="23" t="str">
        <f>IFERROR(VLOOKUP(Z82,Listas!$AD$1:$AF$65,2,FALSE),"")</f>
        <v>DINORAH PATRICIA ABADIA MURILLO</v>
      </c>
      <c r="AB82" s="23">
        <f>IFERROR(VLOOKUP(Z82,Listas!$AD$1:$AF$65,3,FALSE),"")</f>
        <v>52220857</v>
      </c>
      <c r="AC82" s="26" t="s">
        <v>3067</v>
      </c>
      <c r="AD82" s="26" t="s">
        <v>2937</v>
      </c>
      <c r="AE82" s="100">
        <f t="shared" ca="1" si="24"/>
        <v>100</v>
      </c>
      <c r="AF82" s="100">
        <f t="shared" ca="1" si="25"/>
        <v>100</v>
      </c>
      <c r="AG82" s="100">
        <f t="shared" ca="1" si="26"/>
        <v>115.45827633378933</v>
      </c>
      <c r="AH82" s="101">
        <f t="shared" si="27"/>
        <v>40.563587512817939</v>
      </c>
      <c r="AI82" s="59">
        <v>162254349.24000001</v>
      </c>
      <c r="AJ82" s="54"/>
      <c r="AK82" s="56">
        <f t="shared" ca="1" si="28"/>
        <v>461833103.0259918</v>
      </c>
    </row>
    <row r="83" spans="1:37" ht="76.5">
      <c r="A83" s="54"/>
      <c r="B83" s="54" t="s">
        <v>9125</v>
      </c>
      <c r="C83" s="17" t="s">
        <v>6292</v>
      </c>
      <c r="D83" s="17" t="s">
        <v>6197</v>
      </c>
      <c r="E83" s="17" t="s">
        <v>1426</v>
      </c>
      <c r="F83" s="17" t="s">
        <v>1427</v>
      </c>
      <c r="G83" s="16" t="s">
        <v>9047</v>
      </c>
      <c r="H83" s="16" t="s">
        <v>9048</v>
      </c>
      <c r="I83" s="32" t="s">
        <v>9127</v>
      </c>
      <c r="J83" s="17" t="s">
        <v>8752</v>
      </c>
      <c r="K83" s="22">
        <v>45649</v>
      </c>
      <c r="L83" s="22">
        <v>45104</v>
      </c>
      <c r="M83" s="22">
        <v>45106</v>
      </c>
      <c r="N83" s="22">
        <v>45837</v>
      </c>
      <c r="O83" s="22">
        <v>45837</v>
      </c>
      <c r="P83" s="102">
        <f t="shared" si="22"/>
        <v>731</v>
      </c>
      <c r="Q83" s="103">
        <f t="shared" si="23"/>
        <v>731</v>
      </c>
      <c r="R83" s="54">
        <v>0</v>
      </c>
      <c r="S83" s="57">
        <v>399999998</v>
      </c>
      <c r="T83" s="57">
        <v>2286900000</v>
      </c>
      <c r="U83" s="57">
        <f>S83+T83</f>
        <v>2686899998</v>
      </c>
      <c r="V83" s="17" t="s">
        <v>427</v>
      </c>
      <c r="W83" s="23" t="str">
        <f>IFERROR(VLOOKUP(V83,Listas!$A$1:$C$13,2,FALSE),"")</f>
        <v>DINORAH PATRICIA ABADIA MURILLO</v>
      </c>
      <c r="X83" s="23">
        <f>IFERROR(VLOOKUP(V83,Listas!$A$1:$C$13,3,FALSE),"")</f>
        <v>52220857</v>
      </c>
      <c r="Y83" s="17" t="s">
        <v>427</v>
      </c>
      <c r="Z83" s="17" t="s">
        <v>428</v>
      </c>
      <c r="AA83" s="23" t="str">
        <f>IFERROR(VLOOKUP(Z83,Listas!$AD$1:$AF$65,2,FALSE),"")</f>
        <v>DINORAH PATRICIA ABADIA MURILLO</v>
      </c>
      <c r="AB83" s="23">
        <f>IFERROR(VLOOKUP(Z83,Listas!$AD$1:$AF$65,3,FALSE),"")</f>
        <v>52220857</v>
      </c>
      <c r="AC83" s="26" t="s">
        <v>3067</v>
      </c>
      <c r="AD83" s="26" t="s">
        <v>2937</v>
      </c>
      <c r="AE83" s="100">
        <f t="shared" ca="1" si="24"/>
        <v>100</v>
      </c>
      <c r="AF83" s="100">
        <f t="shared" ca="1" si="25"/>
        <v>100</v>
      </c>
      <c r="AG83" s="100">
        <f t="shared" ca="1" si="26"/>
        <v>115.45827633378933</v>
      </c>
      <c r="AH83" s="101">
        <f t="shared" si="27"/>
        <v>6.0387193182021806</v>
      </c>
      <c r="AI83" s="59">
        <v>162254349.24000001</v>
      </c>
      <c r="AJ83" s="54"/>
      <c r="AK83" s="56">
        <f t="shared" ca="1" si="28"/>
        <v>3102248424.5034199</v>
      </c>
    </row>
    <row r="84" spans="1:37" ht="76.5">
      <c r="A84" s="54">
        <v>120843</v>
      </c>
      <c r="B84" s="54" t="s">
        <v>9128</v>
      </c>
      <c r="C84" s="17" t="s">
        <v>6292</v>
      </c>
      <c r="D84" s="17" t="s">
        <v>6197</v>
      </c>
      <c r="E84" s="17" t="s">
        <v>1426</v>
      </c>
      <c r="F84" s="17" t="s">
        <v>1427</v>
      </c>
      <c r="G84" s="16" t="s">
        <v>7188</v>
      </c>
      <c r="H84" s="16" t="s">
        <v>9129</v>
      </c>
      <c r="I84" s="32" t="s">
        <v>9130</v>
      </c>
      <c r="J84" s="17" t="s">
        <v>8752</v>
      </c>
      <c r="K84" s="22">
        <v>45650</v>
      </c>
      <c r="L84" s="22">
        <v>33599</v>
      </c>
      <c r="M84" s="22">
        <v>33599</v>
      </c>
      <c r="N84" s="22">
        <v>35425</v>
      </c>
      <c r="O84" s="22">
        <v>46017</v>
      </c>
      <c r="P84" s="102">
        <f t="shared" si="22"/>
        <v>1826</v>
      </c>
      <c r="Q84" s="103">
        <f t="shared" si="23"/>
        <v>12418</v>
      </c>
      <c r="R84" s="54">
        <v>0</v>
      </c>
      <c r="S84" s="57">
        <v>17000955670</v>
      </c>
      <c r="T84" s="57">
        <v>8443200000</v>
      </c>
      <c r="U84" s="57">
        <f>S84+T84</f>
        <v>25444155670</v>
      </c>
      <c r="V84" s="17" t="s">
        <v>427</v>
      </c>
      <c r="W84" s="23" t="str">
        <f>IFERROR(VLOOKUP(V84,Listas!$A$1:$C$13,2,FALSE),"")</f>
        <v>DINORAH PATRICIA ABADIA MURILLO</v>
      </c>
      <c r="X84" s="23">
        <f>IFERROR(VLOOKUP(V84,Listas!$A$1:$C$13,3,FALSE),"")</f>
        <v>52220857</v>
      </c>
      <c r="Y84" s="17" t="s">
        <v>427</v>
      </c>
      <c r="Z84" s="17" t="s">
        <v>428</v>
      </c>
      <c r="AA84" s="23" t="str">
        <f>IFERROR(VLOOKUP(Z84,Listas!$AD$1:$AF$65,2,FALSE),"")</f>
        <v>DINORAH PATRICIA ABADIA MURILLO</v>
      </c>
      <c r="AB84" s="23">
        <f>IFERROR(VLOOKUP(Z84,Listas!$AD$1:$AF$65,3,FALSE),"")</f>
        <v>52220857</v>
      </c>
      <c r="AC84" s="26" t="s">
        <v>4526</v>
      </c>
      <c r="AD84" s="26" t="s">
        <v>2937</v>
      </c>
      <c r="AE84" s="100">
        <f t="shared" ca="1" si="24"/>
        <v>99.460740256556917</v>
      </c>
      <c r="AF84" s="100">
        <f t="shared" ca="1" si="25"/>
        <v>99.460740256556917</v>
      </c>
      <c r="AG84" s="100">
        <f t="shared" ca="1" si="26"/>
        <v>99.460460621678209</v>
      </c>
      <c r="AH84" s="101">
        <f t="shared" si="27"/>
        <v>24.169068019972539</v>
      </c>
      <c r="AI84" s="59">
        <v>6149615290.9899998</v>
      </c>
      <c r="AJ84" s="54"/>
      <c r="AK84" s="56">
        <f t="shared" ca="1" si="28"/>
        <v>25306874430.678852</v>
      </c>
    </row>
    <row r="85" spans="1:37" ht="60.75">
      <c r="A85" s="54">
        <v>120516</v>
      </c>
      <c r="B85" s="54" t="s">
        <v>9131</v>
      </c>
      <c r="C85" s="17" t="s">
        <v>6292</v>
      </c>
      <c r="D85" s="17" t="s">
        <v>6197</v>
      </c>
      <c r="E85" s="17" t="s">
        <v>1426</v>
      </c>
      <c r="F85" s="17" t="s">
        <v>1427</v>
      </c>
      <c r="G85" t="s">
        <v>8900</v>
      </c>
      <c r="H85" s="16" t="s">
        <v>8969</v>
      </c>
      <c r="I85" s="32" t="s">
        <v>9132</v>
      </c>
      <c r="J85" s="17" t="s">
        <v>8739</v>
      </c>
      <c r="K85" s="22">
        <v>45653</v>
      </c>
      <c r="L85" s="22">
        <v>39078</v>
      </c>
      <c r="M85" s="22">
        <v>39078</v>
      </c>
      <c r="N85" s="22">
        <v>40904</v>
      </c>
      <c r="O85" s="22">
        <v>46022</v>
      </c>
      <c r="P85" s="102">
        <f t="shared" si="22"/>
        <v>1826</v>
      </c>
      <c r="Q85" s="103">
        <f t="shared" si="23"/>
        <v>6944</v>
      </c>
      <c r="R85" s="54">
        <v>365</v>
      </c>
      <c r="S85" s="57">
        <v>65348543350.599998</v>
      </c>
      <c r="T85" s="57">
        <v>0</v>
      </c>
      <c r="U85" s="57">
        <v>65348543350.599998</v>
      </c>
      <c r="V85" s="17" t="s">
        <v>427</v>
      </c>
      <c r="W85" s="23" t="str">
        <f>IFERROR(VLOOKUP(V85,Listas!$A$1:$C$13,2,FALSE),"")</f>
        <v>DINORAH PATRICIA ABADIA MURILLO</v>
      </c>
      <c r="X85" s="23">
        <f>IFERROR(VLOOKUP(V85,Listas!$A$1:$C$13,3,FALSE),"")</f>
        <v>52220857</v>
      </c>
      <c r="Y85" s="17" t="s">
        <v>427</v>
      </c>
      <c r="Z85" s="17" t="s">
        <v>428</v>
      </c>
      <c r="AA85" s="23" t="str">
        <f>IFERROR(VLOOKUP(Z85,Listas!$AD$1:$AF$65,2,FALSE),"")</f>
        <v>DINORAH PATRICIA ABADIA MURILLO</v>
      </c>
      <c r="AB85" s="23">
        <f>IFERROR(VLOOKUP(Z85,Listas!$AD$1:$AF$65,3,FALSE),"")</f>
        <v>52220857</v>
      </c>
      <c r="AC85" s="26" t="s">
        <v>4526</v>
      </c>
      <c r="AD85" s="26" t="s">
        <v>2937</v>
      </c>
      <c r="AE85" s="100">
        <f t="shared" ca="1" si="24"/>
        <v>98.962594973699595</v>
      </c>
      <c r="AF85" s="100">
        <f t="shared" ca="1" si="25"/>
        <v>98.962594973699595</v>
      </c>
      <c r="AG85" s="100">
        <f t="shared" ca="1" si="26"/>
        <v>98.963133640552996</v>
      </c>
      <c r="AH85" s="101">
        <f t="shared" si="27"/>
        <v>84.987837076907198</v>
      </c>
      <c r="AI85" s="59">
        <v>55538313554.940002</v>
      </c>
      <c r="AJ85" s="54"/>
      <c r="AK85" s="56">
        <f t="shared" ca="1" si="28"/>
        <v>64670966288.208984</v>
      </c>
    </row>
    <row r="86" spans="1:37" ht="76.5">
      <c r="A86" s="54"/>
      <c r="B86" s="54" t="s">
        <v>9133</v>
      </c>
      <c r="C86" s="17" t="s">
        <v>6292</v>
      </c>
      <c r="D86" s="17" t="s">
        <v>6197</v>
      </c>
      <c r="E86" s="17" t="s">
        <v>1426</v>
      </c>
      <c r="F86" s="17" t="s">
        <v>1427</v>
      </c>
      <c r="G86" s="16" t="s">
        <v>9134</v>
      </c>
      <c r="H86" s="16" t="s">
        <v>9135</v>
      </c>
      <c r="I86" s="32" t="s">
        <v>9136</v>
      </c>
      <c r="J86" s="17" t="s">
        <v>8752</v>
      </c>
      <c r="K86" s="22">
        <v>45650</v>
      </c>
      <c r="L86" s="22">
        <v>39413</v>
      </c>
      <c r="M86" s="22">
        <v>39413</v>
      </c>
      <c r="N86" s="22">
        <v>41239</v>
      </c>
      <c r="O86" s="22">
        <v>46717</v>
      </c>
      <c r="P86" s="102">
        <f t="shared" si="22"/>
        <v>1826</v>
      </c>
      <c r="Q86" s="103">
        <f t="shared" si="23"/>
        <v>7304</v>
      </c>
      <c r="R86" s="54">
        <v>0</v>
      </c>
      <c r="S86" s="57">
        <v>506695000</v>
      </c>
      <c r="T86" s="57">
        <v>83916600</v>
      </c>
      <c r="U86" s="57">
        <f>S86+T86</f>
        <v>590611600</v>
      </c>
      <c r="V86" s="17" t="s">
        <v>427</v>
      </c>
      <c r="W86" s="23" t="str">
        <f>IFERROR(VLOOKUP(V86,Listas!$A$1:$C$13,2,FALSE),"")</f>
        <v>DINORAH PATRICIA ABADIA MURILLO</v>
      </c>
      <c r="X86" s="23">
        <f>IFERROR(VLOOKUP(V86,Listas!$A$1:$C$13,3,FALSE),"")</f>
        <v>52220857</v>
      </c>
      <c r="Y86" s="17" t="s">
        <v>427</v>
      </c>
      <c r="Z86" s="17" t="s">
        <v>428</v>
      </c>
      <c r="AA86" s="23" t="str">
        <f>IFERROR(VLOOKUP(Z86,Listas!$AD$1:$AF$65,2,FALSE),"")</f>
        <v>DINORAH PATRICIA ABADIA MURILLO</v>
      </c>
      <c r="AB86" s="23">
        <f>IFERROR(VLOOKUP(Z86,Listas!$AD$1:$AF$65,3,FALSE),"")</f>
        <v>52220857</v>
      </c>
      <c r="AC86" s="26" t="s">
        <v>3501</v>
      </c>
      <c r="AD86" s="26" t="s">
        <v>2937</v>
      </c>
      <c r="AE86" s="100">
        <f t="shared" ca="1" si="24"/>
        <v>89.498541464092241</v>
      </c>
      <c r="AF86" s="100">
        <f t="shared" ca="1" si="25"/>
        <v>89.498541464092241</v>
      </c>
      <c r="AG86" s="100">
        <f t="shared" ca="1" si="26"/>
        <v>89.498904709748089</v>
      </c>
      <c r="AH86" s="101">
        <f t="shared" si="27"/>
        <v>47.595951362960022</v>
      </c>
      <c r="AI86" s="59">
        <v>281107209.88</v>
      </c>
      <c r="AJ86" s="54"/>
      <c r="AK86" s="56">
        <f t="shared" ca="1" si="28"/>
        <v>528590913.08871853</v>
      </c>
    </row>
    <row r="87" spans="1:37" ht="167.25">
      <c r="A87" s="54"/>
      <c r="B87" s="54" t="s">
        <v>9137</v>
      </c>
      <c r="C87" s="17" t="s">
        <v>6292</v>
      </c>
      <c r="D87" s="17" t="s">
        <v>6197</v>
      </c>
      <c r="E87" s="17" t="s">
        <v>1426</v>
      </c>
      <c r="F87" s="17" t="s">
        <v>1427</v>
      </c>
      <c r="G87" s="16" t="s">
        <v>9017</v>
      </c>
      <c r="H87" s="16" t="s">
        <v>9018</v>
      </c>
      <c r="I87" s="32" t="s">
        <v>9138</v>
      </c>
      <c r="J87" s="17" t="s">
        <v>8745</v>
      </c>
      <c r="K87" s="22">
        <v>45639</v>
      </c>
      <c r="L87" s="22">
        <v>43098</v>
      </c>
      <c r="M87" s="22">
        <v>43098</v>
      </c>
      <c r="N87" s="22">
        <v>44924</v>
      </c>
      <c r="O87" s="22">
        <v>46385</v>
      </c>
      <c r="P87" s="102">
        <f t="shared" si="22"/>
        <v>1826</v>
      </c>
      <c r="Q87" s="103">
        <f t="shared" si="23"/>
        <v>3287</v>
      </c>
      <c r="R87" s="54">
        <v>730</v>
      </c>
      <c r="S87" s="57">
        <f>1517366261+80000000+500000000</f>
        <v>2097366261</v>
      </c>
      <c r="T87" s="57">
        <v>500000000</v>
      </c>
      <c r="U87" s="57">
        <f>S87+T87</f>
        <v>2597366261</v>
      </c>
      <c r="V87" s="17" t="s">
        <v>427</v>
      </c>
      <c r="W87" s="23" t="str">
        <f>IFERROR(VLOOKUP(V87,Listas!$A$1:$C$13,2,FALSE),"")</f>
        <v>DINORAH PATRICIA ABADIA MURILLO</v>
      </c>
      <c r="X87" s="23">
        <f>IFERROR(VLOOKUP(V87,Listas!$A$1:$C$13,3,FALSE),"")</f>
        <v>52220857</v>
      </c>
      <c r="Y87" s="17" t="s">
        <v>427</v>
      </c>
      <c r="Z87" s="17" t="s">
        <v>428</v>
      </c>
      <c r="AA87" s="23" t="str">
        <f>IFERROR(VLOOKUP(Z87,Listas!$AD$1:$AF$65,2,FALSE),"")</f>
        <v>DINORAH PATRICIA ABADIA MURILLO</v>
      </c>
      <c r="AB87" s="23">
        <f>IFERROR(VLOOKUP(Z87,Listas!$AD$1:$AF$65,3,FALSE),"")</f>
        <v>52220857</v>
      </c>
      <c r="AC87" s="26" t="s">
        <v>3453</v>
      </c>
      <c r="AD87" s="26" t="s">
        <v>2937</v>
      </c>
      <c r="AE87" s="100">
        <f t="shared" ca="1" si="24"/>
        <v>86.759259259259252</v>
      </c>
      <c r="AF87" s="100">
        <f t="shared" ca="1" si="25"/>
        <v>86.759259259259252</v>
      </c>
      <c r="AG87" s="100">
        <f t="shared" ca="1" si="26"/>
        <v>86.766048068147242</v>
      </c>
      <c r="AH87" s="101">
        <f t="shared" si="27"/>
        <v>75.283523568877214</v>
      </c>
      <c r="AI87" s="59">
        <v>1955388841.27</v>
      </c>
      <c r="AJ87" s="54"/>
      <c r="AK87" s="56">
        <f t="shared" ca="1" si="28"/>
        <v>2253632058.5250988</v>
      </c>
    </row>
    <row r="88" spans="1:37" ht="91.5">
      <c r="A88" s="54">
        <v>122030</v>
      </c>
      <c r="B88" s="54" t="s">
        <v>9139</v>
      </c>
      <c r="C88" s="17" t="s">
        <v>6292</v>
      </c>
      <c r="D88" s="17" t="s">
        <v>6197</v>
      </c>
      <c r="E88" s="17" t="s">
        <v>1426</v>
      </c>
      <c r="F88" s="17" t="s">
        <v>1427</v>
      </c>
      <c r="G88" s="16" t="s">
        <v>9140</v>
      </c>
      <c r="H88" s="16" t="s">
        <v>9141</v>
      </c>
      <c r="I88" s="32" t="s">
        <v>9142</v>
      </c>
      <c r="J88" s="17" t="s">
        <v>8886</v>
      </c>
      <c r="K88" s="22">
        <v>45643</v>
      </c>
      <c r="L88" s="22">
        <v>43462</v>
      </c>
      <c r="M88" s="22">
        <v>43462</v>
      </c>
      <c r="N88" s="22">
        <v>45288</v>
      </c>
      <c r="O88" s="22">
        <v>48029</v>
      </c>
      <c r="P88" s="102">
        <f t="shared" si="22"/>
        <v>1826</v>
      </c>
      <c r="Q88" s="103">
        <f t="shared" si="23"/>
        <v>4567</v>
      </c>
      <c r="R88" s="54">
        <f>O88-N88</f>
        <v>2741</v>
      </c>
      <c r="S88" s="57">
        <f>172428000+29235500</f>
        <v>201663500</v>
      </c>
      <c r="T88" s="57">
        <v>0</v>
      </c>
      <c r="U88" s="57">
        <v>201663500</v>
      </c>
      <c r="V88" s="17" t="s">
        <v>427</v>
      </c>
      <c r="W88" s="23" t="str">
        <f>IFERROR(VLOOKUP(V88,Listas!$A$1:$C$13,2,FALSE),"")</f>
        <v>DINORAH PATRICIA ABADIA MURILLO</v>
      </c>
      <c r="X88" s="23">
        <f>IFERROR(VLOOKUP(V88,Listas!$A$1:$C$13,3,FALSE),"")</f>
        <v>52220857</v>
      </c>
      <c r="Y88" s="17" t="s">
        <v>427</v>
      </c>
      <c r="Z88" s="17" t="s">
        <v>428</v>
      </c>
      <c r="AA88" s="23" t="str">
        <f>IFERROR(VLOOKUP(Z88,Listas!$AD$1:$AF$65,2,FALSE),"")</f>
        <v>DINORAH PATRICIA ABADIA MURILLO</v>
      </c>
      <c r="AB88" s="23">
        <f>IFERROR(VLOOKUP(Z88,Listas!$AD$1:$AF$65,3,FALSE),"")</f>
        <v>52220857</v>
      </c>
      <c r="AC88" s="26" t="s">
        <v>3133</v>
      </c>
      <c r="AD88" s="26" t="s">
        <v>2937</v>
      </c>
      <c r="AE88" s="100">
        <f t="shared" ca="1" si="24"/>
        <v>54.464682363394047</v>
      </c>
      <c r="AF88" s="100">
        <f t="shared" ca="1" si="25"/>
        <v>54.464682363394047</v>
      </c>
      <c r="AG88" s="100">
        <f t="shared" ca="1" si="26"/>
        <v>54.477775344865329</v>
      </c>
      <c r="AH88" s="101">
        <f t="shared" si="27"/>
        <v>12.199595672989908</v>
      </c>
      <c r="AI88" s="59">
        <v>24602131.620000001</v>
      </c>
      <c r="AJ88" s="54"/>
      <c r="AK88" s="56">
        <f t="shared" ca="1" si="28"/>
        <v>109861788.48259251</v>
      </c>
    </row>
    <row r="89" spans="1:37" ht="91.5">
      <c r="A89" s="54"/>
      <c r="B89" s="54" t="s">
        <v>9143</v>
      </c>
      <c r="C89" s="17" t="s">
        <v>6292</v>
      </c>
      <c r="D89" s="17" t="s">
        <v>6197</v>
      </c>
      <c r="E89" s="17" t="s">
        <v>1426</v>
      </c>
      <c r="F89" s="17" t="s">
        <v>1427</v>
      </c>
      <c r="G89" s="16" t="s">
        <v>9144</v>
      </c>
      <c r="H89" s="16" t="s">
        <v>9145</v>
      </c>
      <c r="I89" s="32" t="s">
        <v>9146</v>
      </c>
      <c r="J89" s="17" t="s">
        <v>8752</v>
      </c>
      <c r="K89" s="22">
        <v>45623</v>
      </c>
      <c r="L89" s="22">
        <v>39035</v>
      </c>
      <c r="M89" s="22">
        <v>39035</v>
      </c>
      <c r="N89" s="22">
        <v>40861</v>
      </c>
      <c r="O89" s="22">
        <v>46340</v>
      </c>
      <c r="P89" s="102">
        <f t="shared" si="22"/>
        <v>1826</v>
      </c>
      <c r="Q89" s="103">
        <f t="shared" si="23"/>
        <v>7305</v>
      </c>
      <c r="R89" s="54">
        <v>0</v>
      </c>
      <c r="S89" s="57">
        <f>683133716.07+5280207.34+53015377</f>
        <v>741429300.41000009</v>
      </c>
      <c r="T89" s="57">
        <v>10835816.5</v>
      </c>
      <c r="U89" s="57">
        <f>S89+T89</f>
        <v>752265116.91000009</v>
      </c>
      <c r="V89" s="17" t="s">
        <v>427</v>
      </c>
      <c r="W89" s="23" t="str">
        <f>IFERROR(VLOOKUP(V89,Listas!$A$1:$C$13,2,FALSE),"")</f>
        <v>DINORAH PATRICIA ABADIA MURILLO</v>
      </c>
      <c r="X89" s="23">
        <f>IFERROR(VLOOKUP(V89,Listas!$A$1:$C$13,3,FALSE),"")</f>
        <v>52220857</v>
      </c>
      <c r="Y89" s="17" t="s">
        <v>427</v>
      </c>
      <c r="Z89" s="17" t="s">
        <v>428</v>
      </c>
      <c r="AA89" s="23" t="str">
        <f>IFERROR(VLOOKUP(Z89,Listas!$AD$1:$AF$65,2,FALSE),"")</f>
        <v>DINORAH PATRICIA ABADIA MURILLO</v>
      </c>
      <c r="AB89" s="23">
        <f>IFERROR(VLOOKUP(Z89,Listas!$AD$1:$AF$65,3,FALSE),"")</f>
        <v>52220857</v>
      </c>
      <c r="AC89" s="26" t="s">
        <v>3453</v>
      </c>
      <c r="AD89" s="26" t="s">
        <v>2937</v>
      </c>
      <c r="AE89" s="100">
        <f t="shared" ca="1" si="24"/>
        <v>94.666666666666671</v>
      </c>
      <c r="AF89" s="100">
        <f t="shared" ca="1" si="25"/>
        <v>94.666666666666671</v>
      </c>
      <c r="AG89" s="100">
        <f t="shared" ca="1" si="26"/>
        <v>94.661190965092416</v>
      </c>
      <c r="AH89" s="101">
        <f t="shared" si="27"/>
        <v>235.41507313197312</v>
      </c>
      <c r="AI89" s="59">
        <v>1770945475.1199999</v>
      </c>
      <c r="AJ89" s="54"/>
      <c r="AK89" s="56">
        <f t="shared" ca="1" si="28"/>
        <v>712103118.88195086</v>
      </c>
    </row>
    <row r="90" spans="1:37" ht="152.25">
      <c r="A90" s="54">
        <v>122088</v>
      </c>
      <c r="B90" s="54" t="s">
        <v>9147</v>
      </c>
      <c r="C90" s="17" t="s">
        <v>6292</v>
      </c>
      <c r="D90" s="17" t="s">
        <v>6197</v>
      </c>
      <c r="E90" s="17" t="s">
        <v>1426</v>
      </c>
      <c r="F90" s="17" t="s">
        <v>1427</v>
      </c>
      <c r="G90" s="16" t="s">
        <v>9047</v>
      </c>
      <c r="H90" s="16" t="s">
        <v>9048</v>
      </c>
      <c r="I90" s="32" t="s">
        <v>9148</v>
      </c>
      <c r="J90" s="17" t="s">
        <v>8752</v>
      </c>
      <c r="K90" s="22">
        <v>45625</v>
      </c>
      <c r="L90" s="22">
        <v>44193</v>
      </c>
      <c r="M90" s="22">
        <v>44193</v>
      </c>
      <c r="N90" s="22">
        <v>46018</v>
      </c>
      <c r="O90" s="22">
        <v>46018</v>
      </c>
      <c r="P90" s="102">
        <f t="shared" si="22"/>
        <v>1825</v>
      </c>
      <c r="Q90" s="103">
        <f t="shared" si="23"/>
        <v>1825</v>
      </c>
      <c r="R90" s="54">
        <v>0</v>
      </c>
      <c r="S90" s="57">
        <v>5400539243</v>
      </c>
      <c r="T90" s="57">
        <v>3700000000</v>
      </c>
      <c r="U90" s="57">
        <f>S90+T90</f>
        <v>9100539243</v>
      </c>
      <c r="V90" s="17" t="s">
        <v>427</v>
      </c>
      <c r="W90" s="23" t="str">
        <f>IFERROR(VLOOKUP(V90,Listas!$A$1:$C$13,2,FALSE),"")</f>
        <v>DINORAH PATRICIA ABADIA MURILLO</v>
      </c>
      <c r="X90" s="23">
        <f>IFERROR(VLOOKUP(V90,Listas!$A$1:$C$13,3,FALSE),"")</f>
        <v>52220857</v>
      </c>
      <c r="Y90" s="17" t="s">
        <v>427</v>
      </c>
      <c r="Z90" s="17" t="s">
        <v>428</v>
      </c>
      <c r="AA90" s="23" t="str">
        <f>IFERROR(VLOOKUP(Z90,Listas!$AD$1:$AF$65,2,FALSE),"")</f>
        <v>DINORAH PATRICIA ABADIA MURILLO</v>
      </c>
      <c r="AB90" s="23">
        <f>IFERROR(VLOOKUP(Z90,Listas!$AD$1:$AF$65,3,FALSE),"")</f>
        <v>52220857</v>
      </c>
      <c r="AC90" s="26" t="s">
        <v>3453</v>
      </c>
      <c r="AD90" s="26" t="s">
        <v>2937</v>
      </c>
      <c r="AE90" s="100">
        <f t="shared" ca="1" si="24"/>
        <v>96.275708727070594</v>
      </c>
      <c r="AF90" s="100">
        <f t="shared" ca="1" si="25"/>
        <v>96.275708727070594</v>
      </c>
      <c r="AG90" s="100">
        <f t="shared" ca="1" si="26"/>
        <v>96.273972602739718</v>
      </c>
      <c r="AH90" s="101">
        <f t="shared" si="27"/>
        <v>24.077206774372236</v>
      </c>
      <c r="AI90" s="59">
        <v>2191155651.1199999</v>
      </c>
      <c r="AJ90" s="54"/>
      <c r="AK90" s="56">
        <f t="shared" ca="1" si="28"/>
        <v>8761450657.5073967</v>
      </c>
    </row>
    <row r="91" spans="1:37" ht="60.75">
      <c r="A91" s="54"/>
      <c r="B91" s="54" t="s">
        <v>9149</v>
      </c>
      <c r="C91" s="17" t="s">
        <v>6292</v>
      </c>
      <c r="D91" s="17" t="s">
        <v>6197</v>
      </c>
      <c r="E91" s="17" t="s">
        <v>1426</v>
      </c>
      <c r="F91" s="17" t="s">
        <v>1427</v>
      </c>
      <c r="G91" s="16" t="s">
        <v>8874</v>
      </c>
      <c r="H91" s="16" t="s">
        <v>9150</v>
      </c>
      <c r="I91" s="32" t="s">
        <v>9151</v>
      </c>
      <c r="J91" s="17" t="s">
        <v>8739</v>
      </c>
      <c r="K91" s="22">
        <v>45639</v>
      </c>
      <c r="L91" s="22">
        <v>39797</v>
      </c>
      <c r="M91" s="22">
        <v>39797</v>
      </c>
      <c r="N91" s="22">
        <v>40527</v>
      </c>
      <c r="O91" s="22">
        <v>46369</v>
      </c>
      <c r="P91" s="102">
        <f t="shared" si="22"/>
        <v>730</v>
      </c>
      <c r="Q91" s="103">
        <f t="shared" si="23"/>
        <v>6572</v>
      </c>
      <c r="R91" s="54">
        <v>730</v>
      </c>
      <c r="S91" s="57">
        <f>33973098+10000000+10000000+25000000+20663781+147525408</f>
        <v>247162287</v>
      </c>
      <c r="T91" s="57">
        <v>0</v>
      </c>
      <c r="U91" s="57">
        <v>247162287</v>
      </c>
      <c r="V91" s="17" t="s">
        <v>427</v>
      </c>
      <c r="W91" s="23" t="str">
        <f>IFERROR(VLOOKUP(V91,Listas!$A$1:$C$13,2,FALSE),"")</f>
        <v>DINORAH PATRICIA ABADIA MURILLO</v>
      </c>
      <c r="X91" s="23">
        <f>IFERROR(VLOOKUP(V91,Listas!$A$1:$C$13,3,FALSE),"")</f>
        <v>52220857</v>
      </c>
      <c r="Y91" s="17" t="s">
        <v>427</v>
      </c>
      <c r="Z91" s="17" t="s">
        <v>428</v>
      </c>
      <c r="AA91" s="23" t="str">
        <f>IFERROR(VLOOKUP(Z91,Listas!$AD$1:$AF$65,2,FALSE),"")</f>
        <v>DINORAH PATRICIA ABADIA MURILLO</v>
      </c>
      <c r="AB91" s="23">
        <f>IFERROR(VLOOKUP(Z91,Listas!$AD$1:$AF$65,3,FALSE),"")</f>
        <v>52220857</v>
      </c>
      <c r="AC91" s="26" t="s">
        <v>3453</v>
      </c>
      <c r="AD91" s="26" t="s">
        <v>2937</v>
      </c>
      <c r="AE91" s="100">
        <f t="shared" ca="1" si="24"/>
        <v>93.624575486261193</v>
      </c>
      <c r="AF91" s="100">
        <f t="shared" ca="1" si="25"/>
        <v>93.624575486261193</v>
      </c>
      <c r="AG91" s="100">
        <f t="shared" ca="1" si="26"/>
        <v>93.624467437614129</v>
      </c>
      <c r="AH91" s="101">
        <f t="shared" si="27"/>
        <v>89.068011832242036</v>
      </c>
      <c r="AI91" s="59">
        <v>220142535.03</v>
      </c>
      <c r="AJ91" s="54"/>
      <c r="AK91" s="56">
        <f t="shared" ca="1" si="28"/>
        <v>231404374.91037738</v>
      </c>
    </row>
    <row r="92" spans="1:37" ht="45.75">
      <c r="A92" s="54">
        <v>122069</v>
      </c>
      <c r="B92" s="54" t="s">
        <v>8899</v>
      </c>
      <c r="C92" s="17" t="s">
        <v>6292</v>
      </c>
      <c r="D92" s="17" t="s">
        <v>6197</v>
      </c>
      <c r="E92" s="17" t="s">
        <v>1426</v>
      </c>
      <c r="F92" s="17" t="s">
        <v>1427</v>
      </c>
      <c r="G92" s="16" t="s">
        <v>8900</v>
      </c>
      <c r="H92" s="16" t="s">
        <v>8901</v>
      </c>
      <c r="I92" s="32" t="s">
        <v>9152</v>
      </c>
      <c r="J92" s="17" t="s">
        <v>8739</v>
      </c>
      <c r="K92" s="22">
        <v>45604</v>
      </c>
      <c r="L92" s="22">
        <v>43789</v>
      </c>
      <c r="M92" s="22">
        <v>43789</v>
      </c>
      <c r="N92" s="22">
        <v>44196</v>
      </c>
      <c r="O92" s="22">
        <v>46022</v>
      </c>
      <c r="P92" s="102">
        <f t="shared" si="22"/>
        <v>407</v>
      </c>
      <c r="Q92" s="103">
        <f t="shared" si="23"/>
        <v>2233</v>
      </c>
      <c r="R92" s="54">
        <v>184</v>
      </c>
      <c r="S92" s="57">
        <v>68150340540.889999</v>
      </c>
      <c r="T92" s="57">
        <v>10539772000</v>
      </c>
      <c r="U92" s="57">
        <f>S92+T92</f>
        <v>78690112540.889999</v>
      </c>
      <c r="V92" s="17" t="s">
        <v>427</v>
      </c>
      <c r="W92" s="23" t="str">
        <f>IFERROR(VLOOKUP(V92,Listas!$A$1:$C$13,2,FALSE),"")</f>
        <v>DINORAH PATRICIA ABADIA MURILLO</v>
      </c>
      <c r="X92" s="23">
        <f>IFERROR(VLOOKUP(V92,Listas!$A$1:$C$13,3,FALSE),"")</f>
        <v>52220857</v>
      </c>
      <c r="Y92" s="17" t="s">
        <v>427</v>
      </c>
      <c r="Z92" s="17" t="s">
        <v>428</v>
      </c>
      <c r="AA92" s="23" t="str">
        <f>IFERROR(VLOOKUP(Z92,Listas!$AD$1:$AF$65,2,FALSE),"")</f>
        <v>DINORAH PATRICIA ABADIA MURILLO</v>
      </c>
      <c r="AB92" s="23">
        <f>IFERROR(VLOOKUP(Z92,Listas!$AD$1:$AF$65,3,FALSE),"")</f>
        <v>52220857</v>
      </c>
      <c r="AC92" s="26" t="s">
        <v>2938</v>
      </c>
      <c r="AD92" s="26" t="s">
        <v>2937</v>
      </c>
      <c r="AE92" s="100">
        <f t="shared" ca="1" si="24"/>
        <v>96.774193548387103</v>
      </c>
      <c r="AF92" s="100">
        <f t="shared" ca="1" si="25"/>
        <v>96.774193548387103</v>
      </c>
      <c r="AG92" s="100">
        <f t="shared" ca="1" si="26"/>
        <v>96.775638154948496</v>
      </c>
      <c r="AH92" s="101">
        <f t="shared" si="27"/>
        <v>39.848058526356958</v>
      </c>
      <c r="AI92" s="59">
        <v>31356482099.75</v>
      </c>
      <c r="AJ92" s="54"/>
      <c r="AK92" s="56">
        <f t="shared" ca="1" si="28"/>
        <v>76152858576.293457</v>
      </c>
    </row>
    <row r="93" spans="1:37" ht="137.25">
      <c r="A93" s="54"/>
      <c r="B93" s="54" t="s">
        <v>9153</v>
      </c>
      <c r="C93" s="17" t="s">
        <v>6292</v>
      </c>
      <c r="D93" s="17" t="s">
        <v>5941</v>
      </c>
      <c r="E93" s="17" t="s">
        <v>1426</v>
      </c>
      <c r="F93" s="17" t="s">
        <v>1427</v>
      </c>
      <c r="G93" s="16" t="s">
        <v>9154</v>
      </c>
      <c r="H93" s="16" t="s">
        <v>9155</v>
      </c>
      <c r="I93" s="32" t="s">
        <v>9156</v>
      </c>
      <c r="J93" s="17" t="s">
        <v>8886</v>
      </c>
      <c r="K93" s="22">
        <v>45653</v>
      </c>
      <c r="L93" s="22">
        <v>42002</v>
      </c>
      <c r="M93" s="22">
        <v>42002</v>
      </c>
      <c r="N93" s="22">
        <v>43828</v>
      </c>
      <c r="O93" s="22">
        <v>49305</v>
      </c>
      <c r="P93" s="102">
        <f t="shared" si="22"/>
        <v>1826</v>
      </c>
      <c r="Q93" s="103">
        <f t="shared" si="23"/>
        <v>7303</v>
      </c>
      <c r="R93" s="54">
        <v>3651</v>
      </c>
      <c r="S93" s="57">
        <f>68340000+100000000+427465402</f>
        <v>595805402</v>
      </c>
      <c r="T93" s="57">
        <v>0</v>
      </c>
      <c r="U93" s="57">
        <v>595805402</v>
      </c>
      <c r="V93" s="17" t="s">
        <v>406</v>
      </c>
      <c r="W93" s="23" t="str">
        <f>IFERROR(VLOOKUP(V93,Listas!$A$1:$C$13,2,FALSE),"")</f>
        <v>EDUARDO ELÍAS BARCHA BOLÍVAR</v>
      </c>
      <c r="X93" s="23">
        <f>IFERROR(VLOOKUP(V93,Listas!$A$1:$C$13,3,FALSE),"")</f>
        <v>72133921</v>
      </c>
      <c r="Y93" s="17" t="s">
        <v>406</v>
      </c>
      <c r="Z93" s="17" t="s">
        <v>504</v>
      </c>
      <c r="AA93" s="23" t="str">
        <f>IFERROR(VLOOKUP(Z93,Listas!$AD$1:$AF$65,2,FALSE),"")</f>
        <v>EDUARDO ELÍAS BARCHA BOLÍVAR</v>
      </c>
      <c r="AB93" s="23">
        <f>IFERROR(VLOOKUP(Z93,Listas!$AD$1:$AF$65,3,FALSE),"")</f>
        <v>72133921</v>
      </c>
      <c r="AC93" s="26" t="s">
        <v>3067</v>
      </c>
      <c r="AD93" s="26" t="s">
        <v>2937</v>
      </c>
      <c r="AE93" s="100">
        <f t="shared" ca="1" si="24"/>
        <v>54.056682411781054</v>
      </c>
      <c r="AF93" s="100">
        <f t="shared" ca="1" si="25"/>
        <v>54.056682411781054</v>
      </c>
      <c r="AG93" s="100">
        <f t="shared" ca="1" si="26"/>
        <v>54.059975352594826</v>
      </c>
      <c r="AH93" s="101">
        <f t="shared" si="27"/>
        <v>0</v>
      </c>
      <c r="AI93" s="59">
        <v>0</v>
      </c>
      <c r="AJ93" s="54"/>
      <c r="AK93" s="56">
        <f t="shared" ca="1" si="28"/>
        <v>322092253.4706285</v>
      </c>
    </row>
    <row r="94" spans="1:37" ht="91.5">
      <c r="A94" s="54"/>
      <c r="B94" s="54" t="s">
        <v>9157</v>
      </c>
      <c r="C94" s="17" t="s">
        <v>104</v>
      </c>
      <c r="D94" s="17" t="s">
        <v>4162</v>
      </c>
      <c r="E94" s="17" t="s">
        <v>1426</v>
      </c>
      <c r="F94" s="17" t="s">
        <v>1427</v>
      </c>
      <c r="G94" s="16" t="s">
        <v>8949</v>
      </c>
      <c r="H94" s="16" t="s">
        <v>9158</v>
      </c>
      <c r="I94" s="32" t="s">
        <v>9159</v>
      </c>
      <c r="J94" s="17" t="s">
        <v>8739</v>
      </c>
      <c r="K94" s="22">
        <v>45638</v>
      </c>
      <c r="L94" s="22">
        <v>44589</v>
      </c>
      <c r="M94" s="22">
        <v>44908</v>
      </c>
      <c r="N94" s="22">
        <v>45639</v>
      </c>
      <c r="O94" s="22">
        <v>45943</v>
      </c>
      <c r="P94" s="102">
        <f t="shared" si="22"/>
        <v>731</v>
      </c>
      <c r="Q94" s="103">
        <f t="shared" si="23"/>
        <v>1035</v>
      </c>
      <c r="R94" s="54">
        <f>O94-N94</f>
        <v>304</v>
      </c>
      <c r="S94" s="57">
        <v>829116196</v>
      </c>
      <c r="T94" s="57">
        <v>0</v>
      </c>
      <c r="U94" s="57">
        <v>829116196</v>
      </c>
      <c r="V94" s="17" t="s">
        <v>427</v>
      </c>
      <c r="W94" s="23" t="str">
        <f>IFERROR(VLOOKUP(V94,Listas!$A$1:$C$13,2,FALSE),"")</f>
        <v>DINORAH PATRICIA ABADIA MURILLO</v>
      </c>
      <c r="X94" s="23">
        <f>IFERROR(VLOOKUP(V94,Listas!$A$1:$C$13,3,FALSE),"")</f>
        <v>52220857</v>
      </c>
      <c r="Y94" s="17" t="s">
        <v>427</v>
      </c>
      <c r="Z94" s="17" t="s">
        <v>428</v>
      </c>
      <c r="AA94" s="23" t="str">
        <f>IFERROR(VLOOKUP(Z94,Listas!$AD$1:$AF$65,2,FALSE),"")</f>
        <v>DINORAH PATRICIA ABADIA MURILLO</v>
      </c>
      <c r="AB94" s="23">
        <f>IFERROR(VLOOKUP(Z94,Listas!$AD$1:$AF$65,3,FALSE),"")</f>
        <v>52220857</v>
      </c>
      <c r="AC94" s="26" t="s">
        <v>3067</v>
      </c>
      <c r="AD94" s="26" t="s">
        <v>2937</v>
      </c>
      <c r="AE94" s="100">
        <f t="shared" ca="1" si="24"/>
        <v>100</v>
      </c>
      <c r="AF94" s="100">
        <f t="shared" ca="1" si="25"/>
        <v>100</v>
      </c>
      <c r="AG94" s="100">
        <f t="shared" ca="1" si="26"/>
        <v>100.67632850241546</v>
      </c>
      <c r="AH94" s="101">
        <f t="shared" si="27"/>
        <v>52.030390924844504</v>
      </c>
      <c r="AI94" s="59">
        <v>431392398</v>
      </c>
      <c r="AJ94" s="54"/>
      <c r="AK94" s="56">
        <f t="shared" ca="1" si="28"/>
        <v>834723745.15169084</v>
      </c>
    </row>
    <row r="95" spans="1:37" ht="137.25">
      <c r="A95" s="54"/>
      <c r="B95" s="54" t="s">
        <v>9160</v>
      </c>
      <c r="C95" s="17" t="s">
        <v>6292</v>
      </c>
      <c r="D95" s="17" t="s">
        <v>6197</v>
      </c>
      <c r="E95" s="17" t="s">
        <v>1426</v>
      </c>
      <c r="F95" s="17" t="s">
        <v>1427</v>
      </c>
      <c r="G95" s="16" t="s">
        <v>9161</v>
      </c>
      <c r="H95" s="16" t="s">
        <v>9162</v>
      </c>
      <c r="I95" s="32" t="s">
        <v>9163</v>
      </c>
      <c r="J95" s="17" t="s">
        <v>9014</v>
      </c>
      <c r="K95" s="22">
        <v>45639</v>
      </c>
      <c r="L95" s="22">
        <v>44463</v>
      </c>
      <c r="M95" s="22">
        <v>44463</v>
      </c>
      <c r="N95" s="22">
        <v>46288</v>
      </c>
      <c r="O95" s="22">
        <v>47020</v>
      </c>
      <c r="P95" s="102">
        <f t="shared" si="22"/>
        <v>1825</v>
      </c>
      <c r="Q95" s="103">
        <f t="shared" si="23"/>
        <v>2557</v>
      </c>
      <c r="R95" s="54">
        <v>0</v>
      </c>
      <c r="S95" s="57">
        <f>U95-T95</f>
        <v>8286470996</v>
      </c>
      <c r="T95" s="57">
        <v>5134507119</v>
      </c>
      <c r="U95" s="57">
        <v>13420978115</v>
      </c>
      <c r="V95" s="17" t="s">
        <v>427</v>
      </c>
      <c r="W95" s="23" t="str">
        <f>IFERROR(VLOOKUP(V95,Listas!$A$1:$C$13,2,FALSE),"")</f>
        <v>DINORAH PATRICIA ABADIA MURILLO</v>
      </c>
      <c r="X95" s="23">
        <f>IFERROR(VLOOKUP(V95,Listas!$A$1:$C$13,3,FALSE),"")</f>
        <v>52220857</v>
      </c>
      <c r="Y95" s="17" t="s">
        <v>427</v>
      </c>
      <c r="Z95" s="17" t="s">
        <v>428</v>
      </c>
      <c r="AA95" s="23" t="str">
        <f>IFERROR(VLOOKUP(Z95,Listas!$AD$1:$AF$65,2,FALSE),"")</f>
        <v>DINORAH PATRICIA ABADIA MURILLO</v>
      </c>
      <c r="AB95" s="23">
        <f>IFERROR(VLOOKUP(Z95,Listas!$AD$1:$AF$65,3,FALSE),"")</f>
        <v>52220857</v>
      </c>
      <c r="AC95" s="26" t="s">
        <v>3437</v>
      </c>
      <c r="AD95" s="26" t="s">
        <v>2937</v>
      </c>
      <c r="AE95" s="100">
        <f t="shared" ca="1" si="24"/>
        <v>58.174603174603178</v>
      </c>
      <c r="AF95" s="100">
        <f t="shared" ca="1" si="25"/>
        <v>58.174603174603178</v>
      </c>
      <c r="AG95" s="100">
        <f t="shared" ca="1" si="26"/>
        <v>58.154086820492765</v>
      </c>
      <c r="AH95" s="101">
        <f t="shared" si="27"/>
        <v>19.049840610890527</v>
      </c>
      <c r="AI95" s="59">
        <v>2556674939.3299999</v>
      </c>
      <c r="AJ95" s="54"/>
      <c r="AK95" s="56">
        <f t="shared" ca="1" si="28"/>
        <v>7804847265.1564331</v>
      </c>
    </row>
    <row r="96" spans="1:37" ht="152.25">
      <c r="A96" s="54">
        <v>121842</v>
      </c>
      <c r="B96" s="54" t="s">
        <v>9053</v>
      </c>
      <c r="C96" s="17" t="s">
        <v>6292</v>
      </c>
      <c r="D96" s="17" t="s">
        <v>6197</v>
      </c>
      <c r="E96" s="17" t="s">
        <v>1426</v>
      </c>
      <c r="F96" s="17" t="s">
        <v>1427</v>
      </c>
      <c r="G96" s="16" t="s">
        <v>8874</v>
      </c>
      <c r="H96" s="16" t="s">
        <v>9054</v>
      </c>
      <c r="I96" s="32" t="s">
        <v>9164</v>
      </c>
      <c r="J96" s="17" t="s">
        <v>8739</v>
      </c>
      <c r="K96" s="22">
        <v>45635</v>
      </c>
      <c r="L96" s="22">
        <v>42002</v>
      </c>
      <c r="M96" s="22">
        <v>42002</v>
      </c>
      <c r="N96" s="22">
        <v>43827</v>
      </c>
      <c r="O96" s="22">
        <v>46750</v>
      </c>
      <c r="P96" s="102">
        <f t="shared" si="22"/>
        <v>1825</v>
      </c>
      <c r="Q96" s="103">
        <f t="shared" si="23"/>
        <v>4748</v>
      </c>
      <c r="R96" s="54">
        <v>1096</v>
      </c>
      <c r="S96" s="57">
        <v>2700000000</v>
      </c>
      <c r="T96" s="57">
        <v>0</v>
      </c>
      <c r="U96" s="57">
        <v>2700000000</v>
      </c>
      <c r="V96" s="17" t="s">
        <v>427</v>
      </c>
      <c r="W96" s="23" t="str">
        <f>IFERROR(VLOOKUP(V96,Listas!$A$1:$C$13,2,FALSE),"")</f>
        <v>DINORAH PATRICIA ABADIA MURILLO</v>
      </c>
      <c r="X96" s="23">
        <f>IFERROR(VLOOKUP(V96,Listas!$A$1:$C$13,3,FALSE),"")</f>
        <v>52220857</v>
      </c>
      <c r="Y96" s="17" t="s">
        <v>427</v>
      </c>
      <c r="Z96" s="17" t="s">
        <v>428</v>
      </c>
      <c r="AA96" s="23" t="str">
        <f>IFERROR(VLOOKUP(Z96,Listas!$AD$1:$AF$65,2,FALSE),"")</f>
        <v>DINORAH PATRICIA ABADIA MURILLO</v>
      </c>
      <c r="AB96" s="23">
        <f>IFERROR(VLOOKUP(Z96,Listas!$AD$1:$AF$65,3,FALSE),"")</f>
        <v>52220857</v>
      </c>
      <c r="AC96" s="26" t="s">
        <v>4526</v>
      </c>
      <c r="AD96" s="26" t="s">
        <v>2937</v>
      </c>
      <c r="AE96" s="100">
        <f t="shared" ca="1" si="24"/>
        <v>83.141025641025649</v>
      </c>
      <c r="AF96" s="100">
        <f t="shared" ca="1" si="25"/>
        <v>83.141025641025649</v>
      </c>
      <c r="AG96" s="100">
        <f t="shared" ca="1" si="26"/>
        <v>83.150800336984005</v>
      </c>
      <c r="AH96" s="101">
        <f t="shared" si="27"/>
        <v>18.335118719999997</v>
      </c>
      <c r="AI96" s="59">
        <v>495048205.44</v>
      </c>
      <c r="AJ96" s="54"/>
      <c r="AK96" s="56">
        <f t="shared" ca="1" si="28"/>
        <v>2245071609.098568</v>
      </c>
    </row>
    <row r="97" spans="1:37" ht="76.5">
      <c r="A97" s="54">
        <v>121848</v>
      </c>
      <c r="B97" s="54" t="s">
        <v>9046</v>
      </c>
      <c r="C97" s="17" t="s">
        <v>6292</v>
      </c>
      <c r="D97" s="17" t="s">
        <v>6197</v>
      </c>
      <c r="E97" s="17" t="s">
        <v>1426</v>
      </c>
      <c r="F97" s="17" t="s">
        <v>1427</v>
      </c>
      <c r="G97" s="16" t="s">
        <v>9047</v>
      </c>
      <c r="H97" s="16" t="s">
        <v>9048</v>
      </c>
      <c r="I97" s="32" t="s">
        <v>9165</v>
      </c>
      <c r="J97" s="17" t="s">
        <v>8881</v>
      </c>
      <c r="K97" s="22">
        <v>45624</v>
      </c>
      <c r="L97" s="22">
        <v>42178</v>
      </c>
      <c r="M97" s="22">
        <v>42178</v>
      </c>
      <c r="N97" s="22">
        <v>44004</v>
      </c>
      <c r="O97" s="22">
        <v>45831</v>
      </c>
      <c r="P97" s="102">
        <f t="shared" si="22"/>
        <v>1826</v>
      </c>
      <c r="Q97" s="103">
        <f t="shared" si="23"/>
        <v>3653</v>
      </c>
      <c r="R97" s="54">
        <v>0</v>
      </c>
      <c r="S97" s="57">
        <v>61714485989.459999</v>
      </c>
      <c r="T97" s="57"/>
      <c r="U97" s="57">
        <v>61714485989.459999</v>
      </c>
      <c r="V97" s="17" t="s">
        <v>427</v>
      </c>
      <c r="W97" s="23" t="str">
        <f>IFERROR(VLOOKUP(V97,Listas!$A$1:$C$13,2,FALSE),"")</f>
        <v>DINORAH PATRICIA ABADIA MURILLO</v>
      </c>
      <c r="X97" s="23">
        <f>IFERROR(VLOOKUP(V97,Listas!$A$1:$C$13,3,FALSE),"")</f>
        <v>52220857</v>
      </c>
      <c r="Y97" s="17" t="s">
        <v>427</v>
      </c>
      <c r="Z97" s="17" t="s">
        <v>428</v>
      </c>
      <c r="AA97" s="23" t="str">
        <f>IFERROR(VLOOKUP(Z97,Listas!$AD$1:$AF$65,2,FALSE),"")</f>
        <v>DINORAH PATRICIA ABADIA MURILLO</v>
      </c>
      <c r="AB97" s="23">
        <f>IFERROR(VLOOKUP(Z97,Listas!$AD$1:$AF$65,3,FALSE),"")</f>
        <v>52220857</v>
      </c>
      <c r="AC97" s="26" t="s">
        <v>2938</v>
      </c>
      <c r="AD97" s="26" t="s">
        <v>2937</v>
      </c>
      <c r="AE97" s="100">
        <f t="shared" ca="1" si="24"/>
        <v>100</v>
      </c>
      <c r="AF97" s="100">
        <f t="shared" ca="1" si="25"/>
        <v>100</v>
      </c>
      <c r="AG97" s="100">
        <f t="shared" ca="1" si="26"/>
        <v>103.25759649603066</v>
      </c>
      <c r="AH97" s="101">
        <f t="shared" si="27"/>
        <v>81.9947496762952</v>
      </c>
      <c r="AI97" s="59">
        <v>50602638301.07</v>
      </c>
      <c r="AJ97" s="54"/>
      <c r="AK97" s="56">
        <f t="shared" ca="1" si="28"/>
        <v>63724894922.595985</v>
      </c>
    </row>
    <row r="98" spans="1:37" ht="91.5">
      <c r="A98" s="54"/>
      <c r="B98" s="54" t="s">
        <v>9166</v>
      </c>
      <c r="C98" s="17" t="s">
        <v>104</v>
      </c>
      <c r="D98" s="17" t="s">
        <v>4162</v>
      </c>
      <c r="E98" s="17" t="s">
        <v>1426</v>
      </c>
      <c r="F98" s="17" t="s">
        <v>1427</v>
      </c>
      <c r="G98" s="16" t="s">
        <v>9167</v>
      </c>
      <c r="H98" s="16" t="s">
        <v>9168</v>
      </c>
      <c r="I98" s="32" t="s">
        <v>9169</v>
      </c>
      <c r="J98" s="17" t="s">
        <v>8739</v>
      </c>
      <c r="K98" s="22">
        <v>45646</v>
      </c>
      <c r="L98" s="22">
        <v>44910</v>
      </c>
      <c r="M98" s="22">
        <v>45112</v>
      </c>
      <c r="N98" s="22">
        <v>45662</v>
      </c>
      <c r="O98" s="22">
        <v>45905</v>
      </c>
      <c r="P98" s="102">
        <f t="shared" si="22"/>
        <v>550</v>
      </c>
      <c r="Q98" s="103">
        <f t="shared" si="23"/>
        <v>793</v>
      </c>
      <c r="R98" s="54">
        <f>O98-N98</f>
        <v>243</v>
      </c>
      <c r="S98" s="57">
        <v>659707636</v>
      </c>
      <c r="T98" s="57">
        <v>0</v>
      </c>
      <c r="U98" s="57">
        <v>659707636</v>
      </c>
      <c r="V98" s="17" t="s">
        <v>427</v>
      </c>
      <c r="W98" s="23" t="str">
        <f>IFERROR(VLOOKUP(V98,Listas!$A$1:$C$13,2,FALSE),"")</f>
        <v>DINORAH PATRICIA ABADIA MURILLO</v>
      </c>
      <c r="X98" s="23">
        <f>IFERROR(VLOOKUP(V98,Listas!$A$1:$C$13,3,FALSE),"")</f>
        <v>52220857</v>
      </c>
      <c r="Y98" s="17" t="s">
        <v>427</v>
      </c>
      <c r="Z98" s="17" t="s">
        <v>428</v>
      </c>
      <c r="AA98" s="23" t="str">
        <f>IFERROR(VLOOKUP(Z98,Listas!$AD$1:$AF$65,2,FALSE),"")</f>
        <v>DINORAH PATRICIA ABADIA MURILLO</v>
      </c>
      <c r="AB98" s="23">
        <f>IFERROR(VLOOKUP(Z98,Listas!$AD$1:$AF$65,3,FALSE),"")</f>
        <v>52220857</v>
      </c>
      <c r="AC98" s="26" t="s">
        <v>4526</v>
      </c>
      <c r="AD98" s="26" t="s">
        <v>2937</v>
      </c>
      <c r="AE98" s="100">
        <f t="shared" ca="1" si="24"/>
        <v>100</v>
      </c>
      <c r="AF98" s="100">
        <f t="shared" ca="1" si="25"/>
        <v>100</v>
      </c>
      <c r="AG98" s="100">
        <f t="shared" ca="1" si="26"/>
        <v>105.67465321563682</v>
      </c>
      <c r="AH98" s="101">
        <f t="shared" si="27"/>
        <v>68.21203445945865</v>
      </c>
      <c r="AI98" s="59">
        <v>450000000</v>
      </c>
      <c r="AJ98" s="54"/>
      <c r="AK98" s="56">
        <f t="shared" ca="1" si="28"/>
        <v>697143756.58007574</v>
      </c>
    </row>
    <row r="99" spans="1:37" ht="76.5">
      <c r="A99" s="54"/>
      <c r="B99" s="54" t="s">
        <v>9170</v>
      </c>
      <c r="C99" s="17" t="s">
        <v>104</v>
      </c>
      <c r="D99" s="17" t="s">
        <v>4162</v>
      </c>
      <c r="E99" s="17" t="s">
        <v>1426</v>
      </c>
      <c r="F99" s="17" t="s">
        <v>1427</v>
      </c>
      <c r="G99" s="16" t="s">
        <v>9167</v>
      </c>
      <c r="H99" s="16" t="s">
        <v>9168</v>
      </c>
      <c r="I99" s="32" t="s">
        <v>9171</v>
      </c>
      <c r="J99" s="17" t="s">
        <v>8739</v>
      </c>
      <c r="K99" s="22">
        <v>45646</v>
      </c>
      <c r="L99" s="22">
        <v>44910</v>
      </c>
      <c r="M99" s="22">
        <v>45112</v>
      </c>
      <c r="N99" s="22">
        <v>45662</v>
      </c>
      <c r="O99" s="22">
        <v>45905</v>
      </c>
      <c r="P99" s="102">
        <f t="shared" si="22"/>
        <v>550</v>
      </c>
      <c r="Q99" s="103">
        <f t="shared" si="23"/>
        <v>793</v>
      </c>
      <c r="R99" s="54">
        <f>O99-N99</f>
        <v>243</v>
      </c>
      <c r="S99" s="57">
        <v>659707636</v>
      </c>
      <c r="T99" s="57">
        <v>0</v>
      </c>
      <c r="U99" s="57">
        <v>659707636</v>
      </c>
      <c r="V99" s="17" t="s">
        <v>427</v>
      </c>
      <c r="W99" s="23" t="str">
        <f>IFERROR(VLOOKUP(V99,Listas!$A$1:$C$13,2,FALSE),"")</f>
        <v>DINORAH PATRICIA ABADIA MURILLO</v>
      </c>
      <c r="X99" s="23">
        <f>IFERROR(VLOOKUP(V99,Listas!$A$1:$C$13,3,FALSE),"")</f>
        <v>52220857</v>
      </c>
      <c r="Y99" s="17" t="s">
        <v>427</v>
      </c>
      <c r="Z99" s="17" t="s">
        <v>428</v>
      </c>
      <c r="AA99" s="23" t="str">
        <f>IFERROR(VLOOKUP(Z99,Listas!$AD$1:$AF$65,2,FALSE),"")</f>
        <v>DINORAH PATRICIA ABADIA MURILLO</v>
      </c>
      <c r="AB99" s="23">
        <f>IFERROR(VLOOKUP(Z99,Listas!$AD$1:$AF$65,3,FALSE),"")</f>
        <v>52220857</v>
      </c>
      <c r="AC99" s="26" t="s">
        <v>4526</v>
      </c>
      <c r="AD99" s="26" t="s">
        <v>2937</v>
      </c>
      <c r="AE99" s="100">
        <f t="shared" ca="1" si="24"/>
        <v>100</v>
      </c>
      <c r="AF99" s="100">
        <f t="shared" ca="1" si="25"/>
        <v>100</v>
      </c>
      <c r="AG99" s="100">
        <f t="shared" ca="1" si="26"/>
        <v>105.67465321563682</v>
      </c>
      <c r="AH99" s="101">
        <f t="shared" si="27"/>
        <v>68.21203445945865</v>
      </c>
      <c r="AI99" s="59">
        <v>450000000</v>
      </c>
      <c r="AJ99" s="54"/>
      <c r="AK99" s="56">
        <f t="shared" ca="1" si="28"/>
        <v>697143756.58007574</v>
      </c>
    </row>
    <row r="100" spans="1:37" ht="91.5">
      <c r="A100" s="54"/>
      <c r="B100" s="54" t="s">
        <v>9172</v>
      </c>
      <c r="C100" s="17" t="s">
        <v>104</v>
      </c>
      <c r="D100" s="17" t="s">
        <v>4162</v>
      </c>
      <c r="E100" s="17" t="s">
        <v>1426</v>
      </c>
      <c r="F100" s="17" t="s">
        <v>1427</v>
      </c>
      <c r="G100" s="16" t="s">
        <v>8965</v>
      </c>
      <c r="H100" s="16" t="s">
        <v>9173</v>
      </c>
      <c r="I100" s="32" t="s">
        <v>9174</v>
      </c>
      <c r="J100" s="17" t="s">
        <v>8739</v>
      </c>
      <c r="K100" s="22">
        <v>45646</v>
      </c>
      <c r="L100" s="22">
        <v>44855</v>
      </c>
      <c r="M100" s="22">
        <v>45112</v>
      </c>
      <c r="N100" s="22">
        <v>45662</v>
      </c>
      <c r="O100" s="22">
        <v>45843</v>
      </c>
      <c r="P100" s="102">
        <f t="shared" si="22"/>
        <v>550</v>
      </c>
      <c r="Q100" s="103">
        <f t="shared" si="23"/>
        <v>731</v>
      </c>
      <c r="R100" s="54">
        <f>O100-N100</f>
        <v>181</v>
      </c>
      <c r="S100" s="57">
        <v>794934562</v>
      </c>
      <c r="T100" s="57">
        <v>0</v>
      </c>
      <c r="U100" s="57">
        <v>794934562</v>
      </c>
      <c r="V100" s="17" t="s">
        <v>427</v>
      </c>
      <c r="W100" s="23" t="str">
        <f>IFERROR(VLOOKUP(V100,Listas!$A$1:$C$13,2,FALSE),"")</f>
        <v>DINORAH PATRICIA ABADIA MURILLO</v>
      </c>
      <c r="X100" s="23">
        <f>IFERROR(VLOOKUP(V100,Listas!$A$1:$C$13,3,FALSE),"")</f>
        <v>52220857</v>
      </c>
      <c r="Y100" s="17" t="s">
        <v>427</v>
      </c>
      <c r="Z100" s="17" t="s">
        <v>428</v>
      </c>
      <c r="AA100" s="23" t="str">
        <f>IFERROR(VLOOKUP(Z100,Listas!$AD$1:$AF$65,2,FALSE),"")</f>
        <v>DINORAH PATRICIA ABADIA MURILLO</v>
      </c>
      <c r="AB100" s="23">
        <f>IFERROR(VLOOKUP(Z100,Listas!$AD$1:$AF$65,3,FALSE),"")</f>
        <v>52220857</v>
      </c>
      <c r="AC100" s="26" t="s">
        <v>3501</v>
      </c>
      <c r="AD100" s="26" t="s">
        <v>2937</v>
      </c>
      <c r="AE100" s="100">
        <f t="shared" ca="1" si="24"/>
        <v>100</v>
      </c>
      <c r="AF100" s="100">
        <f t="shared" ca="1" si="25"/>
        <v>100</v>
      </c>
      <c r="AG100" s="100">
        <f t="shared" ca="1" si="26"/>
        <v>114.6374829001368</v>
      </c>
      <c r="AH100" s="101">
        <f t="shared" si="27"/>
        <v>56.279053193311782</v>
      </c>
      <c r="AI100" s="59">
        <v>447381645</v>
      </c>
      <c r="AJ100" s="54"/>
      <c r="AK100" s="56">
        <f t="shared" ca="1" si="28"/>
        <v>911292972.58002734</v>
      </c>
    </row>
    <row r="101" spans="1:37" ht="91.5">
      <c r="A101" s="54"/>
      <c r="B101" s="54" t="s">
        <v>9175</v>
      </c>
      <c r="C101" s="17" t="s">
        <v>104</v>
      </c>
      <c r="D101" s="17" t="s">
        <v>4162</v>
      </c>
      <c r="E101" s="17" t="s">
        <v>1426</v>
      </c>
      <c r="F101" s="17" t="s">
        <v>1427</v>
      </c>
      <c r="G101" s="16" t="s">
        <v>9176</v>
      </c>
      <c r="H101" s="16" t="s">
        <v>9177</v>
      </c>
      <c r="I101" s="32" t="s">
        <v>9178</v>
      </c>
      <c r="J101" s="17" t="s">
        <v>8739</v>
      </c>
      <c r="K101" s="22">
        <v>45649</v>
      </c>
      <c r="L101" s="22">
        <v>44924</v>
      </c>
      <c r="M101" s="22">
        <v>45112</v>
      </c>
      <c r="N101" s="22">
        <v>45662</v>
      </c>
      <c r="O101" s="22">
        <v>45843</v>
      </c>
      <c r="P101" s="102">
        <f t="shared" si="22"/>
        <v>550</v>
      </c>
      <c r="Q101" s="103">
        <f t="shared" si="23"/>
        <v>731</v>
      </c>
      <c r="R101" s="54">
        <f>O101-N101</f>
        <v>181</v>
      </c>
      <c r="S101" s="57">
        <v>789512261</v>
      </c>
      <c r="T101" s="57">
        <v>0</v>
      </c>
      <c r="U101" s="57">
        <v>789512261</v>
      </c>
      <c r="V101" s="17" t="s">
        <v>427</v>
      </c>
      <c r="W101" s="23" t="str">
        <f>IFERROR(VLOOKUP(V101,Listas!$A$1:$C$13,2,FALSE),"")</f>
        <v>DINORAH PATRICIA ABADIA MURILLO</v>
      </c>
      <c r="X101" s="23">
        <f>IFERROR(VLOOKUP(V101,Listas!$A$1:$C$13,3,FALSE),"")</f>
        <v>52220857</v>
      </c>
      <c r="Y101" s="17" t="s">
        <v>427</v>
      </c>
      <c r="Z101" s="17" t="s">
        <v>428</v>
      </c>
      <c r="AA101" s="23" t="str">
        <f>IFERROR(VLOOKUP(Z101,Listas!$AD$1:$AF$65,2,FALSE),"")</f>
        <v>DINORAH PATRICIA ABADIA MURILLO</v>
      </c>
      <c r="AB101" s="23">
        <f>IFERROR(VLOOKUP(Z101,Listas!$AD$1:$AF$65,3,FALSE),"")</f>
        <v>52220857</v>
      </c>
      <c r="AC101" s="26" t="s">
        <v>3501</v>
      </c>
      <c r="AD101" s="26" t="s">
        <v>2937</v>
      </c>
      <c r="AE101" s="100">
        <f t="shared" ca="1" si="24"/>
        <v>100</v>
      </c>
      <c r="AF101" s="100">
        <f t="shared" ca="1" si="25"/>
        <v>100</v>
      </c>
      <c r="AG101" s="100">
        <f t="shared" ca="1" si="26"/>
        <v>114.6374829001368</v>
      </c>
      <c r="AH101" s="101">
        <f t="shared" si="27"/>
        <v>69.658031947904092</v>
      </c>
      <c r="AI101" s="59">
        <v>549958703</v>
      </c>
      <c r="AJ101" s="54"/>
      <c r="AK101" s="56">
        <f t="shared" ca="1" si="28"/>
        <v>905076983.19835842</v>
      </c>
    </row>
    <row r="102" spans="1:37" ht="121.5">
      <c r="A102" s="54">
        <v>122127</v>
      </c>
      <c r="B102" s="54" t="s">
        <v>9179</v>
      </c>
      <c r="C102" s="17" t="s">
        <v>6292</v>
      </c>
      <c r="D102" s="17" t="s">
        <v>6197</v>
      </c>
      <c r="E102" s="17" t="s">
        <v>1426</v>
      </c>
      <c r="F102" s="17" t="s">
        <v>1427</v>
      </c>
      <c r="G102" s="16" t="s">
        <v>9180</v>
      </c>
      <c r="H102" s="16" t="s">
        <v>9181</v>
      </c>
      <c r="I102" s="32" t="s">
        <v>9182</v>
      </c>
      <c r="J102" s="17" t="s">
        <v>8752</v>
      </c>
      <c r="K102" s="22">
        <v>45637</v>
      </c>
      <c r="L102" s="22">
        <v>44925</v>
      </c>
      <c r="M102" s="22">
        <v>44925</v>
      </c>
      <c r="N102" s="22">
        <v>48578</v>
      </c>
      <c r="O102" s="22">
        <v>48578</v>
      </c>
      <c r="P102" s="102">
        <f t="shared" si="22"/>
        <v>3653</v>
      </c>
      <c r="Q102" s="103">
        <f t="shared" si="23"/>
        <v>3653</v>
      </c>
      <c r="R102" s="54">
        <v>0</v>
      </c>
      <c r="S102" s="57">
        <v>1000000000</v>
      </c>
      <c r="T102" s="57">
        <v>1000000000</v>
      </c>
      <c r="U102" s="57">
        <f>S102+T102</f>
        <v>2000000000</v>
      </c>
      <c r="V102" s="17" t="s">
        <v>427</v>
      </c>
      <c r="W102" s="23" t="str">
        <f>IFERROR(VLOOKUP(V102,Listas!$A$1:$C$13,2,FALSE),"")</f>
        <v>DINORAH PATRICIA ABADIA MURILLO</v>
      </c>
      <c r="X102" s="23">
        <f>IFERROR(VLOOKUP(V102,Listas!$A$1:$C$13,3,FALSE),"")</f>
        <v>52220857</v>
      </c>
      <c r="Y102" s="17" t="s">
        <v>427</v>
      </c>
      <c r="Z102" s="17" t="s">
        <v>428</v>
      </c>
      <c r="AA102" s="23" t="str">
        <f>IFERROR(VLOOKUP(Z102,Listas!$AD$1:$AF$65,2,FALSE),"")</f>
        <v>DINORAH PATRICIA ABADIA MURILLO</v>
      </c>
      <c r="AB102" s="23">
        <f>IFERROR(VLOOKUP(Z102,Listas!$AD$1:$AF$65,3,FALSE),"")</f>
        <v>52220857</v>
      </c>
      <c r="AC102" s="26" t="s">
        <v>3437</v>
      </c>
      <c r="AD102" s="26" t="s">
        <v>2937</v>
      </c>
      <c r="AE102" s="100">
        <f t="shared" ca="1" si="24"/>
        <v>28.055555555555557</v>
      </c>
      <c r="AF102" s="100">
        <f t="shared" ca="1" si="25"/>
        <v>28.055555555555557</v>
      </c>
      <c r="AG102" s="100">
        <f t="shared" ca="1" si="26"/>
        <v>28.059129482617028</v>
      </c>
      <c r="AH102" s="101">
        <f t="shared" si="27"/>
        <v>9.1560675499999995</v>
      </c>
      <c r="AI102" s="59">
        <v>183121351</v>
      </c>
      <c r="AJ102" s="54"/>
      <c r="AK102" s="56">
        <f t="shared" ca="1" si="28"/>
        <v>561182589.65234053</v>
      </c>
    </row>
    <row r="103" spans="1:37" ht="76.5">
      <c r="A103" s="54"/>
      <c r="B103" s="54" t="s">
        <v>9183</v>
      </c>
      <c r="C103" s="17" t="s">
        <v>104</v>
      </c>
      <c r="D103" s="17" t="s">
        <v>4162</v>
      </c>
      <c r="E103" s="17" t="s">
        <v>1426</v>
      </c>
      <c r="F103" s="17" t="s">
        <v>1427</v>
      </c>
      <c r="G103" s="16" t="s">
        <v>8933</v>
      </c>
      <c r="H103" s="16" t="s">
        <v>8934</v>
      </c>
      <c r="I103" s="32" t="s">
        <v>9184</v>
      </c>
      <c r="J103" s="17" t="s">
        <v>8739</v>
      </c>
      <c r="K103" s="22">
        <v>45636</v>
      </c>
      <c r="L103" s="22">
        <v>44560</v>
      </c>
      <c r="M103" s="22">
        <v>44747</v>
      </c>
      <c r="N103" s="22">
        <v>45662</v>
      </c>
      <c r="O103" s="22">
        <v>45843</v>
      </c>
      <c r="P103" s="102">
        <f t="shared" si="22"/>
        <v>915</v>
      </c>
      <c r="Q103" s="103">
        <f t="shared" si="23"/>
        <v>1096</v>
      </c>
      <c r="R103" s="54">
        <f>O103-N103</f>
        <v>181</v>
      </c>
      <c r="S103" s="57">
        <v>1092001107</v>
      </c>
      <c r="T103" s="57">
        <v>0</v>
      </c>
      <c r="U103" s="57">
        <v>1092001107</v>
      </c>
      <c r="V103" s="17" t="s">
        <v>427</v>
      </c>
      <c r="W103" s="23" t="str">
        <f>IFERROR(VLOOKUP(V103,Listas!$A$1:$C$13,2,FALSE),"")</f>
        <v>DINORAH PATRICIA ABADIA MURILLO</v>
      </c>
      <c r="X103" s="23">
        <f>IFERROR(VLOOKUP(V103,Listas!$A$1:$C$13,3,FALSE),"")</f>
        <v>52220857</v>
      </c>
      <c r="Y103" s="17" t="s">
        <v>427</v>
      </c>
      <c r="Z103" s="17" t="s">
        <v>428</v>
      </c>
      <c r="AA103" s="23" t="str">
        <f>IFERROR(VLOOKUP(Z103,Listas!$AD$1:$AF$65,2,FALSE),"")</f>
        <v>DINORAH PATRICIA ABADIA MURILLO</v>
      </c>
      <c r="AB103" s="23">
        <f>IFERROR(VLOOKUP(Z103,Listas!$AD$1:$AF$65,3,FALSE),"")</f>
        <v>52220857</v>
      </c>
      <c r="AC103" s="26" t="s">
        <v>3437</v>
      </c>
      <c r="AD103" s="26" t="s">
        <v>2937</v>
      </c>
      <c r="AE103" s="100">
        <f t="shared" ca="1" si="24"/>
        <v>100</v>
      </c>
      <c r="AF103" s="100">
        <f t="shared" ca="1" si="25"/>
        <v>100</v>
      </c>
      <c r="AG103" s="100">
        <f t="shared" ca="1" si="26"/>
        <v>109.76277372262773</v>
      </c>
      <c r="AH103" s="101">
        <f t="shared" si="27"/>
        <v>50.366249308206982</v>
      </c>
      <c r="AI103" s="59">
        <v>550000000</v>
      </c>
      <c r="AJ103" s="54"/>
      <c r="AK103" s="56">
        <f t="shared" ca="1" si="28"/>
        <v>1198610704.125</v>
      </c>
    </row>
    <row r="104" spans="1:37" ht="76.5">
      <c r="A104" s="54"/>
      <c r="B104" s="54" t="s">
        <v>9185</v>
      </c>
      <c r="C104" s="17" t="s">
        <v>104</v>
      </c>
      <c r="D104" s="17" t="s">
        <v>4162</v>
      </c>
      <c r="E104" s="17" t="s">
        <v>1426</v>
      </c>
      <c r="F104" s="17" t="s">
        <v>1427</v>
      </c>
      <c r="G104" s="16" t="s">
        <v>9186</v>
      </c>
      <c r="H104" s="16" t="s">
        <v>9187</v>
      </c>
      <c r="I104" s="32" t="s">
        <v>9188</v>
      </c>
      <c r="J104" s="17" t="s">
        <v>8739</v>
      </c>
      <c r="K104" s="22">
        <v>45646</v>
      </c>
      <c r="L104" s="22">
        <v>44845</v>
      </c>
      <c r="M104" s="22">
        <v>44950</v>
      </c>
      <c r="N104" s="22">
        <v>45681</v>
      </c>
      <c r="O104" s="22">
        <v>45862</v>
      </c>
      <c r="P104" s="102">
        <f t="shared" si="22"/>
        <v>731</v>
      </c>
      <c r="Q104" s="103">
        <f t="shared" si="23"/>
        <v>912</v>
      </c>
      <c r="R104" s="54">
        <f>O104-N104</f>
        <v>181</v>
      </c>
      <c r="S104" s="57">
        <v>1384253861</v>
      </c>
      <c r="T104" s="57">
        <v>0</v>
      </c>
      <c r="U104" s="57">
        <v>1384253861</v>
      </c>
      <c r="V104" s="17" t="s">
        <v>427</v>
      </c>
      <c r="W104" s="23" t="str">
        <f>IFERROR(VLOOKUP(V104,Listas!$A$1:$C$13,2,FALSE),"")</f>
        <v>DINORAH PATRICIA ABADIA MURILLO</v>
      </c>
      <c r="X104" s="23">
        <f>IFERROR(VLOOKUP(V104,Listas!$A$1:$C$13,3,FALSE),"")</f>
        <v>52220857</v>
      </c>
      <c r="Y104" s="17" t="s">
        <v>427</v>
      </c>
      <c r="Z104" s="17" t="s">
        <v>428</v>
      </c>
      <c r="AA104" s="23" t="str">
        <f>IFERROR(VLOOKUP(Z104,Listas!$AD$1:$AF$65,2,FALSE),"")</f>
        <v>DINORAH PATRICIA ABADIA MURILLO</v>
      </c>
      <c r="AB104" s="23">
        <f>IFERROR(VLOOKUP(Z104,Listas!$AD$1:$AF$65,3,FALSE),"")</f>
        <v>52220857</v>
      </c>
      <c r="AC104" s="26" t="s">
        <v>3437</v>
      </c>
      <c r="AD104" s="26" t="s">
        <v>2937</v>
      </c>
      <c r="AE104" s="100">
        <f t="shared" ca="1" si="24"/>
        <v>100</v>
      </c>
      <c r="AF104" s="100">
        <f t="shared" ca="1" si="25"/>
        <v>100</v>
      </c>
      <c r="AG104" s="100">
        <f t="shared" ca="1" si="26"/>
        <v>109.64912280701755</v>
      </c>
      <c r="AH104" s="101">
        <f t="shared" si="27"/>
        <v>39.732596418598682</v>
      </c>
      <c r="AI104" s="59">
        <v>550000000</v>
      </c>
      <c r="AJ104" s="54"/>
      <c r="AK104" s="56">
        <f t="shared" ca="1" si="28"/>
        <v>1517822216.0087719</v>
      </c>
    </row>
    <row r="105" spans="1:37" ht="152.25">
      <c r="A105" s="54"/>
      <c r="B105" s="54" t="s">
        <v>9189</v>
      </c>
      <c r="C105" s="17" t="s">
        <v>6292</v>
      </c>
      <c r="D105" s="17" t="s">
        <v>6197</v>
      </c>
      <c r="E105" s="17" t="s">
        <v>1426</v>
      </c>
      <c r="F105" s="17" t="s">
        <v>1427</v>
      </c>
      <c r="G105" s="16" t="s">
        <v>9190</v>
      </c>
      <c r="H105" s="16" t="s">
        <v>9191</v>
      </c>
      <c r="I105" s="32" t="s">
        <v>9192</v>
      </c>
      <c r="J105" s="17" t="s">
        <v>8881</v>
      </c>
      <c r="K105" s="22">
        <v>45618</v>
      </c>
      <c r="L105" s="22">
        <v>43462</v>
      </c>
      <c r="M105" s="22">
        <v>43462</v>
      </c>
      <c r="N105" s="22">
        <v>45287</v>
      </c>
      <c r="O105" s="22">
        <v>47114</v>
      </c>
      <c r="P105" s="102">
        <f t="shared" si="22"/>
        <v>1825</v>
      </c>
      <c r="Q105" s="103">
        <f t="shared" si="23"/>
        <v>3652</v>
      </c>
      <c r="R105" s="54">
        <v>0</v>
      </c>
      <c r="S105" s="57">
        <v>114790848.28</v>
      </c>
      <c r="T105" s="57">
        <v>0</v>
      </c>
      <c r="U105" s="57">
        <v>114790848.28</v>
      </c>
      <c r="V105" s="17" t="s">
        <v>427</v>
      </c>
      <c r="W105" s="23" t="str">
        <f>IFERROR(VLOOKUP(V105,Listas!$A$1:$C$13,2,FALSE),"")</f>
        <v>DINORAH PATRICIA ABADIA MURILLO</v>
      </c>
      <c r="X105" s="23">
        <f>IFERROR(VLOOKUP(V105,Listas!$A$1:$C$13,3,FALSE),"")</f>
        <v>52220857</v>
      </c>
      <c r="Y105" s="17" t="s">
        <v>427</v>
      </c>
      <c r="Z105" s="17" t="s">
        <v>428</v>
      </c>
      <c r="AA105" s="23" t="str">
        <f>IFERROR(VLOOKUP(Z105,Listas!$AD$1:$AF$65,2,FALSE),"")</f>
        <v>DINORAH PATRICIA ABADIA MURILLO</v>
      </c>
      <c r="AB105" s="23">
        <f>IFERROR(VLOOKUP(Z105,Listas!$AD$1:$AF$65,3,FALSE),"")</f>
        <v>52220857</v>
      </c>
      <c r="AC105" s="26" t="s">
        <v>3437</v>
      </c>
      <c r="AD105" s="26" t="s">
        <v>2937</v>
      </c>
      <c r="AE105" s="100">
        <f t="shared" ca="1" si="24"/>
        <v>68.130036121144769</v>
      </c>
      <c r="AF105" s="100">
        <f t="shared" ca="1" si="25"/>
        <v>68.130036121144769</v>
      </c>
      <c r="AG105" s="100">
        <f t="shared" ca="1" si="26"/>
        <v>68.127053669222349</v>
      </c>
      <c r="AH105" s="101">
        <f t="shared" si="27"/>
        <v>54.800452799650657</v>
      </c>
      <c r="AI105" s="59">
        <v>62905904.630000003</v>
      </c>
      <c r="AJ105" s="54"/>
      <c r="AK105" s="56">
        <f t="shared" ca="1" si="28"/>
        <v>78203622.815071195</v>
      </c>
    </row>
    <row r="106" spans="1:37" ht="60.75">
      <c r="A106" s="54"/>
      <c r="B106" s="174" t="s">
        <v>9193</v>
      </c>
      <c r="C106" s="17" t="s">
        <v>6292</v>
      </c>
      <c r="D106" s="17" t="s">
        <v>6197</v>
      </c>
      <c r="E106" s="17" t="s">
        <v>1426</v>
      </c>
      <c r="F106" s="17" t="s">
        <v>1427</v>
      </c>
      <c r="G106" s="16" t="s">
        <v>8900</v>
      </c>
      <c r="H106" s="16" t="s">
        <v>8969</v>
      </c>
      <c r="I106" s="32" t="s">
        <v>9194</v>
      </c>
      <c r="J106" s="17" t="s">
        <v>8886</v>
      </c>
      <c r="K106" s="22">
        <v>45657</v>
      </c>
      <c r="L106" s="22">
        <v>45001</v>
      </c>
      <c r="M106" s="22">
        <v>45002</v>
      </c>
      <c r="N106" s="22">
        <v>45657</v>
      </c>
      <c r="O106" s="22">
        <v>46387</v>
      </c>
      <c r="P106" s="102">
        <f t="shared" si="22"/>
        <v>655</v>
      </c>
      <c r="Q106" s="103">
        <f t="shared" si="23"/>
        <v>1385</v>
      </c>
      <c r="R106" s="54">
        <f>O106-N106</f>
        <v>730</v>
      </c>
      <c r="S106" s="57">
        <f>U106+T106</f>
        <v>53244000000</v>
      </c>
      <c r="T106" s="57">
        <v>33381827600</v>
      </c>
      <c r="U106" s="57">
        <v>19862172400</v>
      </c>
      <c r="V106" s="17" t="s">
        <v>427</v>
      </c>
      <c r="W106" s="23" t="str">
        <f>IFERROR(VLOOKUP(V106,Listas!$A$1:$C$13,2,FALSE),"")</f>
        <v>DINORAH PATRICIA ABADIA MURILLO</v>
      </c>
      <c r="X106" s="23">
        <f>IFERROR(VLOOKUP(V106,Listas!$A$1:$C$13,3,FALSE),"")</f>
        <v>52220857</v>
      </c>
      <c r="Y106" s="17" t="s">
        <v>427</v>
      </c>
      <c r="Z106" s="17" t="s">
        <v>428</v>
      </c>
      <c r="AA106" s="23" t="str">
        <f>IFERROR(VLOOKUP(Z106,Listas!$AD$1:$AF$65,2,FALSE),"")</f>
        <v>DINORAH PATRICIA ABADIA MURILLO</v>
      </c>
      <c r="AB106" s="23">
        <f>IFERROR(VLOOKUP(Z106,Listas!$AD$1:$AF$65,3,FALSE),"")</f>
        <v>52220857</v>
      </c>
      <c r="AC106" s="26" t="s">
        <v>3437</v>
      </c>
      <c r="AD106" s="26" t="s">
        <v>2937</v>
      </c>
      <c r="AE106" s="100">
        <f t="shared" ca="1" si="24"/>
        <v>68.401759530791779</v>
      </c>
      <c r="AF106" s="100">
        <f t="shared" ca="1" si="25"/>
        <v>68.401759530791779</v>
      </c>
      <c r="AG106" s="100">
        <f t="shared" ca="1" si="26"/>
        <v>68.447653429602894</v>
      </c>
      <c r="AH106" s="101">
        <f t="shared" si="27"/>
        <v>36.283404729686062</v>
      </c>
      <c r="AI106" s="59">
        <v>7206672400</v>
      </c>
      <c r="AJ106" s="54"/>
      <c r="AK106" s="56">
        <f t="shared" ca="1" si="28"/>
        <v>13595190927.94224</v>
      </c>
    </row>
    <row r="107" spans="1:37" ht="60.75">
      <c r="A107" s="54">
        <v>121904</v>
      </c>
      <c r="B107" s="54" t="s">
        <v>8917</v>
      </c>
      <c r="C107" s="17" t="s">
        <v>6292</v>
      </c>
      <c r="D107" s="17" t="s">
        <v>6197</v>
      </c>
      <c r="E107" s="17" t="s">
        <v>1426</v>
      </c>
      <c r="F107" s="17" t="s">
        <v>1427</v>
      </c>
      <c r="G107" s="16" t="s">
        <v>8874</v>
      </c>
      <c r="H107" s="16" t="s">
        <v>8918</v>
      </c>
      <c r="I107" s="32" t="s">
        <v>9195</v>
      </c>
      <c r="J107" s="17" t="s">
        <v>8745</v>
      </c>
      <c r="K107" s="22">
        <v>45643</v>
      </c>
      <c r="L107" s="22">
        <v>42702</v>
      </c>
      <c r="M107" s="22">
        <v>42702</v>
      </c>
      <c r="N107" s="22">
        <v>44196</v>
      </c>
      <c r="O107" s="22">
        <v>47483</v>
      </c>
      <c r="P107" s="102">
        <f t="shared" si="22"/>
        <v>1494</v>
      </c>
      <c r="Q107" s="103">
        <f t="shared" si="23"/>
        <v>4781</v>
      </c>
      <c r="R107" s="54">
        <v>1461</v>
      </c>
      <c r="S107" s="57">
        <v>16631830250</v>
      </c>
      <c r="T107" s="57">
        <v>4018433746</v>
      </c>
      <c r="U107" s="57">
        <f>S107+T107</f>
        <v>20650263996</v>
      </c>
      <c r="V107" s="17" t="s">
        <v>427</v>
      </c>
      <c r="W107" s="23" t="str">
        <f>IFERROR(VLOOKUP(V107,Listas!$A$1:$C$13,2,FALSE),"")</f>
        <v>DINORAH PATRICIA ABADIA MURILLO</v>
      </c>
      <c r="X107" s="23">
        <f>IFERROR(VLOOKUP(V107,Listas!$A$1:$C$13,3,FALSE),"")</f>
        <v>52220857</v>
      </c>
      <c r="Y107" s="17" t="s">
        <v>427</v>
      </c>
      <c r="Z107" s="17" t="s">
        <v>428</v>
      </c>
      <c r="AA107" s="23" t="str">
        <f>IFERROR(VLOOKUP(Z107,Listas!$AD$1:$AF$65,2,FALSE),"")</f>
        <v>DINORAH PATRICIA ABADIA MURILLO</v>
      </c>
      <c r="AB107" s="23">
        <f>IFERROR(VLOOKUP(Z107,Listas!$AD$1:$AF$65,3,FALSE),"")</f>
        <v>52220857</v>
      </c>
      <c r="AC107" s="26" t="s">
        <v>3508</v>
      </c>
      <c r="AD107" s="26" t="s">
        <v>2937</v>
      </c>
      <c r="AE107" s="100">
        <f t="shared" ca="1" si="24"/>
        <v>67.939741141523442</v>
      </c>
      <c r="AF107" s="100">
        <f t="shared" ca="1" si="25"/>
        <v>67.939741141523442</v>
      </c>
      <c r="AG107" s="100">
        <f t="shared" ca="1" si="26"/>
        <v>67.935578330893122</v>
      </c>
      <c r="AH107" s="101">
        <f t="shared" si="27"/>
        <v>70.389267979990805</v>
      </c>
      <c r="AI107" s="59">
        <v>14535569662.719999</v>
      </c>
      <c r="AJ107" s="54"/>
      <c r="AK107" s="56">
        <f t="shared" ca="1" si="28"/>
        <v>14028876272.538799</v>
      </c>
    </row>
    <row r="108" spans="1:37" ht="76.5">
      <c r="A108" s="54">
        <v>121887</v>
      </c>
      <c r="B108" s="174" t="s">
        <v>9196</v>
      </c>
      <c r="C108" s="17" t="s">
        <v>6292</v>
      </c>
      <c r="D108" s="17" t="s">
        <v>6197</v>
      </c>
      <c r="E108" s="17" t="s">
        <v>1426</v>
      </c>
      <c r="F108" s="17" t="s">
        <v>1427</v>
      </c>
      <c r="G108" s="16" t="s">
        <v>8900</v>
      </c>
      <c r="H108" s="16" t="s">
        <v>8969</v>
      </c>
      <c r="I108" s="32" t="s">
        <v>9197</v>
      </c>
      <c r="J108" s="17" t="s">
        <v>8739</v>
      </c>
      <c r="K108" s="22">
        <v>45646</v>
      </c>
      <c r="L108" s="22">
        <v>42583</v>
      </c>
      <c r="M108" s="22">
        <v>42583</v>
      </c>
      <c r="N108" s="22">
        <v>44926</v>
      </c>
      <c r="O108" s="22">
        <v>46387</v>
      </c>
      <c r="P108" s="102">
        <f t="shared" si="22"/>
        <v>2343</v>
      </c>
      <c r="Q108" s="103">
        <f t="shared" si="23"/>
        <v>3804</v>
      </c>
      <c r="R108" s="54">
        <v>730</v>
      </c>
      <c r="S108" s="57">
        <v>11922636377.290001</v>
      </c>
      <c r="T108" s="57">
        <v>0</v>
      </c>
      <c r="U108" s="57">
        <v>11922636377.290001</v>
      </c>
      <c r="V108" s="17" t="s">
        <v>427</v>
      </c>
      <c r="W108" s="23" t="str">
        <f>IFERROR(VLOOKUP(V108,Listas!$A$1:$C$13,2,FALSE),"")</f>
        <v>DINORAH PATRICIA ABADIA MURILLO</v>
      </c>
      <c r="X108" s="23">
        <f>IFERROR(VLOOKUP(V108,Listas!$A$1:$C$13,3,FALSE),"")</f>
        <v>52220857</v>
      </c>
      <c r="Y108" s="17" t="s">
        <v>427</v>
      </c>
      <c r="Z108" s="17" t="s">
        <v>428</v>
      </c>
      <c r="AA108" s="23" t="str">
        <f>IFERROR(VLOOKUP(Z108,Listas!$AD$1:$AF$65,2,FALSE),"")</f>
        <v>DINORAH PATRICIA ABADIA MURILLO</v>
      </c>
      <c r="AB108" s="23">
        <f>IFERROR(VLOOKUP(Z108,Listas!$AD$1:$AF$65,3,FALSE),"")</f>
        <v>52220857</v>
      </c>
      <c r="AC108" s="26" t="s">
        <v>3133</v>
      </c>
      <c r="AD108" s="26" t="s">
        <v>2937</v>
      </c>
      <c r="AE108" s="100">
        <f t="shared" ca="1" si="24"/>
        <v>88.506666666666661</v>
      </c>
      <c r="AF108" s="100">
        <f t="shared" ca="1" si="25"/>
        <v>88.506666666666661</v>
      </c>
      <c r="AG108" s="100">
        <f t="shared" ca="1" si="26"/>
        <v>88.512092534174542</v>
      </c>
      <c r="AH108" s="101">
        <f t="shared" si="27"/>
        <v>90.320270432567511</v>
      </c>
      <c r="AI108" s="59">
        <v>10768557418.66</v>
      </c>
      <c r="AJ108" s="54"/>
      <c r="AK108" s="56">
        <f t="shared" ca="1" si="28"/>
        <v>10552974942.780081</v>
      </c>
    </row>
    <row r="109" spans="1:37" ht="76.5">
      <c r="A109" s="54"/>
      <c r="B109" s="54" t="s">
        <v>9198</v>
      </c>
      <c r="C109" s="17" t="s">
        <v>6292</v>
      </c>
      <c r="D109" s="17" t="s">
        <v>6197</v>
      </c>
      <c r="E109" s="17" t="s">
        <v>1426</v>
      </c>
      <c r="F109" s="17" t="s">
        <v>1427</v>
      </c>
      <c r="G109" s="16" t="s">
        <v>9199</v>
      </c>
      <c r="H109" s="16" t="s">
        <v>9200</v>
      </c>
      <c r="I109" s="32" t="s">
        <v>9201</v>
      </c>
      <c r="J109" s="17" t="s">
        <v>8752</v>
      </c>
      <c r="K109" s="22">
        <v>45646</v>
      </c>
      <c r="L109" s="22">
        <v>30118</v>
      </c>
      <c r="M109" s="22">
        <v>30118</v>
      </c>
      <c r="N109" s="22">
        <v>31944</v>
      </c>
      <c r="O109" s="22">
        <v>46370</v>
      </c>
      <c r="P109" s="102">
        <f t="shared" si="22"/>
        <v>1826</v>
      </c>
      <c r="Q109" s="103">
        <f t="shared" si="23"/>
        <v>16252</v>
      </c>
      <c r="R109" s="54">
        <v>0</v>
      </c>
      <c r="S109" s="57">
        <v>12881777129</v>
      </c>
      <c r="T109" s="57">
        <v>204103334</v>
      </c>
      <c r="U109" s="57">
        <f>S109+T109</f>
        <v>13085880463</v>
      </c>
      <c r="V109" s="17" t="s">
        <v>427</v>
      </c>
      <c r="W109" s="23" t="str">
        <f>IFERROR(VLOOKUP(V109,Listas!$A$1:$C$13,2,FALSE),"")</f>
        <v>DINORAH PATRICIA ABADIA MURILLO</v>
      </c>
      <c r="X109" s="23">
        <f>IFERROR(VLOOKUP(V109,Listas!$A$1:$C$13,3,FALSE),"")</f>
        <v>52220857</v>
      </c>
      <c r="Y109" s="17" t="s">
        <v>427</v>
      </c>
      <c r="Z109" s="17" t="s">
        <v>428</v>
      </c>
      <c r="AA109" s="23" t="str">
        <f>IFERROR(VLOOKUP(Z109,Listas!$AD$1:$AF$65,2,FALSE),"")</f>
        <v>DINORAH PATRICIA ABADIA MURILLO</v>
      </c>
      <c r="AB109" s="23">
        <f>IFERROR(VLOOKUP(Z109,Listas!$AD$1:$AF$65,3,FALSE),"")</f>
        <v>52220857</v>
      </c>
      <c r="AC109" s="26" t="s">
        <v>3453</v>
      </c>
      <c r="AD109" s="26" t="s">
        <v>2937</v>
      </c>
      <c r="AE109" s="100">
        <f t="shared" ca="1" si="24"/>
        <v>97.41540766637533</v>
      </c>
      <c r="AF109" s="100">
        <f t="shared" ca="1" si="25"/>
        <v>97.41540766637533</v>
      </c>
      <c r="AG109" s="100">
        <f t="shared" ca="1" si="26"/>
        <v>97.41570268274674</v>
      </c>
      <c r="AH109" s="101">
        <f t="shared" si="27"/>
        <v>413.01941006290849</v>
      </c>
      <c r="AI109" s="59">
        <v>54047226289.82</v>
      </c>
      <c r="AJ109" s="54"/>
      <c r="AK109" s="56">
        <f t="shared" ca="1" si="28"/>
        <v>12747702405.255722</v>
      </c>
    </row>
    <row r="110" spans="1:37" ht="60.75">
      <c r="A110" s="54">
        <v>121960</v>
      </c>
      <c r="B110" s="174" t="s">
        <v>9202</v>
      </c>
      <c r="C110" s="17" t="s">
        <v>6292</v>
      </c>
      <c r="D110" s="17" t="s">
        <v>6197</v>
      </c>
      <c r="E110" s="17" t="s">
        <v>1426</v>
      </c>
      <c r="F110" s="17" t="s">
        <v>1427</v>
      </c>
      <c r="G110" s="16" t="s">
        <v>8900</v>
      </c>
      <c r="H110" s="16" t="s">
        <v>8969</v>
      </c>
      <c r="I110" s="32" t="s">
        <v>9203</v>
      </c>
      <c r="J110" s="17" t="s">
        <v>8739</v>
      </c>
      <c r="K110" s="22">
        <v>45653</v>
      </c>
      <c r="L110" s="22">
        <v>43097</v>
      </c>
      <c r="M110" s="22">
        <v>43097</v>
      </c>
      <c r="N110" s="22">
        <v>44922</v>
      </c>
      <c r="O110" s="22">
        <v>45835</v>
      </c>
      <c r="P110" s="102">
        <f t="shared" si="22"/>
        <v>1825</v>
      </c>
      <c r="Q110" s="103">
        <f t="shared" si="23"/>
        <v>2738</v>
      </c>
      <c r="R110" s="54">
        <f>O110-N110</f>
        <v>913</v>
      </c>
      <c r="S110" s="57">
        <v>7726414851.3100004</v>
      </c>
      <c r="T110" s="57">
        <v>0</v>
      </c>
      <c r="U110" s="57">
        <v>7726414851.3100004</v>
      </c>
      <c r="V110" s="17" t="s">
        <v>427</v>
      </c>
      <c r="W110" s="23" t="str">
        <f>IFERROR(VLOOKUP(V110,Listas!$A$1:$C$13,2,FALSE),"")</f>
        <v>DINORAH PATRICIA ABADIA MURILLO</v>
      </c>
      <c r="X110" s="23">
        <f>IFERROR(VLOOKUP(V110,Listas!$A$1:$C$13,3,FALSE),"")</f>
        <v>52220857</v>
      </c>
      <c r="Y110" s="17" t="s">
        <v>427</v>
      </c>
      <c r="Z110" s="17" t="s">
        <v>428</v>
      </c>
      <c r="AA110" s="23" t="str">
        <f>IFERROR(VLOOKUP(Z110,Listas!$AD$1:$AF$65,2,FALSE),"")</f>
        <v>DINORAH PATRICIA ABADIA MURILLO</v>
      </c>
      <c r="AB110" s="23">
        <f>IFERROR(VLOOKUP(Z110,Listas!$AD$1:$AF$65,3,FALSE),"")</f>
        <v>52220857</v>
      </c>
      <c r="AC110" s="26"/>
      <c r="AD110" s="26" t="s">
        <v>2937</v>
      </c>
      <c r="AE110" s="100">
        <f t="shared" ca="1" si="24"/>
        <v>100</v>
      </c>
      <c r="AF110" s="100">
        <f t="shared" ca="1" si="25"/>
        <v>100</v>
      </c>
      <c r="AG110" s="100">
        <f ca="1">IFERROR((AK110/U110)*100,"")</f>
        <v>104.20014609203798</v>
      </c>
      <c r="AH110" s="101">
        <f t="shared" si="27"/>
        <v>151.46121375939134</v>
      </c>
      <c r="AI110" s="59">
        <v>11702521713.879999</v>
      </c>
      <c r="AJ110" s="54"/>
      <c r="AK110" s="56">
        <f t="shared" ca="1" si="28"/>
        <v>8050935562.7419395</v>
      </c>
    </row>
    <row r="111" spans="1:37" ht="91.5">
      <c r="A111" s="54">
        <v>122067</v>
      </c>
      <c r="B111" s="54" t="s">
        <v>9204</v>
      </c>
      <c r="C111" s="17" t="s">
        <v>6292</v>
      </c>
      <c r="D111" s="17" t="s">
        <v>6197</v>
      </c>
      <c r="E111" s="17" t="s">
        <v>1426</v>
      </c>
      <c r="F111" s="17" t="s">
        <v>1427</v>
      </c>
      <c r="G111" s="16" t="s">
        <v>9205</v>
      </c>
      <c r="H111" s="16" t="s">
        <v>9206</v>
      </c>
      <c r="I111" s="32" t="s">
        <v>9207</v>
      </c>
      <c r="J111" s="17" t="s">
        <v>8752</v>
      </c>
      <c r="K111" s="22">
        <v>45635</v>
      </c>
      <c r="L111" s="22">
        <v>43754</v>
      </c>
      <c r="M111" s="22">
        <v>43754</v>
      </c>
      <c r="N111" s="22">
        <v>46309</v>
      </c>
      <c r="O111" s="22">
        <v>46309</v>
      </c>
      <c r="P111" s="102">
        <f t="shared" si="22"/>
        <v>2555</v>
      </c>
      <c r="Q111" s="103">
        <f t="shared" si="23"/>
        <v>2555</v>
      </c>
      <c r="R111" s="54">
        <v>0</v>
      </c>
      <c r="S111" s="57">
        <v>123194282412.42</v>
      </c>
      <c r="T111" s="57">
        <v>12007317087</v>
      </c>
      <c r="U111" s="57">
        <f>S111+T111</f>
        <v>135201599499.42</v>
      </c>
      <c r="V111" s="17" t="s">
        <v>427</v>
      </c>
      <c r="W111" s="23" t="str">
        <f>IFERROR(VLOOKUP(V111,Listas!$A$1:$C$13,2,FALSE),"")</f>
        <v>DINORAH PATRICIA ABADIA MURILLO</v>
      </c>
      <c r="X111" s="23">
        <f>IFERROR(VLOOKUP(V111,Listas!$A$1:$C$13,3,FALSE),"")</f>
        <v>52220857</v>
      </c>
      <c r="Y111" s="17" t="s">
        <v>427</v>
      </c>
      <c r="Z111" s="17" t="s">
        <v>428</v>
      </c>
      <c r="AA111" s="23" t="str">
        <f>IFERROR(VLOOKUP(Z111,Listas!$AD$1:$AF$65,2,FALSE),"")</f>
        <v>DINORAH PATRICIA ABADIA MURILLO</v>
      </c>
      <c r="AB111" s="23">
        <f>IFERROR(VLOOKUP(Z111,Listas!$AD$1:$AF$65,3,FALSE),"")</f>
        <v>52220857</v>
      </c>
      <c r="AC111" s="26"/>
      <c r="AD111" s="26" t="s">
        <v>2937</v>
      </c>
      <c r="AE111" s="100">
        <f t="shared" ca="1" si="24"/>
        <v>85.94122319301033</v>
      </c>
      <c r="AF111" s="100">
        <f t="shared" ca="1" si="25"/>
        <v>85.94122319301033</v>
      </c>
      <c r="AG111" s="100">
        <f t="shared" ca="1" si="26"/>
        <v>85.949119373776909</v>
      </c>
      <c r="AH111" s="101">
        <f t="shared" si="27"/>
        <v>52.563083911729066</v>
      </c>
      <c r="AI111" s="59">
        <v>71066130194.880005</v>
      </c>
      <c r="AJ111" s="54"/>
      <c r="AK111" s="56">
        <f t="shared" ca="1" si="28"/>
        <v>116204584149.01225</v>
      </c>
    </row>
    <row r="112" spans="1:37" ht="91.5">
      <c r="A112" s="54">
        <v>121848</v>
      </c>
      <c r="B112" s="54" t="s">
        <v>9046</v>
      </c>
      <c r="C112" s="17" t="s">
        <v>6292</v>
      </c>
      <c r="D112" s="17" t="s">
        <v>6197</v>
      </c>
      <c r="E112" s="17" t="s">
        <v>1426</v>
      </c>
      <c r="F112" s="17" t="s">
        <v>1427</v>
      </c>
      <c r="G112" s="16" t="s">
        <v>9047</v>
      </c>
      <c r="H112" s="16" t="s">
        <v>9048</v>
      </c>
      <c r="I112" s="32" t="s">
        <v>9208</v>
      </c>
      <c r="J112" s="17" t="s">
        <v>8752</v>
      </c>
      <c r="K112" s="22">
        <v>45649</v>
      </c>
      <c r="L112" s="22">
        <v>42178</v>
      </c>
      <c r="M112" s="22">
        <v>42178</v>
      </c>
      <c r="N112" s="22">
        <v>44004</v>
      </c>
      <c r="O112" s="22">
        <v>45831</v>
      </c>
      <c r="P112" s="102">
        <f t="shared" ref="P112:P113" si="29">N112-M112</f>
        <v>1826</v>
      </c>
      <c r="Q112" s="103">
        <f t="shared" ref="Q112:Q113" si="30">O112-M112</f>
        <v>3653</v>
      </c>
      <c r="R112" s="54">
        <v>0</v>
      </c>
      <c r="S112" s="57">
        <v>61714485989.459999</v>
      </c>
      <c r="T112" s="57">
        <v>3600000000</v>
      </c>
      <c r="U112" s="57">
        <f>S112+T112</f>
        <v>65314485989.459999</v>
      </c>
      <c r="V112" s="17" t="s">
        <v>427</v>
      </c>
      <c r="W112" s="23" t="str">
        <f>IFERROR(VLOOKUP(V112,Listas!$A$1:$C$13,2,FALSE),"")</f>
        <v>DINORAH PATRICIA ABADIA MURILLO</v>
      </c>
      <c r="X112" s="23">
        <f>IFERROR(VLOOKUP(V112,Listas!$A$1:$C$13,3,FALSE),"")</f>
        <v>52220857</v>
      </c>
      <c r="Y112" s="17" t="s">
        <v>427</v>
      </c>
      <c r="Z112" s="17" t="s">
        <v>428</v>
      </c>
      <c r="AA112" s="23" t="str">
        <f>IFERROR(VLOOKUP(Z112,Listas!$AD$1:$AF$65,2,FALSE),"")</f>
        <v>DINORAH PATRICIA ABADIA MURILLO</v>
      </c>
      <c r="AB112" s="23">
        <f>IFERROR(VLOOKUP(Z112,Listas!$AD$1:$AF$65,3,FALSE),"")</f>
        <v>52220857</v>
      </c>
      <c r="AC112" s="26" t="s">
        <v>2938</v>
      </c>
      <c r="AD112" s="26" t="s">
        <v>2937</v>
      </c>
      <c r="AE112" s="100">
        <f t="shared" ref="AE112:AE113" ca="1" si="31">IF(TODAY()&gt;O112,1,+(DAYS360(M112,TODAY())/DAYS360(M112,O112)))*100</f>
        <v>100</v>
      </c>
      <c r="AF112" s="100">
        <f t="shared" ref="AF112:AF113" ca="1" si="32">+IF(AJ112&gt;0,DAYS360(P112,AJ112)/DAYS360(P112,R112),AE112)</f>
        <v>100</v>
      </c>
      <c r="AG112" s="100">
        <f t="shared" ref="AG112:AG113" ca="1" si="33">IFERROR((AK112/U112)*100,"")</f>
        <v>103.25759649603066</v>
      </c>
      <c r="AH112" s="101">
        <f t="shared" ref="AH112:AH113" si="34">IFERROR((AI112/U112)*100,"")</f>
        <v>77.475367882763251</v>
      </c>
      <c r="AI112" s="59">
        <v>50602638301.07</v>
      </c>
      <c r="AJ112" s="54"/>
      <c r="AK112" s="56">
        <f t="shared" ref="AK112:AK113" ca="1" si="35">IFERROR((U112/Q112)*(TODAY()-M112),"")</f>
        <v>67442168396.453079</v>
      </c>
    </row>
    <row r="113" spans="1:37" ht="45.75">
      <c r="A113" s="54">
        <v>122069</v>
      </c>
      <c r="B113" s="54" t="s">
        <v>8899</v>
      </c>
      <c r="C113" s="17" t="s">
        <v>6292</v>
      </c>
      <c r="D113" s="17" t="s">
        <v>6197</v>
      </c>
      <c r="E113" s="17" t="s">
        <v>1426</v>
      </c>
      <c r="F113" s="17" t="s">
        <v>1427</v>
      </c>
      <c r="G113" s="16" t="s">
        <v>8900</v>
      </c>
      <c r="H113" s="16" t="s">
        <v>8901</v>
      </c>
      <c r="I113" s="32" t="s">
        <v>9209</v>
      </c>
      <c r="J113" s="17" t="s">
        <v>8752</v>
      </c>
      <c r="K113" s="22">
        <v>45653</v>
      </c>
      <c r="L113" s="22">
        <v>43789</v>
      </c>
      <c r="M113" s="22">
        <v>43789</v>
      </c>
      <c r="N113" s="22">
        <v>44196</v>
      </c>
      <c r="O113" s="22">
        <v>46022</v>
      </c>
      <c r="P113" s="102">
        <f t="shared" si="29"/>
        <v>407</v>
      </c>
      <c r="Q113" s="103">
        <f t="shared" si="30"/>
        <v>2233</v>
      </c>
      <c r="R113" s="54">
        <v>0</v>
      </c>
      <c r="S113" s="57">
        <v>78690112540.889999</v>
      </c>
      <c r="T113" s="57">
        <v>9943854952</v>
      </c>
      <c r="U113" s="57">
        <f>S113+T113</f>
        <v>88633967492.889999</v>
      </c>
      <c r="V113" s="17" t="s">
        <v>427</v>
      </c>
      <c r="W113" s="23" t="str">
        <f>IFERROR(VLOOKUP(V113,Listas!$A$1:$C$13,2,FALSE),"")</f>
        <v>DINORAH PATRICIA ABADIA MURILLO</v>
      </c>
      <c r="X113" s="23">
        <f>IFERROR(VLOOKUP(V113,Listas!$A$1:$C$13,3,FALSE),"")</f>
        <v>52220857</v>
      </c>
      <c r="Y113" s="17" t="s">
        <v>427</v>
      </c>
      <c r="Z113" s="17" t="s">
        <v>428</v>
      </c>
      <c r="AA113" s="23" t="str">
        <f>IFERROR(VLOOKUP(Z113,Listas!$AD$1:$AF$65,2,FALSE),"")</f>
        <v>DINORAH PATRICIA ABADIA MURILLO</v>
      </c>
      <c r="AB113" s="23">
        <f>IFERROR(VLOOKUP(Z113,Listas!$AD$1:$AF$65,3,FALSE),"")</f>
        <v>52220857</v>
      </c>
      <c r="AC113" s="26" t="s">
        <v>2938</v>
      </c>
      <c r="AD113" s="26" t="s">
        <v>2937</v>
      </c>
      <c r="AE113" s="100">
        <f t="shared" ca="1" si="31"/>
        <v>96.774193548387103</v>
      </c>
      <c r="AF113" s="100">
        <f t="shared" ca="1" si="32"/>
        <v>96.774193548387103</v>
      </c>
      <c r="AG113" s="100">
        <f t="shared" ca="1" si="33"/>
        <v>96.77563815494851</v>
      </c>
      <c r="AH113" s="101">
        <f t="shared" si="34"/>
        <v>35.377500282005705</v>
      </c>
      <c r="AI113" s="59">
        <v>31356482099.75</v>
      </c>
      <c r="AJ113" s="54"/>
      <c r="AK113" s="56">
        <f t="shared" ca="1" si="35"/>
        <v>85776087663.293915</v>
      </c>
    </row>
    <row r="114" spans="1:37">
      <c r="A114" s="54"/>
      <c r="B114" s="54"/>
      <c r="C114" s="17"/>
      <c r="D114" s="17"/>
      <c r="E114" s="17"/>
      <c r="F114" s="17"/>
      <c r="G114" s="16"/>
      <c r="H114" s="16"/>
      <c r="I114" s="32"/>
      <c r="J114" s="17"/>
      <c r="K114" s="22"/>
      <c r="L114" s="22"/>
      <c r="M114" s="22"/>
      <c r="N114" s="22"/>
      <c r="O114" s="22"/>
      <c r="P114" s="102">
        <f t="shared" si="22"/>
        <v>0</v>
      </c>
      <c r="Q114" s="103">
        <f t="shared" si="23"/>
        <v>0</v>
      </c>
      <c r="R114" s="54"/>
      <c r="S114" s="57"/>
      <c r="T114" s="57"/>
      <c r="U114" s="57"/>
      <c r="V114" s="17"/>
      <c r="W114" s="23" t="str">
        <f>IFERROR(VLOOKUP(V114,Listas!$A$1:$C$13,2,FALSE),"")</f>
        <v/>
      </c>
      <c r="X114" s="23" t="str">
        <f>IFERROR(VLOOKUP(V114,Listas!$A$1:$C$13,3,FALSE),"")</f>
        <v/>
      </c>
      <c r="Y114" s="17"/>
      <c r="Z114" s="17"/>
      <c r="AA114" s="23" t="str">
        <f>IFERROR(VLOOKUP(Z114,Listas!$AD$1:$AF$65,2,FALSE),"")</f>
        <v/>
      </c>
      <c r="AB114" s="23" t="str">
        <f>IFERROR(VLOOKUP(Z114,Listas!$AD$1:$AF$65,3,FALSE),"")</f>
        <v/>
      </c>
      <c r="AC114" s="26"/>
      <c r="AD114" s="26"/>
      <c r="AE114" s="100">
        <f t="shared" ca="1" si="24"/>
        <v>100</v>
      </c>
      <c r="AF114" s="100">
        <f t="shared" ca="1" si="25"/>
        <v>100</v>
      </c>
      <c r="AG114" s="100" t="str">
        <f t="shared" ca="1" si="26"/>
        <v/>
      </c>
      <c r="AH114" s="101" t="str">
        <f t="shared" si="27"/>
        <v/>
      </c>
      <c r="AI114" s="59"/>
      <c r="AJ114" s="54"/>
      <c r="AK114" s="56" t="str">
        <f t="shared" ca="1" si="28"/>
        <v/>
      </c>
    </row>
    <row r="115" spans="1:37">
      <c r="A115" s="54"/>
      <c r="B115" s="54"/>
      <c r="C115" s="17"/>
      <c r="D115" s="17"/>
      <c r="E115" s="17"/>
      <c r="F115" s="17"/>
      <c r="G115" s="16"/>
      <c r="H115" s="16"/>
      <c r="I115" s="32"/>
      <c r="J115" s="17"/>
      <c r="K115" s="22"/>
      <c r="L115" s="22"/>
      <c r="M115" s="22"/>
      <c r="N115" s="22"/>
      <c r="O115" s="22"/>
      <c r="P115" s="102">
        <f t="shared" si="22"/>
        <v>0</v>
      </c>
      <c r="Q115" s="103">
        <f t="shared" si="23"/>
        <v>0</v>
      </c>
      <c r="R115" s="54"/>
      <c r="S115" s="57"/>
      <c r="T115" s="57"/>
      <c r="U115" s="57"/>
      <c r="V115" s="17"/>
      <c r="W115" s="23" t="str">
        <f>IFERROR(VLOOKUP(V115,Listas!$A$1:$C$13,2,FALSE),"")</f>
        <v/>
      </c>
      <c r="X115" s="23" t="str">
        <f>IFERROR(VLOOKUP(V115,Listas!$A$1:$C$13,3,FALSE),"")</f>
        <v/>
      </c>
      <c r="Y115" s="17"/>
      <c r="Z115" s="17"/>
      <c r="AA115" s="23" t="str">
        <f>IFERROR(VLOOKUP(Z115,Listas!$AD$1:$AF$65,2,FALSE),"")</f>
        <v/>
      </c>
      <c r="AB115" s="23" t="str">
        <f>IFERROR(VLOOKUP(Z115,Listas!$AD$1:$AF$65,3,FALSE),"")</f>
        <v/>
      </c>
      <c r="AC115" s="26"/>
      <c r="AD115" s="26"/>
      <c r="AE115" s="100">
        <f t="shared" ca="1" si="24"/>
        <v>100</v>
      </c>
      <c r="AF115" s="100">
        <f t="shared" ca="1" si="25"/>
        <v>100</v>
      </c>
      <c r="AG115" s="100" t="str">
        <f t="shared" ca="1" si="26"/>
        <v/>
      </c>
      <c r="AH115" s="101" t="str">
        <f t="shared" si="27"/>
        <v/>
      </c>
      <c r="AI115" s="59"/>
      <c r="AJ115" s="54"/>
      <c r="AK115" s="56" t="str">
        <f t="shared" ca="1" si="28"/>
        <v/>
      </c>
    </row>
    <row r="116" spans="1:37">
      <c r="A116" s="54"/>
      <c r="B116" s="54"/>
      <c r="C116" s="17"/>
      <c r="D116" s="17"/>
      <c r="E116" s="17"/>
      <c r="F116" s="17"/>
      <c r="G116" s="16"/>
      <c r="H116" s="16"/>
      <c r="I116" s="32"/>
      <c r="J116" s="17"/>
      <c r="K116" s="22"/>
      <c r="L116" s="22"/>
      <c r="M116" s="22"/>
      <c r="N116" s="22"/>
      <c r="O116" s="22"/>
      <c r="P116" s="102">
        <f t="shared" si="22"/>
        <v>0</v>
      </c>
      <c r="Q116" s="103">
        <f t="shared" si="23"/>
        <v>0</v>
      </c>
      <c r="R116" s="54"/>
      <c r="S116" s="57"/>
      <c r="T116" s="57"/>
      <c r="U116" s="57"/>
      <c r="V116" s="17"/>
      <c r="W116" s="23" t="str">
        <f>IFERROR(VLOOKUP(V116,Listas!$A$1:$C$13,2,FALSE),"")</f>
        <v/>
      </c>
      <c r="X116" s="23" t="str">
        <f>IFERROR(VLOOKUP(V116,Listas!$A$1:$C$13,3,FALSE),"")</f>
        <v/>
      </c>
      <c r="Y116" s="17"/>
      <c r="Z116" s="17"/>
      <c r="AA116" s="23" t="str">
        <f>IFERROR(VLOOKUP(Z116,Listas!$AD$1:$AF$65,2,FALSE),"")</f>
        <v/>
      </c>
      <c r="AB116" s="23" t="str">
        <f>IFERROR(VLOOKUP(Z116,Listas!$AD$1:$AF$65,3,FALSE),"")</f>
        <v/>
      </c>
      <c r="AC116" s="26"/>
      <c r="AD116" s="26"/>
      <c r="AE116" s="100">
        <f t="shared" ca="1" si="24"/>
        <v>100</v>
      </c>
      <c r="AF116" s="100">
        <f t="shared" ca="1" si="25"/>
        <v>100</v>
      </c>
      <c r="AG116" s="100" t="str">
        <f t="shared" ca="1" si="26"/>
        <v/>
      </c>
      <c r="AH116" s="101" t="str">
        <f t="shared" si="27"/>
        <v/>
      </c>
      <c r="AI116" s="59"/>
      <c r="AJ116" s="54"/>
      <c r="AK116" s="56" t="str">
        <f t="shared" ca="1" si="28"/>
        <v/>
      </c>
    </row>
    <row r="117" spans="1:37">
      <c r="A117" s="54"/>
      <c r="B117" s="54"/>
      <c r="C117" s="17"/>
      <c r="D117" s="17"/>
      <c r="E117" s="17"/>
      <c r="F117" s="17"/>
      <c r="G117" s="16"/>
      <c r="H117" s="16"/>
      <c r="I117" s="32"/>
      <c r="J117" s="17"/>
      <c r="K117" s="22"/>
      <c r="L117" s="22"/>
      <c r="M117" s="22"/>
      <c r="N117" s="22"/>
      <c r="O117" s="22"/>
      <c r="P117" s="102">
        <f t="shared" si="22"/>
        <v>0</v>
      </c>
      <c r="Q117" s="103">
        <f t="shared" si="23"/>
        <v>0</v>
      </c>
      <c r="R117" s="54"/>
      <c r="S117" s="57"/>
      <c r="T117" s="57"/>
      <c r="U117" s="57"/>
      <c r="V117" s="17"/>
      <c r="W117" s="23" t="str">
        <f>IFERROR(VLOOKUP(V117,Listas!$A$1:$C$13,2,FALSE),"")</f>
        <v/>
      </c>
      <c r="X117" s="23" t="str">
        <f>IFERROR(VLOOKUP(V117,Listas!$A$1:$C$13,3,FALSE),"")</f>
        <v/>
      </c>
      <c r="Y117" s="17"/>
      <c r="Z117" s="17"/>
      <c r="AA117" s="23" t="str">
        <f>IFERROR(VLOOKUP(Z117,Listas!$AD$1:$AF$65,2,FALSE),"")</f>
        <v/>
      </c>
      <c r="AB117" s="23" t="str">
        <f>IFERROR(VLOOKUP(Z117,Listas!$AD$1:$AF$65,3,FALSE),"")</f>
        <v/>
      </c>
      <c r="AC117" s="26"/>
      <c r="AD117" s="26"/>
      <c r="AE117" s="100">
        <f t="shared" ca="1" si="24"/>
        <v>100</v>
      </c>
      <c r="AF117" s="100">
        <f t="shared" ca="1" si="25"/>
        <v>100</v>
      </c>
      <c r="AG117" s="100" t="str">
        <f t="shared" ca="1" si="26"/>
        <v/>
      </c>
      <c r="AH117" s="101" t="str">
        <f t="shared" si="27"/>
        <v/>
      </c>
      <c r="AI117" s="59"/>
      <c r="AJ117" s="54"/>
      <c r="AK117" s="56" t="str">
        <f t="shared" ca="1" si="28"/>
        <v/>
      </c>
    </row>
    <row r="118" spans="1:37">
      <c r="A118" s="54"/>
      <c r="B118" s="54"/>
      <c r="C118" s="17"/>
      <c r="D118" s="17"/>
      <c r="E118" s="17"/>
      <c r="F118" s="17"/>
      <c r="G118" s="16"/>
      <c r="H118" s="16"/>
      <c r="I118" s="32"/>
      <c r="J118" s="17"/>
      <c r="K118" s="22"/>
      <c r="L118" s="22"/>
      <c r="M118" s="22"/>
      <c r="N118" s="22"/>
      <c r="O118" s="22"/>
      <c r="P118" s="102">
        <f t="shared" si="22"/>
        <v>0</v>
      </c>
      <c r="Q118" s="103">
        <f t="shared" si="23"/>
        <v>0</v>
      </c>
      <c r="R118" s="54"/>
      <c r="S118" s="57"/>
      <c r="T118" s="57"/>
      <c r="U118" s="57"/>
      <c r="V118" s="17"/>
      <c r="W118" s="23" t="str">
        <f>IFERROR(VLOOKUP(V118,Listas!$A$1:$C$13,2,FALSE),"")</f>
        <v/>
      </c>
      <c r="X118" s="23" t="str">
        <f>IFERROR(VLOOKUP(V118,Listas!$A$1:$C$13,3,FALSE),"")</f>
        <v/>
      </c>
      <c r="Y118" s="17"/>
      <c r="Z118" s="17"/>
      <c r="AA118" s="23" t="str">
        <f>IFERROR(VLOOKUP(Z118,Listas!$AD$1:$AF$65,2,FALSE),"")</f>
        <v/>
      </c>
      <c r="AB118" s="23" t="str">
        <f>IFERROR(VLOOKUP(Z118,Listas!$AD$1:$AF$65,3,FALSE),"")</f>
        <v/>
      </c>
      <c r="AC118" s="26"/>
      <c r="AD118" s="26"/>
      <c r="AE118" s="100">
        <f t="shared" ca="1" si="24"/>
        <v>100</v>
      </c>
      <c r="AF118" s="100">
        <f t="shared" ca="1" si="25"/>
        <v>100</v>
      </c>
      <c r="AG118" s="100" t="str">
        <f t="shared" ca="1" si="26"/>
        <v/>
      </c>
      <c r="AH118" s="101" t="str">
        <f t="shared" si="27"/>
        <v/>
      </c>
      <c r="AI118" s="59"/>
      <c r="AJ118" s="54"/>
      <c r="AK118" s="56" t="str">
        <f t="shared" ca="1" si="28"/>
        <v/>
      </c>
    </row>
    <row r="119" spans="1:37">
      <c r="A119" s="54"/>
      <c r="B119" s="54"/>
      <c r="C119" s="17"/>
      <c r="D119" s="17"/>
      <c r="E119" s="17"/>
      <c r="F119" s="17"/>
      <c r="G119" s="16"/>
      <c r="H119" s="16"/>
      <c r="I119" s="32"/>
      <c r="J119" s="17"/>
      <c r="K119" s="22"/>
      <c r="L119" s="22"/>
      <c r="M119" s="22"/>
      <c r="N119" s="22"/>
      <c r="O119" s="22"/>
      <c r="P119" s="102">
        <f t="shared" si="22"/>
        <v>0</v>
      </c>
      <c r="Q119" s="103">
        <f t="shared" si="23"/>
        <v>0</v>
      </c>
      <c r="R119" s="54"/>
      <c r="S119" s="57"/>
      <c r="T119" s="57"/>
      <c r="U119" s="57"/>
      <c r="V119" s="17"/>
      <c r="W119" s="23" t="str">
        <f>IFERROR(VLOOKUP(V119,Listas!$A$1:$C$13,2,FALSE),"")</f>
        <v/>
      </c>
      <c r="X119" s="23" t="str">
        <f>IFERROR(VLOOKUP(V119,Listas!$A$1:$C$13,3,FALSE),"")</f>
        <v/>
      </c>
      <c r="Y119" s="17"/>
      <c r="Z119" s="17"/>
      <c r="AA119" s="23" t="str">
        <f>IFERROR(VLOOKUP(Z119,Listas!$AD$1:$AF$65,2,FALSE),"")</f>
        <v/>
      </c>
      <c r="AB119" s="23" t="str">
        <f>IFERROR(VLOOKUP(Z119,Listas!$AD$1:$AF$65,3,FALSE),"")</f>
        <v/>
      </c>
      <c r="AC119" s="26"/>
      <c r="AD119" s="26"/>
      <c r="AE119" s="100">
        <f t="shared" ca="1" si="24"/>
        <v>100</v>
      </c>
      <c r="AF119" s="100">
        <f t="shared" ca="1" si="25"/>
        <v>100</v>
      </c>
      <c r="AG119" s="100" t="str">
        <f t="shared" ca="1" si="26"/>
        <v/>
      </c>
      <c r="AH119" s="101" t="str">
        <f t="shared" si="27"/>
        <v/>
      </c>
      <c r="AI119" s="59"/>
      <c r="AJ119" s="54"/>
      <c r="AK119" s="56" t="str">
        <f t="shared" ca="1" si="28"/>
        <v/>
      </c>
    </row>
    <row r="120" spans="1:37">
      <c r="A120" s="54"/>
      <c r="B120" s="54"/>
      <c r="C120" s="17"/>
      <c r="D120" s="17"/>
      <c r="E120" s="17"/>
      <c r="F120" s="17"/>
      <c r="G120" s="16"/>
      <c r="H120" s="16"/>
      <c r="I120" s="32"/>
      <c r="J120" s="17"/>
      <c r="K120" s="22"/>
      <c r="L120" s="22"/>
      <c r="M120" s="22"/>
      <c r="N120" s="22"/>
      <c r="O120" s="22"/>
      <c r="P120" s="102">
        <f t="shared" si="22"/>
        <v>0</v>
      </c>
      <c r="Q120" s="103">
        <f t="shared" si="23"/>
        <v>0</v>
      </c>
      <c r="R120" s="54"/>
      <c r="S120" s="57"/>
      <c r="T120" s="57"/>
      <c r="U120" s="57"/>
      <c r="V120" s="17"/>
      <c r="W120" s="23" t="str">
        <f>IFERROR(VLOOKUP(V120,Listas!$A$1:$C$13,2,FALSE),"")</f>
        <v/>
      </c>
      <c r="X120" s="23" t="str">
        <f>IFERROR(VLOOKUP(V120,Listas!$A$1:$C$13,3,FALSE),"")</f>
        <v/>
      </c>
      <c r="Y120" s="17"/>
      <c r="Z120" s="17"/>
      <c r="AA120" s="23" t="str">
        <f>IFERROR(VLOOKUP(Z120,Listas!$AD$1:$AF$65,2,FALSE),"")</f>
        <v/>
      </c>
      <c r="AB120" s="23" t="str">
        <f>IFERROR(VLOOKUP(Z120,Listas!$AD$1:$AF$65,3,FALSE),"")</f>
        <v/>
      </c>
      <c r="AC120" s="26"/>
      <c r="AD120" s="26"/>
      <c r="AE120" s="100">
        <f t="shared" ca="1" si="24"/>
        <v>100</v>
      </c>
      <c r="AF120" s="100">
        <f t="shared" ca="1" si="25"/>
        <v>100</v>
      </c>
      <c r="AG120" s="100" t="str">
        <f t="shared" ca="1" si="26"/>
        <v/>
      </c>
      <c r="AH120" s="101" t="str">
        <f t="shared" si="27"/>
        <v/>
      </c>
      <c r="AI120" s="59"/>
      <c r="AJ120" s="54"/>
      <c r="AK120" s="56" t="str">
        <f t="shared" ca="1" si="28"/>
        <v/>
      </c>
    </row>
    <row r="121" spans="1:37">
      <c r="A121" s="54"/>
      <c r="B121" s="54"/>
      <c r="C121" s="17"/>
      <c r="D121" s="17"/>
      <c r="E121" s="17"/>
      <c r="F121" s="17"/>
      <c r="G121" s="16"/>
      <c r="H121" s="16"/>
      <c r="I121" s="32"/>
      <c r="J121" s="17"/>
      <c r="K121" s="22"/>
      <c r="L121" s="22"/>
      <c r="M121" s="22"/>
      <c r="N121" s="22"/>
      <c r="O121" s="22"/>
      <c r="P121" s="102">
        <f t="shared" si="22"/>
        <v>0</v>
      </c>
      <c r="Q121" s="103">
        <f t="shared" si="23"/>
        <v>0</v>
      </c>
      <c r="R121" s="54"/>
      <c r="S121" s="57"/>
      <c r="T121" s="57"/>
      <c r="U121" s="57"/>
      <c r="V121" s="17"/>
      <c r="W121" s="23" t="str">
        <f>IFERROR(VLOOKUP(V121,Listas!$A$1:$C$13,2,FALSE),"")</f>
        <v/>
      </c>
      <c r="X121" s="23" t="str">
        <f>IFERROR(VLOOKUP(V121,Listas!$A$1:$C$13,3,FALSE),"")</f>
        <v/>
      </c>
      <c r="Y121" s="17"/>
      <c r="Z121" s="17"/>
      <c r="AA121" s="23" t="str">
        <f>IFERROR(VLOOKUP(Z121,Listas!$AD$1:$AF$65,2,FALSE),"")</f>
        <v/>
      </c>
      <c r="AB121" s="23" t="str">
        <f>IFERROR(VLOOKUP(Z121,Listas!$AD$1:$AF$65,3,FALSE),"")</f>
        <v/>
      </c>
      <c r="AC121" s="26"/>
      <c r="AD121" s="26"/>
      <c r="AE121" s="100">
        <f t="shared" ca="1" si="24"/>
        <v>100</v>
      </c>
      <c r="AF121" s="100">
        <f t="shared" ca="1" si="25"/>
        <v>100</v>
      </c>
      <c r="AG121" s="100" t="str">
        <f t="shared" ca="1" si="26"/>
        <v/>
      </c>
      <c r="AH121" s="101" t="str">
        <f t="shared" si="27"/>
        <v/>
      </c>
      <c r="AI121" s="59"/>
      <c r="AJ121" s="54"/>
      <c r="AK121" s="56" t="str">
        <f t="shared" ca="1" si="28"/>
        <v/>
      </c>
    </row>
    <row r="122" spans="1:37">
      <c r="A122" s="54"/>
      <c r="B122" s="54"/>
      <c r="C122" s="17"/>
      <c r="D122" s="17"/>
      <c r="E122" s="17"/>
      <c r="F122" s="17"/>
      <c r="G122" s="16"/>
      <c r="H122" s="16"/>
      <c r="I122" s="32"/>
      <c r="J122" s="17"/>
      <c r="K122" s="22"/>
      <c r="L122" s="22"/>
      <c r="M122" s="22"/>
      <c r="N122" s="22"/>
      <c r="O122" s="22"/>
      <c r="P122" s="102">
        <f t="shared" si="22"/>
        <v>0</v>
      </c>
      <c r="Q122" s="103">
        <f t="shared" si="23"/>
        <v>0</v>
      </c>
      <c r="R122" s="54"/>
      <c r="S122" s="57"/>
      <c r="T122" s="57"/>
      <c r="U122" s="57"/>
      <c r="V122" s="17"/>
      <c r="W122" s="23" t="str">
        <f>IFERROR(VLOOKUP(V122,Listas!$A$1:$C$13,2,FALSE),"")</f>
        <v/>
      </c>
      <c r="X122" s="23" t="str">
        <f>IFERROR(VLOOKUP(V122,Listas!$A$1:$C$13,3,FALSE),"")</f>
        <v/>
      </c>
      <c r="Y122" s="17"/>
      <c r="Z122" s="17"/>
      <c r="AA122" s="23" t="str">
        <f>IFERROR(VLOOKUP(Z122,Listas!$AD$1:$AF$65,2,FALSE),"")</f>
        <v/>
      </c>
      <c r="AB122" s="23" t="str">
        <f>IFERROR(VLOOKUP(Z122,Listas!$AD$1:$AF$65,3,FALSE),"")</f>
        <v/>
      </c>
      <c r="AC122" s="26"/>
      <c r="AD122" s="26"/>
      <c r="AE122" s="100">
        <f t="shared" ca="1" si="24"/>
        <v>100</v>
      </c>
      <c r="AF122" s="100">
        <f t="shared" ca="1" si="25"/>
        <v>100</v>
      </c>
      <c r="AG122" s="100" t="str">
        <f t="shared" ca="1" si="26"/>
        <v/>
      </c>
      <c r="AH122" s="101" t="str">
        <f t="shared" si="27"/>
        <v/>
      </c>
      <c r="AI122" s="59"/>
      <c r="AJ122" s="54"/>
      <c r="AK122" s="56" t="str">
        <f t="shared" ca="1" si="28"/>
        <v/>
      </c>
    </row>
    <row r="123" spans="1:37">
      <c r="A123" s="54"/>
      <c r="B123" s="54"/>
      <c r="C123" s="17"/>
      <c r="D123" s="17"/>
      <c r="E123" s="17"/>
      <c r="F123" s="17"/>
      <c r="G123" s="16"/>
      <c r="H123" s="16"/>
      <c r="I123" s="32"/>
      <c r="J123" s="17"/>
      <c r="K123" s="22"/>
      <c r="L123" s="22"/>
      <c r="M123" s="22"/>
      <c r="N123" s="22"/>
      <c r="O123" s="22"/>
      <c r="P123" s="102">
        <f t="shared" si="22"/>
        <v>0</v>
      </c>
      <c r="Q123" s="103">
        <f t="shared" si="23"/>
        <v>0</v>
      </c>
      <c r="R123" s="54"/>
      <c r="S123" s="57"/>
      <c r="T123" s="57"/>
      <c r="U123" s="57"/>
      <c r="V123" s="17"/>
      <c r="W123" s="23" t="str">
        <f>IFERROR(VLOOKUP(V123,Listas!$A$1:$C$13,2,FALSE),"")</f>
        <v/>
      </c>
      <c r="X123" s="23" t="str">
        <f>IFERROR(VLOOKUP(V123,Listas!$A$1:$C$13,3,FALSE),"")</f>
        <v/>
      </c>
      <c r="Y123" s="17"/>
      <c r="Z123" s="17"/>
      <c r="AA123" s="23" t="str">
        <f>IFERROR(VLOOKUP(Z123,Listas!$AD$1:$AF$65,2,FALSE),"")</f>
        <v/>
      </c>
      <c r="AB123" s="23" t="str">
        <f>IFERROR(VLOOKUP(Z123,Listas!$AD$1:$AF$65,3,FALSE),"")</f>
        <v/>
      </c>
      <c r="AC123" s="26"/>
      <c r="AD123" s="26"/>
      <c r="AE123" s="100">
        <f t="shared" ca="1" si="24"/>
        <v>100</v>
      </c>
      <c r="AF123" s="100">
        <f t="shared" ca="1" si="25"/>
        <v>100</v>
      </c>
      <c r="AG123" s="100" t="str">
        <f t="shared" ca="1" si="26"/>
        <v/>
      </c>
      <c r="AH123" s="101" t="str">
        <f t="shared" si="27"/>
        <v/>
      </c>
      <c r="AI123" s="59"/>
      <c r="AJ123" s="54"/>
      <c r="AK123" s="56" t="str">
        <f t="shared" ca="1" si="28"/>
        <v/>
      </c>
    </row>
    <row r="124" spans="1:37">
      <c r="A124" s="54"/>
      <c r="B124" s="54"/>
      <c r="C124" s="17"/>
      <c r="D124" s="17"/>
      <c r="E124" s="17"/>
      <c r="F124" s="17"/>
      <c r="G124" s="16"/>
      <c r="H124" s="16"/>
      <c r="I124" s="32"/>
      <c r="J124" s="17"/>
      <c r="K124" s="22"/>
      <c r="L124" s="22"/>
      <c r="M124" s="22"/>
      <c r="N124" s="22"/>
      <c r="O124" s="22"/>
      <c r="P124" s="102">
        <f t="shared" si="22"/>
        <v>0</v>
      </c>
      <c r="Q124" s="103">
        <f t="shared" si="23"/>
        <v>0</v>
      </c>
      <c r="R124" s="54"/>
      <c r="S124" s="57"/>
      <c r="T124" s="57"/>
      <c r="U124" s="57"/>
      <c r="V124" s="17"/>
      <c r="W124" s="23" t="str">
        <f>IFERROR(VLOOKUP(V124,Listas!$A$1:$C$13,2,FALSE),"")</f>
        <v/>
      </c>
      <c r="X124" s="23" t="str">
        <f>IFERROR(VLOOKUP(V124,Listas!$A$1:$C$13,3,FALSE),"")</f>
        <v/>
      </c>
      <c r="Y124" s="17"/>
      <c r="Z124" s="17"/>
      <c r="AA124" s="23" t="str">
        <f>IFERROR(VLOOKUP(Z124,Listas!$AD$1:$AF$65,2,FALSE),"")</f>
        <v/>
      </c>
      <c r="AB124" s="23" t="str">
        <f>IFERROR(VLOOKUP(Z124,Listas!$AD$1:$AF$65,3,FALSE),"")</f>
        <v/>
      </c>
      <c r="AC124" s="26"/>
      <c r="AD124" s="26"/>
      <c r="AE124" s="100">
        <f t="shared" ca="1" si="24"/>
        <v>100</v>
      </c>
      <c r="AF124" s="100">
        <f t="shared" ca="1" si="25"/>
        <v>100</v>
      </c>
      <c r="AG124" s="100" t="str">
        <f t="shared" ca="1" si="26"/>
        <v/>
      </c>
      <c r="AH124" s="101" t="str">
        <f t="shared" si="27"/>
        <v/>
      </c>
      <c r="AI124" s="59"/>
      <c r="AJ124" s="54"/>
      <c r="AK124" s="56" t="str">
        <f t="shared" ca="1" si="28"/>
        <v/>
      </c>
    </row>
    <row r="125" spans="1:37">
      <c r="A125" s="54"/>
      <c r="B125" s="54"/>
      <c r="C125" s="17"/>
      <c r="D125" s="17"/>
      <c r="E125" s="17"/>
      <c r="F125" s="17"/>
      <c r="G125" s="16"/>
      <c r="H125" s="16"/>
      <c r="I125" s="32"/>
      <c r="J125" s="17"/>
      <c r="K125" s="22"/>
      <c r="L125" s="22"/>
      <c r="M125" s="22"/>
      <c r="N125" s="22"/>
      <c r="O125" s="22"/>
      <c r="P125" s="102">
        <f t="shared" si="22"/>
        <v>0</v>
      </c>
      <c r="Q125" s="103">
        <f t="shared" si="23"/>
        <v>0</v>
      </c>
      <c r="R125" s="54"/>
      <c r="S125" s="57"/>
      <c r="T125" s="57"/>
      <c r="U125" s="57"/>
      <c r="V125" s="17"/>
      <c r="W125" s="23" t="str">
        <f>IFERROR(VLOOKUP(V125,Listas!$A$1:$C$13,2,FALSE),"")</f>
        <v/>
      </c>
      <c r="X125" s="23" t="str">
        <f>IFERROR(VLOOKUP(V125,Listas!$A$1:$C$13,3,FALSE),"")</f>
        <v/>
      </c>
      <c r="Y125" s="17"/>
      <c r="Z125" s="17"/>
      <c r="AA125" s="23" t="str">
        <f>IFERROR(VLOOKUP(Z125,Listas!$AD$1:$AF$65,2,FALSE),"")</f>
        <v/>
      </c>
      <c r="AB125" s="23" t="str">
        <f>IFERROR(VLOOKUP(Z125,Listas!$AD$1:$AF$65,3,FALSE),"")</f>
        <v/>
      </c>
      <c r="AC125" s="26"/>
      <c r="AD125" s="26"/>
      <c r="AE125" s="100">
        <f t="shared" ca="1" si="24"/>
        <v>100</v>
      </c>
      <c r="AF125" s="100">
        <f t="shared" ca="1" si="25"/>
        <v>100</v>
      </c>
      <c r="AG125" s="100" t="str">
        <f t="shared" ca="1" si="26"/>
        <v/>
      </c>
      <c r="AH125" s="101" t="str">
        <f t="shared" si="27"/>
        <v/>
      </c>
      <c r="AI125" s="59"/>
      <c r="AJ125" s="54"/>
      <c r="AK125" s="56" t="str">
        <f t="shared" ca="1" si="28"/>
        <v/>
      </c>
    </row>
    <row r="126" spans="1:37">
      <c r="A126" s="54"/>
      <c r="B126" s="54"/>
      <c r="C126" s="17"/>
      <c r="D126" s="17"/>
      <c r="E126" s="17"/>
      <c r="F126" s="17"/>
      <c r="G126" s="16"/>
      <c r="H126" s="16"/>
      <c r="I126" s="32"/>
      <c r="J126" s="17"/>
      <c r="K126" s="22"/>
      <c r="L126" s="22"/>
      <c r="M126" s="22"/>
      <c r="N126" s="22"/>
      <c r="O126" s="22"/>
      <c r="P126" s="102">
        <f t="shared" si="22"/>
        <v>0</v>
      </c>
      <c r="Q126" s="103">
        <f t="shared" si="23"/>
        <v>0</v>
      </c>
      <c r="R126" s="54"/>
      <c r="S126" s="57"/>
      <c r="T126" s="57"/>
      <c r="U126" s="57"/>
      <c r="V126" s="17"/>
      <c r="W126" s="23" t="str">
        <f>IFERROR(VLOOKUP(V126,Listas!$A$1:$C$13,2,FALSE),"")</f>
        <v/>
      </c>
      <c r="X126" s="23" t="str">
        <f>IFERROR(VLOOKUP(V126,Listas!$A$1:$C$13,3,FALSE),"")</f>
        <v/>
      </c>
      <c r="Y126" s="17"/>
      <c r="Z126" s="17"/>
      <c r="AA126" s="23" t="str">
        <f>IFERROR(VLOOKUP(Z126,Listas!$AD$1:$AF$65,2,FALSE),"")</f>
        <v/>
      </c>
      <c r="AB126" s="23" t="str">
        <f>IFERROR(VLOOKUP(Z126,Listas!$AD$1:$AF$65,3,FALSE),"")</f>
        <v/>
      </c>
      <c r="AC126" s="26"/>
      <c r="AD126" s="26"/>
      <c r="AE126" s="100">
        <f t="shared" ca="1" si="24"/>
        <v>100</v>
      </c>
      <c r="AF126" s="100">
        <f t="shared" ca="1" si="25"/>
        <v>100</v>
      </c>
      <c r="AG126" s="100" t="str">
        <f t="shared" ca="1" si="26"/>
        <v/>
      </c>
      <c r="AH126" s="101" t="str">
        <f t="shared" si="27"/>
        <v/>
      </c>
      <c r="AI126" s="59"/>
      <c r="AJ126" s="54"/>
      <c r="AK126" s="56" t="str">
        <f t="shared" ca="1" si="28"/>
        <v/>
      </c>
    </row>
    <row r="127" spans="1:37">
      <c r="A127" s="54"/>
      <c r="B127" s="54"/>
      <c r="C127" s="17"/>
      <c r="D127" s="17"/>
      <c r="E127" s="17"/>
      <c r="F127" s="17"/>
      <c r="G127" s="16"/>
      <c r="H127" s="16"/>
      <c r="I127" s="32"/>
      <c r="J127" s="17"/>
      <c r="K127" s="22"/>
      <c r="L127" s="22"/>
      <c r="M127" s="22"/>
      <c r="N127" s="22"/>
      <c r="O127" s="22"/>
      <c r="P127" s="102">
        <f t="shared" ref="P127:P190" si="36">N127-M127</f>
        <v>0</v>
      </c>
      <c r="Q127" s="103">
        <f t="shared" ref="Q127:Q190" si="37">O127-M127</f>
        <v>0</v>
      </c>
      <c r="R127" s="54"/>
      <c r="S127" s="57"/>
      <c r="T127" s="57"/>
      <c r="U127" s="57"/>
      <c r="V127" s="17"/>
      <c r="W127" s="23" t="str">
        <f>IFERROR(VLOOKUP(V127,Listas!$A$1:$C$13,2,FALSE),"")</f>
        <v/>
      </c>
      <c r="X127" s="23" t="str">
        <f>IFERROR(VLOOKUP(V127,Listas!$A$1:$C$13,3,FALSE),"")</f>
        <v/>
      </c>
      <c r="Y127" s="17"/>
      <c r="Z127" s="17"/>
      <c r="AA127" s="23" t="str">
        <f>IFERROR(VLOOKUP(Z127,Listas!$AD$1:$AF$65,2,FALSE),"")</f>
        <v/>
      </c>
      <c r="AB127" s="23" t="str">
        <f>IFERROR(VLOOKUP(Z127,Listas!$AD$1:$AF$65,3,FALSE),"")</f>
        <v/>
      </c>
      <c r="AC127" s="26"/>
      <c r="AD127" s="26"/>
      <c r="AE127" s="100">
        <f t="shared" ref="AE127:AE190" ca="1" si="38">IF(TODAY()&gt;O127,1,+(DAYS360(M127,TODAY())/DAYS360(M127,O127)))*100</f>
        <v>100</v>
      </c>
      <c r="AF127" s="100">
        <f t="shared" ref="AF127:AF190" ca="1" si="39">+IF(AJ127&gt;0,DAYS360(P127,AJ127)/DAYS360(P127,R127),AE127)</f>
        <v>100</v>
      </c>
      <c r="AG127" s="100" t="str">
        <f t="shared" ref="AG127:AG190" ca="1" si="40">IFERROR((AK127/U127)*100,"")</f>
        <v/>
      </c>
      <c r="AH127" s="101" t="str">
        <f t="shared" ref="AH127:AH190" si="41">IFERROR((AI127/U127)*100,"")</f>
        <v/>
      </c>
      <c r="AI127" s="59"/>
      <c r="AJ127" s="54"/>
      <c r="AK127" s="56" t="str">
        <f t="shared" ref="AK127:AK190" ca="1" si="42">IFERROR((U127/Q127)*(TODAY()-M127),"")</f>
        <v/>
      </c>
    </row>
    <row r="128" spans="1:37">
      <c r="A128" s="54"/>
      <c r="B128" s="54"/>
      <c r="C128" s="17"/>
      <c r="D128" s="17"/>
      <c r="E128" s="17"/>
      <c r="F128" s="17"/>
      <c r="G128" s="16"/>
      <c r="H128" s="16"/>
      <c r="I128" s="32"/>
      <c r="J128" s="17"/>
      <c r="K128" s="22"/>
      <c r="L128" s="22"/>
      <c r="M128" s="22"/>
      <c r="N128" s="22"/>
      <c r="O128" s="22"/>
      <c r="P128" s="102">
        <f t="shared" si="36"/>
        <v>0</v>
      </c>
      <c r="Q128" s="103">
        <f t="shared" si="37"/>
        <v>0</v>
      </c>
      <c r="R128" s="54"/>
      <c r="S128" s="57"/>
      <c r="T128" s="57"/>
      <c r="U128" s="57"/>
      <c r="V128" s="17"/>
      <c r="W128" s="23" t="str">
        <f>IFERROR(VLOOKUP(V128,Listas!$A$1:$C$13,2,FALSE),"")</f>
        <v/>
      </c>
      <c r="X128" s="23" t="str">
        <f>IFERROR(VLOOKUP(V128,Listas!$A$1:$C$13,3,FALSE),"")</f>
        <v/>
      </c>
      <c r="Y128" s="17"/>
      <c r="Z128" s="17"/>
      <c r="AA128" s="23" t="str">
        <f>IFERROR(VLOOKUP(Z128,Listas!$AD$1:$AF$65,2,FALSE),"")</f>
        <v/>
      </c>
      <c r="AB128" s="23" t="str">
        <f>IFERROR(VLOOKUP(Z128,Listas!$AD$1:$AF$65,3,FALSE),"")</f>
        <v/>
      </c>
      <c r="AC128" s="26"/>
      <c r="AD128" s="26"/>
      <c r="AE128" s="100">
        <f t="shared" ca="1" si="38"/>
        <v>100</v>
      </c>
      <c r="AF128" s="100">
        <f t="shared" ca="1" si="39"/>
        <v>100</v>
      </c>
      <c r="AG128" s="100" t="str">
        <f t="shared" ca="1" si="40"/>
        <v/>
      </c>
      <c r="AH128" s="101" t="str">
        <f t="shared" si="41"/>
        <v/>
      </c>
      <c r="AI128" s="59"/>
      <c r="AJ128" s="54"/>
      <c r="AK128" s="56" t="str">
        <f t="shared" ca="1" si="42"/>
        <v/>
      </c>
    </row>
    <row r="129" spans="1:37">
      <c r="A129" s="54"/>
      <c r="B129" s="54"/>
      <c r="C129" s="17"/>
      <c r="D129" s="17"/>
      <c r="E129" s="17"/>
      <c r="F129" s="17"/>
      <c r="G129" s="16"/>
      <c r="H129" s="16"/>
      <c r="I129" s="32"/>
      <c r="J129" s="17"/>
      <c r="K129" s="22"/>
      <c r="L129" s="22"/>
      <c r="M129" s="22"/>
      <c r="N129" s="22"/>
      <c r="O129" s="22"/>
      <c r="P129" s="102">
        <f t="shared" si="36"/>
        <v>0</v>
      </c>
      <c r="Q129" s="103">
        <f t="shared" si="37"/>
        <v>0</v>
      </c>
      <c r="R129" s="54"/>
      <c r="S129" s="57"/>
      <c r="T129" s="57"/>
      <c r="U129" s="57"/>
      <c r="V129" s="17"/>
      <c r="W129" s="23" t="str">
        <f>IFERROR(VLOOKUP(V129,Listas!$A$1:$C$13,2,FALSE),"")</f>
        <v/>
      </c>
      <c r="X129" s="23" t="str">
        <f>IFERROR(VLOOKUP(V129,Listas!$A$1:$C$13,3,FALSE),"")</f>
        <v/>
      </c>
      <c r="Y129" s="17"/>
      <c r="Z129" s="17"/>
      <c r="AA129" s="23" t="str">
        <f>IFERROR(VLOOKUP(Z129,Listas!$AD$1:$AF$65,2,FALSE),"")</f>
        <v/>
      </c>
      <c r="AB129" s="23" t="str">
        <f>IFERROR(VLOOKUP(Z129,Listas!$AD$1:$AF$65,3,FALSE),"")</f>
        <v/>
      </c>
      <c r="AC129" s="26"/>
      <c r="AD129" s="26"/>
      <c r="AE129" s="100">
        <f t="shared" ca="1" si="38"/>
        <v>100</v>
      </c>
      <c r="AF129" s="100">
        <f t="shared" ca="1" si="39"/>
        <v>100</v>
      </c>
      <c r="AG129" s="100" t="str">
        <f t="shared" ca="1" si="40"/>
        <v/>
      </c>
      <c r="AH129" s="101" t="str">
        <f t="shared" si="41"/>
        <v/>
      </c>
      <c r="AI129" s="59"/>
      <c r="AJ129" s="54"/>
      <c r="AK129" s="56" t="str">
        <f t="shared" ca="1" si="42"/>
        <v/>
      </c>
    </row>
    <row r="130" spans="1:37">
      <c r="A130" s="54"/>
      <c r="B130" s="54"/>
      <c r="C130" s="17"/>
      <c r="D130" s="17"/>
      <c r="E130" s="17"/>
      <c r="F130" s="17"/>
      <c r="G130" s="16"/>
      <c r="H130" s="16"/>
      <c r="I130" s="32"/>
      <c r="J130" s="17"/>
      <c r="K130" s="22"/>
      <c r="L130" s="22"/>
      <c r="M130" s="22"/>
      <c r="N130" s="22"/>
      <c r="O130" s="22"/>
      <c r="P130" s="102">
        <f t="shared" si="36"/>
        <v>0</v>
      </c>
      <c r="Q130" s="103">
        <f t="shared" si="37"/>
        <v>0</v>
      </c>
      <c r="R130" s="54"/>
      <c r="S130" s="57"/>
      <c r="T130" s="57"/>
      <c r="U130" s="57"/>
      <c r="V130" s="17"/>
      <c r="W130" s="23" t="str">
        <f>IFERROR(VLOOKUP(V130,Listas!$A$1:$C$13,2,FALSE),"")</f>
        <v/>
      </c>
      <c r="X130" s="23" t="str">
        <f>IFERROR(VLOOKUP(V130,Listas!$A$1:$C$13,3,FALSE),"")</f>
        <v/>
      </c>
      <c r="Y130" s="17"/>
      <c r="Z130" s="17"/>
      <c r="AA130" s="23" t="str">
        <f>IFERROR(VLOOKUP(Z130,Listas!$AD$1:$AF$65,2,FALSE),"")</f>
        <v/>
      </c>
      <c r="AB130" s="23" t="str">
        <f>IFERROR(VLOOKUP(Z130,Listas!$AD$1:$AF$65,3,FALSE),"")</f>
        <v/>
      </c>
      <c r="AC130" s="26"/>
      <c r="AD130" s="26"/>
      <c r="AE130" s="100">
        <f t="shared" ca="1" si="38"/>
        <v>100</v>
      </c>
      <c r="AF130" s="100">
        <f t="shared" ca="1" si="39"/>
        <v>100</v>
      </c>
      <c r="AG130" s="100" t="str">
        <f t="shared" ca="1" si="40"/>
        <v/>
      </c>
      <c r="AH130" s="101" t="str">
        <f t="shared" si="41"/>
        <v/>
      </c>
      <c r="AI130" s="59"/>
      <c r="AJ130" s="54"/>
      <c r="AK130" s="56" t="str">
        <f t="shared" ca="1" si="42"/>
        <v/>
      </c>
    </row>
    <row r="131" spans="1:37">
      <c r="A131" s="54"/>
      <c r="B131" s="54"/>
      <c r="C131" s="17"/>
      <c r="D131" s="17"/>
      <c r="E131" s="17"/>
      <c r="F131" s="17"/>
      <c r="G131" s="16"/>
      <c r="H131" s="16"/>
      <c r="I131" s="32"/>
      <c r="J131" s="17"/>
      <c r="K131" s="22"/>
      <c r="L131" s="22"/>
      <c r="M131" s="22"/>
      <c r="N131" s="22"/>
      <c r="O131" s="22"/>
      <c r="P131" s="102">
        <f t="shared" si="36"/>
        <v>0</v>
      </c>
      <c r="Q131" s="103">
        <f t="shared" si="37"/>
        <v>0</v>
      </c>
      <c r="R131" s="54"/>
      <c r="S131" s="57"/>
      <c r="T131" s="57"/>
      <c r="U131" s="57"/>
      <c r="V131" s="17"/>
      <c r="W131" s="23" t="str">
        <f>IFERROR(VLOOKUP(V131,Listas!$A$1:$C$13,2,FALSE),"")</f>
        <v/>
      </c>
      <c r="X131" s="23" t="str">
        <f>IFERROR(VLOOKUP(V131,Listas!$A$1:$C$13,3,FALSE),"")</f>
        <v/>
      </c>
      <c r="Y131" s="17"/>
      <c r="Z131" s="17"/>
      <c r="AA131" s="23" t="str">
        <f>IFERROR(VLOOKUP(Z131,Listas!$AD$1:$AF$65,2,FALSE),"")</f>
        <v/>
      </c>
      <c r="AB131" s="23" t="str">
        <f>IFERROR(VLOOKUP(Z131,Listas!$AD$1:$AF$65,3,FALSE),"")</f>
        <v/>
      </c>
      <c r="AC131" s="26"/>
      <c r="AD131" s="26"/>
      <c r="AE131" s="100">
        <f t="shared" ca="1" si="38"/>
        <v>100</v>
      </c>
      <c r="AF131" s="100">
        <f t="shared" ca="1" si="39"/>
        <v>100</v>
      </c>
      <c r="AG131" s="100" t="str">
        <f t="shared" ca="1" si="40"/>
        <v/>
      </c>
      <c r="AH131" s="101" t="str">
        <f t="shared" si="41"/>
        <v/>
      </c>
      <c r="AI131" s="59"/>
      <c r="AJ131" s="54"/>
      <c r="AK131" s="56" t="str">
        <f t="shared" ca="1" si="42"/>
        <v/>
      </c>
    </row>
    <row r="132" spans="1:37">
      <c r="A132" s="54"/>
      <c r="B132" s="54"/>
      <c r="C132" s="17"/>
      <c r="D132" s="17"/>
      <c r="E132" s="17"/>
      <c r="F132" s="17"/>
      <c r="G132" s="16"/>
      <c r="H132" s="16"/>
      <c r="I132" s="32"/>
      <c r="J132" s="17"/>
      <c r="K132" s="22"/>
      <c r="L132" s="22"/>
      <c r="M132" s="22"/>
      <c r="N132" s="22"/>
      <c r="O132" s="22"/>
      <c r="P132" s="102">
        <f t="shared" si="36"/>
        <v>0</v>
      </c>
      <c r="Q132" s="103">
        <f t="shared" si="37"/>
        <v>0</v>
      </c>
      <c r="R132" s="54"/>
      <c r="S132" s="57"/>
      <c r="T132" s="57"/>
      <c r="U132" s="57"/>
      <c r="V132" s="17"/>
      <c r="W132" s="23" t="str">
        <f>IFERROR(VLOOKUP(V132,Listas!$A$1:$C$13,2,FALSE),"")</f>
        <v/>
      </c>
      <c r="X132" s="23" t="str">
        <f>IFERROR(VLOOKUP(V132,Listas!$A$1:$C$13,3,FALSE),"")</f>
        <v/>
      </c>
      <c r="Y132" s="17"/>
      <c r="Z132" s="17"/>
      <c r="AA132" s="23" t="str">
        <f>IFERROR(VLOOKUP(Z132,Listas!$AD$1:$AF$65,2,FALSE),"")</f>
        <v/>
      </c>
      <c r="AB132" s="23" t="str">
        <f>IFERROR(VLOOKUP(Z132,Listas!$AD$1:$AF$65,3,FALSE),"")</f>
        <v/>
      </c>
      <c r="AC132" s="26"/>
      <c r="AD132" s="26"/>
      <c r="AE132" s="100">
        <f t="shared" ca="1" si="38"/>
        <v>100</v>
      </c>
      <c r="AF132" s="100">
        <f t="shared" ca="1" si="39"/>
        <v>100</v>
      </c>
      <c r="AG132" s="100" t="str">
        <f t="shared" ca="1" si="40"/>
        <v/>
      </c>
      <c r="AH132" s="101" t="str">
        <f t="shared" si="41"/>
        <v/>
      </c>
      <c r="AI132" s="59"/>
      <c r="AJ132" s="54"/>
      <c r="AK132" s="56" t="str">
        <f t="shared" ca="1" si="42"/>
        <v/>
      </c>
    </row>
    <row r="133" spans="1:37">
      <c r="A133" s="54"/>
      <c r="B133" s="54"/>
      <c r="C133" s="17"/>
      <c r="D133" s="17"/>
      <c r="E133" s="17"/>
      <c r="F133" s="17"/>
      <c r="G133" s="16"/>
      <c r="H133" s="16"/>
      <c r="I133" s="32"/>
      <c r="J133" s="17"/>
      <c r="K133" s="22"/>
      <c r="L133" s="22"/>
      <c r="M133" s="22"/>
      <c r="N133" s="22"/>
      <c r="O133" s="22"/>
      <c r="P133" s="102">
        <f t="shared" si="36"/>
        <v>0</v>
      </c>
      <c r="Q133" s="103">
        <f t="shared" si="37"/>
        <v>0</v>
      </c>
      <c r="R133" s="54"/>
      <c r="S133" s="57"/>
      <c r="T133" s="57"/>
      <c r="U133" s="57"/>
      <c r="V133" s="17"/>
      <c r="W133" s="23" t="str">
        <f>IFERROR(VLOOKUP(V133,Listas!$A$1:$C$13,2,FALSE),"")</f>
        <v/>
      </c>
      <c r="X133" s="23" t="str">
        <f>IFERROR(VLOOKUP(V133,Listas!$A$1:$C$13,3,FALSE),"")</f>
        <v/>
      </c>
      <c r="Y133" s="17"/>
      <c r="Z133" s="17"/>
      <c r="AA133" s="23" t="str">
        <f>IFERROR(VLOOKUP(Z133,Listas!$AD$1:$AF$65,2,FALSE),"")</f>
        <v/>
      </c>
      <c r="AB133" s="23" t="str">
        <f>IFERROR(VLOOKUP(Z133,Listas!$AD$1:$AF$65,3,FALSE),"")</f>
        <v/>
      </c>
      <c r="AC133" s="26"/>
      <c r="AD133" s="26"/>
      <c r="AE133" s="100">
        <f t="shared" ca="1" si="38"/>
        <v>100</v>
      </c>
      <c r="AF133" s="100">
        <f t="shared" ca="1" si="39"/>
        <v>100</v>
      </c>
      <c r="AG133" s="100" t="str">
        <f t="shared" ca="1" si="40"/>
        <v/>
      </c>
      <c r="AH133" s="101" t="str">
        <f t="shared" si="41"/>
        <v/>
      </c>
      <c r="AI133" s="59"/>
      <c r="AJ133" s="54"/>
      <c r="AK133" s="56" t="str">
        <f t="shared" ca="1" si="42"/>
        <v/>
      </c>
    </row>
    <row r="134" spans="1:37">
      <c r="A134" s="54"/>
      <c r="B134" s="54"/>
      <c r="C134" s="17"/>
      <c r="D134" s="17"/>
      <c r="E134" s="17"/>
      <c r="F134" s="17"/>
      <c r="G134" s="16"/>
      <c r="H134" s="16"/>
      <c r="I134" s="32"/>
      <c r="J134" s="17"/>
      <c r="K134" s="22"/>
      <c r="L134" s="22"/>
      <c r="M134" s="22"/>
      <c r="N134" s="22"/>
      <c r="O134" s="22"/>
      <c r="P134" s="102">
        <f t="shared" si="36"/>
        <v>0</v>
      </c>
      <c r="Q134" s="103">
        <f t="shared" si="37"/>
        <v>0</v>
      </c>
      <c r="R134" s="54"/>
      <c r="S134" s="57"/>
      <c r="T134" s="57"/>
      <c r="U134" s="57"/>
      <c r="V134" s="17"/>
      <c r="W134" s="23" t="str">
        <f>IFERROR(VLOOKUP(V134,Listas!$A$1:$C$13,2,FALSE),"")</f>
        <v/>
      </c>
      <c r="X134" s="23" t="str">
        <f>IFERROR(VLOOKUP(V134,Listas!$A$1:$C$13,3,FALSE),"")</f>
        <v/>
      </c>
      <c r="Y134" s="17"/>
      <c r="Z134" s="17"/>
      <c r="AA134" s="23" t="str">
        <f>IFERROR(VLOOKUP(Z134,Listas!$AD$1:$AF$65,2,FALSE),"")</f>
        <v/>
      </c>
      <c r="AB134" s="23" t="str">
        <f>IFERROR(VLOOKUP(Z134,Listas!$AD$1:$AF$65,3,FALSE),"")</f>
        <v/>
      </c>
      <c r="AC134" s="26"/>
      <c r="AD134" s="26"/>
      <c r="AE134" s="100">
        <f t="shared" ca="1" si="38"/>
        <v>100</v>
      </c>
      <c r="AF134" s="100">
        <f t="shared" ca="1" si="39"/>
        <v>100</v>
      </c>
      <c r="AG134" s="100" t="str">
        <f t="shared" ca="1" si="40"/>
        <v/>
      </c>
      <c r="AH134" s="101" t="str">
        <f t="shared" si="41"/>
        <v/>
      </c>
      <c r="AI134" s="59"/>
      <c r="AJ134" s="54"/>
      <c r="AK134" s="56" t="str">
        <f t="shared" ca="1" si="42"/>
        <v/>
      </c>
    </row>
    <row r="135" spans="1:37">
      <c r="A135" s="54"/>
      <c r="B135" s="54"/>
      <c r="C135" s="17"/>
      <c r="D135" s="17"/>
      <c r="E135" s="17"/>
      <c r="F135" s="17"/>
      <c r="G135" s="16"/>
      <c r="H135" s="16"/>
      <c r="I135" s="32"/>
      <c r="J135" s="17"/>
      <c r="K135" s="22"/>
      <c r="L135" s="22"/>
      <c r="M135" s="22"/>
      <c r="N135" s="22"/>
      <c r="O135" s="22"/>
      <c r="P135" s="102">
        <f t="shared" si="36"/>
        <v>0</v>
      </c>
      <c r="Q135" s="103">
        <f t="shared" si="37"/>
        <v>0</v>
      </c>
      <c r="R135" s="54"/>
      <c r="S135" s="57"/>
      <c r="T135" s="57"/>
      <c r="U135" s="57"/>
      <c r="V135" s="17"/>
      <c r="W135" s="23" t="str">
        <f>IFERROR(VLOOKUP(V135,Listas!$A$1:$C$13,2,FALSE),"")</f>
        <v/>
      </c>
      <c r="X135" s="23" t="str">
        <f>IFERROR(VLOOKUP(V135,Listas!$A$1:$C$13,3,FALSE),"")</f>
        <v/>
      </c>
      <c r="Y135" s="17"/>
      <c r="Z135" s="17"/>
      <c r="AA135" s="23" t="str">
        <f>IFERROR(VLOOKUP(Z135,Listas!$AD$1:$AF$65,2,FALSE),"")</f>
        <v/>
      </c>
      <c r="AB135" s="23" t="str">
        <f>IFERROR(VLOOKUP(Z135,Listas!$AD$1:$AF$65,3,FALSE),"")</f>
        <v/>
      </c>
      <c r="AC135" s="26"/>
      <c r="AD135" s="26"/>
      <c r="AE135" s="100">
        <f t="shared" ca="1" si="38"/>
        <v>100</v>
      </c>
      <c r="AF135" s="100">
        <f t="shared" ca="1" si="39"/>
        <v>100</v>
      </c>
      <c r="AG135" s="100" t="str">
        <f t="shared" ca="1" si="40"/>
        <v/>
      </c>
      <c r="AH135" s="101" t="str">
        <f t="shared" si="41"/>
        <v/>
      </c>
      <c r="AI135" s="59"/>
      <c r="AJ135" s="54"/>
      <c r="AK135" s="56" t="str">
        <f t="shared" ca="1" si="42"/>
        <v/>
      </c>
    </row>
    <row r="136" spans="1:37">
      <c r="A136" s="54"/>
      <c r="B136" s="54"/>
      <c r="C136" s="17"/>
      <c r="D136" s="17"/>
      <c r="E136" s="17"/>
      <c r="F136" s="17"/>
      <c r="G136" s="16"/>
      <c r="H136" s="16"/>
      <c r="I136" s="32"/>
      <c r="J136" s="17"/>
      <c r="K136" s="22"/>
      <c r="L136" s="22"/>
      <c r="M136" s="22"/>
      <c r="N136" s="22"/>
      <c r="O136" s="22"/>
      <c r="P136" s="102">
        <f t="shared" si="36"/>
        <v>0</v>
      </c>
      <c r="Q136" s="103">
        <f t="shared" si="37"/>
        <v>0</v>
      </c>
      <c r="R136" s="54"/>
      <c r="S136" s="57"/>
      <c r="T136" s="57"/>
      <c r="U136" s="57"/>
      <c r="V136" s="17"/>
      <c r="W136" s="23" t="str">
        <f>IFERROR(VLOOKUP(V136,Listas!$A$1:$C$13,2,FALSE),"")</f>
        <v/>
      </c>
      <c r="X136" s="23" t="str">
        <f>IFERROR(VLOOKUP(V136,Listas!$A$1:$C$13,3,FALSE),"")</f>
        <v/>
      </c>
      <c r="Y136" s="17"/>
      <c r="Z136" s="17"/>
      <c r="AA136" s="23" t="str">
        <f>IFERROR(VLOOKUP(Z136,Listas!$AD$1:$AF$65,2,FALSE),"")</f>
        <v/>
      </c>
      <c r="AB136" s="23" t="str">
        <f>IFERROR(VLOOKUP(Z136,Listas!$AD$1:$AF$65,3,FALSE),"")</f>
        <v/>
      </c>
      <c r="AC136" s="26"/>
      <c r="AD136" s="26"/>
      <c r="AE136" s="100">
        <f t="shared" ca="1" si="38"/>
        <v>100</v>
      </c>
      <c r="AF136" s="100">
        <f t="shared" ca="1" si="39"/>
        <v>100</v>
      </c>
      <c r="AG136" s="100" t="str">
        <f t="shared" ca="1" si="40"/>
        <v/>
      </c>
      <c r="AH136" s="101" t="str">
        <f t="shared" si="41"/>
        <v/>
      </c>
      <c r="AI136" s="59"/>
      <c r="AJ136" s="54"/>
      <c r="AK136" s="56" t="str">
        <f t="shared" ca="1" si="42"/>
        <v/>
      </c>
    </row>
    <row r="137" spans="1:37">
      <c r="A137" s="54"/>
      <c r="B137" s="54"/>
      <c r="C137" s="17"/>
      <c r="D137" s="17"/>
      <c r="E137" s="17"/>
      <c r="F137" s="17"/>
      <c r="G137" s="16"/>
      <c r="H137" s="16"/>
      <c r="I137" s="32"/>
      <c r="J137" s="17"/>
      <c r="K137" s="22"/>
      <c r="L137" s="22"/>
      <c r="M137" s="22"/>
      <c r="N137" s="22"/>
      <c r="O137" s="22"/>
      <c r="P137" s="102">
        <f t="shared" si="36"/>
        <v>0</v>
      </c>
      <c r="Q137" s="103">
        <f t="shared" si="37"/>
        <v>0</v>
      </c>
      <c r="R137" s="54"/>
      <c r="S137" s="57"/>
      <c r="T137" s="57"/>
      <c r="U137" s="57"/>
      <c r="V137" s="17"/>
      <c r="W137" s="23" t="str">
        <f>IFERROR(VLOOKUP(V137,Listas!$A$1:$C$13,2,FALSE),"")</f>
        <v/>
      </c>
      <c r="X137" s="23" t="str">
        <f>IFERROR(VLOOKUP(V137,Listas!$A$1:$C$13,3,FALSE),"")</f>
        <v/>
      </c>
      <c r="Y137" s="17"/>
      <c r="Z137" s="17"/>
      <c r="AA137" s="23" t="str">
        <f>IFERROR(VLOOKUP(Z137,Listas!$AD$1:$AF$65,2,FALSE),"")</f>
        <v/>
      </c>
      <c r="AB137" s="23" t="str">
        <f>IFERROR(VLOOKUP(Z137,Listas!$AD$1:$AF$65,3,FALSE),"")</f>
        <v/>
      </c>
      <c r="AC137" s="26"/>
      <c r="AD137" s="26"/>
      <c r="AE137" s="100">
        <f t="shared" ca="1" si="38"/>
        <v>100</v>
      </c>
      <c r="AF137" s="100">
        <f t="shared" ca="1" si="39"/>
        <v>100</v>
      </c>
      <c r="AG137" s="100" t="str">
        <f t="shared" ca="1" si="40"/>
        <v/>
      </c>
      <c r="AH137" s="101" t="str">
        <f t="shared" si="41"/>
        <v/>
      </c>
      <c r="AI137" s="59"/>
      <c r="AJ137" s="54"/>
      <c r="AK137" s="56" t="str">
        <f t="shared" ca="1" si="42"/>
        <v/>
      </c>
    </row>
    <row r="138" spans="1:37">
      <c r="A138" s="54"/>
      <c r="B138" s="54"/>
      <c r="C138" s="17"/>
      <c r="D138" s="17"/>
      <c r="E138" s="17"/>
      <c r="F138" s="17"/>
      <c r="G138" s="16"/>
      <c r="H138" s="16"/>
      <c r="I138" s="32"/>
      <c r="J138" s="17"/>
      <c r="K138" s="22"/>
      <c r="L138" s="22"/>
      <c r="M138" s="22"/>
      <c r="N138" s="22"/>
      <c r="O138" s="22"/>
      <c r="P138" s="102">
        <f t="shared" si="36"/>
        <v>0</v>
      </c>
      <c r="Q138" s="103">
        <f t="shared" si="37"/>
        <v>0</v>
      </c>
      <c r="R138" s="54"/>
      <c r="S138" s="57"/>
      <c r="T138" s="57"/>
      <c r="U138" s="57"/>
      <c r="V138" s="17"/>
      <c r="W138" s="23" t="str">
        <f>IFERROR(VLOOKUP(V138,Listas!$A$1:$C$13,2,FALSE),"")</f>
        <v/>
      </c>
      <c r="X138" s="23" t="str">
        <f>IFERROR(VLOOKUP(V138,Listas!$A$1:$C$13,3,FALSE),"")</f>
        <v/>
      </c>
      <c r="Y138" s="17"/>
      <c r="Z138" s="17"/>
      <c r="AA138" s="23" t="str">
        <f>IFERROR(VLOOKUP(Z138,Listas!$AD$1:$AF$65,2,FALSE),"")</f>
        <v/>
      </c>
      <c r="AB138" s="23" t="str">
        <f>IFERROR(VLOOKUP(Z138,Listas!$AD$1:$AF$65,3,FALSE),"")</f>
        <v/>
      </c>
      <c r="AC138" s="26"/>
      <c r="AD138" s="26"/>
      <c r="AE138" s="100">
        <f t="shared" ca="1" si="38"/>
        <v>100</v>
      </c>
      <c r="AF138" s="100">
        <f t="shared" ca="1" si="39"/>
        <v>100</v>
      </c>
      <c r="AG138" s="100" t="str">
        <f t="shared" ca="1" si="40"/>
        <v/>
      </c>
      <c r="AH138" s="101" t="str">
        <f t="shared" si="41"/>
        <v/>
      </c>
      <c r="AI138" s="59"/>
      <c r="AJ138" s="54"/>
      <c r="AK138" s="56" t="str">
        <f t="shared" ca="1" si="42"/>
        <v/>
      </c>
    </row>
    <row r="139" spans="1:37">
      <c r="A139" s="54"/>
      <c r="B139" s="54"/>
      <c r="C139" s="17"/>
      <c r="D139" s="17"/>
      <c r="E139" s="17"/>
      <c r="F139" s="17"/>
      <c r="G139" s="16"/>
      <c r="H139" s="16"/>
      <c r="I139" s="32"/>
      <c r="J139" s="17"/>
      <c r="K139" s="22"/>
      <c r="L139" s="22"/>
      <c r="M139" s="22"/>
      <c r="N139" s="22"/>
      <c r="O139" s="22"/>
      <c r="P139" s="102">
        <f t="shared" si="36"/>
        <v>0</v>
      </c>
      <c r="Q139" s="103">
        <f t="shared" si="37"/>
        <v>0</v>
      </c>
      <c r="R139" s="54"/>
      <c r="S139" s="57"/>
      <c r="T139" s="57"/>
      <c r="U139" s="57"/>
      <c r="V139" s="17"/>
      <c r="W139" s="23" t="str">
        <f>IFERROR(VLOOKUP(V139,Listas!$A$1:$C$13,2,FALSE),"")</f>
        <v/>
      </c>
      <c r="X139" s="23" t="str">
        <f>IFERROR(VLOOKUP(V139,Listas!$A$1:$C$13,3,FALSE),"")</f>
        <v/>
      </c>
      <c r="Y139" s="17"/>
      <c r="Z139" s="17"/>
      <c r="AA139" s="23" t="str">
        <f>IFERROR(VLOOKUP(Z139,Listas!$AD$1:$AF$65,2,FALSE),"")</f>
        <v/>
      </c>
      <c r="AB139" s="23" t="str">
        <f>IFERROR(VLOOKUP(Z139,Listas!$AD$1:$AF$65,3,FALSE),"")</f>
        <v/>
      </c>
      <c r="AC139" s="26"/>
      <c r="AD139" s="26"/>
      <c r="AE139" s="100">
        <f t="shared" ca="1" si="38"/>
        <v>100</v>
      </c>
      <c r="AF139" s="100">
        <f t="shared" ca="1" si="39"/>
        <v>100</v>
      </c>
      <c r="AG139" s="100" t="str">
        <f t="shared" ca="1" si="40"/>
        <v/>
      </c>
      <c r="AH139" s="101" t="str">
        <f t="shared" si="41"/>
        <v/>
      </c>
      <c r="AI139" s="59"/>
      <c r="AJ139" s="54"/>
      <c r="AK139" s="56" t="str">
        <f t="shared" ca="1" si="42"/>
        <v/>
      </c>
    </row>
    <row r="140" spans="1:37">
      <c r="A140" s="54"/>
      <c r="B140" s="54"/>
      <c r="C140" s="17"/>
      <c r="D140" s="17"/>
      <c r="E140" s="17"/>
      <c r="F140" s="17"/>
      <c r="G140" s="16"/>
      <c r="H140" s="16"/>
      <c r="I140" s="32"/>
      <c r="J140" s="17"/>
      <c r="K140" s="22"/>
      <c r="L140" s="22"/>
      <c r="M140" s="22"/>
      <c r="N140" s="22"/>
      <c r="O140" s="22"/>
      <c r="P140" s="102">
        <f t="shared" si="36"/>
        <v>0</v>
      </c>
      <c r="Q140" s="103">
        <f t="shared" si="37"/>
        <v>0</v>
      </c>
      <c r="R140" s="54"/>
      <c r="S140" s="57"/>
      <c r="T140" s="57"/>
      <c r="U140" s="57"/>
      <c r="V140" s="17"/>
      <c r="W140" s="23" t="str">
        <f>IFERROR(VLOOKUP(V140,Listas!$A$1:$C$13,2,FALSE),"")</f>
        <v/>
      </c>
      <c r="X140" s="23" t="str">
        <f>IFERROR(VLOOKUP(V140,Listas!$A$1:$C$13,3,FALSE),"")</f>
        <v/>
      </c>
      <c r="Y140" s="17"/>
      <c r="Z140" s="17"/>
      <c r="AA140" s="23" t="str">
        <f>IFERROR(VLOOKUP(Z140,Listas!$AD$1:$AF$65,2,FALSE),"")</f>
        <v/>
      </c>
      <c r="AB140" s="23" t="str">
        <f>IFERROR(VLOOKUP(Z140,Listas!$AD$1:$AF$65,3,FALSE),"")</f>
        <v/>
      </c>
      <c r="AC140" s="26"/>
      <c r="AD140" s="26"/>
      <c r="AE140" s="100">
        <f t="shared" ca="1" si="38"/>
        <v>100</v>
      </c>
      <c r="AF140" s="100">
        <f t="shared" ca="1" si="39"/>
        <v>100</v>
      </c>
      <c r="AG140" s="100" t="str">
        <f t="shared" ca="1" si="40"/>
        <v/>
      </c>
      <c r="AH140" s="101" t="str">
        <f t="shared" si="41"/>
        <v/>
      </c>
      <c r="AI140" s="59"/>
      <c r="AJ140" s="54"/>
      <c r="AK140" s="56" t="str">
        <f t="shared" ca="1" si="42"/>
        <v/>
      </c>
    </row>
    <row r="141" spans="1:37">
      <c r="A141" s="54"/>
      <c r="B141" s="54"/>
      <c r="C141" s="17"/>
      <c r="D141" s="17"/>
      <c r="E141" s="17"/>
      <c r="F141" s="17"/>
      <c r="G141" s="16"/>
      <c r="H141" s="16"/>
      <c r="I141" s="32"/>
      <c r="J141" s="17"/>
      <c r="K141" s="22"/>
      <c r="L141" s="22"/>
      <c r="M141" s="22"/>
      <c r="N141" s="22"/>
      <c r="O141" s="22"/>
      <c r="P141" s="102">
        <f t="shared" si="36"/>
        <v>0</v>
      </c>
      <c r="Q141" s="103">
        <f t="shared" si="37"/>
        <v>0</v>
      </c>
      <c r="R141" s="54"/>
      <c r="S141" s="57"/>
      <c r="T141" s="57"/>
      <c r="U141" s="57"/>
      <c r="V141" s="17"/>
      <c r="W141" s="23" t="str">
        <f>IFERROR(VLOOKUP(V141,Listas!$A$1:$C$13,2,FALSE),"")</f>
        <v/>
      </c>
      <c r="X141" s="23" t="str">
        <f>IFERROR(VLOOKUP(V141,Listas!$A$1:$C$13,3,FALSE),"")</f>
        <v/>
      </c>
      <c r="Y141" s="17"/>
      <c r="Z141" s="17"/>
      <c r="AA141" s="23" t="str">
        <f>IFERROR(VLOOKUP(Z141,Listas!$AD$1:$AF$65,2,FALSE),"")</f>
        <v/>
      </c>
      <c r="AB141" s="23" t="str">
        <f>IFERROR(VLOOKUP(Z141,Listas!$AD$1:$AF$65,3,FALSE),"")</f>
        <v/>
      </c>
      <c r="AC141" s="26"/>
      <c r="AD141" s="26"/>
      <c r="AE141" s="100">
        <f t="shared" ca="1" si="38"/>
        <v>100</v>
      </c>
      <c r="AF141" s="100">
        <f t="shared" ca="1" si="39"/>
        <v>100</v>
      </c>
      <c r="AG141" s="100" t="str">
        <f t="shared" ca="1" si="40"/>
        <v/>
      </c>
      <c r="AH141" s="101" t="str">
        <f t="shared" si="41"/>
        <v/>
      </c>
      <c r="AI141" s="59"/>
      <c r="AJ141" s="54"/>
      <c r="AK141" s="56" t="str">
        <f t="shared" ca="1" si="42"/>
        <v/>
      </c>
    </row>
    <row r="142" spans="1:37">
      <c r="A142" s="54"/>
      <c r="B142" s="54"/>
      <c r="C142" s="17"/>
      <c r="D142" s="17"/>
      <c r="E142" s="17"/>
      <c r="F142" s="17"/>
      <c r="G142" s="16"/>
      <c r="H142" s="16"/>
      <c r="I142" s="32"/>
      <c r="J142" s="17"/>
      <c r="K142" s="22"/>
      <c r="L142" s="22"/>
      <c r="M142" s="22"/>
      <c r="N142" s="22"/>
      <c r="O142" s="22"/>
      <c r="P142" s="102">
        <f t="shared" si="36"/>
        <v>0</v>
      </c>
      <c r="Q142" s="103">
        <f t="shared" si="37"/>
        <v>0</v>
      </c>
      <c r="R142" s="54"/>
      <c r="S142" s="57"/>
      <c r="T142" s="57"/>
      <c r="U142" s="57"/>
      <c r="V142" s="17"/>
      <c r="W142" s="23" t="str">
        <f>IFERROR(VLOOKUP(V142,Listas!$A$1:$C$13,2,FALSE),"")</f>
        <v/>
      </c>
      <c r="X142" s="23" t="str">
        <f>IFERROR(VLOOKUP(V142,Listas!$A$1:$C$13,3,FALSE),"")</f>
        <v/>
      </c>
      <c r="Y142" s="17"/>
      <c r="Z142" s="17"/>
      <c r="AA142" s="23" t="str">
        <f>IFERROR(VLOOKUP(Z142,Listas!$AD$1:$AF$65,2,FALSE),"")</f>
        <v/>
      </c>
      <c r="AB142" s="23" t="str">
        <f>IFERROR(VLOOKUP(Z142,Listas!$AD$1:$AF$65,3,FALSE),"")</f>
        <v/>
      </c>
      <c r="AC142" s="26"/>
      <c r="AD142" s="26"/>
      <c r="AE142" s="100">
        <f t="shared" ca="1" si="38"/>
        <v>100</v>
      </c>
      <c r="AF142" s="100">
        <f t="shared" ca="1" si="39"/>
        <v>100</v>
      </c>
      <c r="AG142" s="100" t="str">
        <f t="shared" ca="1" si="40"/>
        <v/>
      </c>
      <c r="AH142" s="101" t="str">
        <f t="shared" si="41"/>
        <v/>
      </c>
      <c r="AI142" s="59"/>
      <c r="AJ142" s="54"/>
      <c r="AK142" s="56" t="str">
        <f t="shared" ca="1" si="42"/>
        <v/>
      </c>
    </row>
    <row r="143" spans="1:37">
      <c r="A143" s="54"/>
      <c r="B143" s="54"/>
      <c r="C143" s="17"/>
      <c r="D143" s="17"/>
      <c r="E143" s="17"/>
      <c r="F143" s="17"/>
      <c r="G143" s="16"/>
      <c r="H143" s="16"/>
      <c r="I143" s="32"/>
      <c r="J143" s="17"/>
      <c r="K143" s="22"/>
      <c r="L143" s="22"/>
      <c r="M143" s="22"/>
      <c r="N143" s="22"/>
      <c r="O143" s="22"/>
      <c r="P143" s="102">
        <f t="shared" si="36"/>
        <v>0</v>
      </c>
      <c r="Q143" s="103">
        <f t="shared" si="37"/>
        <v>0</v>
      </c>
      <c r="R143" s="54"/>
      <c r="S143" s="57"/>
      <c r="T143" s="57"/>
      <c r="U143" s="57"/>
      <c r="V143" s="17"/>
      <c r="W143" s="23" t="str">
        <f>IFERROR(VLOOKUP(V143,Listas!$A$1:$C$13,2,FALSE),"")</f>
        <v/>
      </c>
      <c r="X143" s="23" t="str">
        <f>IFERROR(VLOOKUP(V143,Listas!$A$1:$C$13,3,FALSE),"")</f>
        <v/>
      </c>
      <c r="Y143" s="17"/>
      <c r="Z143" s="17"/>
      <c r="AA143" s="23" t="str">
        <f>IFERROR(VLOOKUP(Z143,Listas!$AD$1:$AF$65,2,FALSE),"")</f>
        <v/>
      </c>
      <c r="AB143" s="23" t="str">
        <f>IFERROR(VLOOKUP(Z143,Listas!$AD$1:$AF$65,3,FALSE),"")</f>
        <v/>
      </c>
      <c r="AC143" s="26"/>
      <c r="AD143" s="26"/>
      <c r="AE143" s="100">
        <f t="shared" ca="1" si="38"/>
        <v>100</v>
      </c>
      <c r="AF143" s="100">
        <f t="shared" ca="1" si="39"/>
        <v>100</v>
      </c>
      <c r="AG143" s="100" t="str">
        <f t="shared" ca="1" si="40"/>
        <v/>
      </c>
      <c r="AH143" s="101" t="str">
        <f t="shared" si="41"/>
        <v/>
      </c>
      <c r="AI143" s="59"/>
      <c r="AJ143" s="54"/>
      <c r="AK143" s="56" t="str">
        <f t="shared" ca="1" si="42"/>
        <v/>
      </c>
    </row>
    <row r="144" spans="1:37">
      <c r="A144" s="54"/>
      <c r="B144" s="54"/>
      <c r="C144" s="17"/>
      <c r="D144" s="17"/>
      <c r="E144" s="17"/>
      <c r="F144" s="17"/>
      <c r="G144" s="16"/>
      <c r="H144" s="16"/>
      <c r="I144" s="32"/>
      <c r="J144" s="17"/>
      <c r="K144" s="22"/>
      <c r="L144" s="22"/>
      <c r="M144" s="22"/>
      <c r="N144" s="22"/>
      <c r="O144" s="22"/>
      <c r="P144" s="102">
        <f t="shared" si="36"/>
        <v>0</v>
      </c>
      <c r="Q144" s="103">
        <f t="shared" si="37"/>
        <v>0</v>
      </c>
      <c r="R144" s="54"/>
      <c r="S144" s="57"/>
      <c r="T144" s="57"/>
      <c r="U144" s="57"/>
      <c r="V144" s="17"/>
      <c r="W144" s="23" t="str">
        <f>IFERROR(VLOOKUP(V144,Listas!$A$1:$C$13,2,FALSE),"")</f>
        <v/>
      </c>
      <c r="X144" s="23" t="str">
        <f>IFERROR(VLOOKUP(V144,Listas!$A$1:$C$13,3,FALSE),"")</f>
        <v/>
      </c>
      <c r="Y144" s="17"/>
      <c r="Z144" s="17"/>
      <c r="AA144" s="23" t="str">
        <f>IFERROR(VLOOKUP(Z144,Listas!$AD$1:$AF$65,2,FALSE),"")</f>
        <v/>
      </c>
      <c r="AB144" s="23" t="str">
        <f>IFERROR(VLOOKUP(Z144,Listas!$AD$1:$AF$65,3,FALSE),"")</f>
        <v/>
      </c>
      <c r="AC144" s="26"/>
      <c r="AD144" s="26"/>
      <c r="AE144" s="100">
        <f t="shared" ca="1" si="38"/>
        <v>100</v>
      </c>
      <c r="AF144" s="100">
        <f t="shared" ca="1" si="39"/>
        <v>100</v>
      </c>
      <c r="AG144" s="100" t="str">
        <f t="shared" ca="1" si="40"/>
        <v/>
      </c>
      <c r="AH144" s="101" t="str">
        <f t="shared" si="41"/>
        <v/>
      </c>
      <c r="AI144" s="59"/>
      <c r="AJ144" s="54"/>
      <c r="AK144" s="56" t="str">
        <f t="shared" ca="1" si="42"/>
        <v/>
      </c>
    </row>
    <row r="145" spans="1:37">
      <c r="A145" s="54"/>
      <c r="B145" s="54"/>
      <c r="C145" s="17"/>
      <c r="D145" s="17"/>
      <c r="E145" s="17"/>
      <c r="F145" s="17"/>
      <c r="G145" s="16"/>
      <c r="H145" s="16"/>
      <c r="I145" s="32"/>
      <c r="J145" s="17"/>
      <c r="K145" s="22"/>
      <c r="L145" s="22"/>
      <c r="M145" s="22"/>
      <c r="N145" s="22"/>
      <c r="O145" s="22"/>
      <c r="P145" s="102">
        <f t="shared" si="36"/>
        <v>0</v>
      </c>
      <c r="Q145" s="103">
        <f t="shared" si="37"/>
        <v>0</v>
      </c>
      <c r="R145" s="54"/>
      <c r="S145" s="57"/>
      <c r="T145" s="57"/>
      <c r="U145" s="57"/>
      <c r="V145" s="17"/>
      <c r="W145" s="23" t="str">
        <f>IFERROR(VLOOKUP(V145,Listas!$A$1:$C$13,2,FALSE),"")</f>
        <v/>
      </c>
      <c r="X145" s="23" t="str">
        <f>IFERROR(VLOOKUP(V145,Listas!$A$1:$C$13,3,FALSE),"")</f>
        <v/>
      </c>
      <c r="Y145" s="17"/>
      <c r="Z145" s="17"/>
      <c r="AA145" s="23" t="str">
        <f>IFERROR(VLOOKUP(Z145,Listas!$AD$1:$AF$65,2,FALSE),"")</f>
        <v/>
      </c>
      <c r="AB145" s="23" t="str">
        <f>IFERROR(VLOOKUP(Z145,Listas!$AD$1:$AF$65,3,FALSE),"")</f>
        <v/>
      </c>
      <c r="AC145" s="26"/>
      <c r="AD145" s="26"/>
      <c r="AE145" s="100">
        <f t="shared" ca="1" si="38"/>
        <v>100</v>
      </c>
      <c r="AF145" s="100">
        <f t="shared" ca="1" si="39"/>
        <v>100</v>
      </c>
      <c r="AG145" s="100" t="str">
        <f t="shared" ca="1" si="40"/>
        <v/>
      </c>
      <c r="AH145" s="101" t="str">
        <f t="shared" si="41"/>
        <v/>
      </c>
      <c r="AI145" s="59"/>
      <c r="AJ145" s="54"/>
      <c r="AK145" s="56" t="str">
        <f t="shared" ca="1" si="42"/>
        <v/>
      </c>
    </row>
    <row r="146" spans="1:37">
      <c r="A146" s="54"/>
      <c r="B146" s="54"/>
      <c r="C146" s="17"/>
      <c r="D146" s="17"/>
      <c r="E146" s="17"/>
      <c r="F146" s="17"/>
      <c r="G146" s="16"/>
      <c r="H146" s="16"/>
      <c r="I146" s="32"/>
      <c r="J146" s="17"/>
      <c r="K146" s="22"/>
      <c r="L146" s="22"/>
      <c r="M146" s="22"/>
      <c r="N146" s="22"/>
      <c r="O146" s="22"/>
      <c r="P146" s="102">
        <f t="shared" si="36"/>
        <v>0</v>
      </c>
      <c r="Q146" s="103">
        <f t="shared" si="37"/>
        <v>0</v>
      </c>
      <c r="R146" s="54"/>
      <c r="S146" s="57"/>
      <c r="T146" s="57"/>
      <c r="U146" s="57"/>
      <c r="V146" s="17"/>
      <c r="W146" s="23" t="str">
        <f>IFERROR(VLOOKUP(V146,Listas!$A$1:$C$13,2,FALSE),"")</f>
        <v/>
      </c>
      <c r="X146" s="23" t="str">
        <f>IFERROR(VLOOKUP(V146,Listas!$A$1:$C$13,3,FALSE),"")</f>
        <v/>
      </c>
      <c r="Y146" s="17"/>
      <c r="Z146" s="17"/>
      <c r="AA146" s="23" t="str">
        <f>IFERROR(VLOOKUP(Z146,Listas!$AD$1:$AF$65,2,FALSE),"")</f>
        <v/>
      </c>
      <c r="AB146" s="23" t="str">
        <f>IFERROR(VLOOKUP(Z146,Listas!$AD$1:$AF$65,3,FALSE),"")</f>
        <v/>
      </c>
      <c r="AC146" s="26"/>
      <c r="AD146" s="26"/>
      <c r="AE146" s="100">
        <f t="shared" ca="1" si="38"/>
        <v>100</v>
      </c>
      <c r="AF146" s="100">
        <f t="shared" ca="1" si="39"/>
        <v>100</v>
      </c>
      <c r="AG146" s="100" t="str">
        <f t="shared" ca="1" si="40"/>
        <v/>
      </c>
      <c r="AH146" s="101" t="str">
        <f t="shared" si="41"/>
        <v/>
      </c>
      <c r="AI146" s="59"/>
      <c r="AJ146" s="54"/>
      <c r="AK146" s="56" t="str">
        <f t="shared" ca="1" si="42"/>
        <v/>
      </c>
    </row>
    <row r="147" spans="1:37">
      <c r="A147" s="54"/>
      <c r="B147" s="54"/>
      <c r="C147" s="17"/>
      <c r="D147" s="17"/>
      <c r="E147" s="17"/>
      <c r="F147" s="17"/>
      <c r="G147" s="16"/>
      <c r="H147" s="16"/>
      <c r="I147" s="32"/>
      <c r="J147" s="17"/>
      <c r="K147" s="22"/>
      <c r="L147" s="22"/>
      <c r="M147" s="22"/>
      <c r="N147" s="22"/>
      <c r="O147" s="22"/>
      <c r="P147" s="102">
        <f t="shared" si="36"/>
        <v>0</v>
      </c>
      <c r="Q147" s="103">
        <f t="shared" si="37"/>
        <v>0</v>
      </c>
      <c r="R147" s="54"/>
      <c r="S147" s="57"/>
      <c r="T147" s="57"/>
      <c r="U147" s="57"/>
      <c r="V147" s="17"/>
      <c r="W147" s="23" t="str">
        <f>IFERROR(VLOOKUP(V147,Listas!$A$1:$C$13,2,FALSE),"")</f>
        <v/>
      </c>
      <c r="X147" s="23" t="str">
        <f>IFERROR(VLOOKUP(V147,Listas!$A$1:$C$13,3,FALSE),"")</f>
        <v/>
      </c>
      <c r="Y147" s="17"/>
      <c r="Z147" s="17"/>
      <c r="AA147" s="23" t="str">
        <f>IFERROR(VLOOKUP(Z147,Listas!$AD$1:$AF$65,2,FALSE),"")</f>
        <v/>
      </c>
      <c r="AB147" s="23" t="str">
        <f>IFERROR(VLOOKUP(Z147,Listas!$AD$1:$AF$65,3,FALSE),"")</f>
        <v/>
      </c>
      <c r="AC147" s="26"/>
      <c r="AD147" s="26"/>
      <c r="AE147" s="100">
        <f t="shared" ca="1" si="38"/>
        <v>100</v>
      </c>
      <c r="AF147" s="100">
        <f t="shared" ca="1" si="39"/>
        <v>100</v>
      </c>
      <c r="AG147" s="100" t="str">
        <f t="shared" ca="1" si="40"/>
        <v/>
      </c>
      <c r="AH147" s="101" t="str">
        <f t="shared" si="41"/>
        <v/>
      </c>
      <c r="AI147" s="59"/>
      <c r="AJ147" s="54"/>
      <c r="AK147" s="56" t="str">
        <f t="shared" ca="1" si="42"/>
        <v/>
      </c>
    </row>
    <row r="148" spans="1:37">
      <c r="A148" s="54"/>
      <c r="B148" s="54"/>
      <c r="C148" s="17"/>
      <c r="D148" s="17"/>
      <c r="E148" s="17"/>
      <c r="F148" s="17"/>
      <c r="G148" s="16"/>
      <c r="H148" s="16"/>
      <c r="I148" s="32"/>
      <c r="J148" s="17"/>
      <c r="K148" s="22"/>
      <c r="L148" s="22"/>
      <c r="M148" s="22"/>
      <c r="N148" s="22"/>
      <c r="O148" s="22"/>
      <c r="P148" s="102">
        <f t="shared" si="36"/>
        <v>0</v>
      </c>
      <c r="Q148" s="103">
        <f t="shared" si="37"/>
        <v>0</v>
      </c>
      <c r="R148" s="54"/>
      <c r="S148" s="57"/>
      <c r="T148" s="57"/>
      <c r="U148" s="57"/>
      <c r="V148" s="17"/>
      <c r="W148" s="23" t="str">
        <f>IFERROR(VLOOKUP(V148,Listas!$A$1:$C$13,2,FALSE),"")</f>
        <v/>
      </c>
      <c r="X148" s="23" t="str">
        <f>IFERROR(VLOOKUP(V148,Listas!$A$1:$C$13,3,FALSE),"")</f>
        <v/>
      </c>
      <c r="Y148" s="17"/>
      <c r="Z148" s="17"/>
      <c r="AA148" s="23" t="str">
        <f>IFERROR(VLOOKUP(Z148,Listas!$AD$1:$AF$65,2,FALSE),"")</f>
        <v/>
      </c>
      <c r="AB148" s="23" t="str">
        <f>IFERROR(VLOOKUP(Z148,Listas!$AD$1:$AF$65,3,FALSE),"")</f>
        <v/>
      </c>
      <c r="AC148" s="26"/>
      <c r="AD148" s="26"/>
      <c r="AE148" s="100">
        <f t="shared" ca="1" si="38"/>
        <v>100</v>
      </c>
      <c r="AF148" s="100">
        <f t="shared" ca="1" si="39"/>
        <v>100</v>
      </c>
      <c r="AG148" s="100" t="str">
        <f t="shared" ca="1" si="40"/>
        <v/>
      </c>
      <c r="AH148" s="101" t="str">
        <f t="shared" si="41"/>
        <v/>
      </c>
      <c r="AI148" s="59"/>
      <c r="AJ148" s="54"/>
      <c r="AK148" s="56" t="str">
        <f t="shared" ca="1" si="42"/>
        <v/>
      </c>
    </row>
    <row r="149" spans="1:37">
      <c r="A149" s="54"/>
      <c r="B149" s="54"/>
      <c r="C149" s="17"/>
      <c r="D149" s="17"/>
      <c r="E149" s="17"/>
      <c r="F149" s="17"/>
      <c r="G149" s="16"/>
      <c r="H149" s="16"/>
      <c r="I149" s="32"/>
      <c r="J149" s="17"/>
      <c r="K149" s="22"/>
      <c r="L149" s="22"/>
      <c r="M149" s="22"/>
      <c r="N149" s="22"/>
      <c r="O149" s="22"/>
      <c r="P149" s="102">
        <f t="shared" si="36"/>
        <v>0</v>
      </c>
      <c r="Q149" s="103">
        <f t="shared" si="37"/>
        <v>0</v>
      </c>
      <c r="R149" s="54"/>
      <c r="S149" s="57"/>
      <c r="T149" s="57"/>
      <c r="U149" s="57"/>
      <c r="V149" s="17"/>
      <c r="W149" s="23" t="str">
        <f>IFERROR(VLOOKUP(V149,Listas!$A$1:$C$13,2,FALSE),"")</f>
        <v/>
      </c>
      <c r="X149" s="23" t="str">
        <f>IFERROR(VLOOKUP(V149,Listas!$A$1:$C$13,3,FALSE),"")</f>
        <v/>
      </c>
      <c r="Y149" s="17"/>
      <c r="Z149" s="17"/>
      <c r="AA149" s="23" t="str">
        <f>IFERROR(VLOOKUP(Z149,Listas!$AD$1:$AF$65,2,FALSE),"")</f>
        <v/>
      </c>
      <c r="AB149" s="23" t="str">
        <f>IFERROR(VLOOKUP(Z149,Listas!$AD$1:$AF$65,3,FALSE),"")</f>
        <v/>
      </c>
      <c r="AC149" s="26"/>
      <c r="AD149" s="26"/>
      <c r="AE149" s="100">
        <f t="shared" ca="1" si="38"/>
        <v>100</v>
      </c>
      <c r="AF149" s="100">
        <f t="shared" ca="1" si="39"/>
        <v>100</v>
      </c>
      <c r="AG149" s="100" t="str">
        <f t="shared" ca="1" si="40"/>
        <v/>
      </c>
      <c r="AH149" s="101" t="str">
        <f t="shared" si="41"/>
        <v/>
      </c>
      <c r="AI149" s="59"/>
      <c r="AJ149" s="54"/>
      <c r="AK149" s="56" t="str">
        <f t="shared" ca="1" si="42"/>
        <v/>
      </c>
    </row>
    <row r="150" spans="1:37">
      <c r="A150" s="54"/>
      <c r="B150" s="54"/>
      <c r="C150" s="17"/>
      <c r="D150" s="17"/>
      <c r="E150" s="17"/>
      <c r="F150" s="17"/>
      <c r="G150" s="16"/>
      <c r="H150" s="16"/>
      <c r="I150" s="32"/>
      <c r="J150" s="17"/>
      <c r="K150" s="22"/>
      <c r="L150" s="22"/>
      <c r="M150" s="22"/>
      <c r="N150" s="22"/>
      <c r="O150" s="22"/>
      <c r="P150" s="102">
        <f t="shared" si="36"/>
        <v>0</v>
      </c>
      <c r="Q150" s="103">
        <f t="shared" si="37"/>
        <v>0</v>
      </c>
      <c r="R150" s="54"/>
      <c r="S150" s="57"/>
      <c r="T150" s="57"/>
      <c r="U150" s="57"/>
      <c r="V150" s="17"/>
      <c r="W150" s="23" t="str">
        <f>IFERROR(VLOOKUP(V150,Listas!$A$1:$C$13,2,FALSE),"")</f>
        <v/>
      </c>
      <c r="X150" s="23" t="str">
        <f>IFERROR(VLOOKUP(V150,Listas!$A$1:$C$13,3,FALSE),"")</f>
        <v/>
      </c>
      <c r="Y150" s="17"/>
      <c r="Z150" s="17"/>
      <c r="AA150" s="23" t="str">
        <f>IFERROR(VLOOKUP(Z150,Listas!$AD$1:$AF$65,2,FALSE),"")</f>
        <v/>
      </c>
      <c r="AB150" s="23" t="str">
        <f>IFERROR(VLOOKUP(Z150,Listas!$AD$1:$AF$65,3,FALSE),"")</f>
        <v/>
      </c>
      <c r="AC150" s="26"/>
      <c r="AD150" s="26"/>
      <c r="AE150" s="100">
        <f t="shared" ca="1" si="38"/>
        <v>100</v>
      </c>
      <c r="AF150" s="100">
        <f t="shared" ca="1" si="39"/>
        <v>100</v>
      </c>
      <c r="AG150" s="100" t="str">
        <f t="shared" ca="1" si="40"/>
        <v/>
      </c>
      <c r="AH150" s="101" t="str">
        <f t="shared" si="41"/>
        <v/>
      </c>
      <c r="AI150" s="59"/>
      <c r="AJ150" s="54"/>
      <c r="AK150" s="56" t="str">
        <f t="shared" ca="1" si="42"/>
        <v/>
      </c>
    </row>
    <row r="151" spans="1:37">
      <c r="A151" s="54"/>
      <c r="B151" s="54"/>
      <c r="C151" s="17"/>
      <c r="D151" s="17"/>
      <c r="E151" s="17"/>
      <c r="F151" s="17"/>
      <c r="G151" s="16"/>
      <c r="H151" s="16"/>
      <c r="I151" s="32"/>
      <c r="J151" s="17"/>
      <c r="K151" s="22"/>
      <c r="L151" s="22"/>
      <c r="M151" s="22"/>
      <c r="N151" s="22"/>
      <c r="O151" s="22"/>
      <c r="P151" s="102">
        <f t="shared" si="36"/>
        <v>0</v>
      </c>
      <c r="Q151" s="103">
        <f t="shared" si="37"/>
        <v>0</v>
      </c>
      <c r="R151" s="54"/>
      <c r="S151" s="57"/>
      <c r="T151" s="57"/>
      <c r="U151" s="57"/>
      <c r="V151" s="17"/>
      <c r="W151" s="23" t="str">
        <f>IFERROR(VLOOKUP(V151,Listas!$A$1:$C$13,2,FALSE),"")</f>
        <v/>
      </c>
      <c r="X151" s="23" t="str">
        <f>IFERROR(VLOOKUP(V151,Listas!$A$1:$C$13,3,FALSE),"")</f>
        <v/>
      </c>
      <c r="Y151" s="17"/>
      <c r="Z151" s="17"/>
      <c r="AA151" s="23" t="str">
        <f>IFERROR(VLOOKUP(Z151,Listas!$AD$1:$AF$65,2,FALSE),"")</f>
        <v/>
      </c>
      <c r="AB151" s="23" t="str">
        <f>IFERROR(VLOOKUP(Z151,Listas!$AD$1:$AF$65,3,FALSE),"")</f>
        <v/>
      </c>
      <c r="AC151" s="26"/>
      <c r="AD151" s="26"/>
      <c r="AE151" s="100">
        <f t="shared" ca="1" si="38"/>
        <v>100</v>
      </c>
      <c r="AF151" s="100">
        <f t="shared" ca="1" si="39"/>
        <v>100</v>
      </c>
      <c r="AG151" s="100" t="str">
        <f t="shared" ca="1" si="40"/>
        <v/>
      </c>
      <c r="AH151" s="101" t="str">
        <f t="shared" si="41"/>
        <v/>
      </c>
      <c r="AI151" s="59"/>
      <c r="AJ151" s="54"/>
      <c r="AK151" s="56" t="str">
        <f t="shared" ca="1" si="42"/>
        <v/>
      </c>
    </row>
    <row r="152" spans="1:37">
      <c r="A152" s="54"/>
      <c r="B152" s="54"/>
      <c r="C152" s="17"/>
      <c r="D152" s="17"/>
      <c r="E152" s="17"/>
      <c r="F152" s="17"/>
      <c r="G152" s="16"/>
      <c r="H152" s="16"/>
      <c r="I152" s="32"/>
      <c r="J152" s="17"/>
      <c r="K152" s="22"/>
      <c r="L152" s="22"/>
      <c r="M152" s="22"/>
      <c r="N152" s="22"/>
      <c r="O152" s="22"/>
      <c r="P152" s="102">
        <f t="shared" si="36"/>
        <v>0</v>
      </c>
      <c r="Q152" s="103">
        <f t="shared" si="37"/>
        <v>0</v>
      </c>
      <c r="R152" s="54"/>
      <c r="S152" s="57"/>
      <c r="T152" s="57"/>
      <c r="U152" s="57"/>
      <c r="V152" s="17"/>
      <c r="W152" s="23" t="str">
        <f>IFERROR(VLOOKUP(V152,Listas!$A$1:$C$13,2,FALSE),"")</f>
        <v/>
      </c>
      <c r="X152" s="23" t="str">
        <f>IFERROR(VLOOKUP(V152,Listas!$A$1:$C$13,3,FALSE),"")</f>
        <v/>
      </c>
      <c r="Y152" s="17"/>
      <c r="Z152" s="17"/>
      <c r="AA152" s="23" t="str">
        <f>IFERROR(VLOOKUP(Z152,Listas!$AD$1:$AF$65,2,FALSE),"")</f>
        <v/>
      </c>
      <c r="AB152" s="23" t="str">
        <f>IFERROR(VLOOKUP(Z152,Listas!$AD$1:$AF$65,3,FALSE),"")</f>
        <v/>
      </c>
      <c r="AC152" s="26"/>
      <c r="AD152" s="26"/>
      <c r="AE152" s="100">
        <f t="shared" ca="1" si="38"/>
        <v>100</v>
      </c>
      <c r="AF152" s="100">
        <f t="shared" ca="1" si="39"/>
        <v>100</v>
      </c>
      <c r="AG152" s="100" t="str">
        <f t="shared" ca="1" si="40"/>
        <v/>
      </c>
      <c r="AH152" s="101" t="str">
        <f t="shared" si="41"/>
        <v/>
      </c>
      <c r="AI152" s="59"/>
      <c r="AJ152" s="54"/>
      <c r="AK152" s="56" t="str">
        <f t="shared" ca="1" si="42"/>
        <v/>
      </c>
    </row>
    <row r="153" spans="1:37">
      <c r="A153" s="54"/>
      <c r="B153" s="54"/>
      <c r="C153" s="17"/>
      <c r="D153" s="17"/>
      <c r="E153" s="17"/>
      <c r="F153" s="17"/>
      <c r="G153" s="16"/>
      <c r="H153" s="16"/>
      <c r="I153" s="32"/>
      <c r="J153" s="17"/>
      <c r="K153" s="22"/>
      <c r="L153" s="22"/>
      <c r="M153" s="22"/>
      <c r="N153" s="22"/>
      <c r="O153" s="22"/>
      <c r="P153" s="102">
        <f t="shared" si="36"/>
        <v>0</v>
      </c>
      <c r="Q153" s="103">
        <f t="shared" si="37"/>
        <v>0</v>
      </c>
      <c r="R153" s="54"/>
      <c r="S153" s="57"/>
      <c r="T153" s="57"/>
      <c r="U153" s="57"/>
      <c r="V153" s="17"/>
      <c r="W153" s="23" t="str">
        <f>IFERROR(VLOOKUP(V153,Listas!$A$1:$C$13,2,FALSE),"")</f>
        <v/>
      </c>
      <c r="X153" s="23" t="str">
        <f>IFERROR(VLOOKUP(V153,Listas!$A$1:$C$13,3,FALSE),"")</f>
        <v/>
      </c>
      <c r="Y153" s="17"/>
      <c r="Z153" s="17"/>
      <c r="AA153" s="23" t="str">
        <f>IFERROR(VLOOKUP(Z153,Listas!$AD$1:$AF$65,2,FALSE),"")</f>
        <v/>
      </c>
      <c r="AB153" s="23" t="str">
        <f>IFERROR(VLOOKUP(Z153,Listas!$AD$1:$AF$65,3,FALSE),"")</f>
        <v/>
      </c>
      <c r="AC153" s="26"/>
      <c r="AD153" s="26"/>
      <c r="AE153" s="100">
        <f t="shared" ca="1" si="38"/>
        <v>100</v>
      </c>
      <c r="AF153" s="100">
        <f t="shared" ca="1" si="39"/>
        <v>100</v>
      </c>
      <c r="AG153" s="100" t="str">
        <f t="shared" ca="1" si="40"/>
        <v/>
      </c>
      <c r="AH153" s="101" t="str">
        <f t="shared" si="41"/>
        <v/>
      </c>
      <c r="AI153" s="59"/>
      <c r="AJ153" s="54"/>
      <c r="AK153" s="56" t="str">
        <f t="shared" ca="1" si="42"/>
        <v/>
      </c>
    </row>
    <row r="154" spans="1:37">
      <c r="A154" s="54"/>
      <c r="B154" s="54"/>
      <c r="C154" s="17"/>
      <c r="D154" s="17"/>
      <c r="E154" s="17"/>
      <c r="F154" s="17"/>
      <c r="G154" s="16"/>
      <c r="H154" s="16"/>
      <c r="I154" s="32"/>
      <c r="J154" s="17"/>
      <c r="K154" s="22"/>
      <c r="L154" s="22"/>
      <c r="M154" s="22"/>
      <c r="N154" s="22"/>
      <c r="O154" s="22"/>
      <c r="P154" s="102">
        <f t="shared" si="36"/>
        <v>0</v>
      </c>
      <c r="Q154" s="103">
        <f t="shared" si="37"/>
        <v>0</v>
      </c>
      <c r="R154" s="54"/>
      <c r="S154" s="57"/>
      <c r="T154" s="57"/>
      <c r="U154" s="57"/>
      <c r="V154" s="17"/>
      <c r="W154" s="23" t="str">
        <f>IFERROR(VLOOKUP(V154,Listas!$A$1:$C$13,2,FALSE),"")</f>
        <v/>
      </c>
      <c r="X154" s="23" t="str">
        <f>IFERROR(VLOOKUP(V154,Listas!$A$1:$C$13,3,FALSE),"")</f>
        <v/>
      </c>
      <c r="Y154" s="17"/>
      <c r="Z154" s="17"/>
      <c r="AA154" s="23" t="str">
        <f>IFERROR(VLOOKUP(Z154,Listas!$AD$1:$AF$65,2,FALSE),"")</f>
        <v/>
      </c>
      <c r="AB154" s="23" t="str">
        <f>IFERROR(VLOOKUP(Z154,Listas!$AD$1:$AF$65,3,FALSE),"")</f>
        <v/>
      </c>
      <c r="AC154" s="26"/>
      <c r="AD154" s="26"/>
      <c r="AE154" s="100">
        <f t="shared" ca="1" si="38"/>
        <v>100</v>
      </c>
      <c r="AF154" s="100">
        <f t="shared" ca="1" si="39"/>
        <v>100</v>
      </c>
      <c r="AG154" s="100" t="str">
        <f t="shared" ca="1" si="40"/>
        <v/>
      </c>
      <c r="AH154" s="101" t="str">
        <f t="shared" si="41"/>
        <v/>
      </c>
      <c r="AI154" s="59"/>
      <c r="AJ154" s="54"/>
      <c r="AK154" s="56" t="str">
        <f t="shared" ca="1" si="42"/>
        <v/>
      </c>
    </row>
    <row r="155" spans="1:37">
      <c r="A155" s="54"/>
      <c r="B155" s="54"/>
      <c r="C155" s="17"/>
      <c r="D155" s="17"/>
      <c r="E155" s="17"/>
      <c r="F155" s="17"/>
      <c r="G155" s="16"/>
      <c r="H155" s="16"/>
      <c r="I155" s="32"/>
      <c r="J155" s="17"/>
      <c r="K155" s="22"/>
      <c r="L155" s="22"/>
      <c r="M155" s="22"/>
      <c r="N155" s="22"/>
      <c r="O155" s="22"/>
      <c r="P155" s="102">
        <f t="shared" si="36"/>
        <v>0</v>
      </c>
      <c r="Q155" s="103">
        <f t="shared" si="37"/>
        <v>0</v>
      </c>
      <c r="R155" s="54"/>
      <c r="S155" s="57"/>
      <c r="T155" s="57"/>
      <c r="U155" s="57"/>
      <c r="V155" s="17"/>
      <c r="W155" s="23" t="str">
        <f>IFERROR(VLOOKUP(V155,Listas!$A$1:$C$13,2,FALSE),"")</f>
        <v/>
      </c>
      <c r="X155" s="23" t="str">
        <f>IFERROR(VLOOKUP(V155,Listas!$A$1:$C$13,3,FALSE),"")</f>
        <v/>
      </c>
      <c r="Y155" s="17"/>
      <c r="Z155" s="17"/>
      <c r="AA155" s="23" t="str">
        <f>IFERROR(VLOOKUP(Z155,Listas!$AD$1:$AF$65,2,FALSE),"")</f>
        <v/>
      </c>
      <c r="AB155" s="23" t="str">
        <f>IFERROR(VLOOKUP(Z155,Listas!$AD$1:$AF$65,3,FALSE),"")</f>
        <v/>
      </c>
      <c r="AC155" s="26"/>
      <c r="AD155" s="26"/>
      <c r="AE155" s="100">
        <f t="shared" ca="1" si="38"/>
        <v>100</v>
      </c>
      <c r="AF155" s="100">
        <f t="shared" ca="1" si="39"/>
        <v>100</v>
      </c>
      <c r="AG155" s="100" t="str">
        <f t="shared" ca="1" si="40"/>
        <v/>
      </c>
      <c r="AH155" s="101" t="str">
        <f t="shared" si="41"/>
        <v/>
      </c>
      <c r="AI155" s="59"/>
      <c r="AJ155" s="54"/>
      <c r="AK155" s="56" t="str">
        <f t="shared" ca="1" si="42"/>
        <v/>
      </c>
    </row>
    <row r="156" spans="1:37">
      <c r="A156" s="54"/>
      <c r="B156" s="54"/>
      <c r="C156" s="17"/>
      <c r="D156" s="17"/>
      <c r="E156" s="17"/>
      <c r="F156" s="17"/>
      <c r="G156" s="16"/>
      <c r="H156" s="16"/>
      <c r="I156" s="32"/>
      <c r="J156" s="17"/>
      <c r="K156" s="22"/>
      <c r="L156" s="22"/>
      <c r="M156" s="22"/>
      <c r="N156" s="22"/>
      <c r="O156" s="22"/>
      <c r="P156" s="102">
        <f t="shared" si="36"/>
        <v>0</v>
      </c>
      <c r="Q156" s="103">
        <f t="shared" si="37"/>
        <v>0</v>
      </c>
      <c r="R156" s="54"/>
      <c r="S156" s="57"/>
      <c r="T156" s="57"/>
      <c r="U156" s="57"/>
      <c r="V156" s="17"/>
      <c r="W156" s="23" t="str">
        <f>IFERROR(VLOOKUP(V156,Listas!$A$1:$C$13,2,FALSE),"")</f>
        <v/>
      </c>
      <c r="X156" s="23" t="str">
        <f>IFERROR(VLOOKUP(V156,Listas!$A$1:$C$13,3,FALSE),"")</f>
        <v/>
      </c>
      <c r="Y156" s="17"/>
      <c r="Z156" s="17"/>
      <c r="AA156" s="23" t="str">
        <f>IFERROR(VLOOKUP(Z156,Listas!$AD$1:$AF$65,2,FALSE),"")</f>
        <v/>
      </c>
      <c r="AB156" s="23" t="str">
        <f>IFERROR(VLOOKUP(Z156,Listas!$AD$1:$AF$65,3,FALSE),"")</f>
        <v/>
      </c>
      <c r="AC156" s="26"/>
      <c r="AD156" s="26"/>
      <c r="AE156" s="100">
        <f t="shared" ca="1" si="38"/>
        <v>100</v>
      </c>
      <c r="AF156" s="100">
        <f t="shared" ca="1" si="39"/>
        <v>100</v>
      </c>
      <c r="AG156" s="100" t="str">
        <f t="shared" ca="1" si="40"/>
        <v/>
      </c>
      <c r="AH156" s="101" t="str">
        <f t="shared" si="41"/>
        <v/>
      </c>
      <c r="AI156" s="59"/>
      <c r="AJ156" s="54"/>
      <c r="AK156" s="56" t="str">
        <f t="shared" ca="1" si="42"/>
        <v/>
      </c>
    </row>
    <row r="157" spans="1:37">
      <c r="A157" s="54"/>
      <c r="B157" s="54"/>
      <c r="C157" s="17"/>
      <c r="D157" s="17"/>
      <c r="E157" s="17"/>
      <c r="F157" s="17"/>
      <c r="G157" s="16"/>
      <c r="H157" s="16"/>
      <c r="I157" s="32"/>
      <c r="J157" s="17"/>
      <c r="K157" s="22"/>
      <c r="L157" s="22"/>
      <c r="M157" s="22"/>
      <c r="N157" s="22"/>
      <c r="O157" s="22"/>
      <c r="P157" s="102">
        <f t="shared" si="36"/>
        <v>0</v>
      </c>
      <c r="Q157" s="103">
        <f t="shared" si="37"/>
        <v>0</v>
      </c>
      <c r="R157" s="54"/>
      <c r="S157" s="57"/>
      <c r="T157" s="57"/>
      <c r="U157" s="57"/>
      <c r="V157" s="17"/>
      <c r="W157" s="23" t="str">
        <f>IFERROR(VLOOKUP(V157,Listas!$A$1:$C$13,2,FALSE),"")</f>
        <v/>
      </c>
      <c r="X157" s="23" t="str">
        <f>IFERROR(VLOOKUP(V157,Listas!$A$1:$C$13,3,FALSE),"")</f>
        <v/>
      </c>
      <c r="Y157" s="17"/>
      <c r="Z157" s="17"/>
      <c r="AA157" s="23" t="str">
        <f>IFERROR(VLOOKUP(Z157,Listas!$AD$1:$AF$65,2,FALSE),"")</f>
        <v/>
      </c>
      <c r="AB157" s="23" t="str">
        <f>IFERROR(VLOOKUP(Z157,Listas!$AD$1:$AF$65,3,FALSE),"")</f>
        <v/>
      </c>
      <c r="AC157" s="26"/>
      <c r="AD157" s="26"/>
      <c r="AE157" s="100">
        <f t="shared" ca="1" si="38"/>
        <v>100</v>
      </c>
      <c r="AF157" s="100">
        <f t="shared" ca="1" si="39"/>
        <v>100</v>
      </c>
      <c r="AG157" s="100" t="str">
        <f t="shared" ca="1" si="40"/>
        <v/>
      </c>
      <c r="AH157" s="101" t="str">
        <f t="shared" si="41"/>
        <v/>
      </c>
      <c r="AI157" s="59"/>
      <c r="AJ157" s="54"/>
      <c r="AK157" s="56" t="str">
        <f t="shared" ca="1" si="42"/>
        <v/>
      </c>
    </row>
    <row r="158" spans="1:37">
      <c r="A158" s="54"/>
      <c r="B158" s="54"/>
      <c r="C158" s="17"/>
      <c r="D158" s="17"/>
      <c r="E158" s="17"/>
      <c r="F158" s="17"/>
      <c r="G158" s="16"/>
      <c r="H158" s="16"/>
      <c r="I158" s="32"/>
      <c r="J158" s="17"/>
      <c r="K158" s="22"/>
      <c r="L158" s="22"/>
      <c r="M158" s="22"/>
      <c r="N158" s="22"/>
      <c r="O158" s="22"/>
      <c r="P158" s="102">
        <f t="shared" si="36"/>
        <v>0</v>
      </c>
      <c r="Q158" s="103">
        <f t="shared" si="37"/>
        <v>0</v>
      </c>
      <c r="R158" s="54"/>
      <c r="S158" s="57"/>
      <c r="T158" s="57"/>
      <c r="U158" s="57"/>
      <c r="V158" s="17"/>
      <c r="W158" s="23" t="str">
        <f>IFERROR(VLOOKUP(V158,Listas!$A$1:$C$13,2,FALSE),"")</f>
        <v/>
      </c>
      <c r="X158" s="23" t="str">
        <f>IFERROR(VLOOKUP(V158,Listas!$A$1:$C$13,3,FALSE),"")</f>
        <v/>
      </c>
      <c r="Y158" s="17"/>
      <c r="Z158" s="17"/>
      <c r="AA158" s="23" t="str">
        <f>IFERROR(VLOOKUP(Z158,Listas!$AD$1:$AF$65,2,FALSE),"")</f>
        <v/>
      </c>
      <c r="AB158" s="23" t="str">
        <f>IFERROR(VLOOKUP(Z158,Listas!$AD$1:$AF$65,3,FALSE),"")</f>
        <v/>
      </c>
      <c r="AC158" s="26"/>
      <c r="AD158" s="26"/>
      <c r="AE158" s="100">
        <f t="shared" ca="1" si="38"/>
        <v>100</v>
      </c>
      <c r="AF158" s="100">
        <f t="shared" ca="1" si="39"/>
        <v>100</v>
      </c>
      <c r="AG158" s="100" t="str">
        <f t="shared" ca="1" si="40"/>
        <v/>
      </c>
      <c r="AH158" s="101" t="str">
        <f t="shared" si="41"/>
        <v/>
      </c>
      <c r="AI158" s="59"/>
      <c r="AJ158" s="54"/>
      <c r="AK158" s="56" t="str">
        <f t="shared" ca="1" si="42"/>
        <v/>
      </c>
    </row>
    <row r="159" spans="1:37">
      <c r="A159" s="54"/>
      <c r="B159" s="54"/>
      <c r="C159" s="17"/>
      <c r="D159" s="17"/>
      <c r="E159" s="17"/>
      <c r="F159" s="17"/>
      <c r="G159" s="16"/>
      <c r="H159" s="16"/>
      <c r="I159" s="32"/>
      <c r="J159" s="17"/>
      <c r="K159" s="22"/>
      <c r="L159" s="22"/>
      <c r="M159" s="22"/>
      <c r="N159" s="22"/>
      <c r="O159" s="22"/>
      <c r="P159" s="102">
        <f t="shared" si="36"/>
        <v>0</v>
      </c>
      <c r="Q159" s="103">
        <f t="shared" si="37"/>
        <v>0</v>
      </c>
      <c r="R159" s="54"/>
      <c r="S159" s="57"/>
      <c r="T159" s="57"/>
      <c r="U159" s="57"/>
      <c r="V159" s="17"/>
      <c r="W159" s="23" t="str">
        <f>IFERROR(VLOOKUP(V159,Listas!$A$1:$C$13,2,FALSE),"")</f>
        <v/>
      </c>
      <c r="X159" s="23" t="str">
        <f>IFERROR(VLOOKUP(V159,Listas!$A$1:$C$13,3,FALSE),"")</f>
        <v/>
      </c>
      <c r="Y159" s="17"/>
      <c r="Z159" s="17"/>
      <c r="AA159" s="23" t="str">
        <f>IFERROR(VLOOKUP(Z159,Listas!$AD$1:$AF$65,2,FALSE),"")</f>
        <v/>
      </c>
      <c r="AB159" s="23" t="str">
        <f>IFERROR(VLOOKUP(Z159,Listas!$AD$1:$AF$65,3,FALSE),"")</f>
        <v/>
      </c>
      <c r="AC159" s="26"/>
      <c r="AD159" s="26"/>
      <c r="AE159" s="100">
        <f t="shared" ca="1" si="38"/>
        <v>100</v>
      </c>
      <c r="AF159" s="100">
        <f t="shared" ca="1" si="39"/>
        <v>100</v>
      </c>
      <c r="AG159" s="100" t="str">
        <f t="shared" ca="1" si="40"/>
        <v/>
      </c>
      <c r="AH159" s="101" t="str">
        <f t="shared" si="41"/>
        <v/>
      </c>
      <c r="AI159" s="59"/>
      <c r="AJ159" s="54"/>
      <c r="AK159" s="56" t="str">
        <f t="shared" ca="1" si="42"/>
        <v/>
      </c>
    </row>
    <row r="160" spans="1:37">
      <c r="A160" s="54"/>
      <c r="B160" s="54"/>
      <c r="C160" s="17"/>
      <c r="D160" s="17"/>
      <c r="E160" s="17"/>
      <c r="F160" s="17"/>
      <c r="G160" s="16"/>
      <c r="H160" s="16"/>
      <c r="I160" s="32"/>
      <c r="J160" s="17"/>
      <c r="K160" s="22"/>
      <c r="L160" s="22"/>
      <c r="M160" s="22"/>
      <c r="N160" s="22"/>
      <c r="O160" s="22"/>
      <c r="P160" s="102">
        <f t="shared" si="36"/>
        <v>0</v>
      </c>
      <c r="Q160" s="103">
        <f t="shared" si="37"/>
        <v>0</v>
      </c>
      <c r="R160" s="54"/>
      <c r="S160" s="57"/>
      <c r="T160" s="57"/>
      <c r="U160" s="57"/>
      <c r="V160" s="17"/>
      <c r="W160" s="23" t="str">
        <f>IFERROR(VLOOKUP(V160,Listas!$A$1:$C$13,2,FALSE),"")</f>
        <v/>
      </c>
      <c r="X160" s="23" t="str">
        <f>IFERROR(VLOOKUP(V160,Listas!$A$1:$C$13,3,FALSE),"")</f>
        <v/>
      </c>
      <c r="Y160" s="17"/>
      <c r="Z160" s="17"/>
      <c r="AA160" s="23" t="str">
        <f>IFERROR(VLOOKUP(Z160,Listas!$AD$1:$AF$65,2,FALSE),"")</f>
        <v/>
      </c>
      <c r="AB160" s="23" t="str">
        <f>IFERROR(VLOOKUP(Z160,Listas!$AD$1:$AF$65,3,FALSE),"")</f>
        <v/>
      </c>
      <c r="AC160" s="26"/>
      <c r="AD160" s="26"/>
      <c r="AE160" s="100">
        <f t="shared" ca="1" si="38"/>
        <v>100</v>
      </c>
      <c r="AF160" s="100">
        <f t="shared" ca="1" si="39"/>
        <v>100</v>
      </c>
      <c r="AG160" s="100" t="str">
        <f t="shared" ca="1" si="40"/>
        <v/>
      </c>
      <c r="AH160" s="101" t="str">
        <f t="shared" si="41"/>
        <v/>
      </c>
      <c r="AI160" s="59"/>
      <c r="AJ160" s="54"/>
      <c r="AK160" s="56" t="str">
        <f t="shared" ca="1" si="42"/>
        <v/>
      </c>
    </row>
    <row r="161" spans="1:37">
      <c r="A161" s="54"/>
      <c r="B161" s="54"/>
      <c r="C161" s="17"/>
      <c r="D161" s="17"/>
      <c r="E161" s="17"/>
      <c r="F161" s="17"/>
      <c r="G161" s="16"/>
      <c r="H161" s="16"/>
      <c r="I161" s="32"/>
      <c r="J161" s="17"/>
      <c r="K161" s="22"/>
      <c r="L161" s="22"/>
      <c r="M161" s="22"/>
      <c r="N161" s="22"/>
      <c r="O161" s="22"/>
      <c r="P161" s="102">
        <f t="shared" si="36"/>
        <v>0</v>
      </c>
      <c r="Q161" s="103">
        <f t="shared" si="37"/>
        <v>0</v>
      </c>
      <c r="R161" s="54"/>
      <c r="S161" s="57"/>
      <c r="T161" s="57"/>
      <c r="U161" s="57"/>
      <c r="V161" s="17"/>
      <c r="W161" s="23" t="str">
        <f>IFERROR(VLOOKUP(V161,Listas!$A$1:$C$13,2,FALSE),"")</f>
        <v/>
      </c>
      <c r="X161" s="23" t="str">
        <f>IFERROR(VLOOKUP(V161,Listas!$A$1:$C$13,3,FALSE),"")</f>
        <v/>
      </c>
      <c r="Y161" s="17"/>
      <c r="Z161" s="17"/>
      <c r="AA161" s="23" t="str">
        <f>IFERROR(VLOOKUP(Z161,Listas!$AD$1:$AF$65,2,FALSE),"")</f>
        <v/>
      </c>
      <c r="AB161" s="23" t="str">
        <f>IFERROR(VLOOKUP(Z161,Listas!$AD$1:$AF$65,3,FALSE),"")</f>
        <v/>
      </c>
      <c r="AC161" s="26"/>
      <c r="AD161" s="26"/>
      <c r="AE161" s="100">
        <f t="shared" ca="1" si="38"/>
        <v>100</v>
      </c>
      <c r="AF161" s="100">
        <f t="shared" ca="1" si="39"/>
        <v>100</v>
      </c>
      <c r="AG161" s="100" t="str">
        <f t="shared" ca="1" si="40"/>
        <v/>
      </c>
      <c r="AH161" s="101" t="str">
        <f t="shared" si="41"/>
        <v/>
      </c>
      <c r="AI161" s="59"/>
      <c r="AJ161" s="54"/>
      <c r="AK161" s="56" t="str">
        <f t="shared" ca="1" si="42"/>
        <v/>
      </c>
    </row>
    <row r="162" spans="1:37">
      <c r="A162" s="54"/>
      <c r="B162" s="54"/>
      <c r="C162" s="17"/>
      <c r="D162" s="17"/>
      <c r="E162" s="17"/>
      <c r="F162" s="17"/>
      <c r="G162" s="16"/>
      <c r="H162" s="16"/>
      <c r="I162" s="32"/>
      <c r="J162" s="17"/>
      <c r="K162" s="22"/>
      <c r="L162" s="22"/>
      <c r="M162" s="22"/>
      <c r="N162" s="22"/>
      <c r="O162" s="22"/>
      <c r="P162" s="102">
        <f t="shared" si="36"/>
        <v>0</v>
      </c>
      <c r="Q162" s="103">
        <f t="shared" si="37"/>
        <v>0</v>
      </c>
      <c r="R162" s="54"/>
      <c r="S162" s="57"/>
      <c r="T162" s="57"/>
      <c r="U162" s="57"/>
      <c r="V162" s="17"/>
      <c r="W162" s="23" t="str">
        <f>IFERROR(VLOOKUP(V162,Listas!$A$1:$C$13,2,FALSE),"")</f>
        <v/>
      </c>
      <c r="X162" s="23" t="str">
        <f>IFERROR(VLOOKUP(V162,Listas!$A$1:$C$13,3,FALSE),"")</f>
        <v/>
      </c>
      <c r="Y162" s="17"/>
      <c r="Z162" s="17"/>
      <c r="AA162" s="23" t="str">
        <f>IFERROR(VLOOKUP(Z162,Listas!$AD$1:$AF$65,2,FALSE),"")</f>
        <v/>
      </c>
      <c r="AB162" s="23" t="str">
        <f>IFERROR(VLOOKUP(Z162,Listas!$AD$1:$AF$65,3,FALSE),"")</f>
        <v/>
      </c>
      <c r="AC162" s="26"/>
      <c r="AD162" s="26"/>
      <c r="AE162" s="100">
        <f t="shared" ca="1" si="38"/>
        <v>100</v>
      </c>
      <c r="AF162" s="100">
        <f t="shared" ca="1" si="39"/>
        <v>100</v>
      </c>
      <c r="AG162" s="100" t="str">
        <f t="shared" ca="1" si="40"/>
        <v/>
      </c>
      <c r="AH162" s="101" t="str">
        <f t="shared" si="41"/>
        <v/>
      </c>
      <c r="AI162" s="59"/>
      <c r="AJ162" s="54"/>
      <c r="AK162" s="56" t="str">
        <f t="shared" ca="1" si="42"/>
        <v/>
      </c>
    </row>
    <row r="163" spans="1:37">
      <c r="A163" s="54"/>
      <c r="B163" s="54"/>
      <c r="C163" s="17"/>
      <c r="D163" s="17"/>
      <c r="E163" s="17"/>
      <c r="F163" s="17"/>
      <c r="G163" s="16"/>
      <c r="H163" s="16"/>
      <c r="I163" s="32"/>
      <c r="J163" s="17"/>
      <c r="K163" s="22"/>
      <c r="L163" s="22"/>
      <c r="M163" s="22"/>
      <c r="N163" s="22"/>
      <c r="O163" s="22"/>
      <c r="P163" s="102">
        <f t="shared" si="36"/>
        <v>0</v>
      </c>
      <c r="Q163" s="103">
        <f t="shared" si="37"/>
        <v>0</v>
      </c>
      <c r="R163" s="54"/>
      <c r="S163" s="57"/>
      <c r="T163" s="57"/>
      <c r="U163" s="57"/>
      <c r="V163" s="17"/>
      <c r="W163" s="23" t="str">
        <f>IFERROR(VLOOKUP(V163,Listas!$A$1:$C$13,2,FALSE),"")</f>
        <v/>
      </c>
      <c r="X163" s="23" t="str">
        <f>IFERROR(VLOOKUP(V163,Listas!$A$1:$C$13,3,FALSE),"")</f>
        <v/>
      </c>
      <c r="Y163" s="17"/>
      <c r="Z163" s="17"/>
      <c r="AA163" s="23" t="str">
        <f>IFERROR(VLOOKUP(Z163,Listas!$AD$1:$AF$65,2,FALSE),"")</f>
        <v/>
      </c>
      <c r="AB163" s="23" t="str">
        <f>IFERROR(VLOOKUP(Z163,Listas!$AD$1:$AF$65,3,FALSE),"")</f>
        <v/>
      </c>
      <c r="AC163" s="26"/>
      <c r="AD163" s="26"/>
      <c r="AE163" s="100">
        <f t="shared" ca="1" si="38"/>
        <v>100</v>
      </c>
      <c r="AF163" s="100">
        <f t="shared" ca="1" si="39"/>
        <v>100</v>
      </c>
      <c r="AG163" s="100" t="str">
        <f t="shared" ca="1" si="40"/>
        <v/>
      </c>
      <c r="AH163" s="101" t="str">
        <f t="shared" si="41"/>
        <v/>
      </c>
      <c r="AI163" s="59"/>
      <c r="AJ163" s="54"/>
      <c r="AK163" s="56" t="str">
        <f t="shared" ca="1" si="42"/>
        <v/>
      </c>
    </row>
    <row r="164" spans="1:37">
      <c r="A164" s="54"/>
      <c r="B164" s="54"/>
      <c r="C164" s="17"/>
      <c r="D164" s="17"/>
      <c r="E164" s="17"/>
      <c r="F164" s="17"/>
      <c r="G164" s="16"/>
      <c r="H164" s="16"/>
      <c r="I164" s="32"/>
      <c r="J164" s="17"/>
      <c r="K164" s="22"/>
      <c r="L164" s="22"/>
      <c r="M164" s="22"/>
      <c r="N164" s="22"/>
      <c r="O164" s="22"/>
      <c r="P164" s="102">
        <f t="shared" si="36"/>
        <v>0</v>
      </c>
      <c r="Q164" s="103">
        <f t="shared" si="37"/>
        <v>0</v>
      </c>
      <c r="R164" s="54"/>
      <c r="S164" s="57"/>
      <c r="T164" s="57"/>
      <c r="U164" s="57"/>
      <c r="V164" s="17"/>
      <c r="W164" s="23" t="str">
        <f>IFERROR(VLOOKUP(V164,Listas!$A$1:$C$13,2,FALSE),"")</f>
        <v/>
      </c>
      <c r="X164" s="23" t="str">
        <f>IFERROR(VLOOKUP(V164,Listas!$A$1:$C$13,3,FALSE),"")</f>
        <v/>
      </c>
      <c r="Y164" s="17"/>
      <c r="Z164" s="17"/>
      <c r="AA164" s="23" t="str">
        <f>IFERROR(VLOOKUP(Z164,Listas!$AD$1:$AF$65,2,FALSE),"")</f>
        <v/>
      </c>
      <c r="AB164" s="23" t="str">
        <f>IFERROR(VLOOKUP(Z164,Listas!$AD$1:$AF$65,3,FALSE),"")</f>
        <v/>
      </c>
      <c r="AC164" s="26"/>
      <c r="AD164" s="26"/>
      <c r="AE164" s="100">
        <f t="shared" ca="1" si="38"/>
        <v>100</v>
      </c>
      <c r="AF164" s="100">
        <f t="shared" ca="1" si="39"/>
        <v>100</v>
      </c>
      <c r="AG164" s="100" t="str">
        <f t="shared" ca="1" si="40"/>
        <v/>
      </c>
      <c r="AH164" s="101" t="str">
        <f t="shared" si="41"/>
        <v/>
      </c>
      <c r="AI164" s="59"/>
      <c r="AJ164" s="54"/>
      <c r="AK164" s="56" t="str">
        <f t="shared" ca="1" si="42"/>
        <v/>
      </c>
    </row>
    <row r="165" spans="1:37">
      <c r="A165" s="54"/>
      <c r="B165" s="54"/>
      <c r="C165" s="17"/>
      <c r="D165" s="17"/>
      <c r="E165" s="17"/>
      <c r="F165" s="17"/>
      <c r="G165" s="16"/>
      <c r="H165" s="16"/>
      <c r="I165" s="32"/>
      <c r="J165" s="17"/>
      <c r="K165" s="22"/>
      <c r="L165" s="22"/>
      <c r="M165" s="22"/>
      <c r="N165" s="22"/>
      <c r="O165" s="22"/>
      <c r="P165" s="102">
        <f t="shared" si="36"/>
        <v>0</v>
      </c>
      <c r="Q165" s="103">
        <f t="shared" si="37"/>
        <v>0</v>
      </c>
      <c r="R165" s="54"/>
      <c r="S165" s="57"/>
      <c r="T165" s="57"/>
      <c r="U165" s="57"/>
      <c r="V165" s="17"/>
      <c r="W165" s="23" t="str">
        <f>IFERROR(VLOOKUP(V165,Listas!$A$1:$C$13,2,FALSE),"")</f>
        <v/>
      </c>
      <c r="X165" s="23" t="str">
        <f>IFERROR(VLOOKUP(V165,Listas!$A$1:$C$13,3,FALSE),"")</f>
        <v/>
      </c>
      <c r="Y165" s="17"/>
      <c r="Z165" s="17"/>
      <c r="AA165" s="23" t="str">
        <f>IFERROR(VLOOKUP(Z165,Listas!$AD$1:$AF$65,2,FALSE),"")</f>
        <v/>
      </c>
      <c r="AB165" s="23" t="str">
        <f>IFERROR(VLOOKUP(Z165,Listas!$AD$1:$AF$65,3,FALSE),"")</f>
        <v/>
      </c>
      <c r="AC165" s="26"/>
      <c r="AD165" s="26"/>
      <c r="AE165" s="100">
        <f t="shared" ca="1" si="38"/>
        <v>100</v>
      </c>
      <c r="AF165" s="100">
        <f t="shared" ca="1" si="39"/>
        <v>100</v>
      </c>
      <c r="AG165" s="100" t="str">
        <f t="shared" ca="1" si="40"/>
        <v/>
      </c>
      <c r="AH165" s="101" t="str">
        <f t="shared" si="41"/>
        <v/>
      </c>
      <c r="AI165" s="59"/>
      <c r="AJ165" s="54"/>
      <c r="AK165" s="56" t="str">
        <f t="shared" ca="1" si="42"/>
        <v/>
      </c>
    </row>
    <row r="166" spans="1:37">
      <c r="A166" s="54"/>
      <c r="B166" s="54"/>
      <c r="C166" s="17"/>
      <c r="D166" s="17"/>
      <c r="E166" s="17"/>
      <c r="F166" s="17"/>
      <c r="G166" s="16"/>
      <c r="H166" s="16"/>
      <c r="I166" s="32"/>
      <c r="J166" s="17"/>
      <c r="K166" s="22"/>
      <c r="L166" s="22"/>
      <c r="M166" s="22"/>
      <c r="N166" s="22"/>
      <c r="O166" s="22"/>
      <c r="P166" s="102">
        <f t="shared" si="36"/>
        <v>0</v>
      </c>
      <c r="Q166" s="103">
        <f t="shared" si="37"/>
        <v>0</v>
      </c>
      <c r="R166" s="54"/>
      <c r="S166" s="57"/>
      <c r="T166" s="57"/>
      <c r="U166" s="57"/>
      <c r="V166" s="17"/>
      <c r="W166" s="23" t="str">
        <f>IFERROR(VLOOKUP(V166,Listas!$A$1:$C$13,2,FALSE),"")</f>
        <v/>
      </c>
      <c r="X166" s="23" t="str">
        <f>IFERROR(VLOOKUP(V166,Listas!$A$1:$C$13,3,FALSE),"")</f>
        <v/>
      </c>
      <c r="Y166" s="17"/>
      <c r="Z166" s="17"/>
      <c r="AA166" s="23" t="str">
        <f>IFERROR(VLOOKUP(Z166,Listas!$AD$1:$AF$65,2,FALSE),"")</f>
        <v/>
      </c>
      <c r="AB166" s="23" t="str">
        <f>IFERROR(VLOOKUP(Z166,Listas!$AD$1:$AF$65,3,FALSE),"")</f>
        <v/>
      </c>
      <c r="AC166" s="26"/>
      <c r="AD166" s="26"/>
      <c r="AE166" s="100">
        <f t="shared" ca="1" si="38"/>
        <v>100</v>
      </c>
      <c r="AF166" s="100">
        <f t="shared" ca="1" si="39"/>
        <v>100</v>
      </c>
      <c r="AG166" s="100" t="str">
        <f t="shared" ca="1" si="40"/>
        <v/>
      </c>
      <c r="AH166" s="101" t="str">
        <f t="shared" si="41"/>
        <v/>
      </c>
      <c r="AI166" s="59"/>
      <c r="AJ166" s="54"/>
      <c r="AK166" s="56" t="str">
        <f t="shared" ca="1" si="42"/>
        <v/>
      </c>
    </row>
    <row r="167" spans="1:37">
      <c r="A167" s="54"/>
      <c r="B167" s="54"/>
      <c r="C167" s="17"/>
      <c r="D167" s="17"/>
      <c r="E167" s="17"/>
      <c r="F167" s="17"/>
      <c r="G167" s="16"/>
      <c r="H167" s="16"/>
      <c r="I167" s="32"/>
      <c r="J167" s="17"/>
      <c r="K167" s="22"/>
      <c r="L167" s="22"/>
      <c r="M167" s="22"/>
      <c r="N167" s="22"/>
      <c r="O167" s="22"/>
      <c r="P167" s="102">
        <f t="shared" si="36"/>
        <v>0</v>
      </c>
      <c r="Q167" s="103">
        <f t="shared" si="37"/>
        <v>0</v>
      </c>
      <c r="R167" s="54"/>
      <c r="S167" s="57"/>
      <c r="T167" s="57"/>
      <c r="U167" s="57"/>
      <c r="V167" s="17"/>
      <c r="W167" s="23" t="str">
        <f>IFERROR(VLOOKUP(V167,Listas!$A$1:$C$13,2,FALSE),"")</f>
        <v/>
      </c>
      <c r="X167" s="23" t="str">
        <f>IFERROR(VLOOKUP(V167,Listas!$A$1:$C$13,3,FALSE),"")</f>
        <v/>
      </c>
      <c r="Y167" s="17"/>
      <c r="Z167" s="17"/>
      <c r="AA167" s="23" t="str">
        <f>IFERROR(VLOOKUP(Z167,Listas!$AD$1:$AF$65,2,FALSE),"")</f>
        <v/>
      </c>
      <c r="AB167" s="23" t="str">
        <f>IFERROR(VLOOKUP(Z167,Listas!$AD$1:$AF$65,3,FALSE),"")</f>
        <v/>
      </c>
      <c r="AC167" s="26"/>
      <c r="AD167" s="26"/>
      <c r="AE167" s="100">
        <f t="shared" ca="1" si="38"/>
        <v>100</v>
      </c>
      <c r="AF167" s="100">
        <f t="shared" ca="1" si="39"/>
        <v>100</v>
      </c>
      <c r="AG167" s="100" t="str">
        <f t="shared" ca="1" si="40"/>
        <v/>
      </c>
      <c r="AH167" s="101" t="str">
        <f t="shared" si="41"/>
        <v/>
      </c>
      <c r="AI167" s="59"/>
      <c r="AJ167" s="54"/>
      <c r="AK167" s="56" t="str">
        <f t="shared" ca="1" si="42"/>
        <v/>
      </c>
    </row>
    <row r="168" spans="1:37">
      <c r="A168" s="54"/>
      <c r="B168" s="54"/>
      <c r="C168" s="17"/>
      <c r="D168" s="17"/>
      <c r="E168" s="17"/>
      <c r="F168" s="17"/>
      <c r="G168" s="16"/>
      <c r="H168" s="16"/>
      <c r="I168" s="32"/>
      <c r="J168" s="17"/>
      <c r="K168" s="22"/>
      <c r="L168" s="22"/>
      <c r="M168" s="22"/>
      <c r="N168" s="22"/>
      <c r="O168" s="22"/>
      <c r="P168" s="102">
        <f t="shared" si="36"/>
        <v>0</v>
      </c>
      <c r="Q168" s="103">
        <f t="shared" si="37"/>
        <v>0</v>
      </c>
      <c r="R168" s="54"/>
      <c r="S168" s="57"/>
      <c r="T168" s="57"/>
      <c r="U168" s="57"/>
      <c r="V168" s="17"/>
      <c r="W168" s="23" t="str">
        <f>IFERROR(VLOOKUP(V168,Listas!$A$1:$C$13,2,FALSE),"")</f>
        <v/>
      </c>
      <c r="X168" s="23" t="str">
        <f>IFERROR(VLOOKUP(V168,Listas!$A$1:$C$13,3,FALSE),"")</f>
        <v/>
      </c>
      <c r="Y168" s="17"/>
      <c r="Z168" s="17"/>
      <c r="AA168" s="23" t="str">
        <f>IFERROR(VLOOKUP(Z168,Listas!$AD$1:$AF$65,2,FALSE),"")</f>
        <v/>
      </c>
      <c r="AB168" s="23" t="str">
        <f>IFERROR(VLOOKUP(Z168,Listas!$AD$1:$AF$65,3,FALSE),"")</f>
        <v/>
      </c>
      <c r="AC168" s="26"/>
      <c r="AD168" s="26"/>
      <c r="AE168" s="100">
        <f t="shared" ca="1" si="38"/>
        <v>100</v>
      </c>
      <c r="AF168" s="100">
        <f t="shared" ca="1" si="39"/>
        <v>100</v>
      </c>
      <c r="AG168" s="100" t="str">
        <f t="shared" ca="1" si="40"/>
        <v/>
      </c>
      <c r="AH168" s="101" t="str">
        <f t="shared" si="41"/>
        <v/>
      </c>
      <c r="AI168" s="59"/>
      <c r="AJ168" s="54"/>
      <c r="AK168" s="56" t="str">
        <f t="shared" ca="1" si="42"/>
        <v/>
      </c>
    </row>
    <row r="169" spans="1:37">
      <c r="A169" s="54"/>
      <c r="B169" s="54"/>
      <c r="C169" s="17"/>
      <c r="D169" s="17"/>
      <c r="E169" s="17"/>
      <c r="F169" s="17"/>
      <c r="G169" s="16"/>
      <c r="H169" s="16"/>
      <c r="I169" s="32"/>
      <c r="J169" s="17"/>
      <c r="K169" s="22"/>
      <c r="L169" s="22"/>
      <c r="M169" s="22"/>
      <c r="N169" s="22"/>
      <c r="O169" s="22"/>
      <c r="P169" s="102">
        <f t="shared" si="36"/>
        <v>0</v>
      </c>
      <c r="Q169" s="103">
        <f t="shared" si="37"/>
        <v>0</v>
      </c>
      <c r="R169" s="54"/>
      <c r="S169" s="57"/>
      <c r="T169" s="57"/>
      <c r="U169" s="57"/>
      <c r="V169" s="17"/>
      <c r="W169" s="23" t="str">
        <f>IFERROR(VLOOKUP(V169,Listas!$A$1:$C$13,2,FALSE),"")</f>
        <v/>
      </c>
      <c r="X169" s="23" t="str">
        <f>IFERROR(VLOOKUP(V169,Listas!$A$1:$C$13,3,FALSE),"")</f>
        <v/>
      </c>
      <c r="Y169" s="17"/>
      <c r="Z169" s="17"/>
      <c r="AA169" s="23" t="str">
        <f>IFERROR(VLOOKUP(Z169,Listas!$AD$1:$AF$65,2,FALSE),"")</f>
        <v/>
      </c>
      <c r="AB169" s="23" t="str">
        <f>IFERROR(VLOOKUP(Z169,Listas!$AD$1:$AF$65,3,FALSE),"")</f>
        <v/>
      </c>
      <c r="AC169" s="26"/>
      <c r="AD169" s="26"/>
      <c r="AE169" s="100">
        <f t="shared" ca="1" si="38"/>
        <v>100</v>
      </c>
      <c r="AF169" s="100">
        <f t="shared" ca="1" si="39"/>
        <v>100</v>
      </c>
      <c r="AG169" s="100" t="str">
        <f t="shared" ca="1" si="40"/>
        <v/>
      </c>
      <c r="AH169" s="101" t="str">
        <f t="shared" si="41"/>
        <v/>
      </c>
      <c r="AI169" s="59"/>
      <c r="AJ169" s="54"/>
      <c r="AK169" s="56" t="str">
        <f t="shared" ca="1" si="42"/>
        <v/>
      </c>
    </row>
    <row r="170" spans="1:37">
      <c r="A170" s="54"/>
      <c r="B170" s="54"/>
      <c r="C170" s="17"/>
      <c r="D170" s="17"/>
      <c r="E170" s="17"/>
      <c r="F170" s="17"/>
      <c r="G170" s="16"/>
      <c r="H170" s="16"/>
      <c r="I170" s="32"/>
      <c r="J170" s="17"/>
      <c r="K170" s="22"/>
      <c r="L170" s="22"/>
      <c r="M170" s="22"/>
      <c r="N170" s="22"/>
      <c r="O170" s="22"/>
      <c r="P170" s="102">
        <f t="shared" si="36"/>
        <v>0</v>
      </c>
      <c r="Q170" s="103">
        <f t="shared" si="37"/>
        <v>0</v>
      </c>
      <c r="R170" s="54"/>
      <c r="S170" s="57"/>
      <c r="T170" s="57"/>
      <c r="U170" s="57"/>
      <c r="V170" s="17"/>
      <c r="W170" s="23" t="str">
        <f>IFERROR(VLOOKUP(V170,Listas!$A$1:$C$13,2,FALSE),"")</f>
        <v/>
      </c>
      <c r="X170" s="23" t="str">
        <f>IFERROR(VLOOKUP(V170,Listas!$A$1:$C$13,3,FALSE),"")</f>
        <v/>
      </c>
      <c r="Y170" s="17"/>
      <c r="Z170" s="17"/>
      <c r="AA170" s="23" t="str">
        <f>IFERROR(VLOOKUP(Z170,Listas!$AD$1:$AF$65,2,FALSE),"")</f>
        <v/>
      </c>
      <c r="AB170" s="23" t="str">
        <f>IFERROR(VLOOKUP(Z170,Listas!$AD$1:$AF$65,3,FALSE),"")</f>
        <v/>
      </c>
      <c r="AC170" s="26"/>
      <c r="AD170" s="26"/>
      <c r="AE170" s="100">
        <f t="shared" ca="1" si="38"/>
        <v>100</v>
      </c>
      <c r="AF170" s="100">
        <f t="shared" ca="1" si="39"/>
        <v>100</v>
      </c>
      <c r="AG170" s="100" t="str">
        <f t="shared" ca="1" si="40"/>
        <v/>
      </c>
      <c r="AH170" s="101" t="str">
        <f t="shared" si="41"/>
        <v/>
      </c>
      <c r="AI170" s="59"/>
      <c r="AJ170" s="54"/>
      <c r="AK170" s="56" t="str">
        <f t="shared" ca="1" si="42"/>
        <v/>
      </c>
    </row>
    <row r="171" spans="1:37">
      <c r="A171" s="54"/>
      <c r="B171" s="54"/>
      <c r="C171" s="17"/>
      <c r="D171" s="17"/>
      <c r="E171" s="17"/>
      <c r="F171" s="17"/>
      <c r="G171" s="16"/>
      <c r="H171" s="16"/>
      <c r="I171" s="32"/>
      <c r="J171" s="17"/>
      <c r="K171" s="22"/>
      <c r="L171" s="22"/>
      <c r="M171" s="22"/>
      <c r="N171" s="22"/>
      <c r="O171" s="22"/>
      <c r="P171" s="102">
        <f t="shared" si="36"/>
        <v>0</v>
      </c>
      <c r="Q171" s="103">
        <f t="shared" si="37"/>
        <v>0</v>
      </c>
      <c r="R171" s="54"/>
      <c r="S171" s="57"/>
      <c r="T171" s="57"/>
      <c r="U171" s="57"/>
      <c r="V171" s="17"/>
      <c r="W171" s="23" t="str">
        <f>IFERROR(VLOOKUP(V171,Listas!$A$1:$C$13,2,FALSE),"")</f>
        <v/>
      </c>
      <c r="X171" s="23" t="str">
        <f>IFERROR(VLOOKUP(V171,Listas!$A$1:$C$13,3,FALSE),"")</f>
        <v/>
      </c>
      <c r="Y171" s="17"/>
      <c r="Z171" s="17"/>
      <c r="AA171" s="23" t="str">
        <f>IFERROR(VLOOKUP(Z171,Listas!$AD$1:$AF$65,2,FALSE),"")</f>
        <v/>
      </c>
      <c r="AB171" s="23" t="str">
        <f>IFERROR(VLOOKUP(Z171,Listas!$AD$1:$AF$65,3,FALSE),"")</f>
        <v/>
      </c>
      <c r="AC171" s="26"/>
      <c r="AD171" s="26"/>
      <c r="AE171" s="100">
        <f t="shared" ca="1" si="38"/>
        <v>100</v>
      </c>
      <c r="AF171" s="100">
        <f t="shared" ca="1" si="39"/>
        <v>100</v>
      </c>
      <c r="AG171" s="100" t="str">
        <f t="shared" ca="1" si="40"/>
        <v/>
      </c>
      <c r="AH171" s="101" t="str">
        <f t="shared" si="41"/>
        <v/>
      </c>
      <c r="AI171" s="59"/>
      <c r="AJ171" s="54"/>
      <c r="AK171" s="56" t="str">
        <f t="shared" ca="1" si="42"/>
        <v/>
      </c>
    </row>
    <row r="172" spans="1:37">
      <c r="A172" s="54"/>
      <c r="B172" s="54"/>
      <c r="C172" s="17"/>
      <c r="D172" s="17"/>
      <c r="E172" s="17"/>
      <c r="F172" s="17"/>
      <c r="G172" s="16"/>
      <c r="H172" s="16"/>
      <c r="I172" s="32"/>
      <c r="J172" s="17"/>
      <c r="K172" s="22"/>
      <c r="L172" s="22"/>
      <c r="M172" s="22"/>
      <c r="N172" s="22"/>
      <c r="O172" s="22"/>
      <c r="P172" s="102">
        <f t="shared" si="36"/>
        <v>0</v>
      </c>
      <c r="Q172" s="103">
        <f t="shared" si="37"/>
        <v>0</v>
      </c>
      <c r="R172" s="54"/>
      <c r="S172" s="57"/>
      <c r="T172" s="57"/>
      <c r="U172" s="57"/>
      <c r="V172" s="17"/>
      <c r="W172" s="23" t="str">
        <f>IFERROR(VLOOKUP(V172,Listas!$A$1:$C$13,2,FALSE),"")</f>
        <v/>
      </c>
      <c r="X172" s="23" t="str">
        <f>IFERROR(VLOOKUP(V172,Listas!$A$1:$C$13,3,FALSE),"")</f>
        <v/>
      </c>
      <c r="Y172" s="17"/>
      <c r="Z172" s="17"/>
      <c r="AA172" s="23" t="str">
        <f>IFERROR(VLOOKUP(Z172,Listas!$AD$1:$AF$65,2,FALSE),"")</f>
        <v/>
      </c>
      <c r="AB172" s="23" t="str">
        <f>IFERROR(VLOOKUP(Z172,Listas!$AD$1:$AF$65,3,FALSE),"")</f>
        <v/>
      </c>
      <c r="AC172" s="26"/>
      <c r="AD172" s="26"/>
      <c r="AE172" s="100">
        <f t="shared" ca="1" si="38"/>
        <v>100</v>
      </c>
      <c r="AF172" s="100">
        <f t="shared" ca="1" si="39"/>
        <v>100</v>
      </c>
      <c r="AG172" s="100" t="str">
        <f t="shared" ca="1" si="40"/>
        <v/>
      </c>
      <c r="AH172" s="101" t="str">
        <f t="shared" si="41"/>
        <v/>
      </c>
      <c r="AI172" s="59"/>
      <c r="AJ172" s="54"/>
      <c r="AK172" s="56" t="str">
        <f t="shared" ca="1" si="42"/>
        <v/>
      </c>
    </row>
    <row r="173" spans="1:37">
      <c r="A173" s="54"/>
      <c r="B173" s="54"/>
      <c r="C173" s="17"/>
      <c r="D173" s="17"/>
      <c r="E173" s="17"/>
      <c r="F173" s="17"/>
      <c r="G173" s="16"/>
      <c r="H173" s="16"/>
      <c r="I173" s="32"/>
      <c r="J173" s="17"/>
      <c r="K173" s="22"/>
      <c r="L173" s="22"/>
      <c r="M173" s="22"/>
      <c r="N173" s="22"/>
      <c r="O173" s="22"/>
      <c r="P173" s="102">
        <f t="shared" si="36"/>
        <v>0</v>
      </c>
      <c r="Q173" s="103">
        <f t="shared" si="37"/>
        <v>0</v>
      </c>
      <c r="R173" s="54"/>
      <c r="S173" s="57"/>
      <c r="T173" s="57"/>
      <c r="U173" s="57"/>
      <c r="V173" s="17"/>
      <c r="W173" s="23" t="str">
        <f>IFERROR(VLOOKUP(V173,Listas!$A$1:$C$13,2,FALSE),"")</f>
        <v/>
      </c>
      <c r="X173" s="23" t="str">
        <f>IFERROR(VLOOKUP(V173,Listas!$A$1:$C$13,3,FALSE),"")</f>
        <v/>
      </c>
      <c r="Y173" s="17"/>
      <c r="Z173" s="17"/>
      <c r="AA173" s="23" t="str">
        <f>IFERROR(VLOOKUP(Z173,Listas!$AD$1:$AF$65,2,FALSE),"")</f>
        <v/>
      </c>
      <c r="AB173" s="23" t="str">
        <f>IFERROR(VLOOKUP(Z173,Listas!$AD$1:$AF$65,3,FALSE),"")</f>
        <v/>
      </c>
      <c r="AC173" s="26"/>
      <c r="AD173" s="26"/>
      <c r="AE173" s="100">
        <f t="shared" ca="1" si="38"/>
        <v>100</v>
      </c>
      <c r="AF173" s="100">
        <f t="shared" ca="1" si="39"/>
        <v>100</v>
      </c>
      <c r="AG173" s="100" t="str">
        <f t="shared" ca="1" si="40"/>
        <v/>
      </c>
      <c r="AH173" s="101" t="str">
        <f t="shared" si="41"/>
        <v/>
      </c>
      <c r="AI173" s="59"/>
      <c r="AJ173" s="54"/>
      <c r="AK173" s="56" t="str">
        <f t="shared" ca="1" si="42"/>
        <v/>
      </c>
    </row>
    <row r="174" spans="1:37">
      <c r="A174" s="54"/>
      <c r="B174" s="54"/>
      <c r="C174" s="17"/>
      <c r="D174" s="17"/>
      <c r="E174" s="17"/>
      <c r="F174" s="17"/>
      <c r="G174" s="16"/>
      <c r="H174" s="16"/>
      <c r="I174" s="32"/>
      <c r="J174" s="17"/>
      <c r="K174" s="22"/>
      <c r="L174" s="22"/>
      <c r="M174" s="22"/>
      <c r="N174" s="22"/>
      <c r="O174" s="22"/>
      <c r="P174" s="102">
        <f t="shared" si="36"/>
        <v>0</v>
      </c>
      <c r="Q174" s="103">
        <f t="shared" si="37"/>
        <v>0</v>
      </c>
      <c r="R174" s="54"/>
      <c r="S174" s="57"/>
      <c r="T174" s="57"/>
      <c r="U174" s="57"/>
      <c r="V174" s="17"/>
      <c r="W174" s="23" t="str">
        <f>IFERROR(VLOOKUP(V174,Listas!$A$1:$C$13,2,FALSE),"")</f>
        <v/>
      </c>
      <c r="X174" s="23" t="str">
        <f>IFERROR(VLOOKUP(V174,Listas!$A$1:$C$13,3,FALSE),"")</f>
        <v/>
      </c>
      <c r="Y174" s="17"/>
      <c r="Z174" s="17"/>
      <c r="AA174" s="23" t="str">
        <f>IFERROR(VLOOKUP(Z174,Listas!$AD$1:$AF$65,2,FALSE),"")</f>
        <v/>
      </c>
      <c r="AB174" s="23" t="str">
        <f>IFERROR(VLOOKUP(Z174,Listas!$AD$1:$AF$65,3,FALSE),"")</f>
        <v/>
      </c>
      <c r="AC174" s="26"/>
      <c r="AD174" s="26"/>
      <c r="AE174" s="100">
        <f t="shared" ca="1" si="38"/>
        <v>100</v>
      </c>
      <c r="AF174" s="100">
        <f t="shared" ca="1" si="39"/>
        <v>100</v>
      </c>
      <c r="AG174" s="100" t="str">
        <f t="shared" ca="1" si="40"/>
        <v/>
      </c>
      <c r="AH174" s="101" t="str">
        <f t="shared" si="41"/>
        <v/>
      </c>
      <c r="AI174" s="59"/>
      <c r="AJ174" s="54"/>
      <c r="AK174" s="56" t="str">
        <f t="shared" ca="1" si="42"/>
        <v/>
      </c>
    </row>
    <row r="175" spans="1:37">
      <c r="A175" s="54"/>
      <c r="B175" s="54"/>
      <c r="C175" s="17"/>
      <c r="D175" s="17"/>
      <c r="E175" s="17"/>
      <c r="F175" s="17"/>
      <c r="G175" s="16"/>
      <c r="H175" s="16"/>
      <c r="I175" s="32"/>
      <c r="J175" s="17"/>
      <c r="K175" s="22"/>
      <c r="L175" s="22"/>
      <c r="M175" s="22"/>
      <c r="N175" s="22"/>
      <c r="O175" s="22"/>
      <c r="P175" s="102">
        <f t="shared" si="36"/>
        <v>0</v>
      </c>
      <c r="Q175" s="103">
        <f t="shared" si="37"/>
        <v>0</v>
      </c>
      <c r="R175" s="54"/>
      <c r="S175" s="57"/>
      <c r="T175" s="57"/>
      <c r="U175" s="57"/>
      <c r="V175" s="17"/>
      <c r="W175" s="23" t="str">
        <f>IFERROR(VLOOKUP(V175,Listas!$A$1:$C$13,2,FALSE),"")</f>
        <v/>
      </c>
      <c r="X175" s="23" t="str">
        <f>IFERROR(VLOOKUP(V175,Listas!$A$1:$C$13,3,FALSE),"")</f>
        <v/>
      </c>
      <c r="Y175" s="17"/>
      <c r="Z175" s="17"/>
      <c r="AA175" s="23" t="str">
        <f>IFERROR(VLOOKUP(Z175,Listas!$AD$1:$AF$65,2,FALSE),"")</f>
        <v/>
      </c>
      <c r="AB175" s="23" t="str">
        <f>IFERROR(VLOOKUP(Z175,Listas!$AD$1:$AF$65,3,FALSE),"")</f>
        <v/>
      </c>
      <c r="AC175" s="26"/>
      <c r="AD175" s="26"/>
      <c r="AE175" s="100">
        <f t="shared" ca="1" si="38"/>
        <v>100</v>
      </c>
      <c r="AF175" s="100">
        <f t="shared" ca="1" si="39"/>
        <v>100</v>
      </c>
      <c r="AG175" s="100" t="str">
        <f t="shared" ca="1" si="40"/>
        <v/>
      </c>
      <c r="AH175" s="101" t="str">
        <f t="shared" si="41"/>
        <v/>
      </c>
      <c r="AI175" s="59"/>
      <c r="AJ175" s="54"/>
      <c r="AK175" s="56" t="str">
        <f t="shared" ca="1" si="42"/>
        <v/>
      </c>
    </row>
    <row r="176" spans="1:37">
      <c r="A176" s="54"/>
      <c r="B176" s="54"/>
      <c r="C176" s="17"/>
      <c r="D176" s="17"/>
      <c r="E176" s="17"/>
      <c r="F176" s="17"/>
      <c r="G176" s="16"/>
      <c r="H176" s="16"/>
      <c r="I176" s="32"/>
      <c r="J176" s="17"/>
      <c r="K176" s="22"/>
      <c r="L176" s="22"/>
      <c r="M176" s="22"/>
      <c r="N176" s="22"/>
      <c r="O176" s="22"/>
      <c r="P176" s="102">
        <f t="shared" si="36"/>
        <v>0</v>
      </c>
      <c r="Q176" s="103">
        <f t="shared" si="37"/>
        <v>0</v>
      </c>
      <c r="R176" s="54"/>
      <c r="S176" s="57"/>
      <c r="T176" s="57"/>
      <c r="U176" s="57"/>
      <c r="V176" s="17"/>
      <c r="W176" s="23" t="str">
        <f>IFERROR(VLOOKUP(V176,Listas!$A$1:$C$13,2,FALSE),"")</f>
        <v/>
      </c>
      <c r="X176" s="23" t="str">
        <f>IFERROR(VLOOKUP(V176,Listas!$A$1:$C$13,3,FALSE),"")</f>
        <v/>
      </c>
      <c r="Y176" s="17"/>
      <c r="Z176" s="17"/>
      <c r="AA176" s="23" t="str">
        <f>IFERROR(VLOOKUP(Z176,Listas!$AD$1:$AF$65,2,FALSE),"")</f>
        <v/>
      </c>
      <c r="AB176" s="23" t="str">
        <f>IFERROR(VLOOKUP(Z176,Listas!$AD$1:$AF$65,3,FALSE),"")</f>
        <v/>
      </c>
      <c r="AC176" s="26"/>
      <c r="AD176" s="26"/>
      <c r="AE176" s="100">
        <f t="shared" ca="1" si="38"/>
        <v>100</v>
      </c>
      <c r="AF176" s="100">
        <f t="shared" ca="1" si="39"/>
        <v>100</v>
      </c>
      <c r="AG176" s="100" t="str">
        <f t="shared" ca="1" si="40"/>
        <v/>
      </c>
      <c r="AH176" s="101" t="str">
        <f t="shared" si="41"/>
        <v/>
      </c>
      <c r="AI176" s="59"/>
      <c r="AJ176" s="54"/>
      <c r="AK176" s="56" t="str">
        <f t="shared" ca="1" si="42"/>
        <v/>
      </c>
    </row>
    <row r="177" spans="1:37">
      <c r="A177" s="54"/>
      <c r="B177" s="54"/>
      <c r="C177" s="17"/>
      <c r="D177" s="17"/>
      <c r="E177" s="17"/>
      <c r="F177" s="17"/>
      <c r="G177" s="16"/>
      <c r="H177" s="16"/>
      <c r="I177" s="32"/>
      <c r="J177" s="17"/>
      <c r="K177" s="22"/>
      <c r="L177" s="22"/>
      <c r="M177" s="22"/>
      <c r="N177" s="22"/>
      <c r="O177" s="22"/>
      <c r="P177" s="102">
        <f t="shared" si="36"/>
        <v>0</v>
      </c>
      <c r="Q177" s="103">
        <f t="shared" si="37"/>
        <v>0</v>
      </c>
      <c r="R177" s="54"/>
      <c r="S177" s="57"/>
      <c r="T177" s="57"/>
      <c r="U177" s="57"/>
      <c r="V177" s="17"/>
      <c r="W177" s="23" t="str">
        <f>IFERROR(VLOOKUP(V177,Listas!$A$1:$C$13,2,FALSE),"")</f>
        <v/>
      </c>
      <c r="X177" s="23" t="str">
        <f>IFERROR(VLOOKUP(V177,Listas!$A$1:$C$13,3,FALSE),"")</f>
        <v/>
      </c>
      <c r="Y177" s="17"/>
      <c r="Z177" s="17"/>
      <c r="AA177" s="23" t="str">
        <f>IFERROR(VLOOKUP(Z177,Listas!$AD$1:$AF$65,2,FALSE),"")</f>
        <v/>
      </c>
      <c r="AB177" s="23" t="str">
        <f>IFERROR(VLOOKUP(Z177,Listas!$AD$1:$AF$65,3,FALSE),"")</f>
        <v/>
      </c>
      <c r="AC177" s="26"/>
      <c r="AD177" s="26"/>
      <c r="AE177" s="100">
        <f t="shared" ca="1" si="38"/>
        <v>100</v>
      </c>
      <c r="AF177" s="100">
        <f t="shared" ca="1" si="39"/>
        <v>100</v>
      </c>
      <c r="AG177" s="100" t="str">
        <f t="shared" ca="1" si="40"/>
        <v/>
      </c>
      <c r="AH177" s="101" t="str">
        <f t="shared" si="41"/>
        <v/>
      </c>
      <c r="AI177" s="59"/>
      <c r="AJ177" s="54"/>
      <c r="AK177" s="56" t="str">
        <f t="shared" ca="1" si="42"/>
        <v/>
      </c>
    </row>
    <row r="178" spans="1:37">
      <c r="A178" s="54"/>
      <c r="B178" s="54"/>
      <c r="C178" s="17"/>
      <c r="D178" s="17"/>
      <c r="E178" s="17"/>
      <c r="F178" s="17"/>
      <c r="G178" s="16"/>
      <c r="H178" s="16"/>
      <c r="I178" s="32"/>
      <c r="J178" s="17"/>
      <c r="K178" s="22"/>
      <c r="L178" s="22"/>
      <c r="M178" s="22"/>
      <c r="N178" s="22"/>
      <c r="O178" s="22"/>
      <c r="P178" s="102">
        <f t="shared" si="36"/>
        <v>0</v>
      </c>
      <c r="Q178" s="103">
        <f t="shared" si="37"/>
        <v>0</v>
      </c>
      <c r="R178" s="54"/>
      <c r="S178" s="57"/>
      <c r="T178" s="57"/>
      <c r="U178" s="57"/>
      <c r="V178" s="17"/>
      <c r="W178" s="23" t="str">
        <f>IFERROR(VLOOKUP(V178,Listas!$A$1:$C$13,2,FALSE),"")</f>
        <v/>
      </c>
      <c r="X178" s="23" t="str">
        <f>IFERROR(VLOOKUP(V178,Listas!$A$1:$C$13,3,FALSE),"")</f>
        <v/>
      </c>
      <c r="Y178" s="17"/>
      <c r="Z178" s="17"/>
      <c r="AA178" s="23" t="str">
        <f>IFERROR(VLOOKUP(Z178,Listas!$AD$1:$AF$65,2,FALSE),"")</f>
        <v/>
      </c>
      <c r="AB178" s="23" t="str">
        <f>IFERROR(VLOOKUP(Z178,Listas!$AD$1:$AF$65,3,FALSE),"")</f>
        <v/>
      </c>
      <c r="AC178" s="26"/>
      <c r="AD178" s="26"/>
      <c r="AE178" s="100">
        <f t="shared" ca="1" si="38"/>
        <v>100</v>
      </c>
      <c r="AF178" s="100">
        <f t="shared" ca="1" si="39"/>
        <v>100</v>
      </c>
      <c r="AG178" s="100" t="str">
        <f t="shared" ca="1" si="40"/>
        <v/>
      </c>
      <c r="AH178" s="101" t="str">
        <f t="shared" si="41"/>
        <v/>
      </c>
      <c r="AI178" s="59"/>
      <c r="AJ178" s="54"/>
      <c r="AK178" s="56" t="str">
        <f t="shared" ca="1" si="42"/>
        <v/>
      </c>
    </row>
    <row r="179" spans="1:37">
      <c r="A179" s="54"/>
      <c r="B179" s="54"/>
      <c r="C179" s="17"/>
      <c r="D179" s="17"/>
      <c r="E179" s="17"/>
      <c r="F179" s="17"/>
      <c r="G179" s="16"/>
      <c r="H179" s="16"/>
      <c r="I179" s="32"/>
      <c r="J179" s="17"/>
      <c r="K179" s="22"/>
      <c r="L179" s="22"/>
      <c r="M179" s="22"/>
      <c r="N179" s="22"/>
      <c r="O179" s="22"/>
      <c r="P179" s="102">
        <f t="shared" si="36"/>
        <v>0</v>
      </c>
      <c r="Q179" s="103">
        <f t="shared" si="37"/>
        <v>0</v>
      </c>
      <c r="R179" s="54"/>
      <c r="S179" s="57"/>
      <c r="T179" s="57"/>
      <c r="U179" s="57"/>
      <c r="V179" s="17"/>
      <c r="W179" s="23" t="str">
        <f>IFERROR(VLOOKUP(V179,Listas!$A$1:$C$13,2,FALSE),"")</f>
        <v/>
      </c>
      <c r="X179" s="23" t="str">
        <f>IFERROR(VLOOKUP(V179,Listas!$A$1:$C$13,3,FALSE),"")</f>
        <v/>
      </c>
      <c r="Y179" s="17"/>
      <c r="Z179" s="17"/>
      <c r="AA179" s="23" t="str">
        <f>IFERROR(VLOOKUP(Z179,Listas!$AD$1:$AF$65,2,FALSE),"")</f>
        <v/>
      </c>
      <c r="AB179" s="23" t="str">
        <f>IFERROR(VLOOKUP(Z179,Listas!$AD$1:$AF$65,3,FALSE),"")</f>
        <v/>
      </c>
      <c r="AC179" s="26"/>
      <c r="AD179" s="26"/>
      <c r="AE179" s="100">
        <f t="shared" ca="1" si="38"/>
        <v>100</v>
      </c>
      <c r="AF179" s="100">
        <f t="shared" ca="1" si="39"/>
        <v>100</v>
      </c>
      <c r="AG179" s="100" t="str">
        <f t="shared" ca="1" si="40"/>
        <v/>
      </c>
      <c r="AH179" s="101" t="str">
        <f t="shared" si="41"/>
        <v/>
      </c>
      <c r="AI179" s="59"/>
      <c r="AJ179" s="54"/>
      <c r="AK179" s="56" t="str">
        <f t="shared" ca="1" si="42"/>
        <v/>
      </c>
    </row>
    <row r="180" spans="1:37">
      <c r="A180" s="54"/>
      <c r="B180" s="54"/>
      <c r="C180" s="17"/>
      <c r="D180" s="17"/>
      <c r="E180" s="17"/>
      <c r="F180" s="17"/>
      <c r="G180" s="16"/>
      <c r="H180" s="16"/>
      <c r="I180" s="32"/>
      <c r="J180" s="17"/>
      <c r="K180" s="22"/>
      <c r="L180" s="22"/>
      <c r="M180" s="22"/>
      <c r="N180" s="22"/>
      <c r="O180" s="22"/>
      <c r="P180" s="102">
        <f t="shared" si="36"/>
        <v>0</v>
      </c>
      <c r="Q180" s="103">
        <f t="shared" si="37"/>
        <v>0</v>
      </c>
      <c r="R180" s="54"/>
      <c r="S180" s="57"/>
      <c r="T180" s="57"/>
      <c r="U180" s="57"/>
      <c r="V180" s="17"/>
      <c r="W180" s="23" t="str">
        <f>IFERROR(VLOOKUP(V180,Listas!$A$1:$C$13,2,FALSE),"")</f>
        <v/>
      </c>
      <c r="X180" s="23" t="str">
        <f>IFERROR(VLOOKUP(V180,Listas!$A$1:$C$13,3,FALSE),"")</f>
        <v/>
      </c>
      <c r="Y180" s="17"/>
      <c r="Z180" s="17"/>
      <c r="AA180" s="23" t="str">
        <f>IFERROR(VLOOKUP(Z180,Listas!$AD$1:$AF$65,2,FALSE),"")</f>
        <v/>
      </c>
      <c r="AB180" s="23" t="str">
        <f>IFERROR(VLOOKUP(Z180,Listas!$AD$1:$AF$65,3,FALSE),"")</f>
        <v/>
      </c>
      <c r="AC180" s="26"/>
      <c r="AD180" s="26"/>
      <c r="AE180" s="100">
        <f t="shared" ca="1" si="38"/>
        <v>100</v>
      </c>
      <c r="AF180" s="100">
        <f t="shared" ca="1" si="39"/>
        <v>100</v>
      </c>
      <c r="AG180" s="100" t="str">
        <f t="shared" ca="1" si="40"/>
        <v/>
      </c>
      <c r="AH180" s="101" t="str">
        <f t="shared" si="41"/>
        <v/>
      </c>
      <c r="AI180" s="59"/>
      <c r="AJ180" s="54"/>
      <c r="AK180" s="56" t="str">
        <f t="shared" ca="1" si="42"/>
        <v/>
      </c>
    </row>
    <row r="181" spans="1:37">
      <c r="A181" s="54"/>
      <c r="B181" s="54"/>
      <c r="C181" s="17"/>
      <c r="D181" s="17"/>
      <c r="E181" s="17"/>
      <c r="F181" s="17"/>
      <c r="G181" s="16"/>
      <c r="H181" s="16"/>
      <c r="I181" s="32"/>
      <c r="J181" s="17"/>
      <c r="K181" s="22"/>
      <c r="L181" s="22"/>
      <c r="M181" s="22"/>
      <c r="N181" s="22"/>
      <c r="O181" s="22"/>
      <c r="P181" s="102">
        <f t="shared" si="36"/>
        <v>0</v>
      </c>
      <c r="Q181" s="103">
        <f t="shared" si="37"/>
        <v>0</v>
      </c>
      <c r="R181" s="54"/>
      <c r="S181" s="57"/>
      <c r="T181" s="57"/>
      <c r="U181" s="57"/>
      <c r="V181" s="17"/>
      <c r="W181" s="23" t="str">
        <f>IFERROR(VLOOKUP(V181,Listas!$A$1:$C$13,2,FALSE),"")</f>
        <v/>
      </c>
      <c r="X181" s="23" t="str">
        <f>IFERROR(VLOOKUP(V181,Listas!$A$1:$C$13,3,FALSE),"")</f>
        <v/>
      </c>
      <c r="Y181" s="17"/>
      <c r="Z181" s="17"/>
      <c r="AA181" s="23" t="str">
        <f>IFERROR(VLOOKUP(Z181,Listas!$AD$1:$AF$65,2,FALSE),"")</f>
        <v/>
      </c>
      <c r="AB181" s="23" t="str">
        <f>IFERROR(VLOOKUP(Z181,Listas!$AD$1:$AF$65,3,FALSE),"")</f>
        <v/>
      </c>
      <c r="AC181" s="26"/>
      <c r="AD181" s="26"/>
      <c r="AE181" s="100">
        <f t="shared" ca="1" si="38"/>
        <v>100</v>
      </c>
      <c r="AF181" s="100">
        <f t="shared" ca="1" si="39"/>
        <v>100</v>
      </c>
      <c r="AG181" s="100" t="str">
        <f t="shared" ca="1" si="40"/>
        <v/>
      </c>
      <c r="AH181" s="101" t="str">
        <f t="shared" si="41"/>
        <v/>
      </c>
      <c r="AI181" s="59"/>
      <c r="AJ181" s="54"/>
      <c r="AK181" s="56" t="str">
        <f t="shared" ca="1" si="42"/>
        <v/>
      </c>
    </row>
    <row r="182" spans="1:37">
      <c r="A182" s="54"/>
      <c r="B182" s="54"/>
      <c r="C182" s="17"/>
      <c r="D182" s="17"/>
      <c r="E182" s="17"/>
      <c r="F182" s="17"/>
      <c r="G182" s="16"/>
      <c r="H182" s="16"/>
      <c r="I182" s="32"/>
      <c r="J182" s="17"/>
      <c r="K182" s="22"/>
      <c r="L182" s="22"/>
      <c r="M182" s="22"/>
      <c r="N182" s="22"/>
      <c r="O182" s="22"/>
      <c r="P182" s="102">
        <f t="shared" si="36"/>
        <v>0</v>
      </c>
      <c r="Q182" s="103">
        <f t="shared" si="37"/>
        <v>0</v>
      </c>
      <c r="R182" s="54"/>
      <c r="S182" s="57"/>
      <c r="T182" s="57"/>
      <c r="U182" s="57"/>
      <c r="V182" s="17"/>
      <c r="W182" s="23" t="str">
        <f>IFERROR(VLOOKUP(V182,Listas!$A$1:$C$13,2,FALSE),"")</f>
        <v/>
      </c>
      <c r="X182" s="23" t="str">
        <f>IFERROR(VLOOKUP(V182,Listas!$A$1:$C$13,3,FALSE),"")</f>
        <v/>
      </c>
      <c r="Y182" s="17"/>
      <c r="Z182" s="17"/>
      <c r="AA182" s="23" t="str">
        <f>IFERROR(VLOOKUP(Z182,Listas!$AD$1:$AF$65,2,FALSE),"")</f>
        <v/>
      </c>
      <c r="AB182" s="23" t="str">
        <f>IFERROR(VLOOKUP(Z182,Listas!$AD$1:$AF$65,3,FALSE),"")</f>
        <v/>
      </c>
      <c r="AC182" s="26"/>
      <c r="AD182" s="26"/>
      <c r="AE182" s="100">
        <f t="shared" ca="1" si="38"/>
        <v>100</v>
      </c>
      <c r="AF182" s="100">
        <f t="shared" ca="1" si="39"/>
        <v>100</v>
      </c>
      <c r="AG182" s="100" t="str">
        <f t="shared" ca="1" si="40"/>
        <v/>
      </c>
      <c r="AH182" s="101" t="str">
        <f t="shared" si="41"/>
        <v/>
      </c>
      <c r="AI182" s="59"/>
      <c r="AJ182" s="54"/>
      <c r="AK182" s="56" t="str">
        <f t="shared" ca="1" si="42"/>
        <v/>
      </c>
    </row>
    <row r="183" spans="1:37">
      <c r="A183" s="54"/>
      <c r="B183" s="54"/>
      <c r="C183" s="17"/>
      <c r="D183" s="17"/>
      <c r="E183" s="17"/>
      <c r="F183" s="17"/>
      <c r="G183" s="16"/>
      <c r="H183" s="16"/>
      <c r="I183" s="32"/>
      <c r="J183" s="17"/>
      <c r="K183" s="22"/>
      <c r="L183" s="22"/>
      <c r="M183" s="22"/>
      <c r="N183" s="22"/>
      <c r="O183" s="22"/>
      <c r="P183" s="102">
        <f t="shared" si="36"/>
        <v>0</v>
      </c>
      <c r="Q183" s="103">
        <f t="shared" si="37"/>
        <v>0</v>
      </c>
      <c r="R183" s="54"/>
      <c r="S183" s="57"/>
      <c r="T183" s="57"/>
      <c r="U183" s="57"/>
      <c r="V183" s="17"/>
      <c r="W183" s="23" t="str">
        <f>IFERROR(VLOOKUP(V183,Listas!$A$1:$C$13,2,FALSE),"")</f>
        <v/>
      </c>
      <c r="X183" s="23" t="str">
        <f>IFERROR(VLOOKUP(V183,Listas!$A$1:$C$13,3,FALSE),"")</f>
        <v/>
      </c>
      <c r="Y183" s="17"/>
      <c r="Z183" s="17"/>
      <c r="AA183" s="23" t="str">
        <f>IFERROR(VLOOKUP(Z183,Listas!$AD$1:$AF$65,2,FALSE),"")</f>
        <v/>
      </c>
      <c r="AB183" s="23" t="str">
        <f>IFERROR(VLOOKUP(Z183,Listas!$AD$1:$AF$65,3,FALSE),"")</f>
        <v/>
      </c>
      <c r="AC183" s="26"/>
      <c r="AD183" s="26"/>
      <c r="AE183" s="100">
        <f t="shared" ca="1" si="38"/>
        <v>100</v>
      </c>
      <c r="AF183" s="100">
        <f t="shared" ca="1" si="39"/>
        <v>100</v>
      </c>
      <c r="AG183" s="100" t="str">
        <f t="shared" ca="1" si="40"/>
        <v/>
      </c>
      <c r="AH183" s="101" t="str">
        <f t="shared" si="41"/>
        <v/>
      </c>
      <c r="AI183" s="59"/>
      <c r="AJ183" s="54"/>
      <c r="AK183" s="56" t="str">
        <f t="shared" ca="1" si="42"/>
        <v/>
      </c>
    </row>
    <row r="184" spans="1:37">
      <c r="A184" s="54"/>
      <c r="B184" s="54"/>
      <c r="C184" s="17"/>
      <c r="D184" s="17"/>
      <c r="E184" s="17"/>
      <c r="F184" s="17"/>
      <c r="G184" s="16"/>
      <c r="H184" s="16"/>
      <c r="I184" s="32"/>
      <c r="J184" s="17"/>
      <c r="K184" s="22"/>
      <c r="L184" s="22"/>
      <c r="M184" s="22"/>
      <c r="N184" s="22"/>
      <c r="O184" s="22"/>
      <c r="P184" s="102">
        <f t="shared" si="36"/>
        <v>0</v>
      </c>
      <c r="Q184" s="103">
        <f t="shared" si="37"/>
        <v>0</v>
      </c>
      <c r="R184" s="54"/>
      <c r="S184" s="57"/>
      <c r="T184" s="57"/>
      <c r="U184" s="57"/>
      <c r="V184" s="17"/>
      <c r="W184" s="23" t="str">
        <f>IFERROR(VLOOKUP(V184,Listas!$A$1:$C$13,2,FALSE),"")</f>
        <v/>
      </c>
      <c r="X184" s="23" t="str">
        <f>IFERROR(VLOOKUP(V184,Listas!$A$1:$C$13,3,FALSE),"")</f>
        <v/>
      </c>
      <c r="Y184" s="17"/>
      <c r="Z184" s="17"/>
      <c r="AA184" s="23" t="str">
        <f>IFERROR(VLOOKUP(Z184,Listas!$AD$1:$AF$65,2,FALSE),"")</f>
        <v/>
      </c>
      <c r="AB184" s="23" t="str">
        <f>IFERROR(VLOOKUP(Z184,Listas!$AD$1:$AF$65,3,FALSE),"")</f>
        <v/>
      </c>
      <c r="AC184" s="26"/>
      <c r="AD184" s="26"/>
      <c r="AE184" s="100">
        <f t="shared" ca="1" si="38"/>
        <v>100</v>
      </c>
      <c r="AF184" s="100">
        <f t="shared" ca="1" si="39"/>
        <v>100</v>
      </c>
      <c r="AG184" s="100" t="str">
        <f t="shared" ca="1" si="40"/>
        <v/>
      </c>
      <c r="AH184" s="101" t="str">
        <f t="shared" si="41"/>
        <v/>
      </c>
      <c r="AI184" s="59"/>
      <c r="AJ184" s="54"/>
      <c r="AK184" s="56" t="str">
        <f t="shared" ca="1" si="42"/>
        <v/>
      </c>
    </row>
    <row r="185" spans="1:37">
      <c r="A185" s="54"/>
      <c r="B185" s="54"/>
      <c r="C185" s="17"/>
      <c r="D185" s="17"/>
      <c r="E185" s="17"/>
      <c r="F185" s="17"/>
      <c r="G185" s="16"/>
      <c r="H185" s="16"/>
      <c r="I185" s="32"/>
      <c r="J185" s="17"/>
      <c r="K185" s="22"/>
      <c r="L185" s="22"/>
      <c r="M185" s="22"/>
      <c r="N185" s="22"/>
      <c r="O185" s="22"/>
      <c r="P185" s="102">
        <f t="shared" si="36"/>
        <v>0</v>
      </c>
      <c r="Q185" s="103">
        <f t="shared" si="37"/>
        <v>0</v>
      </c>
      <c r="R185" s="54"/>
      <c r="S185" s="57"/>
      <c r="T185" s="57"/>
      <c r="U185" s="57"/>
      <c r="V185" s="17"/>
      <c r="W185" s="23" t="str">
        <f>IFERROR(VLOOKUP(V185,Listas!$A$1:$C$13,2,FALSE),"")</f>
        <v/>
      </c>
      <c r="X185" s="23" t="str">
        <f>IFERROR(VLOOKUP(V185,Listas!$A$1:$C$13,3,FALSE),"")</f>
        <v/>
      </c>
      <c r="Y185" s="17"/>
      <c r="Z185" s="17"/>
      <c r="AA185" s="23" t="str">
        <f>IFERROR(VLOOKUP(Z185,Listas!$AD$1:$AF$65,2,FALSE),"")</f>
        <v/>
      </c>
      <c r="AB185" s="23" t="str">
        <f>IFERROR(VLOOKUP(Z185,Listas!$AD$1:$AF$65,3,FALSE),"")</f>
        <v/>
      </c>
      <c r="AC185" s="26"/>
      <c r="AD185" s="26"/>
      <c r="AE185" s="100">
        <f t="shared" ca="1" si="38"/>
        <v>100</v>
      </c>
      <c r="AF185" s="100">
        <f t="shared" ca="1" si="39"/>
        <v>100</v>
      </c>
      <c r="AG185" s="100" t="str">
        <f t="shared" ca="1" si="40"/>
        <v/>
      </c>
      <c r="AH185" s="101" t="str">
        <f t="shared" si="41"/>
        <v/>
      </c>
      <c r="AI185" s="59"/>
      <c r="AJ185" s="54"/>
      <c r="AK185" s="56" t="str">
        <f t="shared" ca="1" si="42"/>
        <v/>
      </c>
    </row>
    <row r="186" spans="1:37">
      <c r="A186" s="54"/>
      <c r="B186" s="54"/>
      <c r="C186" s="17"/>
      <c r="D186" s="17"/>
      <c r="E186" s="17"/>
      <c r="F186" s="17"/>
      <c r="G186" s="16"/>
      <c r="H186" s="16"/>
      <c r="I186" s="32"/>
      <c r="J186" s="17"/>
      <c r="K186" s="22"/>
      <c r="L186" s="22"/>
      <c r="M186" s="22"/>
      <c r="N186" s="22"/>
      <c r="O186" s="22"/>
      <c r="P186" s="102">
        <f t="shared" si="36"/>
        <v>0</v>
      </c>
      <c r="Q186" s="103">
        <f t="shared" si="37"/>
        <v>0</v>
      </c>
      <c r="R186" s="54"/>
      <c r="S186" s="57"/>
      <c r="T186" s="57"/>
      <c r="U186" s="57"/>
      <c r="V186" s="17"/>
      <c r="W186" s="23" t="str">
        <f>IFERROR(VLOOKUP(V186,Listas!$A$1:$C$13,2,FALSE),"")</f>
        <v/>
      </c>
      <c r="X186" s="23" t="str">
        <f>IFERROR(VLOOKUP(V186,Listas!$A$1:$C$13,3,FALSE),"")</f>
        <v/>
      </c>
      <c r="Y186" s="17"/>
      <c r="Z186" s="17"/>
      <c r="AA186" s="23" t="str">
        <f>IFERROR(VLOOKUP(Z186,Listas!$AD$1:$AF$65,2,FALSE),"")</f>
        <v/>
      </c>
      <c r="AB186" s="23" t="str">
        <f>IFERROR(VLOOKUP(Z186,Listas!$AD$1:$AF$65,3,FALSE),"")</f>
        <v/>
      </c>
      <c r="AC186" s="26"/>
      <c r="AD186" s="26"/>
      <c r="AE186" s="100">
        <f t="shared" ca="1" si="38"/>
        <v>100</v>
      </c>
      <c r="AF186" s="100">
        <f t="shared" ca="1" si="39"/>
        <v>100</v>
      </c>
      <c r="AG186" s="100" t="str">
        <f t="shared" ca="1" si="40"/>
        <v/>
      </c>
      <c r="AH186" s="101" t="str">
        <f t="shared" si="41"/>
        <v/>
      </c>
      <c r="AI186" s="59"/>
      <c r="AJ186" s="54"/>
      <c r="AK186" s="56" t="str">
        <f t="shared" ca="1" si="42"/>
        <v/>
      </c>
    </row>
    <row r="187" spans="1:37">
      <c r="A187" s="54"/>
      <c r="B187" s="54"/>
      <c r="C187" s="17"/>
      <c r="D187" s="17"/>
      <c r="E187" s="17"/>
      <c r="F187" s="17"/>
      <c r="G187" s="16"/>
      <c r="H187" s="16"/>
      <c r="I187" s="32"/>
      <c r="J187" s="17"/>
      <c r="K187" s="22"/>
      <c r="L187" s="22"/>
      <c r="M187" s="22"/>
      <c r="N187" s="22"/>
      <c r="O187" s="22"/>
      <c r="P187" s="102">
        <f t="shared" si="36"/>
        <v>0</v>
      </c>
      <c r="Q187" s="103">
        <f t="shared" si="37"/>
        <v>0</v>
      </c>
      <c r="R187" s="54"/>
      <c r="S187" s="57"/>
      <c r="T187" s="57"/>
      <c r="U187" s="57"/>
      <c r="V187" s="17"/>
      <c r="W187" s="23" t="str">
        <f>IFERROR(VLOOKUP(V187,Listas!$A$1:$C$13,2,FALSE),"")</f>
        <v/>
      </c>
      <c r="X187" s="23" t="str">
        <f>IFERROR(VLOOKUP(V187,Listas!$A$1:$C$13,3,FALSE),"")</f>
        <v/>
      </c>
      <c r="Y187" s="17"/>
      <c r="Z187" s="17"/>
      <c r="AA187" s="23" t="str">
        <f>IFERROR(VLOOKUP(Z187,Listas!$AD$1:$AF$65,2,FALSE),"")</f>
        <v/>
      </c>
      <c r="AB187" s="23" t="str">
        <f>IFERROR(VLOOKUP(Z187,Listas!$AD$1:$AF$65,3,FALSE),"")</f>
        <v/>
      </c>
      <c r="AC187" s="26"/>
      <c r="AD187" s="26"/>
      <c r="AE187" s="100">
        <f t="shared" ca="1" si="38"/>
        <v>100</v>
      </c>
      <c r="AF187" s="100">
        <f t="shared" ca="1" si="39"/>
        <v>100</v>
      </c>
      <c r="AG187" s="100" t="str">
        <f t="shared" ca="1" si="40"/>
        <v/>
      </c>
      <c r="AH187" s="101" t="str">
        <f t="shared" si="41"/>
        <v/>
      </c>
      <c r="AI187" s="59"/>
      <c r="AJ187" s="54"/>
      <c r="AK187" s="56" t="str">
        <f t="shared" ca="1" si="42"/>
        <v/>
      </c>
    </row>
    <row r="188" spans="1:37">
      <c r="A188" s="54"/>
      <c r="B188" s="54"/>
      <c r="C188" s="17"/>
      <c r="D188" s="17"/>
      <c r="E188" s="17"/>
      <c r="F188" s="17"/>
      <c r="G188" s="16"/>
      <c r="H188" s="16"/>
      <c r="I188" s="32"/>
      <c r="J188" s="17"/>
      <c r="K188" s="22"/>
      <c r="L188" s="22"/>
      <c r="M188" s="22"/>
      <c r="N188" s="22"/>
      <c r="O188" s="22"/>
      <c r="P188" s="102">
        <f t="shared" si="36"/>
        <v>0</v>
      </c>
      <c r="Q188" s="103">
        <f t="shared" si="37"/>
        <v>0</v>
      </c>
      <c r="R188" s="54"/>
      <c r="S188" s="57"/>
      <c r="T188" s="57"/>
      <c r="U188" s="57"/>
      <c r="V188" s="17"/>
      <c r="W188" s="23" t="str">
        <f>IFERROR(VLOOKUP(V188,Listas!$A$1:$C$13,2,FALSE),"")</f>
        <v/>
      </c>
      <c r="X188" s="23" t="str">
        <f>IFERROR(VLOOKUP(V188,Listas!$A$1:$C$13,3,FALSE),"")</f>
        <v/>
      </c>
      <c r="Y188" s="17"/>
      <c r="Z188" s="17"/>
      <c r="AA188" s="23" t="str">
        <f>IFERROR(VLOOKUP(Z188,Listas!$AD$1:$AF$65,2,FALSE),"")</f>
        <v/>
      </c>
      <c r="AB188" s="23" t="str">
        <f>IFERROR(VLOOKUP(Z188,Listas!$AD$1:$AF$65,3,FALSE),"")</f>
        <v/>
      </c>
      <c r="AC188" s="26"/>
      <c r="AD188" s="26"/>
      <c r="AE188" s="100">
        <f t="shared" ca="1" si="38"/>
        <v>100</v>
      </c>
      <c r="AF188" s="100">
        <f t="shared" ca="1" si="39"/>
        <v>100</v>
      </c>
      <c r="AG188" s="100" t="str">
        <f t="shared" ca="1" si="40"/>
        <v/>
      </c>
      <c r="AH188" s="101" t="str">
        <f t="shared" si="41"/>
        <v/>
      </c>
      <c r="AI188" s="59"/>
      <c r="AJ188" s="54"/>
      <c r="AK188" s="56" t="str">
        <f t="shared" ca="1" si="42"/>
        <v/>
      </c>
    </row>
    <row r="189" spans="1:37">
      <c r="A189" s="54"/>
      <c r="B189" s="54"/>
      <c r="C189" s="17"/>
      <c r="D189" s="17"/>
      <c r="E189" s="17"/>
      <c r="F189" s="17"/>
      <c r="G189" s="16"/>
      <c r="H189" s="16"/>
      <c r="I189" s="32"/>
      <c r="J189" s="17"/>
      <c r="K189" s="22"/>
      <c r="L189" s="22"/>
      <c r="M189" s="22"/>
      <c r="N189" s="22"/>
      <c r="O189" s="22"/>
      <c r="P189" s="102">
        <f t="shared" si="36"/>
        <v>0</v>
      </c>
      <c r="Q189" s="103">
        <f t="shared" si="37"/>
        <v>0</v>
      </c>
      <c r="R189" s="54"/>
      <c r="S189" s="57"/>
      <c r="T189" s="57"/>
      <c r="U189" s="57"/>
      <c r="V189" s="17"/>
      <c r="W189" s="23" t="str">
        <f>IFERROR(VLOOKUP(V189,Listas!$A$1:$C$13,2,FALSE),"")</f>
        <v/>
      </c>
      <c r="X189" s="23" t="str">
        <f>IFERROR(VLOOKUP(V189,Listas!$A$1:$C$13,3,FALSE),"")</f>
        <v/>
      </c>
      <c r="Y189" s="17"/>
      <c r="Z189" s="17"/>
      <c r="AA189" s="23" t="str">
        <f>IFERROR(VLOOKUP(Z189,Listas!$AD$1:$AF$65,2,FALSE),"")</f>
        <v/>
      </c>
      <c r="AB189" s="23" t="str">
        <f>IFERROR(VLOOKUP(Z189,Listas!$AD$1:$AF$65,3,FALSE),"")</f>
        <v/>
      </c>
      <c r="AC189" s="26"/>
      <c r="AD189" s="26"/>
      <c r="AE189" s="100">
        <f t="shared" ca="1" si="38"/>
        <v>100</v>
      </c>
      <c r="AF189" s="100">
        <f t="shared" ca="1" si="39"/>
        <v>100</v>
      </c>
      <c r="AG189" s="100" t="str">
        <f t="shared" ca="1" si="40"/>
        <v/>
      </c>
      <c r="AH189" s="101" t="str">
        <f t="shared" si="41"/>
        <v/>
      </c>
      <c r="AI189" s="59"/>
      <c r="AJ189" s="54"/>
      <c r="AK189" s="56" t="str">
        <f t="shared" ca="1" si="42"/>
        <v/>
      </c>
    </row>
    <row r="190" spans="1:37">
      <c r="A190" s="54"/>
      <c r="B190" s="54"/>
      <c r="C190" s="17"/>
      <c r="D190" s="17"/>
      <c r="E190" s="17"/>
      <c r="F190" s="17"/>
      <c r="G190" s="16"/>
      <c r="H190" s="16"/>
      <c r="I190" s="32"/>
      <c r="J190" s="17"/>
      <c r="K190" s="22"/>
      <c r="L190" s="22"/>
      <c r="M190" s="22"/>
      <c r="N190" s="22"/>
      <c r="O190" s="22"/>
      <c r="P190" s="102">
        <f t="shared" si="36"/>
        <v>0</v>
      </c>
      <c r="Q190" s="103">
        <f t="shared" si="37"/>
        <v>0</v>
      </c>
      <c r="R190" s="54"/>
      <c r="S190" s="57"/>
      <c r="T190" s="57"/>
      <c r="U190" s="57"/>
      <c r="V190" s="17"/>
      <c r="W190" s="23" t="str">
        <f>IFERROR(VLOOKUP(V190,Listas!$A$1:$C$13,2,FALSE),"")</f>
        <v/>
      </c>
      <c r="X190" s="23" t="str">
        <f>IFERROR(VLOOKUP(V190,Listas!$A$1:$C$13,3,FALSE),"")</f>
        <v/>
      </c>
      <c r="Y190" s="17"/>
      <c r="Z190" s="17"/>
      <c r="AA190" s="23" t="str">
        <f>IFERROR(VLOOKUP(Z190,Listas!$AD$1:$AF$65,2,FALSE),"")</f>
        <v/>
      </c>
      <c r="AB190" s="23" t="str">
        <f>IFERROR(VLOOKUP(Z190,Listas!$AD$1:$AF$65,3,FALSE),"")</f>
        <v/>
      </c>
      <c r="AC190" s="26"/>
      <c r="AD190" s="26"/>
      <c r="AE190" s="100">
        <f t="shared" ca="1" si="38"/>
        <v>100</v>
      </c>
      <c r="AF190" s="100">
        <f t="shared" ca="1" si="39"/>
        <v>100</v>
      </c>
      <c r="AG190" s="100" t="str">
        <f t="shared" ca="1" si="40"/>
        <v/>
      </c>
      <c r="AH190" s="101" t="str">
        <f t="shared" si="41"/>
        <v/>
      </c>
      <c r="AI190" s="59"/>
      <c r="AJ190" s="54"/>
      <c r="AK190" s="56" t="str">
        <f t="shared" ca="1" si="42"/>
        <v/>
      </c>
    </row>
    <row r="191" spans="1:37">
      <c r="A191" s="54"/>
      <c r="B191" s="54"/>
      <c r="C191" s="17"/>
      <c r="D191" s="17"/>
      <c r="E191" s="17"/>
      <c r="F191" s="17"/>
      <c r="G191" s="16"/>
      <c r="H191" s="16"/>
      <c r="I191" s="32"/>
      <c r="J191" s="17"/>
      <c r="K191" s="22"/>
      <c r="L191" s="22"/>
      <c r="M191" s="22"/>
      <c r="N191" s="22"/>
      <c r="O191" s="22"/>
      <c r="P191" s="102">
        <f t="shared" ref="P191:P196" si="43">N191-M191</f>
        <v>0</v>
      </c>
      <c r="Q191" s="103">
        <f t="shared" ref="Q191:Q196" si="44">O191-M191</f>
        <v>0</v>
      </c>
      <c r="R191" s="54"/>
      <c r="S191" s="57"/>
      <c r="T191" s="57"/>
      <c r="U191" s="57"/>
      <c r="V191" s="17"/>
      <c r="W191" s="23" t="str">
        <f>IFERROR(VLOOKUP(V191,Listas!$A$1:$C$13,2,FALSE),"")</f>
        <v/>
      </c>
      <c r="X191" s="23" t="str">
        <f>IFERROR(VLOOKUP(V191,Listas!$A$1:$C$13,3,FALSE),"")</f>
        <v/>
      </c>
      <c r="Y191" s="17"/>
      <c r="Z191" s="17"/>
      <c r="AA191" s="23" t="str">
        <f>IFERROR(VLOOKUP(Z191,Listas!$AD$1:$AF$65,2,FALSE),"")</f>
        <v/>
      </c>
      <c r="AB191" s="23" t="str">
        <f>IFERROR(VLOOKUP(Z191,Listas!$AD$1:$AF$65,3,FALSE),"")</f>
        <v/>
      </c>
      <c r="AC191" s="26"/>
      <c r="AD191" s="26"/>
      <c r="AE191" s="100">
        <f t="shared" ref="AE191:AE196" ca="1" si="45">IF(TODAY()&gt;O191,1,+(DAYS360(M191,TODAY())/DAYS360(M191,O191)))*100</f>
        <v>100</v>
      </c>
      <c r="AF191" s="100">
        <f t="shared" ref="AF191:AF196" ca="1" si="46">+IF(AJ191&gt;0,DAYS360(P191,AJ191)/DAYS360(P191,R191),AE191)</f>
        <v>100</v>
      </c>
      <c r="AG191" s="100" t="str">
        <f t="shared" ref="AG191:AG196" ca="1" si="47">IFERROR((AK191/U191)*100,"")</f>
        <v/>
      </c>
      <c r="AH191" s="101" t="str">
        <f t="shared" ref="AH191:AH196" si="48">IFERROR((AI191/U191)*100,"")</f>
        <v/>
      </c>
      <c r="AI191" s="59"/>
      <c r="AJ191" s="54"/>
      <c r="AK191" s="56" t="str">
        <f t="shared" ref="AK191:AK196" ca="1" si="49">IFERROR((U191/Q191)*(TODAY()-M191),"")</f>
        <v/>
      </c>
    </row>
    <row r="192" spans="1:37">
      <c r="A192" s="54"/>
      <c r="B192" s="54"/>
      <c r="C192" s="17"/>
      <c r="D192" s="17"/>
      <c r="E192" s="17"/>
      <c r="F192" s="17"/>
      <c r="G192" s="16"/>
      <c r="H192" s="16"/>
      <c r="I192" s="32"/>
      <c r="J192" s="17"/>
      <c r="K192" s="22"/>
      <c r="L192" s="22"/>
      <c r="M192" s="22"/>
      <c r="N192" s="22"/>
      <c r="O192" s="22"/>
      <c r="P192" s="102">
        <f t="shared" si="43"/>
        <v>0</v>
      </c>
      <c r="Q192" s="103">
        <f t="shared" si="44"/>
        <v>0</v>
      </c>
      <c r="R192" s="54"/>
      <c r="S192" s="57"/>
      <c r="T192" s="57"/>
      <c r="U192" s="57"/>
      <c r="V192" s="17"/>
      <c r="W192" s="23" t="str">
        <f>IFERROR(VLOOKUP(V192,Listas!$A$1:$C$13,2,FALSE),"")</f>
        <v/>
      </c>
      <c r="X192" s="23" t="str">
        <f>IFERROR(VLOOKUP(V192,Listas!$A$1:$C$13,3,FALSE),"")</f>
        <v/>
      </c>
      <c r="Y192" s="17"/>
      <c r="Z192" s="17"/>
      <c r="AA192" s="23" t="str">
        <f>IFERROR(VLOOKUP(Z192,Listas!$AD$1:$AF$65,2,FALSE),"")</f>
        <v/>
      </c>
      <c r="AB192" s="23" t="str">
        <f>IFERROR(VLOOKUP(Z192,Listas!$AD$1:$AF$65,3,FALSE),"")</f>
        <v/>
      </c>
      <c r="AC192" s="26"/>
      <c r="AD192" s="26"/>
      <c r="AE192" s="100">
        <f t="shared" ca="1" si="45"/>
        <v>100</v>
      </c>
      <c r="AF192" s="100">
        <f t="shared" ca="1" si="46"/>
        <v>100</v>
      </c>
      <c r="AG192" s="100" t="str">
        <f t="shared" ca="1" si="47"/>
        <v/>
      </c>
      <c r="AH192" s="101" t="str">
        <f t="shared" si="48"/>
        <v/>
      </c>
      <c r="AI192" s="59"/>
      <c r="AJ192" s="54"/>
      <c r="AK192" s="56" t="str">
        <f t="shared" ca="1" si="49"/>
        <v/>
      </c>
    </row>
    <row r="193" spans="1:37">
      <c r="A193" s="54"/>
      <c r="B193" s="54"/>
      <c r="C193" s="17"/>
      <c r="D193" s="17"/>
      <c r="E193" s="17"/>
      <c r="F193" s="17"/>
      <c r="G193" s="16"/>
      <c r="H193" s="16"/>
      <c r="I193" s="32"/>
      <c r="J193" s="17"/>
      <c r="K193" s="22"/>
      <c r="L193" s="22"/>
      <c r="M193" s="22"/>
      <c r="N193" s="22"/>
      <c r="O193" s="22"/>
      <c r="P193" s="102">
        <f t="shared" si="43"/>
        <v>0</v>
      </c>
      <c r="Q193" s="103">
        <f t="shared" si="44"/>
        <v>0</v>
      </c>
      <c r="R193" s="54"/>
      <c r="S193" s="57"/>
      <c r="T193" s="57"/>
      <c r="U193" s="57"/>
      <c r="V193" s="17"/>
      <c r="W193" s="23" t="str">
        <f>IFERROR(VLOOKUP(V193,Listas!$A$1:$C$13,2,FALSE),"")</f>
        <v/>
      </c>
      <c r="X193" s="23" t="str">
        <f>IFERROR(VLOOKUP(V193,Listas!$A$1:$C$13,3,FALSE),"")</f>
        <v/>
      </c>
      <c r="Y193" s="17"/>
      <c r="Z193" s="17"/>
      <c r="AA193" s="23" t="str">
        <f>IFERROR(VLOOKUP(Z193,Listas!$AD$1:$AF$65,2,FALSE),"")</f>
        <v/>
      </c>
      <c r="AB193" s="23" t="str">
        <f>IFERROR(VLOOKUP(Z193,Listas!$AD$1:$AF$65,3,FALSE),"")</f>
        <v/>
      </c>
      <c r="AC193" s="26"/>
      <c r="AD193" s="26"/>
      <c r="AE193" s="100">
        <f t="shared" ca="1" si="45"/>
        <v>100</v>
      </c>
      <c r="AF193" s="100">
        <f t="shared" ca="1" si="46"/>
        <v>100</v>
      </c>
      <c r="AG193" s="100" t="str">
        <f t="shared" ca="1" si="47"/>
        <v/>
      </c>
      <c r="AH193" s="101" t="str">
        <f t="shared" si="48"/>
        <v/>
      </c>
      <c r="AI193" s="59"/>
      <c r="AJ193" s="54"/>
      <c r="AK193" s="56" t="str">
        <f t="shared" ca="1" si="49"/>
        <v/>
      </c>
    </row>
    <row r="194" spans="1:37">
      <c r="A194" s="54"/>
      <c r="B194" s="54"/>
      <c r="C194" s="17"/>
      <c r="D194" s="17"/>
      <c r="E194" s="17"/>
      <c r="F194" s="17"/>
      <c r="G194" s="16"/>
      <c r="H194" s="16"/>
      <c r="I194" s="32"/>
      <c r="J194" s="17"/>
      <c r="K194" s="22"/>
      <c r="L194" s="22"/>
      <c r="M194" s="22"/>
      <c r="N194" s="22"/>
      <c r="O194" s="22"/>
      <c r="P194" s="102">
        <f t="shared" si="43"/>
        <v>0</v>
      </c>
      <c r="Q194" s="103">
        <f t="shared" si="44"/>
        <v>0</v>
      </c>
      <c r="R194" s="54"/>
      <c r="S194" s="57"/>
      <c r="T194" s="57"/>
      <c r="U194" s="57"/>
      <c r="V194" s="17"/>
      <c r="W194" s="23" t="str">
        <f>IFERROR(VLOOKUP(V194,Listas!$A$1:$C$13,2,FALSE),"")</f>
        <v/>
      </c>
      <c r="X194" s="23" t="str">
        <f>IFERROR(VLOOKUP(V194,Listas!$A$1:$C$13,3,FALSE),"")</f>
        <v/>
      </c>
      <c r="Y194" s="17"/>
      <c r="Z194" s="17"/>
      <c r="AA194" s="23" t="str">
        <f>IFERROR(VLOOKUP(Z194,Listas!$AD$1:$AF$65,2,FALSE),"")</f>
        <v/>
      </c>
      <c r="AB194" s="23" t="str">
        <f>IFERROR(VLOOKUP(Z194,Listas!$AD$1:$AF$65,3,FALSE),"")</f>
        <v/>
      </c>
      <c r="AC194" s="26"/>
      <c r="AD194" s="26"/>
      <c r="AE194" s="100">
        <f t="shared" ca="1" si="45"/>
        <v>100</v>
      </c>
      <c r="AF194" s="100">
        <f t="shared" ca="1" si="46"/>
        <v>100</v>
      </c>
      <c r="AG194" s="100" t="str">
        <f t="shared" ca="1" si="47"/>
        <v/>
      </c>
      <c r="AH194" s="101" t="str">
        <f t="shared" si="48"/>
        <v/>
      </c>
      <c r="AI194" s="59"/>
      <c r="AJ194" s="54"/>
      <c r="AK194" s="56" t="str">
        <f t="shared" ca="1" si="49"/>
        <v/>
      </c>
    </row>
    <row r="195" spans="1:37">
      <c r="A195" s="54"/>
      <c r="B195" s="54"/>
      <c r="C195" s="17"/>
      <c r="D195" s="17"/>
      <c r="E195" s="17"/>
      <c r="F195" s="17"/>
      <c r="G195" s="16"/>
      <c r="H195" s="16"/>
      <c r="I195" s="32"/>
      <c r="J195" s="17"/>
      <c r="K195" s="22"/>
      <c r="L195" s="22"/>
      <c r="M195" s="22"/>
      <c r="N195" s="22"/>
      <c r="O195" s="22"/>
      <c r="P195" s="102">
        <f t="shared" si="43"/>
        <v>0</v>
      </c>
      <c r="Q195" s="103">
        <f t="shared" si="44"/>
        <v>0</v>
      </c>
      <c r="R195" s="54"/>
      <c r="S195" s="57"/>
      <c r="T195" s="57"/>
      <c r="U195" s="57"/>
      <c r="V195" s="17"/>
      <c r="W195" s="23" t="str">
        <f>IFERROR(VLOOKUP(V195,Listas!$A$1:$C$13,2,FALSE),"")</f>
        <v/>
      </c>
      <c r="X195" s="23" t="str">
        <f>IFERROR(VLOOKUP(V195,Listas!$A$1:$C$13,3,FALSE),"")</f>
        <v/>
      </c>
      <c r="Y195" s="17"/>
      <c r="Z195" s="17"/>
      <c r="AA195" s="23" t="str">
        <f>IFERROR(VLOOKUP(Z195,Listas!$AD$1:$AF$65,2,FALSE),"")</f>
        <v/>
      </c>
      <c r="AB195" s="23" t="str">
        <f>IFERROR(VLOOKUP(Z195,Listas!$AD$1:$AF$65,3,FALSE),"")</f>
        <v/>
      </c>
      <c r="AC195" s="26"/>
      <c r="AD195" s="26"/>
      <c r="AE195" s="100">
        <f t="shared" ca="1" si="45"/>
        <v>100</v>
      </c>
      <c r="AF195" s="100">
        <f t="shared" ca="1" si="46"/>
        <v>100</v>
      </c>
      <c r="AG195" s="100" t="str">
        <f t="shared" ca="1" si="47"/>
        <v/>
      </c>
      <c r="AH195" s="101" t="str">
        <f t="shared" si="48"/>
        <v/>
      </c>
      <c r="AI195" s="59"/>
      <c r="AJ195" s="54"/>
      <c r="AK195" s="56" t="str">
        <f t="shared" ca="1" si="49"/>
        <v/>
      </c>
    </row>
    <row r="196" spans="1:37">
      <c r="A196" s="54"/>
      <c r="B196" s="54"/>
      <c r="C196" s="17"/>
      <c r="D196" s="17"/>
      <c r="E196" s="17"/>
      <c r="F196" s="17"/>
      <c r="G196" s="16"/>
      <c r="H196" s="16"/>
      <c r="I196" s="32"/>
      <c r="J196" s="17"/>
      <c r="K196" s="22"/>
      <c r="L196" s="22"/>
      <c r="M196" s="22"/>
      <c r="N196" s="22"/>
      <c r="O196" s="22"/>
      <c r="P196" s="102">
        <f t="shared" si="43"/>
        <v>0</v>
      </c>
      <c r="Q196" s="103">
        <f t="shared" si="44"/>
        <v>0</v>
      </c>
      <c r="R196" s="54"/>
      <c r="S196" s="57"/>
      <c r="T196" s="57"/>
      <c r="U196" s="57"/>
      <c r="V196" s="17"/>
      <c r="W196" s="23" t="str">
        <f>IFERROR(VLOOKUP(V196,Listas!$A$1:$C$13,2,FALSE),"")</f>
        <v/>
      </c>
      <c r="X196" s="23" t="str">
        <f>IFERROR(VLOOKUP(V196,Listas!$A$1:$C$13,3,FALSE),"")</f>
        <v/>
      </c>
      <c r="Y196" s="17"/>
      <c r="Z196" s="17"/>
      <c r="AA196" s="23" t="str">
        <f>IFERROR(VLOOKUP(Z196,Listas!$AD$1:$AF$65,2,FALSE),"")</f>
        <v/>
      </c>
      <c r="AB196" s="23" t="str">
        <f>IFERROR(VLOOKUP(Z196,Listas!$AD$1:$AF$65,3,FALSE),"")</f>
        <v/>
      </c>
      <c r="AC196" s="26"/>
      <c r="AD196" s="26"/>
      <c r="AE196" s="100">
        <f t="shared" ca="1" si="45"/>
        <v>100</v>
      </c>
      <c r="AF196" s="100">
        <f t="shared" ca="1" si="46"/>
        <v>100</v>
      </c>
      <c r="AG196" s="100" t="str">
        <f t="shared" ca="1" si="47"/>
        <v/>
      </c>
      <c r="AH196" s="101" t="str">
        <f t="shared" si="48"/>
        <v/>
      </c>
      <c r="AI196" s="59"/>
      <c r="AJ196" s="54"/>
      <c r="AK196" s="56" t="str">
        <f t="shared" ca="1" si="49"/>
        <v/>
      </c>
    </row>
  </sheetData>
  <autoFilter ref="A1:AK196" xr:uid="{495AAC21-514B-4C26-B839-E329FEB9AC02}"/>
  <dataValidations count="3">
    <dataValidation type="list" allowBlank="1" showInputMessage="1" showErrorMessage="1" sqref="Y2:Y196" xr:uid="{C471D449-BD75-4185-A698-661B8E098CDF}">
      <formula1>AREA_SOLICITANTE</formula1>
    </dataValidation>
    <dataValidation type="list" allowBlank="1" showInputMessage="1" showErrorMessage="1" sqref="V2:V196" xr:uid="{67BD37A5-2712-419A-9478-C1D258B12544}">
      <formula1>AREA_ORDENADORA</formula1>
    </dataValidation>
    <dataValidation type="list" allowBlank="1" showInputMessage="1" showErrorMessage="1" sqref="Z2:Z196" xr:uid="{C557BF8A-3058-4326-B068-2B8F0908E966}">
      <formula1>INDIRECT(Y2)</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D0DEEDB5-1554-41C2-B3BB-F937D1D0EF43}">
          <x14:formula1>
            <xm:f>Listas!$AX$2:$AX$8</xm:f>
          </x14:formula1>
          <xm:sqref>J2:J196</xm:sqref>
        </x14:dataValidation>
        <x14:dataValidation type="list" allowBlank="1" showInputMessage="1" showErrorMessage="1" xr:uid="{52CBF2BB-5582-471B-8D52-53CB7921CA94}">
          <x14:formula1>
            <xm:f>Listas!$AH$2:$AH$7</xm:f>
          </x14:formula1>
          <xm:sqref>C2:C196</xm:sqref>
        </x14:dataValidation>
        <x14:dataValidation type="list" allowBlank="1" showInputMessage="1" showErrorMessage="1" xr:uid="{8A3A4311-107F-4DAD-82EC-4D698827B0E5}">
          <x14:formula1>
            <xm:f>Listas!$AJ$2:$AJ$18</xm:f>
          </x14:formula1>
          <xm:sqref>D2:D196</xm:sqref>
        </x14:dataValidation>
        <x14:dataValidation type="list" allowBlank="1" showInputMessage="1" showErrorMessage="1" xr:uid="{3F352F78-883E-4D5E-9E6C-012E1D76EF3D}">
          <x14:formula1>
            <xm:f>Listas!$AL$2:$AL$5</xm:f>
          </x14:formula1>
          <xm:sqref>F2:F196</xm:sqref>
        </x14:dataValidation>
        <x14:dataValidation type="list" allowBlank="1" showInputMessage="1" showErrorMessage="1" xr:uid="{F1904207-A987-4578-AD8E-761FCA45C5FB}">
          <x14:formula1>
            <xm:f>Listas!$AK$2:$AK$4</xm:f>
          </x14:formula1>
          <xm:sqref>E2:E196</xm:sqref>
        </x14:dataValidation>
        <x14:dataValidation type="list" allowBlank="1" showInputMessage="1" showErrorMessage="1" xr:uid="{1B3D6713-C923-43BD-AE7A-BE090E531D12}">
          <x14:formula1>
            <xm:f>Listas!$BB$2:$BB$3</xm:f>
          </x14:formula1>
          <xm:sqref>AD2:AD196</xm:sqref>
        </x14:dataValidation>
        <x14:dataValidation type="list" allowBlank="1" showInputMessage="1" showErrorMessage="1" xr:uid="{788E1A1B-155C-431A-A2F3-3D5578FF355B}">
          <x14:formula1>
            <xm:f>Listas!$AU$2:$AU$29</xm:f>
          </x14:formula1>
          <xm:sqref>AC2:AC196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8E22-E54E-43A3-8052-DCBE06A32B46}">
  <dimension ref="A1:CB200"/>
  <sheetViews>
    <sheetView workbookViewId="0">
      <pane xSplit="1" topLeftCell="B1" activePane="topRight" state="frozen"/>
      <selection pane="topRight" activeCell="CC1" sqref="CC1"/>
      <selection activeCell="A2" sqref="A2"/>
    </sheetView>
  </sheetViews>
  <sheetFormatPr defaultColWidth="11.42578125" defaultRowHeight="15"/>
  <cols>
    <col min="1" max="1" width="16.140625" style="268" customWidth="1"/>
    <col min="2" max="2" width="11.42578125" bestFit="1" customWidth="1"/>
    <col min="3" max="3" width="21.42578125" customWidth="1"/>
    <col min="4" max="4" width="19.7109375" bestFit="1" customWidth="1"/>
    <col min="5" max="5" width="23.85546875" customWidth="1"/>
    <col min="6" max="6" width="17.7109375" customWidth="1"/>
    <col min="7" max="7" width="17.42578125" customWidth="1"/>
    <col min="8" max="8" width="53.7109375" customWidth="1"/>
    <col min="9" max="9" width="17.28515625" style="88" customWidth="1"/>
    <col min="10" max="10" width="14" customWidth="1"/>
    <col min="11" max="11" width="40.85546875" customWidth="1"/>
    <col min="12" max="12" width="17.7109375" customWidth="1"/>
    <col min="13" max="13" width="18.42578125" style="268" customWidth="1"/>
    <col min="14" max="14" width="13.85546875" style="268" customWidth="1"/>
    <col min="15" max="15" width="14.85546875" style="268" customWidth="1"/>
    <col min="16" max="16" width="11.42578125" style="268"/>
    <col min="17" max="17" width="19.140625" style="268" customWidth="1"/>
    <col min="18" max="18" width="18.140625" style="337" customWidth="1"/>
    <col min="19" max="19" width="21.42578125" style="268" customWidth="1"/>
    <col min="20" max="20" width="21.42578125" style="337" customWidth="1"/>
    <col min="21" max="21" width="19.7109375" style="268" hidden="1" customWidth="1"/>
    <col min="22" max="22" width="24.7109375" customWidth="1"/>
    <col min="23" max="24" width="19.7109375" customWidth="1"/>
    <col min="25" max="25" width="24.5703125" customWidth="1"/>
    <col min="26" max="26" width="27.140625" customWidth="1"/>
    <col min="27" max="28" width="19.7109375" customWidth="1"/>
    <col min="29" max="29" width="25.42578125" customWidth="1"/>
    <col min="30" max="31" width="31.85546875" customWidth="1"/>
    <col min="32" max="32" width="13.140625" customWidth="1"/>
    <col min="33" max="33" width="11.42578125" customWidth="1"/>
    <col min="34" max="34" width="12.7109375" customWidth="1"/>
    <col min="35" max="37" width="11.42578125" customWidth="1"/>
    <col min="39" max="39" width="11.42578125" customWidth="1"/>
    <col min="40" max="40" width="14.42578125" customWidth="1"/>
    <col min="42" max="42" width="13.85546875" customWidth="1"/>
    <col min="43" max="43" width="14.42578125" customWidth="1"/>
    <col min="44" max="44" width="25.28515625" customWidth="1"/>
    <col min="45" max="45" width="14.28515625" customWidth="1"/>
    <col min="46" max="46" width="15.85546875" customWidth="1"/>
    <col min="47" max="49" width="11.42578125" customWidth="1"/>
    <col min="50" max="50" width="12.85546875" customWidth="1"/>
    <col min="51" max="51" width="14.28515625" customWidth="1"/>
    <col min="52" max="54" width="19.140625" customWidth="1"/>
    <col min="55" max="55" width="6.85546875" customWidth="1"/>
    <col min="56" max="56" width="15" customWidth="1"/>
    <col min="57" max="57" width="17.5703125" customWidth="1"/>
    <col min="58" max="58" width="9.7109375" customWidth="1"/>
    <col min="59" max="59" width="6.140625" customWidth="1"/>
    <col min="60" max="60" width="14.85546875" customWidth="1"/>
    <col min="61" max="61" width="6.140625" customWidth="1"/>
    <col min="62" max="62" width="15" customWidth="1"/>
    <col min="63" max="63" width="14.5703125" customWidth="1"/>
    <col min="64" max="64" width="15.140625" customWidth="1"/>
    <col min="65" max="65" width="9.140625" customWidth="1"/>
    <col min="66" max="66" width="22.42578125" customWidth="1"/>
    <col min="67" max="67" width="18.140625" hidden="1" customWidth="1"/>
    <col min="68" max="70" width="2.28515625" hidden="1" customWidth="1"/>
    <col min="71" max="71" width="25.28515625" customWidth="1"/>
    <col min="72" max="72" width="21.5703125" customWidth="1"/>
    <col min="73" max="73" width="25.28515625" style="70" customWidth="1"/>
    <col min="78" max="78" width="13.7109375" customWidth="1"/>
    <col min="79" max="79" width="17.140625" customWidth="1"/>
    <col min="80" max="80" width="27.7109375" customWidth="1"/>
  </cols>
  <sheetData>
    <row r="1" spans="1:80" ht="202.5">
      <c r="A1" s="267" t="s">
        <v>7</v>
      </c>
      <c r="B1" s="266" t="s">
        <v>8</v>
      </c>
      <c r="C1" s="3" t="s">
        <v>9</v>
      </c>
      <c r="D1" s="3" t="s">
        <v>10</v>
      </c>
      <c r="E1" s="3" t="s">
        <v>11</v>
      </c>
      <c r="F1" s="3" t="s">
        <v>12</v>
      </c>
      <c r="G1" s="3" t="s">
        <v>13</v>
      </c>
      <c r="H1" s="3" t="s">
        <v>14</v>
      </c>
      <c r="I1" s="3" t="s">
        <v>15</v>
      </c>
      <c r="J1" s="3" t="s">
        <v>16</v>
      </c>
      <c r="K1" s="4" t="s">
        <v>17</v>
      </c>
      <c r="L1" s="3" t="s">
        <v>18</v>
      </c>
      <c r="M1" s="267" t="s">
        <v>19</v>
      </c>
      <c r="N1" s="269" t="s">
        <v>20</v>
      </c>
      <c r="O1" s="269" t="s">
        <v>21</v>
      </c>
      <c r="P1" s="270" t="s">
        <v>22</v>
      </c>
      <c r="Q1" s="267" t="s">
        <v>24</v>
      </c>
      <c r="R1" s="338" t="s">
        <v>26</v>
      </c>
      <c r="S1" s="267" t="s">
        <v>27</v>
      </c>
      <c r="T1" s="336" t="s">
        <v>28</v>
      </c>
      <c r="U1" s="271" t="s">
        <v>30</v>
      </c>
      <c r="V1" s="3" t="s">
        <v>32</v>
      </c>
      <c r="W1" s="3" t="s">
        <v>33</v>
      </c>
      <c r="X1" s="3" t="s">
        <v>34</v>
      </c>
      <c r="Y1" s="3" t="s">
        <v>35</v>
      </c>
      <c r="Z1" s="3" t="s">
        <v>36</v>
      </c>
      <c r="AA1" s="3" t="s">
        <v>37</v>
      </c>
      <c r="AB1" s="3" t="s">
        <v>38</v>
      </c>
      <c r="AC1" s="3" t="s">
        <v>39</v>
      </c>
      <c r="AD1" s="3" t="s">
        <v>9210</v>
      </c>
      <c r="AE1" s="3" t="s">
        <v>47</v>
      </c>
      <c r="AF1" s="3" t="s">
        <v>9211</v>
      </c>
      <c r="AG1" s="3" t="s">
        <v>9212</v>
      </c>
      <c r="AH1" s="5" t="s">
        <v>9211</v>
      </c>
      <c r="AI1" s="3" t="s">
        <v>9212</v>
      </c>
      <c r="AJ1" s="5" t="s">
        <v>9211</v>
      </c>
      <c r="AK1" s="3" t="s">
        <v>9212</v>
      </c>
      <c r="AL1" s="8" t="s">
        <v>63</v>
      </c>
      <c r="AM1" s="9" t="s">
        <v>64</v>
      </c>
      <c r="AN1" s="10" t="s">
        <v>65</v>
      </c>
      <c r="AO1" s="11" t="s">
        <v>66</v>
      </c>
      <c r="AP1" s="12" t="s">
        <v>67</v>
      </c>
      <c r="AQ1" s="10" t="s">
        <v>68</v>
      </c>
      <c r="AR1" s="3" t="s">
        <v>69</v>
      </c>
      <c r="AS1" s="10" t="s">
        <v>9213</v>
      </c>
      <c r="AT1" s="3" t="s">
        <v>71</v>
      </c>
      <c r="AU1" s="10" t="s">
        <v>9214</v>
      </c>
      <c r="AV1" s="3" t="s">
        <v>73</v>
      </c>
      <c r="AW1" s="10" t="s">
        <v>9215</v>
      </c>
      <c r="AX1" s="3" t="s">
        <v>9216</v>
      </c>
      <c r="AY1" s="10" t="s">
        <v>74</v>
      </c>
      <c r="AZ1" s="3" t="s">
        <v>75</v>
      </c>
      <c r="BA1" s="3" t="s">
        <v>76</v>
      </c>
      <c r="BB1" s="3" t="s">
        <v>9217</v>
      </c>
      <c r="BC1" s="3" t="s">
        <v>77</v>
      </c>
      <c r="BD1" s="10" t="s">
        <v>78</v>
      </c>
      <c r="BE1" s="3" t="s">
        <v>79</v>
      </c>
      <c r="BF1" s="3" t="s">
        <v>80</v>
      </c>
      <c r="BG1" s="3" t="s">
        <v>9217</v>
      </c>
      <c r="BH1" s="3" t="s">
        <v>81</v>
      </c>
      <c r="BI1" s="10" t="s">
        <v>82</v>
      </c>
      <c r="BJ1" s="3" t="s">
        <v>83</v>
      </c>
      <c r="BK1" s="3" t="s">
        <v>84</v>
      </c>
      <c r="BL1" s="3" t="s">
        <v>9217</v>
      </c>
      <c r="BM1" s="3" t="s">
        <v>85</v>
      </c>
      <c r="BN1" s="13" t="s">
        <v>86</v>
      </c>
      <c r="BO1" s="10" t="s">
        <v>9218</v>
      </c>
      <c r="BP1" s="3" t="s">
        <v>9219</v>
      </c>
      <c r="BQ1" s="3" t="s">
        <v>9220</v>
      </c>
      <c r="BR1" s="3" t="s">
        <v>9221</v>
      </c>
      <c r="BS1" s="4" t="s">
        <v>88</v>
      </c>
      <c r="BT1" s="4" t="s">
        <v>89</v>
      </c>
      <c r="BU1" s="68" t="s">
        <v>90</v>
      </c>
      <c r="BV1" s="3" t="s">
        <v>91</v>
      </c>
      <c r="BW1" s="3" t="s">
        <v>92</v>
      </c>
      <c r="BX1" s="3" t="s">
        <v>93</v>
      </c>
      <c r="BY1" s="3" t="s">
        <v>94</v>
      </c>
      <c r="BZ1" s="14" t="s">
        <v>95</v>
      </c>
      <c r="CA1" s="15" t="s">
        <v>9222</v>
      </c>
      <c r="CB1" s="3" t="s">
        <v>97</v>
      </c>
    </row>
    <row r="2" spans="1:80" ht="39.75" customHeight="1">
      <c r="A2" s="16" t="s">
        <v>9223</v>
      </c>
      <c r="B2" s="17" t="s">
        <v>104</v>
      </c>
      <c r="C2" s="18" t="s">
        <v>9224</v>
      </c>
      <c r="D2" s="17" t="s">
        <v>106</v>
      </c>
      <c r="E2" s="17" t="s">
        <v>1426</v>
      </c>
      <c r="F2" s="17" t="s">
        <v>1427</v>
      </c>
      <c r="G2" s="19" t="s">
        <v>7173</v>
      </c>
      <c r="H2" s="16" t="s">
        <v>7174</v>
      </c>
      <c r="I2" s="16" t="s">
        <v>7175</v>
      </c>
      <c r="J2" s="16">
        <v>35461180</v>
      </c>
      <c r="K2" s="20" t="s">
        <v>9225</v>
      </c>
      <c r="L2" s="16" t="s">
        <v>111</v>
      </c>
      <c r="M2" s="21">
        <v>44804</v>
      </c>
      <c r="N2" s="22">
        <v>44805</v>
      </c>
      <c r="O2" s="22">
        <v>45230</v>
      </c>
      <c r="P2" s="23">
        <f t="shared" ref="P2:P53" si="0">O2-N2</f>
        <v>425</v>
      </c>
      <c r="Q2" s="16" t="s">
        <v>9226</v>
      </c>
      <c r="R2" s="24">
        <v>20079372</v>
      </c>
      <c r="S2" s="16" t="s">
        <v>9227</v>
      </c>
      <c r="T2" s="24">
        <v>17630668</v>
      </c>
      <c r="U2" s="24"/>
      <c r="V2" s="17" t="s">
        <v>217</v>
      </c>
      <c r="W2" s="23" t="str">
        <f>IFERROR(VLOOKUP(V2,Listas!$A$1:$C$14,2,FALSE),"")</f>
        <v>EDGAR ANTONIO GÓMEZ ÁLVAREZ</v>
      </c>
      <c r="X2" s="23">
        <f>IFERROR(VLOOKUP(V2,Listas!$A$1:$C$14,3,FALSE),"")</f>
        <v>2231755</v>
      </c>
      <c r="Y2" s="17" t="s">
        <v>217</v>
      </c>
      <c r="Z2" s="17" t="s">
        <v>539</v>
      </c>
      <c r="AA2" s="23" t="str">
        <f>IFERROR(VLOOKUP(Z2,Listas!$AD$1:$AF$65,2,FALSE),"")</f>
        <v>DORIS POVEDA BELTRÁN</v>
      </c>
      <c r="AB2" s="23">
        <f>IFERROR(VLOOKUP(Z2,Listas!$AD$1:$AF$65,3,FALSE),"")</f>
        <v>52049845</v>
      </c>
      <c r="AC2" s="17" t="s">
        <v>9228</v>
      </c>
      <c r="AD2" s="17" t="s">
        <v>9229</v>
      </c>
      <c r="AE2" s="17" t="s">
        <v>2937</v>
      </c>
      <c r="AF2" s="27"/>
      <c r="AG2" s="19"/>
      <c r="AH2" s="27"/>
      <c r="AI2" s="16"/>
      <c r="AJ2" s="27"/>
      <c r="AK2" s="16"/>
      <c r="AL2" s="28">
        <f t="shared" ref="AL2:AL53" si="1">AG2+AI2+AK2</f>
        <v>0</v>
      </c>
      <c r="AM2" s="29"/>
      <c r="AN2" s="27"/>
      <c r="AO2" s="30">
        <f t="shared" ref="AO2:AO53" si="2">(P2+AL2)-AM2</f>
        <v>425</v>
      </c>
      <c r="AP2" s="31">
        <f t="shared" ref="AP2:AP53" si="3">IF(AN2="",O2+AL2,AN2)</f>
        <v>45230</v>
      </c>
      <c r="AQ2" s="27"/>
      <c r="AR2" s="16"/>
      <c r="AS2" s="27"/>
      <c r="AT2" s="16"/>
      <c r="AU2" s="27"/>
      <c r="AV2" s="16"/>
      <c r="AW2" s="27"/>
      <c r="AX2" s="16"/>
      <c r="AY2" s="27"/>
      <c r="AZ2" s="24"/>
      <c r="BA2" s="24"/>
      <c r="BB2" s="24"/>
      <c r="BC2" s="32"/>
      <c r="BD2" s="27"/>
      <c r="BE2" s="24"/>
      <c r="BF2" s="24"/>
      <c r="BG2" s="24"/>
      <c r="BH2" s="16"/>
      <c r="BI2" s="27"/>
      <c r="BJ2" s="24"/>
      <c r="BK2" s="24"/>
      <c r="BL2" s="24"/>
      <c r="BM2" s="16"/>
      <c r="BN2" s="61">
        <f t="shared" ref="BN2:BN33" si="4">BP2+BJ2+BE2+AZ2</f>
        <v>0</v>
      </c>
      <c r="BO2" s="27"/>
      <c r="BP2" s="24"/>
      <c r="BQ2" s="24"/>
      <c r="BR2" s="16"/>
      <c r="BS2" s="61">
        <f>IF(U2=0,(T2+BN2),IF(U2&gt;0,(U2+BN2)))</f>
        <v>17630668</v>
      </c>
      <c r="BT2" s="62">
        <v>9344356</v>
      </c>
      <c r="BU2" s="69">
        <f t="shared" ref="BU2:BU27" ca="1" si="5">IFERROR(IF(((BS2/AO2)*(TODAY()-N2))&gt;BS2,BS2,((BS2/AO2)*(TODAY()-N2))),"")</f>
        <v>17630668</v>
      </c>
      <c r="BV2" s="33">
        <f t="shared" ref="BV2:BV53" ca="1" si="6">IF(TODAY()&gt;AP2,1,+(DAYS360(N2,TODAY())/DAYS360(N2,AP2)))</f>
        <v>1</v>
      </c>
      <c r="BW2" s="33">
        <v>1</v>
      </c>
      <c r="BX2" s="60">
        <f t="shared" ref="BX2:BX53" ca="1" si="7">IFERROR(IF(((BU2/BS2)*100)&gt;100,100,((BU2/BS2)*100)),"")</f>
        <v>100</v>
      </c>
      <c r="BY2" s="34">
        <f t="shared" ref="BY2:BY53" si="8">IFERROR((BT2/BS2)*100,"")</f>
        <v>53.000578310475809</v>
      </c>
      <c r="BZ2" s="21">
        <v>45369</v>
      </c>
      <c r="CA2" s="35" t="str">
        <f t="shared" ref="CA2:CA33" ca="1" si="9">IF(BZ2&gt;1/1/6,"LIQUIDADO",IF(AP2=0,"",IF(AP2&gt;=TODAY(),"VIGENTE",IF(AP2&lt;TODAY(),"TERMINADO",))))</f>
        <v>LIQUIDADO</v>
      </c>
      <c r="CB2" s="16" t="s">
        <v>9230</v>
      </c>
    </row>
    <row r="3" spans="1:80" ht="39.75" customHeight="1">
      <c r="A3" s="16" t="s">
        <v>9231</v>
      </c>
      <c r="B3" s="17" t="s">
        <v>104</v>
      </c>
      <c r="C3" s="18" t="s">
        <v>9232</v>
      </c>
      <c r="D3" s="17" t="s">
        <v>106</v>
      </c>
      <c r="E3" s="17" t="s">
        <v>1426</v>
      </c>
      <c r="F3" s="17" t="s">
        <v>1427</v>
      </c>
      <c r="G3" s="19" t="s">
        <v>9233</v>
      </c>
      <c r="H3" s="16" t="s">
        <v>9234</v>
      </c>
      <c r="I3" s="16" t="s">
        <v>9235</v>
      </c>
      <c r="J3" s="16">
        <v>46663325</v>
      </c>
      <c r="K3" s="20" t="s">
        <v>9236</v>
      </c>
      <c r="L3" s="16" t="s">
        <v>6261</v>
      </c>
      <c r="M3" s="21">
        <v>44020</v>
      </c>
      <c r="N3" s="22">
        <v>44023</v>
      </c>
      <c r="O3" s="22">
        <v>44469</v>
      </c>
      <c r="P3" s="23">
        <f t="shared" si="0"/>
        <v>446</v>
      </c>
      <c r="Q3" s="16" t="s">
        <v>9237</v>
      </c>
      <c r="R3" s="24"/>
      <c r="S3" s="16"/>
      <c r="T3" s="24">
        <v>2719024336</v>
      </c>
      <c r="U3" s="24"/>
      <c r="V3" s="17" t="s">
        <v>116</v>
      </c>
      <c r="W3" s="23" t="str">
        <f>IFERROR(VLOOKUP(V3,Listas!$A$1:$C$14,2,FALSE),"")</f>
        <v>FREDY CÉSPEDES VILLA</v>
      </c>
      <c r="X3" s="23">
        <f>IFERROR(VLOOKUP(V3,Listas!$A$1:$C$14,3,FALSE),"")</f>
        <v>93363483</v>
      </c>
      <c r="Y3" s="17" t="s">
        <v>116</v>
      </c>
      <c r="Z3" s="17" t="s">
        <v>659</v>
      </c>
      <c r="AA3" s="23" t="str">
        <f>IFERROR(VLOOKUP(Z3,Listas!$AD$1:$AF$65,2,FALSE),"")</f>
        <v>TATIANA FORERO TORRES</v>
      </c>
      <c r="AB3" s="23">
        <f>IFERROR(VLOOKUP(Z3,Listas!$AD$1:$AF$65,3,FALSE),"")</f>
        <v>1072446921</v>
      </c>
      <c r="AC3" s="17" t="s">
        <v>9238</v>
      </c>
      <c r="AD3" s="17" t="s">
        <v>367</v>
      </c>
      <c r="AE3" s="17" t="s">
        <v>121</v>
      </c>
      <c r="AF3" s="27"/>
      <c r="AG3" s="19"/>
      <c r="AH3" s="27"/>
      <c r="AI3" s="16"/>
      <c r="AJ3" s="27"/>
      <c r="AK3" s="16"/>
      <c r="AL3" s="28">
        <f t="shared" si="1"/>
        <v>0</v>
      </c>
      <c r="AM3" s="29"/>
      <c r="AN3" s="27"/>
      <c r="AO3" s="30">
        <f t="shared" si="2"/>
        <v>446</v>
      </c>
      <c r="AP3" s="31">
        <f t="shared" si="3"/>
        <v>44469</v>
      </c>
      <c r="AQ3" s="27"/>
      <c r="AR3" s="16"/>
      <c r="AS3" s="27"/>
      <c r="AT3" s="16"/>
      <c r="AU3" s="27"/>
      <c r="AV3" s="16"/>
      <c r="AW3" s="27"/>
      <c r="AX3" s="16"/>
      <c r="AY3" s="27"/>
      <c r="AZ3" s="24"/>
      <c r="BA3" s="24"/>
      <c r="BB3" s="24"/>
      <c r="BC3" s="32"/>
      <c r="BD3" s="27"/>
      <c r="BE3" s="24"/>
      <c r="BF3" s="24"/>
      <c r="BG3" s="24"/>
      <c r="BH3" s="16"/>
      <c r="BI3" s="27"/>
      <c r="BJ3" s="24"/>
      <c r="BK3" s="24"/>
      <c r="BL3" s="24"/>
      <c r="BM3" s="16"/>
      <c r="BN3" s="61">
        <f t="shared" si="4"/>
        <v>0</v>
      </c>
      <c r="BO3" s="27"/>
      <c r="BP3" s="24"/>
      <c r="BQ3" s="24"/>
      <c r="BR3" s="16"/>
      <c r="BS3" s="61">
        <f>IF(U3=0,(T3+BN3),IF(U3&gt;0,(U3+BN3)))</f>
        <v>2719024336</v>
      </c>
      <c r="BT3" s="62"/>
      <c r="BU3" s="69">
        <f t="shared" ca="1" si="5"/>
        <v>2719024336</v>
      </c>
      <c r="BV3" s="33">
        <f t="shared" ca="1" si="6"/>
        <v>1</v>
      </c>
      <c r="BW3" s="33">
        <v>1</v>
      </c>
      <c r="BX3" s="60">
        <f t="shared" ca="1" si="7"/>
        <v>100</v>
      </c>
      <c r="BY3" s="34">
        <f t="shared" si="8"/>
        <v>0</v>
      </c>
      <c r="BZ3" s="21"/>
      <c r="CA3" s="35" t="str">
        <f t="shared" ca="1" si="9"/>
        <v>TERMINADO</v>
      </c>
      <c r="CB3" s="16"/>
    </row>
    <row r="4" spans="1:80" ht="39.75" customHeight="1">
      <c r="A4" s="16" t="s">
        <v>9239</v>
      </c>
      <c r="B4" s="17" t="s">
        <v>104</v>
      </c>
      <c r="C4" s="18" t="s">
        <v>9240</v>
      </c>
      <c r="D4" s="17" t="s">
        <v>2063</v>
      </c>
      <c r="E4" s="17" t="s">
        <v>107</v>
      </c>
      <c r="F4" s="17" t="s">
        <v>108</v>
      </c>
      <c r="G4" s="19">
        <v>17010214</v>
      </c>
      <c r="H4" s="16" t="s">
        <v>9241</v>
      </c>
      <c r="I4" s="16" t="s">
        <v>4077</v>
      </c>
      <c r="J4" s="16" t="s">
        <v>4077</v>
      </c>
      <c r="K4" s="20" t="s">
        <v>9242</v>
      </c>
      <c r="L4" s="16" t="s">
        <v>7229</v>
      </c>
      <c r="M4" s="21">
        <v>44195</v>
      </c>
      <c r="N4" s="22">
        <v>44197</v>
      </c>
      <c r="O4" s="22">
        <v>44561</v>
      </c>
      <c r="P4" s="23">
        <v>364</v>
      </c>
      <c r="Q4" s="16" t="s">
        <v>9243</v>
      </c>
      <c r="R4" s="24">
        <v>70986480</v>
      </c>
      <c r="S4" s="16" t="s">
        <v>9244</v>
      </c>
      <c r="T4" s="24">
        <v>34968000</v>
      </c>
      <c r="U4" s="24"/>
      <c r="V4" s="17" t="s">
        <v>116</v>
      </c>
      <c r="W4" s="23" t="str">
        <f>IFERROR(VLOOKUP(V4,Listas!$A$1:$C$14,2,FALSE),"")</f>
        <v>FREDY CÉSPEDES VILLA</v>
      </c>
      <c r="X4" s="23">
        <f>IFERROR(VLOOKUP(V4,Listas!$A$1:$C$14,3,FALSE),"")</f>
        <v>93363483</v>
      </c>
      <c r="Y4" s="17" t="s">
        <v>1523</v>
      </c>
      <c r="Z4" s="17" t="s">
        <v>1524</v>
      </c>
      <c r="AA4" s="23" t="str">
        <f>IFERROR(VLOOKUP(Z4,Listas!$AD$1:$AF$65,2,FALSE),"")</f>
        <v>IVETTE FRASSER SÁNCHEZ</v>
      </c>
      <c r="AB4" s="23">
        <f>IFERROR(VLOOKUP(Z4,Listas!$AD$1:$AF$65,3,FALSE),"")</f>
        <v>38285903</v>
      </c>
      <c r="AC4" s="17" t="s">
        <v>9228</v>
      </c>
      <c r="AD4" s="17" t="s">
        <v>367</v>
      </c>
      <c r="AE4" s="17" t="s">
        <v>121</v>
      </c>
      <c r="AF4" s="27"/>
      <c r="AG4" s="19"/>
      <c r="AH4" s="27"/>
      <c r="AI4" s="16"/>
      <c r="AJ4" s="27"/>
      <c r="AK4" s="16"/>
      <c r="AL4" s="28">
        <f t="shared" si="1"/>
        <v>0</v>
      </c>
      <c r="AM4" s="29"/>
      <c r="AN4" s="27"/>
      <c r="AO4" s="30">
        <f t="shared" si="2"/>
        <v>364</v>
      </c>
      <c r="AP4" s="31">
        <f t="shared" si="3"/>
        <v>44561</v>
      </c>
      <c r="AQ4" s="27"/>
      <c r="AR4" s="16"/>
      <c r="AS4" s="27"/>
      <c r="AT4" s="16"/>
      <c r="AU4" s="27"/>
      <c r="AV4" s="16"/>
      <c r="AW4" s="27"/>
      <c r="AX4" s="16"/>
      <c r="AY4" s="27"/>
      <c r="AZ4" s="24"/>
      <c r="BA4" s="24"/>
      <c r="BB4" s="24"/>
      <c r="BC4" s="32"/>
      <c r="BD4" s="27"/>
      <c r="BE4" s="24"/>
      <c r="BF4" s="24"/>
      <c r="BG4" s="24"/>
      <c r="BH4" s="16"/>
      <c r="BI4" s="27"/>
      <c r="BJ4" s="24"/>
      <c r="BK4" s="24"/>
      <c r="BL4" s="24"/>
      <c r="BM4" s="16"/>
      <c r="BN4" s="61">
        <f t="shared" si="4"/>
        <v>0</v>
      </c>
      <c r="BO4" s="27"/>
      <c r="BP4" s="24"/>
      <c r="BQ4" s="24"/>
      <c r="BR4" s="16"/>
      <c r="BS4" s="61" t="e">
        <f>IF(S4=0,(T4+BN4),IF(S4&gt;0,(S4+BN4)))</f>
        <v>#VALUE!</v>
      </c>
      <c r="BT4" s="62"/>
      <c r="BU4" s="69" t="str">
        <f t="shared" ca="1" si="5"/>
        <v/>
      </c>
      <c r="BV4" s="33">
        <f t="shared" ca="1" si="6"/>
        <v>1</v>
      </c>
      <c r="BW4" s="33">
        <v>1</v>
      </c>
      <c r="BX4" s="60" t="str">
        <f t="shared" ca="1" si="7"/>
        <v/>
      </c>
      <c r="BY4" s="34" t="str">
        <f t="shared" si="8"/>
        <v/>
      </c>
      <c r="BZ4" s="21"/>
      <c r="CA4" s="35" t="str">
        <f t="shared" ca="1" si="9"/>
        <v>TERMINADO</v>
      </c>
      <c r="CB4" s="16"/>
    </row>
    <row r="5" spans="1:80" ht="39.75" customHeight="1">
      <c r="A5" s="16" t="s">
        <v>9245</v>
      </c>
      <c r="B5" s="17" t="s">
        <v>104</v>
      </c>
      <c r="C5" s="18" t="s">
        <v>9246</v>
      </c>
      <c r="D5" s="17" t="s">
        <v>106</v>
      </c>
      <c r="E5" s="17" t="s">
        <v>1426</v>
      </c>
      <c r="F5" s="17" t="s">
        <v>1427</v>
      </c>
      <c r="G5" s="19" t="s">
        <v>7173</v>
      </c>
      <c r="H5" s="16" t="s">
        <v>7174</v>
      </c>
      <c r="I5" s="16" t="s">
        <v>7175</v>
      </c>
      <c r="J5" s="16">
        <v>35461180</v>
      </c>
      <c r="K5" s="20" t="s">
        <v>7184</v>
      </c>
      <c r="L5" s="16" t="s">
        <v>111</v>
      </c>
      <c r="M5" s="21">
        <v>44803</v>
      </c>
      <c r="N5" s="22">
        <v>44805</v>
      </c>
      <c r="O5" s="22">
        <v>45230</v>
      </c>
      <c r="P5" s="23">
        <f t="shared" si="0"/>
        <v>425</v>
      </c>
      <c r="Q5" s="16" t="s">
        <v>9247</v>
      </c>
      <c r="R5" s="24">
        <v>49551700</v>
      </c>
      <c r="S5" s="16" t="s">
        <v>9227</v>
      </c>
      <c r="T5" s="24">
        <v>43508810</v>
      </c>
      <c r="U5" s="24"/>
      <c r="V5" s="17" t="s">
        <v>217</v>
      </c>
      <c r="W5" s="23" t="str">
        <f>IFERROR(VLOOKUP(V5,Listas!$A$1:$C$14,2,FALSE),"")</f>
        <v>EDGAR ANTONIO GÓMEZ ÁLVAREZ</v>
      </c>
      <c r="X5" s="23">
        <f>IFERROR(VLOOKUP(V5,Listas!$A$1:$C$14,3,FALSE),"")</f>
        <v>2231755</v>
      </c>
      <c r="Y5" s="17" t="s">
        <v>217</v>
      </c>
      <c r="Z5" s="17" t="s">
        <v>539</v>
      </c>
      <c r="AA5" s="23" t="str">
        <f>IFERROR(VLOOKUP(Z5,Listas!$AD$1:$AF$65,2,FALSE),"")</f>
        <v>DORIS POVEDA BELTRÁN</v>
      </c>
      <c r="AB5" s="23">
        <f>IFERROR(VLOOKUP(Z5,Listas!$AD$1:$AF$65,3,FALSE),"")</f>
        <v>52049845</v>
      </c>
      <c r="AC5" s="17" t="s">
        <v>9228</v>
      </c>
      <c r="AD5" s="17" t="s">
        <v>3508</v>
      </c>
      <c r="AE5" s="17" t="s">
        <v>2937</v>
      </c>
      <c r="AF5" s="27"/>
      <c r="AG5" s="19"/>
      <c r="AH5" s="27"/>
      <c r="AI5" s="16"/>
      <c r="AJ5" s="27"/>
      <c r="AK5" s="16"/>
      <c r="AL5" s="28">
        <f t="shared" si="1"/>
        <v>0</v>
      </c>
      <c r="AM5" s="29"/>
      <c r="AN5" s="27"/>
      <c r="AO5" s="30">
        <f t="shared" si="2"/>
        <v>425</v>
      </c>
      <c r="AP5" s="31">
        <f t="shared" si="3"/>
        <v>45230</v>
      </c>
      <c r="AQ5" s="27"/>
      <c r="AR5" s="16"/>
      <c r="AS5" s="27"/>
      <c r="AT5" s="16"/>
      <c r="AU5" s="27"/>
      <c r="AV5" s="16"/>
      <c r="AW5" s="27"/>
      <c r="AX5" s="16"/>
      <c r="AY5" s="27"/>
      <c r="AZ5" s="24"/>
      <c r="BA5" s="24"/>
      <c r="BB5" s="24"/>
      <c r="BC5" s="32"/>
      <c r="BD5" s="27"/>
      <c r="BE5" s="24"/>
      <c r="BF5" s="24"/>
      <c r="BG5" s="24"/>
      <c r="BH5" s="16"/>
      <c r="BI5" s="27"/>
      <c r="BJ5" s="24"/>
      <c r="BK5" s="24"/>
      <c r="BL5" s="24"/>
      <c r="BM5" s="16"/>
      <c r="BN5" s="61">
        <f t="shared" si="4"/>
        <v>0</v>
      </c>
      <c r="BO5" s="27"/>
      <c r="BP5" s="24"/>
      <c r="BQ5" s="24"/>
      <c r="BR5" s="16"/>
      <c r="BS5" s="61">
        <f t="shared" ref="BS5:BS21" si="10">IF(U5=0,(T5+BN5),IF(U5&gt;0,(U5+BN5)))</f>
        <v>43508810</v>
      </c>
      <c r="BT5" s="62">
        <v>39977172.210000001</v>
      </c>
      <c r="BU5" s="69">
        <f t="shared" ca="1" si="5"/>
        <v>43508810</v>
      </c>
      <c r="BV5" s="33">
        <f t="shared" ca="1" si="6"/>
        <v>1</v>
      </c>
      <c r="BW5" s="33">
        <v>1</v>
      </c>
      <c r="BX5" s="60">
        <f t="shared" ca="1" si="7"/>
        <v>100</v>
      </c>
      <c r="BY5" s="34">
        <f t="shared" si="8"/>
        <v>91.882936375414545</v>
      </c>
      <c r="BZ5" s="21">
        <v>45392</v>
      </c>
      <c r="CA5" s="35" t="str">
        <f t="shared" ca="1" si="9"/>
        <v>LIQUIDADO</v>
      </c>
      <c r="CB5" s="16" t="s">
        <v>9248</v>
      </c>
    </row>
    <row r="6" spans="1:80" ht="39.75" customHeight="1">
      <c r="A6" s="110" t="s">
        <v>9249</v>
      </c>
      <c r="B6" s="17" t="s">
        <v>104</v>
      </c>
      <c r="C6" s="18" t="s">
        <v>9250</v>
      </c>
      <c r="D6" s="17" t="s">
        <v>106</v>
      </c>
      <c r="E6" s="17" t="s">
        <v>1426</v>
      </c>
      <c r="F6" s="17" t="s">
        <v>1427</v>
      </c>
      <c r="G6" s="19" t="s">
        <v>7173</v>
      </c>
      <c r="H6" s="16" t="s">
        <v>7174</v>
      </c>
      <c r="I6" s="16" t="s">
        <v>9251</v>
      </c>
      <c r="J6" s="104">
        <v>35461180</v>
      </c>
      <c r="K6" s="20" t="s">
        <v>7236</v>
      </c>
      <c r="L6" s="16" t="s">
        <v>111</v>
      </c>
      <c r="M6" s="21">
        <v>44805</v>
      </c>
      <c r="N6" s="22">
        <v>44805</v>
      </c>
      <c r="O6" s="22">
        <v>45230</v>
      </c>
      <c r="P6" s="23">
        <f t="shared" si="0"/>
        <v>425</v>
      </c>
      <c r="Q6" s="16" t="s">
        <v>9252</v>
      </c>
      <c r="R6" s="24">
        <v>48489294</v>
      </c>
      <c r="S6" s="16" t="s">
        <v>9227</v>
      </c>
      <c r="T6" s="24">
        <v>42575966</v>
      </c>
      <c r="U6" s="24"/>
      <c r="V6" s="17" t="s">
        <v>217</v>
      </c>
      <c r="W6" s="23" t="str">
        <f>IFERROR(VLOOKUP(V6,Listas!$A$1:$C$14,2,FALSE),"")</f>
        <v>EDGAR ANTONIO GÓMEZ ÁLVAREZ</v>
      </c>
      <c r="X6" s="23">
        <f>IFERROR(VLOOKUP(V6,Listas!$A$1:$C$14,3,FALSE),"")</f>
        <v>2231755</v>
      </c>
      <c r="Y6" s="17" t="s">
        <v>217</v>
      </c>
      <c r="Z6" s="17" t="s">
        <v>539</v>
      </c>
      <c r="AA6" s="23" t="str">
        <f>IFERROR(VLOOKUP(Z6,Listas!$AD$1:$AF$65,2,FALSE),"")</f>
        <v>DORIS POVEDA BELTRÁN</v>
      </c>
      <c r="AB6" s="23">
        <f>IFERROR(VLOOKUP(Z6,Listas!$AD$1:$AF$65,3,FALSE),"")</f>
        <v>52049845</v>
      </c>
      <c r="AC6" s="17" t="s">
        <v>9228</v>
      </c>
      <c r="AD6" s="17" t="s">
        <v>3508</v>
      </c>
      <c r="AE6" s="17" t="s">
        <v>2937</v>
      </c>
      <c r="AF6" s="27"/>
      <c r="AG6" s="19"/>
      <c r="AH6" s="27"/>
      <c r="AI6" s="16"/>
      <c r="AJ6" s="27"/>
      <c r="AK6" s="16"/>
      <c r="AL6" s="28">
        <f t="shared" si="1"/>
        <v>0</v>
      </c>
      <c r="AM6" s="29"/>
      <c r="AN6" s="27"/>
      <c r="AO6" s="30">
        <f t="shared" si="2"/>
        <v>425</v>
      </c>
      <c r="AP6" s="31">
        <f t="shared" si="3"/>
        <v>45230</v>
      </c>
      <c r="AQ6" s="27"/>
      <c r="AR6" s="16"/>
      <c r="AS6" s="27"/>
      <c r="AT6" s="16"/>
      <c r="AU6" s="27"/>
      <c r="AV6" s="16"/>
      <c r="AW6" s="27"/>
      <c r="AX6" s="16"/>
      <c r="AY6" s="27"/>
      <c r="AZ6" s="24"/>
      <c r="BA6" s="24"/>
      <c r="BB6" s="24"/>
      <c r="BC6" s="32"/>
      <c r="BD6" s="27"/>
      <c r="BE6" s="24"/>
      <c r="BF6" s="24"/>
      <c r="BG6" s="24"/>
      <c r="BH6" s="16"/>
      <c r="BI6" s="27"/>
      <c r="BJ6" s="24"/>
      <c r="BK6" s="24"/>
      <c r="BL6" s="24"/>
      <c r="BM6" s="16"/>
      <c r="BN6" s="61">
        <f t="shared" si="4"/>
        <v>0</v>
      </c>
      <c r="BO6" s="27"/>
      <c r="BP6" s="24"/>
      <c r="BQ6" s="24"/>
      <c r="BR6" s="16"/>
      <c r="BS6" s="61">
        <f t="shared" si="10"/>
        <v>42575966</v>
      </c>
      <c r="BT6" s="62">
        <v>25220942</v>
      </c>
      <c r="BU6" s="69">
        <f t="shared" ca="1" si="5"/>
        <v>42575966</v>
      </c>
      <c r="BV6" s="33">
        <f t="shared" ca="1" si="6"/>
        <v>1</v>
      </c>
      <c r="BW6" s="33">
        <v>1</v>
      </c>
      <c r="BX6" s="60">
        <f t="shared" ca="1" si="7"/>
        <v>100</v>
      </c>
      <c r="BY6" s="34">
        <f t="shared" si="8"/>
        <v>59.237509725557366</v>
      </c>
      <c r="BZ6" s="21">
        <v>45390</v>
      </c>
      <c r="CA6" s="35" t="str">
        <f t="shared" ca="1" si="9"/>
        <v>LIQUIDADO</v>
      </c>
      <c r="CB6" s="16" t="s">
        <v>9253</v>
      </c>
    </row>
    <row r="7" spans="1:80" ht="39.75" customHeight="1">
      <c r="A7"/>
      <c r="B7" s="17" t="s">
        <v>5814</v>
      </c>
      <c r="C7" s="18" t="s">
        <v>9254</v>
      </c>
      <c r="D7" s="17" t="s">
        <v>1425</v>
      </c>
      <c r="E7" s="17" t="s">
        <v>1426</v>
      </c>
      <c r="F7" s="17" t="s">
        <v>1427</v>
      </c>
      <c r="G7" s="19" t="s">
        <v>9255</v>
      </c>
      <c r="H7" s="16" t="s">
        <v>9256</v>
      </c>
      <c r="I7" s="16" t="s">
        <v>9257</v>
      </c>
      <c r="J7" s="104">
        <v>10232588</v>
      </c>
      <c r="K7" s="20" t="s">
        <v>9258</v>
      </c>
      <c r="L7" s="16" t="s">
        <v>111</v>
      </c>
      <c r="M7" s="21">
        <v>44536</v>
      </c>
      <c r="N7" s="22">
        <v>44546</v>
      </c>
      <c r="O7" s="22">
        <v>44561</v>
      </c>
      <c r="P7" s="23">
        <f t="shared" si="0"/>
        <v>15</v>
      </c>
      <c r="Q7" s="16" t="s">
        <v>9259</v>
      </c>
      <c r="R7" s="24">
        <v>34242175</v>
      </c>
      <c r="S7" s="16" t="s">
        <v>9260</v>
      </c>
      <c r="T7" s="24">
        <v>34242175</v>
      </c>
      <c r="U7" s="24"/>
      <c r="V7" s="17" t="s">
        <v>116</v>
      </c>
      <c r="W7" s="23" t="str">
        <f>IFERROR(VLOOKUP(V7,Listas!$A$1:$C$14,2,FALSE),"")</f>
        <v>FREDY CÉSPEDES VILLA</v>
      </c>
      <c r="X7" s="23">
        <f>IFERROR(VLOOKUP(V7,Listas!$A$1:$C$14,3,FALSE),"")</f>
        <v>93363483</v>
      </c>
      <c r="Y7" s="17" t="s">
        <v>116</v>
      </c>
      <c r="Z7" s="17" t="s">
        <v>659</v>
      </c>
      <c r="AA7" s="23" t="str">
        <f>IFERROR(VLOOKUP(Z7,Listas!$AD$1:$AF$65,2,FALSE),"")</f>
        <v>TATIANA FORERO TORRES</v>
      </c>
      <c r="AB7" s="23">
        <f>IFERROR(VLOOKUP(Z7,Listas!$AD$1:$AF$65,3,FALSE),"")</f>
        <v>1072446921</v>
      </c>
      <c r="AC7" s="17" t="s">
        <v>9261</v>
      </c>
      <c r="AD7" s="17" t="s">
        <v>515</v>
      </c>
      <c r="AE7" s="17" t="s">
        <v>121</v>
      </c>
      <c r="AF7" s="27"/>
      <c r="AG7" s="19"/>
      <c r="AH7" s="27"/>
      <c r="AI7" s="16"/>
      <c r="AJ7" s="27"/>
      <c r="AK7" s="16"/>
      <c r="AL7" s="28">
        <f t="shared" si="1"/>
        <v>0</v>
      </c>
      <c r="AM7" s="29"/>
      <c r="AN7" s="27"/>
      <c r="AO7" s="30">
        <f t="shared" si="2"/>
        <v>15</v>
      </c>
      <c r="AP7" s="31">
        <f t="shared" si="3"/>
        <v>44561</v>
      </c>
      <c r="AQ7" s="27"/>
      <c r="AR7" s="16"/>
      <c r="AS7" s="27"/>
      <c r="AT7" s="16"/>
      <c r="AU7" s="27"/>
      <c r="AV7" s="16"/>
      <c r="AW7" s="27"/>
      <c r="AX7" s="16"/>
      <c r="AY7" s="27"/>
      <c r="AZ7" s="24"/>
      <c r="BA7" s="24"/>
      <c r="BB7" s="24"/>
      <c r="BC7" s="32"/>
      <c r="BD7" s="27"/>
      <c r="BE7" s="24"/>
      <c r="BF7" s="24"/>
      <c r="BG7" s="24"/>
      <c r="BH7" s="16"/>
      <c r="BI7" s="27"/>
      <c r="BJ7" s="24"/>
      <c r="BK7" s="24"/>
      <c r="BL7" s="24"/>
      <c r="BM7" s="16"/>
      <c r="BN7" s="61">
        <f t="shared" si="4"/>
        <v>0</v>
      </c>
      <c r="BO7" s="27"/>
      <c r="BP7" s="24"/>
      <c r="BQ7" s="24"/>
      <c r="BR7" s="16"/>
      <c r="BS7" s="61">
        <f t="shared" si="10"/>
        <v>34242175</v>
      </c>
      <c r="BT7" s="62">
        <v>9021108</v>
      </c>
      <c r="BU7" s="69">
        <f t="shared" ca="1" si="5"/>
        <v>34242175</v>
      </c>
      <c r="BV7" s="33">
        <f t="shared" ca="1" si="6"/>
        <v>1</v>
      </c>
      <c r="BW7" s="33">
        <v>1</v>
      </c>
      <c r="BX7" s="60">
        <f t="shared" ca="1" si="7"/>
        <v>100</v>
      </c>
      <c r="BY7" s="34">
        <f t="shared" si="8"/>
        <v>26.345020431675266</v>
      </c>
      <c r="BZ7" s="21">
        <v>45412</v>
      </c>
      <c r="CA7" s="35" t="str">
        <f t="shared" ca="1" si="9"/>
        <v>LIQUIDADO</v>
      </c>
      <c r="CB7" s="16" t="s">
        <v>9262</v>
      </c>
    </row>
    <row r="8" spans="1:80" ht="39.75" customHeight="1">
      <c r="A8" s="110" t="s">
        <v>9263</v>
      </c>
      <c r="B8" s="17" t="s">
        <v>104</v>
      </c>
      <c r="C8" s="18" t="s">
        <v>9264</v>
      </c>
      <c r="D8" s="17" t="s">
        <v>106</v>
      </c>
      <c r="E8" s="17" t="s">
        <v>1426</v>
      </c>
      <c r="F8" s="17" t="s">
        <v>1427</v>
      </c>
      <c r="G8" s="19" t="s">
        <v>9265</v>
      </c>
      <c r="H8" s="16" t="s">
        <v>6235</v>
      </c>
      <c r="I8" s="16" t="s">
        <v>9266</v>
      </c>
      <c r="J8" s="104">
        <v>40373567</v>
      </c>
      <c r="K8" s="20" t="s">
        <v>9267</v>
      </c>
      <c r="L8" s="16"/>
      <c r="M8" s="21">
        <v>44393</v>
      </c>
      <c r="N8" s="22">
        <v>44403</v>
      </c>
      <c r="O8" s="22">
        <v>44561</v>
      </c>
      <c r="P8" s="23">
        <f t="shared" si="0"/>
        <v>158</v>
      </c>
      <c r="Q8" s="16" t="s">
        <v>9268</v>
      </c>
      <c r="R8" s="24">
        <v>533341462</v>
      </c>
      <c r="S8" s="16" t="s">
        <v>784</v>
      </c>
      <c r="T8" s="24">
        <v>533341462</v>
      </c>
      <c r="U8" s="24"/>
      <c r="V8" s="17" t="s">
        <v>116</v>
      </c>
      <c r="W8" s="23" t="str">
        <f>IFERROR(VLOOKUP(V8,Listas!$A$1:$C$14,2,FALSE),"")</f>
        <v>FREDY CÉSPEDES VILLA</v>
      </c>
      <c r="X8" s="23">
        <f>IFERROR(VLOOKUP(V8,Listas!$A$1:$C$14,3,FALSE),"")</f>
        <v>93363483</v>
      </c>
      <c r="Y8" s="17" t="s">
        <v>116</v>
      </c>
      <c r="Z8" s="17" t="s">
        <v>484</v>
      </c>
      <c r="AA8" s="23" t="str">
        <f>IFERROR(VLOOKUP(Z8,Listas!$AD$1:$AF$65,2,FALSE),"")</f>
        <v>JAIME ANDRES GIL ACOSTA</v>
      </c>
      <c r="AB8" s="23">
        <f>IFERROR(VLOOKUP(Z8,Listas!$AD$1:$AF$65,3,FALSE),"")</f>
        <v>98622827</v>
      </c>
      <c r="AC8" s="17" t="s">
        <v>9228</v>
      </c>
      <c r="AD8" s="17" t="s">
        <v>515</v>
      </c>
      <c r="AE8" s="17" t="s">
        <v>121</v>
      </c>
      <c r="AF8" s="27"/>
      <c r="AG8" s="19"/>
      <c r="AH8" s="27"/>
      <c r="AI8" s="16"/>
      <c r="AJ8" s="27"/>
      <c r="AK8" s="16"/>
      <c r="AL8" s="28">
        <f t="shared" si="1"/>
        <v>0</v>
      </c>
      <c r="AM8" s="29"/>
      <c r="AN8" s="27"/>
      <c r="AO8" s="30">
        <f t="shared" si="2"/>
        <v>158</v>
      </c>
      <c r="AP8" s="31">
        <f t="shared" si="3"/>
        <v>44561</v>
      </c>
      <c r="AQ8" s="27"/>
      <c r="AR8" s="16"/>
      <c r="AS8" s="27"/>
      <c r="AT8" s="16"/>
      <c r="AU8" s="27"/>
      <c r="AV8" s="16"/>
      <c r="AW8" s="27"/>
      <c r="AX8" s="16"/>
      <c r="AY8" s="27"/>
      <c r="AZ8" s="24"/>
      <c r="BA8" s="24"/>
      <c r="BB8" s="24"/>
      <c r="BC8" s="32"/>
      <c r="BD8" s="27"/>
      <c r="BE8" s="24"/>
      <c r="BF8" s="24"/>
      <c r="BG8" s="24"/>
      <c r="BH8" s="16"/>
      <c r="BI8" s="27"/>
      <c r="BJ8" s="24"/>
      <c r="BK8" s="24"/>
      <c r="BL8" s="24"/>
      <c r="BM8" s="16"/>
      <c r="BN8" s="61">
        <f t="shared" si="4"/>
        <v>0</v>
      </c>
      <c r="BO8" s="27"/>
      <c r="BP8" s="24"/>
      <c r="BQ8" s="24"/>
      <c r="BR8" s="16"/>
      <c r="BS8" s="61">
        <f t="shared" si="10"/>
        <v>533341462</v>
      </c>
      <c r="BT8" s="62">
        <v>226600403</v>
      </c>
      <c r="BU8" s="69">
        <f t="shared" ca="1" si="5"/>
        <v>533341462</v>
      </c>
      <c r="BV8" s="33">
        <f t="shared" ca="1" si="6"/>
        <v>1</v>
      </c>
      <c r="BW8" s="33">
        <v>1</v>
      </c>
      <c r="BX8" s="60">
        <f t="shared" ca="1" si="7"/>
        <v>100</v>
      </c>
      <c r="BY8" s="34">
        <f t="shared" si="8"/>
        <v>42.486928008608487</v>
      </c>
      <c r="BZ8" s="21">
        <v>45412</v>
      </c>
      <c r="CA8" s="35" t="str">
        <f t="shared" ca="1" si="9"/>
        <v>LIQUIDADO</v>
      </c>
      <c r="CB8" s="16" t="s">
        <v>9269</v>
      </c>
    </row>
    <row r="9" spans="1:80" ht="39.75" customHeight="1">
      <c r="A9" s="110" t="s">
        <v>9270</v>
      </c>
      <c r="B9" s="17" t="s">
        <v>5814</v>
      </c>
      <c r="C9" s="18" t="s">
        <v>9271</v>
      </c>
      <c r="D9" s="17" t="s">
        <v>106</v>
      </c>
      <c r="E9" s="17" t="s">
        <v>1426</v>
      </c>
      <c r="F9" s="17" t="s">
        <v>1427</v>
      </c>
      <c r="G9" s="19" t="s">
        <v>9272</v>
      </c>
      <c r="H9" s="16" t="s">
        <v>9273</v>
      </c>
      <c r="I9" s="16" t="s">
        <v>9274</v>
      </c>
      <c r="J9" s="104" t="s">
        <v>4077</v>
      </c>
      <c r="K9" s="20" t="s">
        <v>9275</v>
      </c>
      <c r="L9" s="16" t="s">
        <v>4077</v>
      </c>
      <c r="M9" s="21">
        <v>44194</v>
      </c>
      <c r="N9" s="22">
        <v>44197</v>
      </c>
      <c r="O9" s="22">
        <v>44561</v>
      </c>
      <c r="P9" s="23">
        <f t="shared" si="0"/>
        <v>364</v>
      </c>
      <c r="Q9" s="16" t="s">
        <v>9276</v>
      </c>
      <c r="R9" s="24">
        <v>12994829</v>
      </c>
      <c r="S9" s="16" t="s">
        <v>2812</v>
      </c>
      <c r="T9" s="24">
        <v>12994829</v>
      </c>
      <c r="U9" s="24"/>
      <c r="V9" s="17" t="s">
        <v>116</v>
      </c>
      <c r="W9" s="23" t="str">
        <f>IFERROR(VLOOKUP(V9,Listas!$A$1:$C$14,2,FALSE),"")</f>
        <v>FREDY CÉSPEDES VILLA</v>
      </c>
      <c r="X9" s="23">
        <f>IFERROR(VLOOKUP(V9,Listas!$A$1:$C$14,3,FALSE),"")</f>
        <v>93363483</v>
      </c>
      <c r="Y9" s="17" t="s">
        <v>217</v>
      </c>
      <c r="Z9" s="17" t="s">
        <v>381</v>
      </c>
      <c r="AA9" s="23" t="str">
        <f>IFERROR(VLOOKUP(Z9,Listas!$AD$1:$AF$65,2,FALSE),"")</f>
        <v>MARINA AZUCENA MEDINA SANDOVAL</v>
      </c>
      <c r="AB9" s="23">
        <f>IFERROR(VLOOKUP(Z9,Listas!$AD$1:$AF$65,3,FALSE),"")</f>
        <v>51842510</v>
      </c>
      <c r="AC9" s="17" t="s">
        <v>9228</v>
      </c>
      <c r="AD9" s="17" t="s">
        <v>515</v>
      </c>
      <c r="AE9" s="17" t="s">
        <v>121</v>
      </c>
      <c r="AF9" s="27"/>
      <c r="AG9" s="19"/>
      <c r="AH9" s="27"/>
      <c r="AI9" s="16"/>
      <c r="AJ9" s="27"/>
      <c r="AK9" s="16"/>
      <c r="AL9" s="28">
        <f t="shared" si="1"/>
        <v>0</v>
      </c>
      <c r="AM9" s="29"/>
      <c r="AN9" s="27"/>
      <c r="AO9" s="30">
        <f t="shared" si="2"/>
        <v>364</v>
      </c>
      <c r="AP9" s="31">
        <f t="shared" si="3"/>
        <v>44561</v>
      </c>
      <c r="AQ9" s="27"/>
      <c r="AR9" s="16"/>
      <c r="AS9" s="27"/>
      <c r="AT9" s="16"/>
      <c r="AU9" s="27"/>
      <c r="AV9" s="16"/>
      <c r="AW9" s="27"/>
      <c r="AX9" s="16"/>
      <c r="AY9" s="27"/>
      <c r="AZ9" s="24"/>
      <c r="BA9" s="24"/>
      <c r="BB9" s="24"/>
      <c r="BC9" s="32"/>
      <c r="BD9" s="27"/>
      <c r="BE9" s="24"/>
      <c r="BF9" s="24"/>
      <c r="BG9" s="24"/>
      <c r="BH9" s="16"/>
      <c r="BI9" s="27"/>
      <c r="BJ9" s="24"/>
      <c r="BK9" s="24"/>
      <c r="BL9" s="24"/>
      <c r="BM9" s="16"/>
      <c r="BN9" s="61">
        <f t="shared" si="4"/>
        <v>0</v>
      </c>
      <c r="BO9" s="27"/>
      <c r="BP9" s="24"/>
      <c r="BQ9" s="24"/>
      <c r="BR9" s="16"/>
      <c r="BS9" s="61">
        <f t="shared" si="10"/>
        <v>12994829</v>
      </c>
      <c r="BT9" s="62">
        <v>6065278</v>
      </c>
      <c r="BU9" s="69">
        <f t="shared" ca="1" si="5"/>
        <v>12994829</v>
      </c>
      <c r="BV9" s="33">
        <f t="shared" ca="1" si="6"/>
        <v>1</v>
      </c>
      <c r="BW9" s="33">
        <v>1</v>
      </c>
      <c r="BX9" s="60">
        <f t="shared" ca="1" si="7"/>
        <v>100</v>
      </c>
      <c r="BY9" s="34">
        <f t="shared" si="8"/>
        <v>46.674550315360058</v>
      </c>
      <c r="BZ9" s="21">
        <v>45408</v>
      </c>
      <c r="CA9" s="35" t="str">
        <f t="shared" ca="1" si="9"/>
        <v>LIQUIDADO</v>
      </c>
      <c r="CB9" s="16" t="s">
        <v>9277</v>
      </c>
    </row>
    <row r="10" spans="1:80" ht="39.75" customHeight="1">
      <c r="A10" s="110" t="s">
        <v>9278</v>
      </c>
      <c r="B10" s="17" t="s">
        <v>1423</v>
      </c>
      <c r="C10" s="18" t="s">
        <v>1424</v>
      </c>
      <c r="D10" s="17" t="s">
        <v>106</v>
      </c>
      <c r="E10" s="17" t="s">
        <v>1426</v>
      </c>
      <c r="F10" s="17" t="s">
        <v>1427</v>
      </c>
      <c r="G10" s="19">
        <v>900930074</v>
      </c>
      <c r="H10" s="16" t="s">
        <v>9279</v>
      </c>
      <c r="I10" s="16"/>
      <c r="J10" s="16"/>
      <c r="K10" s="20" t="s">
        <v>9280</v>
      </c>
      <c r="L10" s="16"/>
      <c r="M10" s="21">
        <v>44302</v>
      </c>
      <c r="N10" s="22">
        <v>44340</v>
      </c>
      <c r="O10" s="22">
        <v>44560</v>
      </c>
      <c r="P10" s="23">
        <f t="shared" si="0"/>
        <v>220</v>
      </c>
      <c r="Q10" s="16" t="s">
        <v>9281</v>
      </c>
      <c r="R10" s="24">
        <v>85506297</v>
      </c>
      <c r="S10" s="16" t="s">
        <v>6265</v>
      </c>
      <c r="T10" s="24">
        <v>1785000</v>
      </c>
      <c r="U10" s="24"/>
      <c r="V10" s="17" t="s">
        <v>116</v>
      </c>
      <c r="W10" s="23" t="str">
        <f>IFERROR(VLOOKUP(V10,Listas!$A$1:$C$14,2,FALSE),"")</f>
        <v>FREDY CÉSPEDES VILLA</v>
      </c>
      <c r="X10" s="23">
        <f>IFERROR(VLOOKUP(V10,Listas!$A$1:$C$14,3,FALSE),"")</f>
        <v>93363483</v>
      </c>
      <c r="Y10" s="17" t="s">
        <v>116</v>
      </c>
      <c r="Z10" s="17" t="s">
        <v>659</v>
      </c>
      <c r="AA10" s="23" t="str">
        <f>IFERROR(VLOOKUP(Z10,Listas!$AD$1:$AF$65,2,FALSE),"")</f>
        <v>TATIANA FORERO TORRES</v>
      </c>
      <c r="AB10" s="23">
        <f>IFERROR(VLOOKUP(Z10,Listas!$AD$1:$AF$65,3,FALSE),"")</f>
        <v>1072446921</v>
      </c>
      <c r="AC10" s="17" t="s">
        <v>9282</v>
      </c>
      <c r="AD10" s="17" t="s">
        <v>515</v>
      </c>
      <c r="AE10" s="17" t="s">
        <v>121</v>
      </c>
      <c r="AF10" s="27"/>
      <c r="AG10" s="19"/>
      <c r="AH10" s="27"/>
      <c r="AI10" s="16"/>
      <c r="AJ10" s="27"/>
      <c r="AK10" s="16"/>
      <c r="AL10" s="28">
        <f t="shared" si="1"/>
        <v>0</v>
      </c>
      <c r="AM10" s="29"/>
      <c r="AN10" s="27"/>
      <c r="AO10" s="30">
        <f t="shared" si="2"/>
        <v>220</v>
      </c>
      <c r="AP10" s="31">
        <f t="shared" si="3"/>
        <v>44560</v>
      </c>
      <c r="AQ10" s="27"/>
      <c r="AR10" s="16"/>
      <c r="AS10" s="27"/>
      <c r="AT10" s="16"/>
      <c r="AU10" s="27"/>
      <c r="AV10" s="16"/>
      <c r="AW10" s="27"/>
      <c r="AX10" s="16"/>
      <c r="AY10" s="27"/>
      <c r="AZ10" s="24"/>
      <c r="BA10" s="24"/>
      <c r="BB10" s="24"/>
      <c r="BC10" s="32"/>
      <c r="BD10" s="27"/>
      <c r="BE10" s="24"/>
      <c r="BF10" s="24"/>
      <c r="BG10" s="24"/>
      <c r="BH10" s="16"/>
      <c r="BI10" s="27"/>
      <c r="BJ10" s="24"/>
      <c r="BK10" s="24"/>
      <c r="BL10" s="24"/>
      <c r="BM10" s="16"/>
      <c r="BN10" s="61">
        <f t="shared" si="4"/>
        <v>0</v>
      </c>
      <c r="BO10" s="27"/>
      <c r="BP10" s="24"/>
      <c r="BQ10" s="24"/>
      <c r="BR10" s="16"/>
      <c r="BS10" s="61">
        <f t="shared" si="10"/>
        <v>1785000</v>
      </c>
      <c r="BT10" s="62">
        <v>1785000</v>
      </c>
      <c r="BU10" s="69">
        <f t="shared" ca="1" si="5"/>
        <v>1785000</v>
      </c>
      <c r="BV10" s="33">
        <f t="shared" ca="1" si="6"/>
        <v>1</v>
      </c>
      <c r="BW10" s="33">
        <v>1</v>
      </c>
      <c r="BX10" s="60">
        <f t="shared" ca="1" si="7"/>
        <v>100</v>
      </c>
      <c r="BY10" s="34">
        <f t="shared" si="8"/>
        <v>100</v>
      </c>
      <c r="BZ10" s="21">
        <v>45412</v>
      </c>
      <c r="CA10" s="35" t="str">
        <f t="shared" ca="1" si="9"/>
        <v>LIQUIDADO</v>
      </c>
      <c r="CB10" s="16"/>
    </row>
    <row r="11" spans="1:80" ht="39.75" customHeight="1">
      <c r="A11" s="110" t="s">
        <v>9283</v>
      </c>
      <c r="B11" s="17" t="s">
        <v>5814</v>
      </c>
      <c r="C11" s="18" t="s">
        <v>9284</v>
      </c>
      <c r="D11" s="17" t="s">
        <v>106</v>
      </c>
      <c r="E11" s="17" t="s">
        <v>1426</v>
      </c>
      <c r="F11" s="17" t="s">
        <v>1427</v>
      </c>
      <c r="G11" s="19" t="s">
        <v>9285</v>
      </c>
      <c r="H11" s="16" t="s">
        <v>9286</v>
      </c>
      <c r="I11" s="16"/>
      <c r="J11" s="16"/>
      <c r="K11" s="20" t="s">
        <v>6083</v>
      </c>
      <c r="L11" s="16" t="s">
        <v>6261</v>
      </c>
      <c r="M11" s="21">
        <v>44264</v>
      </c>
      <c r="N11" s="22">
        <v>44267</v>
      </c>
      <c r="O11" s="22">
        <v>44560</v>
      </c>
      <c r="P11" s="23">
        <f t="shared" si="0"/>
        <v>293</v>
      </c>
      <c r="Q11" s="16" t="s">
        <v>9287</v>
      </c>
      <c r="R11" s="24">
        <v>73000000</v>
      </c>
      <c r="S11" s="16" t="s">
        <v>9288</v>
      </c>
      <c r="T11" s="24">
        <v>44327500</v>
      </c>
      <c r="U11" s="24"/>
      <c r="V11" s="17" t="s">
        <v>116</v>
      </c>
      <c r="W11" s="23" t="str">
        <f>IFERROR(VLOOKUP(V11,Listas!$A$1:$C$14,2,FALSE),"")</f>
        <v>FREDY CÉSPEDES VILLA</v>
      </c>
      <c r="X11" s="23">
        <f>IFERROR(VLOOKUP(V11,Listas!$A$1:$C$14,3,FALSE),"")</f>
        <v>93363483</v>
      </c>
      <c r="Y11" s="17" t="s">
        <v>951</v>
      </c>
      <c r="Z11" s="17" t="s">
        <v>952</v>
      </c>
      <c r="AA11" s="23" t="str">
        <f>IFERROR(VLOOKUP(Z11,Listas!$AD$1:$AF$65,2,FALSE),"")</f>
        <v>ANDRES MAURICIO LUQUE AYALA</v>
      </c>
      <c r="AB11" s="23">
        <f>IFERROR(VLOOKUP(Z11,Listas!$AD$1:$AF$65,3,FALSE),"")</f>
        <v>11443937</v>
      </c>
      <c r="AC11" s="17" t="s">
        <v>9289</v>
      </c>
      <c r="AD11" s="17" t="s">
        <v>515</v>
      </c>
      <c r="AE11" s="17" t="s">
        <v>121</v>
      </c>
      <c r="AF11" s="27"/>
      <c r="AG11" s="19"/>
      <c r="AH11" s="27"/>
      <c r="AI11" s="16"/>
      <c r="AJ11" s="27"/>
      <c r="AK11" s="16"/>
      <c r="AL11" s="28">
        <f t="shared" si="1"/>
        <v>0</v>
      </c>
      <c r="AM11" s="29"/>
      <c r="AN11" s="27"/>
      <c r="AO11" s="30">
        <f t="shared" si="2"/>
        <v>293</v>
      </c>
      <c r="AP11" s="31">
        <f t="shared" si="3"/>
        <v>44560</v>
      </c>
      <c r="AQ11" s="27"/>
      <c r="AR11" s="16"/>
      <c r="AS11" s="27"/>
      <c r="AT11" s="16"/>
      <c r="AU11" s="27"/>
      <c r="AV11" s="16"/>
      <c r="AW11" s="27"/>
      <c r="AX11" s="16"/>
      <c r="AY11" s="27"/>
      <c r="AZ11" s="24"/>
      <c r="BA11" s="24"/>
      <c r="BB11" s="24"/>
      <c r="BC11" s="32"/>
      <c r="BD11" s="27"/>
      <c r="BE11" s="24"/>
      <c r="BF11" s="24"/>
      <c r="BG11" s="24"/>
      <c r="BH11" s="16"/>
      <c r="BI11" s="27"/>
      <c r="BJ11" s="24"/>
      <c r="BK11" s="24"/>
      <c r="BL11" s="24"/>
      <c r="BM11" s="16"/>
      <c r="BN11" s="61">
        <f t="shared" si="4"/>
        <v>0</v>
      </c>
      <c r="BO11" s="27"/>
      <c r="BP11" s="24"/>
      <c r="BQ11" s="24"/>
      <c r="BR11" s="16"/>
      <c r="BS11" s="61">
        <f t="shared" si="10"/>
        <v>44327500</v>
      </c>
      <c r="BT11" s="62">
        <v>42702159</v>
      </c>
      <c r="BU11" s="69">
        <f t="shared" ca="1" si="5"/>
        <v>44327500</v>
      </c>
      <c r="BV11" s="33">
        <f t="shared" ca="1" si="6"/>
        <v>1</v>
      </c>
      <c r="BW11" s="33">
        <v>1</v>
      </c>
      <c r="BX11" s="60">
        <f t="shared" ca="1" si="7"/>
        <v>100</v>
      </c>
      <c r="BY11" s="34">
        <f t="shared" si="8"/>
        <v>96.333334837290622</v>
      </c>
      <c r="BZ11" s="21">
        <v>45412</v>
      </c>
      <c r="CA11" s="35" t="str">
        <f t="shared" ca="1" si="9"/>
        <v>LIQUIDADO</v>
      </c>
      <c r="CB11" s="16" t="s">
        <v>9290</v>
      </c>
    </row>
    <row r="12" spans="1:80" ht="39.75" customHeight="1">
      <c r="A12" s="110" t="s">
        <v>9291</v>
      </c>
      <c r="B12" s="17" t="s">
        <v>104</v>
      </c>
      <c r="C12" s="18" t="s">
        <v>9292</v>
      </c>
      <c r="D12" s="17" t="s">
        <v>2063</v>
      </c>
      <c r="E12" s="17" t="s">
        <v>1426</v>
      </c>
      <c r="F12" s="17" t="s">
        <v>1427</v>
      </c>
      <c r="G12" s="19" t="s">
        <v>9293</v>
      </c>
      <c r="H12" s="16" t="s">
        <v>9294</v>
      </c>
      <c r="I12" s="16" t="s">
        <v>9295</v>
      </c>
      <c r="J12" s="16">
        <v>16475352</v>
      </c>
      <c r="K12" s="20" t="s">
        <v>7567</v>
      </c>
      <c r="L12" s="16" t="s">
        <v>4077</v>
      </c>
      <c r="M12" s="21">
        <v>44196</v>
      </c>
      <c r="N12" s="22">
        <v>44197</v>
      </c>
      <c r="O12" s="22">
        <v>44561</v>
      </c>
      <c r="P12" s="23">
        <f t="shared" si="0"/>
        <v>364</v>
      </c>
      <c r="Q12" s="16" t="s">
        <v>9296</v>
      </c>
      <c r="R12" s="24">
        <v>44384256</v>
      </c>
      <c r="S12" s="16" t="s">
        <v>2070</v>
      </c>
      <c r="T12" s="24">
        <v>44384256</v>
      </c>
      <c r="U12" s="24"/>
      <c r="V12" s="17" t="s">
        <v>116</v>
      </c>
      <c r="W12" s="23" t="str">
        <f>IFERROR(VLOOKUP(V12,Listas!$A$1:$C$14,2,FALSE),"")</f>
        <v>FREDY CÉSPEDES VILLA</v>
      </c>
      <c r="X12" s="23">
        <f>IFERROR(VLOOKUP(V12,Listas!$A$1:$C$14,3,FALSE),"")</f>
        <v>93363483</v>
      </c>
      <c r="Y12" s="17" t="s">
        <v>116</v>
      </c>
      <c r="Z12" s="17" t="s">
        <v>659</v>
      </c>
      <c r="AA12" s="23" t="str">
        <f>IFERROR(VLOOKUP(Z12,Listas!$AD$1:$AF$65,2,FALSE),"")</f>
        <v>TATIANA FORERO TORRES</v>
      </c>
      <c r="AB12" s="23">
        <f>IFERROR(VLOOKUP(Z12,Listas!$AD$1:$AF$65,3,FALSE),"")</f>
        <v>1072446921</v>
      </c>
      <c r="AC12" s="17" t="s">
        <v>9228</v>
      </c>
      <c r="AD12" s="17" t="s">
        <v>515</v>
      </c>
      <c r="AE12" s="17" t="s">
        <v>121</v>
      </c>
      <c r="AF12" s="27"/>
      <c r="AG12" s="19"/>
      <c r="AH12" s="27"/>
      <c r="AI12" s="16"/>
      <c r="AJ12" s="27"/>
      <c r="AK12" s="16"/>
      <c r="AL12" s="28">
        <f t="shared" si="1"/>
        <v>0</v>
      </c>
      <c r="AM12" s="29"/>
      <c r="AN12" s="27"/>
      <c r="AO12" s="30">
        <f t="shared" si="2"/>
        <v>364</v>
      </c>
      <c r="AP12" s="31">
        <f t="shared" si="3"/>
        <v>44561</v>
      </c>
      <c r="AQ12" s="27"/>
      <c r="AR12" s="16"/>
      <c r="AS12" s="27"/>
      <c r="AT12" s="16"/>
      <c r="AU12" s="27"/>
      <c r="AV12" s="16"/>
      <c r="AW12" s="27"/>
      <c r="AX12" s="16"/>
      <c r="AY12" s="27"/>
      <c r="AZ12" s="24"/>
      <c r="BA12" s="24"/>
      <c r="BB12" s="24"/>
      <c r="BC12" s="32"/>
      <c r="BD12" s="27"/>
      <c r="BE12" s="24"/>
      <c r="BF12" s="24"/>
      <c r="BG12" s="24"/>
      <c r="BH12" s="16"/>
      <c r="BI12" s="27"/>
      <c r="BJ12" s="24"/>
      <c r="BK12" s="24"/>
      <c r="BL12" s="24"/>
      <c r="BM12" s="16"/>
      <c r="BN12" s="61">
        <f t="shared" si="4"/>
        <v>0</v>
      </c>
      <c r="BO12" s="27"/>
      <c r="BP12" s="24"/>
      <c r="BQ12" s="24"/>
      <c r="BR12" s="16"/>
      <c r="BS12" s="61">
        <f t="shared" si="10"/>
        <v>44384256</v>
      </c>
      <c r="BT12" s="62">
        <v>44384256</v>
      </c>
      <c r="BU12" s="69">
        <f t="shared" ca="1" si="5"/>
        <v>44384256</v>
      </c>
      <c r="BV12" s="33">
        <f t="shared" ca="1" si="6"/>
        <v>1</v>
      </c>
      <c r="BW12" s="33">
        <v>1</v>
      </c>
      <c r="BX12" s="60">
        <f t="shared" ca="1" si="7"/>
        <v>100</v>
      </c>
      <c r="BY12" s="34">
        <f t="shared" si="8"/>
        <v>100</v>
      </c>
      <c r="BZ12" s="21">
        <v>45412</v>
      </c>
      <c r="CA12" s="35" t="str">
        <f t="shared" ca="1" si="9"/>
        <v>LIQUIDADO</v>
      </c>
      <c r="CB12" s="16"/>
    </row>
    <row r="13" spans="1:80" ht="39.75" customHeight="1">
      <c r="A13" s="110" t="s">
        <v>9297</v>
      </c>
      <c r="B13" s="17" t="s">
        <v>5814</v>
      </c>
      <c r="C13" s="18" t="s">
        <v>9298</v>
      </c>
      <c r="D13" s="17" t="s">
        <v>1425</v>
      </c>
      <c r="E13" s="17" t="s">
        <v>1426</v>
      </c>
      <c r="F13" s="17" t="s">
        <v>1427</v>
      </c>
      <c r="G13" s="19" t="s">
        <v>9299</v>
      </c>
      <c r="H13" s="16" t="s">
        <v>9300</v>
      </c>
      <c r="I13" s="16" t="s">
        <v>9301</v>
      </c>
      <c r="J13" s="104">
        <v>70120406</v>
      </c>
      <c r="K13" s="20" t="s">
        <v>9302</v>
      </c>
      <c r="L13" s="16"/>
      <c r="M13" s="21">
        <v>44336</v>
      </c>
      <c r="N13" s="22">
        <v>44341</v>
      </c>
      <c r="O13" s="22">
        <v>44561</v>
      </c>
      <c r="P13" s="23">
        <f t="shared" si="0"/>
        <v>220</v>
      </c>
      <c r="Q13" s="16" t="s">
        <v>9303</v>
      </c>
      <c r="R13" s="24">
        <v>41000000</v>
      </c>
      <c r="S13" s="16" t="s">
        <v>6077</v>
      </c>
      <c r="T13" s="24">
        <v>23223564</v>
      </c>
      <c r="U13" s="24"/>
      <c r="V13" s="17" t="s">
        <v>116</v>
      </c>
      <c r="W13" s="23" t="str">
        <f>IFERROR(VLOOKUP(V13,Listas!$A$1:$C$14,2,FALSE),"")</f>
        <v>FREDY CÉSPEDES VILLA</v>
      </c>
      <c r="X13" s="23">
        <f>IFERROR(VLOOKUP(V13,Listas!$A$1:$C$14,3,FALSE),"")</f>
        <v>93363483</v>
      </c>
      <c r="Y13" s="17" t="s">
        <v>116</v>
      </c>
      <c r="Z13" s="17" t="s">
        <v>2309</v>
      </c>
      <c r="AA13" s="23" t="str">
        <f>IFERROR(VLOOKUP(Z13,Listas!$AD$1:$AF$65,2,FALSE),"")</f>
        <v>YURY NAYIBE LADINO</v>
      </c>
      <c r="AB13" s="23">
        <f>IFERROR(VLOOKUP(Z13,Listas!$AD$1:$AF$65,3,FALSE),"")</f>
        <v>1013587191</v>
      </c>
      <c r="AC13" s="17" t="s">
        <v>9289</v>
      </c>
      <c r="AD13" s="17" t="s">
        <v>367</v>
      </c>
      <c r="AE13" s="17" t="s">
        <v>121</v>
      </c>
      <c r="AF13" s="27"/>
      <c r="AG13" s="19"/>
      <c r="AH13" s="27"/>
      <c r="AI13" s="16"/>
      <c r="AJ13" s="27"/>
      <c r="AK13" s="16"/>
      <c r="AL13" s="28">
        <f t="shared" si="1"/>
        <v>0</v>
      </c>
      <c r="AM13" s="29"/>
      <c r="AN13" s="27"/>
      <c r="AO13" s="30">
        <f t="shared" si="2"/>
        <v>220</v>
      </c>
      <c r="AP13" s="31">
        <f t="shared" si="3"/>
        <v>44561</v>
      </c>
      <c r="AQ13" s="27"/>
      <c r="AR13" s="16"/>
      <c r="AS13" s="27"/>
      <c r="AT13" s="16"/>
      <c r="AU13" s="27"/>
      <c r="AV13" s="16"/>
      <c r="AW13" s="27"/>
      <c r="AX13" s="16"/>
      <c r="AY13" s="27"/>
      <c r="AZ13" s="24"/>
      <c r="BA13" s="24"/>
      <c r="BB13" s="24"/>
      <c r="BC13" s="32"/>
      <c r="BD13" s="27"/>
      <c r="BE13" s="24"/>
      <c r="BF13" s="24"/>
      <c r="BG13" s="24"/>
      <c r="BH13" s="16"/>
      <c r="BI13" s="27"/>
      <c r="BJ13" s="24"/>
      <c r="BK13" s="24"/>
      <c r="BL13" s="24"/>
      <c r="BM13" s="16"/>
      <c r="BN13" s="61">
        <f t="shared" si="4"/>
        <v>0</v>
      </c>
      <c r="BO13" s="27"/>
      <c r="BP13" s="24"/>
      <c r="BQ13" s="24"/>
      <c r="BR13" s="16"/>
      <c r="BS13" s="61">
        <f t="shared" si="10"/>
        <v>23223564</v>
      </c>
      <c r="BT13" s="62">
        <v>21110124</v>
      </c>
      <c r="BU13" s="69">
        <f t="shared" ca="1" si="5"/>
        <v>23223564</v>
      </c>
      <c r="BV13" s="33">
        <f t="shared" ca="1" si="6"/>
        <v>1</v>
      </c>
      <c r="BW13" s="33">
        <v>1</v>
      </c>
      <c r="BX13" s="60">
        <f t="shared" ca="1" si="7"/>
        <v>100</v>
      </c>
      <c r="BY13" s="34">
        <f t="shared" si="8"/>
        <v>90.899588021890182</v>
      </c>
      <c r="BZ13" s="21">
        <v>45412</v>
      </c>
      <c r="CA13" s="35" t="str">
        <f t="shared" ca="1" si="9"/>
        <v>LIQUIDADO</v>
      </c>
      <c r="CB13" s="16" t="s">
        <v>9304</v>
      </c>
    </row>
    <row r="14" spans="1:80" ht="39.75" customHeight="1">
      <c r="A14" s="110" t="s">
        <v>9305</v>
      </c>
      <c r="B14" s="17" t="s">
        <v>5814</v>
      </c>
      <c r="C14" s="18" t="s">
        <v>9306</v>
      </c>
      <c r="D14" s="17" t="s">
        <v>106</v>
      </c>
      <c r="E14" s="17" t="s">
        <v>1426</v>
      </c>
      <c r="F14" s="17" t="s">
        <v>1427</v>
      </c>
      <c r="G14" s="19" t="s">
        <v>9307</v>
      </c>
      <c r="H14" s="16" t="s">
        <v>9308</v>
      </c>
      <c r="I14" s="16" t="s">
        <v>9309</v>
      </c>
      <c r="J14" s="16">
        <v>28964044</v>
      </c>
      <c r="K14" s="20" t="s">
        <v>9310</v>
      </c>
      <c r="L14" s="16" t="s">
        <v>6261</v>
      </c>
      <c r="M14" s="21">
        <v>44221</v>
      </c>
      <c r="N14" s="22">
        <v>44224</v>
      </c>
      <c r="O14" s="22">
        <v>44561</v>
      </c>
      <c r="P14" s="23">
        <f t="shared" si="0"/>
        <v>337</v>
      </c>
      <c r="Q14" s="16" t="s">
        <v>9311</v>
      </c>
      <c r="R14" s="24">
        <v>50000000</v>
      </c>
      <c r="S14" s="16" t="s">
        <v>2812</v>
      </c>
      <c r="T14" s="24">
        <v>34262537</v>
      </c>
      <c r="U14" s="24"/>
      <c r="V14" s="17" t="s">
        <v>116</v>
      </c>
      <c r="W14" s="23" t="str">
        <f>IFERROR(VLOOKUP(V14,Listas!$A$1:$C$14,2,FALSE),"")</f>
        <v>FREDY CÉSPEDES VILLA</v>
      </c>
      <c r="X14" s="23">
        <f>IFERROR(VLOOKUP(V14,Listas!$A$1:$C$14,3,FALSE),"")</f>
        <v>93363483</v>
      </c>
      <c r="Y14" s="17" t="s">
        <v>217</v>
      </c>
      <c r="Z14" s="17" t="s">
        <v>6422</v>
      </c>
      <c r="AA14" s="23" t="str">
        <f>IFERROR(VLOOKUP(Z14,Listas!$AD$1:$AF$65,2,FALSE),"")</f>
        <v>JOSÉ GÓMEZ CARDONA</v>
      </c>
      <c r="AB14" s="23">
        <f>IFERROR(VLOOKUP(Z14,Listas!$AD$1:$AF$65,3,FALSE),"")</f>
        <v>4488888</v>
      </c>
      <c r="AC14" s="17" t="s">
        <v>9289</v>
      </c>
      <c r="AD14" s="17" t="s">
        <v>367</v>
      </c>
      <c r="AE14" s="17" t="s">
        <v>121</v>
      </c>
      <c r="AF14" s="27"/>
      <c r="AG14" s="19"/>
      <c r="AH14" s="27"/>
      <c r="AI14" s="16"/>
      <c r="AJ14" s="27"/>
      <c r="AK14" s="16"/>
      <c r="AL14" s="28">
        <f t="shared" si="1"/>
        <v>0</v>
      </c>
      <c r="AM14" s="29"/>
      <c r="AN14" s="27"/>
      <c r="AO14" s="30">
        <f t="shared" si="2"/>
        <v>337</v>
      </c>
      <c r="AP14" s="31">
        <f t="shared" si="3"/>
        <v>44561</v>
      </c>
      <c r="AQ14" s="27"/>
      <c r="AR14" s="16"/>
      <c r="AS14" s="27"/>
      <c r="AT14" s="16"/>
      <c r="AU14" s="27"/>
      <c r="AV14" s="16"/>
      <c r="AW14" s="27"/>
      <c r="AX14" s="16"/>
      <c r="AY14" s="27"/>
      <c r="AZ14" s="24"/>
      <c r="BA14" s="24"/>
      <c r="BB14" s="24"/>
      <c r="BC14" s="32"/>
      <c r="BD14" s="27"/>
      <c r="BE14" s="24"/>
      <c r="BF14" s="24"/>
      <c r="BG14" s="24"/>
      <c r="BH14" s="16"/>
      <c r="BI14" s="27"/>
      <c r="BJ14" s="24"/>
      <c r="BK14" s="24"/>
      <c r="BL14" s="24"/>
      <c r="BM14" s="16"/>
      <c r="BN14" s="61">
        <f t="shared" si="4"/>
        <v>0</v>
      </c>
      <c r="BO14" s="27"/>
      <c r="BP14" s="24"/>
      <c r="BQ14" s="24"/>
      <c r="BR14" s="16"/>
      <c r="BS14" s="61">
        <f t="shared" si="10"/>
        <v>34262537</v>
      </c>
      <c r="BT14" s="62">
        <v>21414228</v>
      </c>
      <c r="BU14" s="69">
        <f t="shared" ca="1" si="5"/>
        <v>34262537</v>
      </c>
      <c r="BV14" s="33">
        <f t="shared" ca="1" si="6"/>
        <v>1</v>
      </c>
      <c r="BW14" s="33">
        <v>1</v>
      </c>
      <c r="BX14" s="60">
        <f t="shared" ca="1" si="7"/>
        <v>100</v>
      </c>
      <c r="BY14" s="34">
        <f t="shared" si="8"/>
        <v>62.50041554132433</v>
      </c>
      <c r="BZ14" s="21">
        <v>45397</v>
      </c>
      <c r="CA14" s="35" t="str">
        <f t="shared" ca="1" si="9"/>
        <v>LIQUIDADO</v>
      </c>
      <c r="CB14" s="16" t="s">
        <v>9312</v>
      </c>
    </row>
    <row r="15" spans="1:80" ht="39.75" customHeight="1">
      <c r="A15" s="110" t="s">
        <v>9313</v>
      </c>
      <c r="B15" s="17" t="s">
        <v>104</v>
      </c>
      <c r="C15" s="18" t="s">
        <v>9314</v>
      </c>
      <c r="D15" s="17" t="s">
        <v>106</v>
      </c>
      <c r="E15" s="17" t="s">
        <v>1426</v>
      </c>
      <c r="F15" s="17" t="s">
        <v>1427</v>
      </c>
      <c r="G15" s="19" t="s">
        <v>9315</v>
      </c>
      <c r="H15" s="16" t="s">
        <v>9316</v>
      </c>
      <c r="I15" s="16" t="s">
        <v>9317</v>
      </c>
      <c r="J15" s="16">
        <v>17172323</v>
      </c>
      <c r="K15" s="20" t="s">
        <v>9318</v>
      </c>
      <c r="L15" s="16"/>
      <c r="M15" s="21">
        <v>44453</v>
      </c>
      <c r="N15" s="22">
        <v>44461</v>
      </c>
      <c r="O15" s="22">
        <v>44561</v>
      </c>
      <c r="P15" s="23">
        <f t="shared" si="0"/>
        <v>100</v>
      </c>
      <c r="Q15" s="16" t="s">
        <v>9319</v>
      </c>
      <c r="R15" s="24">
        <v>220515200</v>
      </c>
      <c r="S15" s="16" t="s">
        <v>9320</v>
      </c>
      <c r="T15" s="24">
        <v>142000000</v>
      </c>
      <c r="U15" s="24"/>
      <c r="V15" s="17" t="s">
        <v>116</v>
      </c>
      <c r="W15" s="23" t="str">
        <f>IFERROR(VLOOKUP(V15,Listas!$A$1:$C$14,2,FALSE),"")</f>
        <v>FREDY CÉSPEDES VILLA</v>
      </c>
      <c r="X15" s="23">
        <f>IFERROR(VLOOKUP(V15,Listas!$A$1:$C$14,3,FALSE),"")</f>
        <v>93363483</v>
      </c>
      <c r="Y15" s="17" t="s">
        <v>116</v>
      </c>
      <c r="Z15" s="17" t="s">
        <v>484</v>
      </c>
      <c r="AA15" s="23" t="str">
        <f>IFERROR(VLOOKUP(Z15,Listas!$AD$1:$AF$65,2,FALSE),"")</f>
        <v>JAIME ANDRES GIL ACOSTA</v>
      </c>
      <c r="AB15" s="23">
        <f>IFERROR(VLOOKUP(Z15,Listas!$AD$1:$AF$65,3,FALSE),"")</f>
        <v>98622827</v>
      </c>
      <c r="AC15" s="17" t="s">
        <v>9228</v>
      </c>
      <c r="AD15" s="17" t="s">
        <v>515</v>
      </c>
      <c r="AE15" s="17" t="s">
        <v>121</v>
      </c>
      <c r="AF15" s="27"/>
      <c r="AG15" s="19"/>
      <c r="AH15" s="27"/>
      <c r="AI15" s="16"/>
      <c r="AJ15" s="27"/>
      <c r="AK15" s="16"/>
      <c r="AL15" s="28">
        <f t="shared" si="1"/>
        <v>0</v>
      </c>
      <c r="AM15" s="29"/>
      <c r="AN15" s="27"/>
      <c r="AO15" s="30">
        <f t="shared" si="2"/>
        <v>100</v>
      </c>
      <c r="AP15" s="31">
        <f t="shared" si="3"/>
        <v>44561</v>
      </c>
      <c r="AQ15" s="27"/>
      <c r="AR15" s="16"/>
      <c r="AS15" s="27"/>
      <c r="AT15" s="16"/>
      <c r="AU15" s="27"/>
      <c r="AV15" s="16"/>
      <c r="AW15" s="27"/>
      <c r="AX15" s="16"/>
      <c r="AY15" s="27"/>
      <c r="AZ15" s="24"/>
      <c r="BA15" s="24"/>
      <c r="BB15" s="24"/>
      <c r="BC15" s="32"/>
      <c r="BD15" s="27"/>
      <c r="BE15" s="24"/>
      <c r="BF15" s="24"/>
      <c r="BG15" s="24"/>
      <c r="BH15" s="16"/>
      <c r="BI15" s="27"/>
      <c r="BJ15" s="24"/>
      <c r="BK15" s="24"/>
      <c r="BL15" s="24"/>
      <c r="BM15" s="16"/>
      <c r="BN15" s="61">
        <f t="shared" si="4"/>
        <v>0</v>
      </c>
      <c r="BO15" s="27"/>
      <c r="BP15" s="24"/>
      <c r="BQ15" s="24"/>
      <c r="BR15" s="16"/>
      <c r="BS15" s="61">
        <f t="shared" si="10"/>
        <v>142000000</v>
      </c>
      <c r="BT15" s="62">
        <v>132739130</v>
      </c>
      <c r="BU15" s="69">
        <f t="shared" ca="1" si="5"/>
        <v>142000000</v>
      </c>
      <c r="BV15" s="33">
        <f t="shared" ca="1" si="6"/>
        <v>1</v>
      </c>
      <c r="BW15" s="33">
        <v>1</v>
      </c>
      <c r="BX15" s="60">
        <f t="shared" ca="1" si="7"/>
        <v>100</v>
      </c>
      <c r="BY15" s="34">
        <f t="shared" si="8"/>
        <v>93.478260563380275</v>
      </c>
      <c r="BZ15" s="21">
        <v>45412</v>
      </c>
      <c r="CA15" s="35" t="str">
        <f t="shared" ca="1" si="9"/>
        <v>LIQUIDADO</v>
      </c>
      <c r="CB15" s="16"/>
    </row>
    <row r="16" spans="1:80" ht="39.75" customHeight="1">
      <c r="A16" s="110" t="s">
        <v>9321</v>
      </c>
      <c r="B16" s="17" t="s">
        <v>5814</v>
      </c>
      <c r="C16" s="18" t="s">
        <v>9322</v>
      </c>
      <c r="D16" s="17" t="s">
        <v>106</v>
      </c>
      <c r="E16" s="17" t="s">
        <v>1426</v>
      </c>
      <c r="F16" s="17" t="s">
        <v>1427</v>
      </c>
      <c r="G16" s="19" t="s">
        <v>9323</v>
      </c>
      <c r="H16" s="16" t="s">
        <v>9324</v>
      </c>
      <c r="I16" s="16" t="s">
        <v>9325</v>
      </c>
      <c r="J16" s="16"/>
      <c r="K16" s="20" t="s">
        <v>8453</v>
      </c>
      <c r="L16" s="16" t="s">
        <v>111</v>
      </c>
      <c r="M16" s="21">
        <v>44299</v>
      </c>
      <c r="N16" s="22">
        <v>44306</v>
      </c>
      <c r="O16" s="22">
        <v>44561</v>
      </c>
      <c r="P16" s="23">
        <f t="shared" si="0"/>
        <v>255</v>
      </c>
      <c r="Q16" s="16" t="s">
        <v>9326</v>
      </c>
      <c r="R16" s="24">
        <v>40000000</v>
      </c>
      <c r="S16" s="16" t="s">
        <v>6690</v>
      </c>
      <c r="T16" s="24">
        <v>23815000</v>
      </c>
      <c r="U16" s="24"/>
      <c r="V16" s="17" t="s">
        <v>116</v>
      </c>
      <c r="W16" s="23" t="str">
        <f>IFERROR(VLOOKUP(V16,Listas!$A$1:$C$14,2,FALSE),"")</f>
        <v>FREDY CÉSPEDES VILLA</v>
      </c>
      <c r="X16" s="23">
        <f>IFERROR(VLOOKUP(V16,Listas!$A$1:$C$14,3,FALSE),"")</f>
        <v>93363483</v>
      </c>
      <c r="Y16" s="17" t="s">
        <v>116</v>
      </c>
      <c r="Z16" s="17" t="s">
        <v>2309</v>
      </c>
      <c r="AA16" s="23" t="str">
        <f>IFERROR(VLOOKUP(Z16,Listas!$AD$1:$AF$65,2,FALSE),"")</f>
        <v>YURY NAYIBE LADINO</v>
      </c>
      <c r="AB16" s="23">
        <f>IFERROR(VLOOKUP(Z16,Listas!$AD$1:$AF$65,3,FALSE),"")</f>
        <v>1013587191</v>
      </c>
      <c r="AC16" s="17" t="s">
        <v>9228</v>
      </c>
      <c r="AD16" s="17" t="s">
        <v>515</v>
      </c>
      <c r="AE16" s="17" t="s">
        <v>121</v>
      </c>
      <c r="AF16" s="27"/>
      <c r="AG16" s="19"/>
      <c r="AH16" s="27"/>
      <c r="AI16" s="16"/>
      <c r="AJ16" s="27"/>
      <c r="AK16" s="16"/>
      <c r="AL16" s="28">
        <f t="shared" si="1"/>
        <v>0</v>
      </c>
      <c r="AM16" s="29"/>
      <c r="AN16" s="27"/>
      <c r="AO16" s="30">
        <f t="shared" si="2"/>
        <v>255</v>
      </c>
      <c r="AP16" s="31">
        <f t="shared" si="3"/>
        <v>44561</v>
      </c>
      <c r="AQ16" s="27"/>
      <c r="AR16" s="16"/>
      <c r="AS16" s="27"/>
      <c r="AT16" s="16"/>
      <c r="AU16" s="27"/>
      <c r="AV16" s="16"/>
      <c r="AW16" s="27"/>
      <c r="AX16" s="16"/>
      <c r="AY16" s="27"/>
      <c r="AZ16" s="24"/>
      <c r="BA16" s="24"/>
      <c r="BB16" s="24"/>
      <c r="BC16" s="32"/>
      <c r="BD16" s="27"/>
      <c r="BE16" s="24"/>
      <c r="BF16" s="24"/>
      <c r="BG16" s="24"/>
      <c r="BH16" s="16"/>
      <c r="BI16" s="27"/>
      <c r="BJ16" s="24"/>
      <c r="BK16" s="24"/>
      <c r="BL16" s="24"/>
      <c r="BM16" s="16"/>
      <c r="BN16" s="61">
        <f t="shared" si="4"/>
        <v>0</v>
      </c>
      <c r="BO16" s="27"/>
      <c r="BP16" s="24"/>
      <c r="BQ16" s="24"/>
      <c r="BR16" s="16"/>
      <c r="BS16" s="61">
        <f t="shared" si="10"/>
        <v>23815000</v>
      </c>
      <c r="BT16" s="62">
        <v>19343000</v>
      </c>
      <c r="BU16" s="69">
        <f t="shared" ca="1" si="5"/>
        <v>23815000</v>
      </c>
      <c r="BV16" s="33">
        <f t="shared" ca="1" si="6"/>
        <v>1</v>
      </c>
      <c r="BW16" s="33">
        <v>1</v>
      </c>
      <c r="BX16" s="60">
        <f t="shared" ca="1" si="7"/>
        <v>100</v>
      </c>
      <c r="BY16" s="34">
        <f t="shared" si="8"/>
        <v>81.22191895863952</v>
      </c>
      <c r="BZ16" s="21">
        <v>45412</v>
      </c>
      <c r="CA16" s="35" t="str">
        <f t="shared" ca="1" si="9"/>
        <v>LIQUIDADO</v>
      </c>
      <c r="CB16" s="16" t="s">
        <v>9327</v>
      </c>
    </row>
    <row r="17" spans="1:80" ht="39.75" customHeight="1">
      <c r="A17" s="110" t="s">
        <v>9328</v>
      </c>
      <c r="B17" s="17" t="s">
        <v>104</v>
      </c>
      <c r="C17" s="18" t="s">
        <v>9329</v>
      </c>
      <c r="D17" s="17" t="s">
        <v>106</v>
      </c>
      <c r="E17" s="17" t="s">
        <v>1426</v>
      </c>
      <c r="F17" s="17" t="s">
        <v>1427</v>
      </c>
      <c r="G17" s="19" t="s">
        <v>7375</v>
      </c>
      <c r="H17" s="16" t="s">
        <v>9330</v>
      </c>
      <c r="I17" s="16" t="s">
        <v>5630</v>
      </c>
      <c r="J17" s="16">
        <v>51704713</v>
      </c>
      <c r="K17" s="20" t="s">
        <v>9331</v>
      </c>
      <c r="L17" s="16"/>
      <c r="M17" s="21">
        <v>44286</v>
      </c>
      <c r="N17" s="22">
        <v>44295</v>
      </c>
      <c r="O17" s="22">
        <v>44561</v>
      </c>
      <c r="P17" s="23">
        <f t="shared" si="0"/>
        <v>266</v>
      </c>
      <c r="Q17" s="16" t="s">
        <v>9332</v>
      </c>
      <c r="R17" s="24">
        <v>70760135</v>
      </c>
      <c r="S17" s="16" t="s">
        <v>9333</v>
      </c>
      <c r="T17" s="24">
        <v>70760135</v>
      </c>
      <c r="U17" s="24"/>
      <c r="V17" s="17" t="s">
        <v>116</v>
      </c>
      <c r="W17" s="23" t="str">
        <f>IFERROR(VLOOKUP(V17,Listas!$A$1:$C$14,2,FALSE),"")</f>
        <v>FREDY CÉSPEDES VILLA</v>
      </c>
      <c r="X17" s="23">
        <f>IFERROR(VLOOKUP(V17,Listas!$A$1:$C$14,3,FALSE),"")</f>
        <v>93363483</v>
      </c>
      <c r="Y17" s="17" t="s">
        <v>116</v>
      </c>
      <c r="Z17" s="17" t="s">
        <v>2309</v>
      </c>
      <c r="AA17" s="23" t="str">
        <f>IFERROR(VLOOKUP(Z17,Listas!$AD$1:$AF$65,2,FALSE),"")</f>
        <v>YURY NAYIBE LADINO</v>
      </c>
      <c r="AB17" s="23">
        <f>IFERROR(VLOOKUP(Z17,Listas!$AD$1:$AF$65,3,FALSE),"")</f>
        <v>1013587191</v>
      </c>
      <c r="AC17" s="17" t="s">
        <v>9228</v>
      </c>
      <c r="AD17" s="17" t="s">
        <v>515</v>
      </c>
      <c r="AE17" s="17" t="s">
        <v>121</v>
      </c>
      <c r="AF17" s="27"/>
      <c r="AG17" s="19"/>
      <c r="AH17" s="27"/>
      <c r="AI17" s="16"/>
      <c r="AJ17" s="27"/>
      <c r="AK17" s="16"/>
      <c r="AL17" s="28">
        <f t="shared" si="1"/>
        <v>0</v>
      </c>
      <c r="AM17" s="29"/>
      <c r="AN17" s="27"/>
      <c r="AO17" s="30">
        <f t="shared" si="2"/>
        <v>266</v>
      </c>
      <c r="AP17" s="31">
        <f t="shared" si="3"/>
        <v>44561</v>
      </c>
      <c r="AQ17" s="27"/>
      <c r="AR17" s="16"/>
      <c r="AS17" s="27"/>
      <c r="AT17" s="16"/>
      <c r="AU17" s="27"/>
      <c r="AV17" s="16"/>
      <c r="AW17" s="27"/>
      <c r="AX17" s="16"/>
      <c r="AY17" s="27"/>
      <c r="AZ17" s="24"/>
      <c r="BA17" s="24"/>
      <c r="BB17" s="24"/>
      <c r="BC17" s="32"/>
      <c r="BD17" s="27"/>
      <c r="BE17" s="24"/>
      <c r="BF17" s="24"/>
      <c r="BG17" s="24"/>
      <c r="BH17" s="16"/>
      <c r="BI17" s="27"/>
      <c r="BJ17" s="24"/>
      <c r="BK17" s="24"/>
      <c r="BL17" s="24"/>
      <c r="BM17" s="16"/>
      <c r="BN17" s="61">
        <f t="shared" si="4"/>
        <v>0</v>
      </c>
      <c r="BO17" s="27"/>
      <c r="BP17" s="24"/>
      <c r="BQ17" s="24"/>
      <c r="BR17" s="16"/>
      <c r="BS17" s="61">
        <f t="shared" si="10"/>
        <v>70760135</v>
      </c>
      <c r="BT17" s="62">
        <v>70052496</v>
      </c>
      <c r="BU17" s="69">
        <f t="shared" ca="1" si="5"/>
        <v>70760135</v>
      </c>
      <c r="BV17" s="33">
        <f t="shared" ca="1" si="6"/>
        <v>1</v>
      </c>
      <c r="BW17" s="33">
        <v>1</v>
      </c>
      <c r="BX17" s="60">
        <f t="shared" ca="1" si="7"/>
        <v>100</v>
      </c>
      <c r="BY17" s="34">
        <f t="shared" si="8"/>
        <v>98.999946792074383</v>
      </c>
      <c r="BZ17" s="21">
        <v>45412</v>
      </c>
      <c r="CA17" s="35" t="str">
        <f t="shared" ca="1" si="9"/>
        <v>LIQUIDADO</v>
      </c>
      <c r="CB17" s="16"/>
    </row>
    <row r="18" spans="1:80" ht="39.75" customHeight="1">
      <c r="A18" s="110" t="s">
        <v>9334</v>
      </c>
      <c r="B18" s="17" t="s">
        <v>104</v>
      </c>
      <c r="C18" s="18" t="s">
        <v>9335</v>
      </c>
      <c r="D18" s="17" t="s">
        <v>8840</v>
      </c>
      <c r="E18" s="17" t="s">
        <v>1426</v>
      </c>
      <c r="F18" s="17" t="s">
        <v>1427</v>
      </c>
      <c r="G18" s="19" t="s">
        <v>9336</v>
      </c>
      <c r="H18" s="16" t="s">
        <v>5600</v>
      </c>
      <c r="I18" s="16"/>
      <c r="J18" s="16"/>
      <c r="K18" s="20" t="s">
        <v>9337</v>
      </c>
      <c r="L18" s="16"/>
      <c r="M18" s="21">
        <v>44264</v>
      </c>
      <c r="N18" s="22">
        <v>44270</v>
      </c>
      <c r="O18" s="22">
        <v>44561</v>
      </c>
      <c r="P18" s="23">
        <f t="shared" si="0"/>
        <v>291</v>
      </c>
      <c r="Q18" s="16" t="s">
        <v>9338</v>
      </c>
      <c r="R18" s="24">
        <v>23346667</v>
      </c>
      <c r="S18" s="16" t="s">
        <v>9339</v>
      </c>
      <c r="T18" s="24">
        <v>23346667</v>
      </c>
      <c r="U18" s="24"/>
      <c r="V18" s="17" t="s">
        <v>116</v>
      </c>
      <c r="W18" s="23" t="str">
        <f>IFERROR(VLOOKUP(V18,Listas!$A$1:$C$14,2,FALSE),"")</f>
        <v>FREDY CÉSPEDES VILLA</v>
      </c>
      <c r="X18" s="23">
        <f>IFERROR(VLOOKUP(V18,Listas!$A$1:$C$14,3,FALSE),"")</f>
        <v>93363483</v>
      </c>
      <c r="Y18" s="17" t="s">
        <v>116</v>
      </c>
      <c r="Z18" s="17" t="s">
        <v>972</v>
      </c>
      <c r="AA18" s="23" t="str">
        <f>IFERROR(VLOOKUP(Z18,Listas!$AD$1:$AF$65,2,FALSE),"")</f>
        <v>LUZ MARIELLY MORALES MARTÍNEZ</v>
      </c>
      <c r="AB18" s="23">
        <f>IFERROR(VLOOKUP(Z18,Listas!$AD$1:$AF$65,3,FALSE),"")</f>
        <v>24497384</v>
      </c>
      <c r="AC18" s="17" t="s">
        <v>9228</v>
      </c>
      <c r="AD18" s="17" t="s">
        <v>515</v>
      </c>
      <c r="AE18" s="17" t="s">
        <v>121</v>
      </c>
      <c r="AF18" s="27"/>
      <c r="AG18" s="19"/>
      <c r="AH18" s="27"/>
      <c r="AI18" s="16"/>
      <c r="AJ18" s="27"/>
      <c r="AK18" s="16"/>
      <c r="AL18" s="28">
        <f t="shared" si="1"/>
        <v>0</v>
      </c>
      <c r="AM18" s="29"/>
      <c r="AN18" s="27"/>
      <c r="AO18" s="30">
        <f t="shared" si="2"/>
        <v>291</v>
      </c>
      <c r="AP18" s="31">
        <f t="shared" si="3"/>
        <v>44561</v>
      </c>
      <c r="AQ18" s="27"/>
      <c r="AR18" s="16"/>
      <c r="AS18" s="27"/>
      <c r="AT18" s="16"/>
      <c r="AU18" s="27"/>
      <c r="AV18" s="16"/>
      <c r="AW18" s="27"/>
      <c r="AX18" s="16"/>
      <c r="AY18" s="27"/>
      <c r="AZ18" s="24">
        <v>11673333</v>
      </c>
      <c r="BA18" s="24"/>
      <c r="BB18" s="24"/>
      <c r="BC18" s="32"/>
      <c r="BD18" s="61"/>
      <c r="BE18" s="61"/>
      <c r="BF18" s="62"/>
      <c r="BG18" s="69"/>
      <c r="BH18" s="33"/>
      <c r="BI18" s="33"/>
      <c r="BJ18" s="60"/>
      <c r="BK18" s="34"/>
      <c r="BL18" s="21"/>
      <c r="BM18" s="35"/>
      <c r="BN18" s="61">
        <f t="shared" si="4"/>
        <v>11673333</v>
      </c>
      <c r="BO18" s="16"/>
      <c r="BS18" s="61">
        <f t="shared" si="10"/>
        <v>35020000</v>
      </c>
      <c r="BT18" s="62">
        <v>33769900</v>
      </c>
      <c r="BU18" s="69">
        <f t="shared" ca="1" si="5"/>
        <v>35020000</v>
      </c>
      <c r="BV18" s="33">
        <f t="shared" ca="1" si="6"/>
        <v>1</v>
      </c>
      <c r="BW18" s="33">
        <v>1</v>
      </c>
      <c r="BX18" s="60">
        <f t="shared" ca="1" si="7"/>
        <v>100</v>
      </c>
      <c r="BY18" s="34">
        <f t="shared" si="8"/>
        <v>96.430325528269549</v>
      </c>
      <c r="BZ18" s="21">
        <v>45412</v>
      </c>
      <c r="CA18" s="35" t="str">
        <f t="shared" ca="1" si="9"/>
        <v>LIQUIDADO</v>
      </c>
      <c r="CB18" s="16" t="s">
        <v>9340</v>
      </c>
    </row>
    <row r="19" spans="1:80" ht="51">
      <c r="A19" s="110" t="s">
        <v>9341</v>
      </c>
      <c r="B19" s="17" t="s">
        <v>1423</v>
      </c>
      <c r="C19" s="18" t="s">
        <v>1424</v>
      </c>
      <c r="D19" s="17" t="s">
        <v>106</v>
      </c>
      <c r="E19" s="17" t="s">
        <v>1426</v>
      </c>
      <c r="F19" s="17" t="s">
        <v>1427</v>
      </c>
      <c r="G19" s="19">
        <v>900930074</v>
      </c>
      <c r="H19" s="16" t="s">
        <v>9279</v>
      </c>
      <c r="I19" s="16"/>
      <c r="J19" s="16"/>
      <c r="K19" s="20" t="s">
        <v>9280</v>
      </c>
      <c r="L19" s="16"/>
      <c r="M19" s="21">
        <v>44302</v>
      </c>
      <c r="N19" s="22">
        <v>44302</v>
      </c>
      <c r="O19" s="22">
        <v>44560</v>
      </c>
      <c r="P19" s="23">
        <f t="shared" si="0"/>
        <v>258</v>
      </c>
      <c r="Q19" s="16"/>
      <c r="R19" s="24">
        <v>85506297</v>
      </c>
      <c r="S19" s="16" t="s">
        <v>6265</v>
      </c>
      <c r="T19" s="24">
        <v>10007430</v>
      </c>
      <c r="U19" s="24"/>
      <c r="V19" s="17" t="s">
        <v>116</v>
      </c>
      <c r="W19" s="23" t="str">
        <f>IFERROR(VLOOKUP(V19,Listas!$A$1:$C$14,2,FALSE),"")</f>
        <v>FREDY CÉSPEDES VILLA</v>
      </c>
      <c r="X19" s="23">
        <f>IFERROR(VLOOKUP(V19,Listas!$A$1:$C$14,3,FALSE),"")</f>
        <v>93363483</v>
      </c>
      <c r="Y19" s="17" t="s">
        <v>116</v>
      </c>
      <c r="Z19" s="17" t="s">
        <v>2309</v>
      </c>
      <c r="AA19" s="23" t="str">
        <f>IFERROR(VLOOKUP(Z19,Listas!$AD$1:$AF$65,2,FALSE),"")</f>
        <v>YURY NAYIBE LADINO</v>
      </c>
      <c r="AB19" s="23">
        <f>IFERROR(VLOOKUP(Z19,Listas!$AD$1:$AF$65,3,FALSE),"")</f>
        <v>1013587191</v>
      </c>
      <c r="AC19" s="17" t="s">
        <v>9228</v>
      </c>
      <c r="AD19" s="17" t="s">
        <v>515</v>
      </c>
      <c r="AE19" s="17" t="s">
        <v>121</v>
      </c>
      <c r="AF19" s="27"/>
      <c r="AG19" s="19"/>
      <c r="AH19" s="27"/>
      <c r="AI19" s="16"/>
      <c r="AJ19" s="27"/>
      <c r="AK19" s="16"/>
      <c r="AL19" s="28">
        <f t="shared" si="1"/>
        <v>0</v>
      </c>
      <c r="AM19" s="29"/>
      <c r="AN19" s="27"/>
      <c r="AO19" s="30">
        <f t="shared" si="2"/>
        <v>258</v>
      </c>
      <c r="AP19" s="31">
        <f t="shared" si="3"/>
        <v>44560</v>
      </c>
      <c r="AQ19" s="27"/>
      <c r="AR19" s="16"/>
      <c r="AS19" s="27"/>
      <c r="AT19" s="16"/>
      <c r="AU19" s="27"/>
      <c r="AV19" s="16"/>
      <c r="AW19" s="27"/>
      <c r="AX19" s="16"/>
      <c r="AY19" s="27"/>
      <c r="AZ19" s="24"/>
      <c r="BA19" s="24"/>
      <c r="BB19" s="24"/>
      <c r="BC19" s="32"/>
      <c r="BD19" s="27"/>
      <c r="BE19" s="24"/>
      <c r="BF19" s="24"/>
      <c r="BG19" s="24"/>
      <c r="BH19" s="16"/>
      <c r="BI19" s="27"/>
      <c r="BJ19" s="24"/>
      <c r="BK19" s="24"/>
      <c r="BL19" s="24"/>
      <c r="BM19" s="16"/>
      <c r="BN19" s="61">
        <f t="shared" si="4"/>
        <v>0</v>
      </c>
      <c r="BO19" s="27"/>
      <c r="BP19" s="24"/>
      <c r="BQ19" s="24"/>
      <c r="BR19" s="16"/>
      <c r="BS19" s="61">
        <f t="shared" si="10"/>
        <v>10007430</v>
      </c>
      <c r="BT19" s="62">
        <v>732896</v>
      </c>
      <c r="BU19" s="69">
        <f t="shared" ca="1" si="5"/>
        <v>10007430</v>
      </c>
      <c r="BV19" s="33">
        <f t="shared" ca="1" si="6"/>
        <v>1</v>
      </c>
      <c r="BW19" s="33">
        <v>1</v>
      </c>
      <c r="BX19" s="60">
        <f t="shared" ca="1" si="7"/>
        <v>100</v>
      </c>
      <c r="BY19" s="34">
        <f t="shared" si="8"/>
        <v>7.3235186256611335</v>
      </c>
      <c r="BZ19" s="21">
        <v>45412</v>
      </c>
      <c r="CA19" s="35" t="str">
        <f t="shared" ca="1" si="9"/>
        <v>LIQUIDADO</v>
      </c>
      <c r="CB19" s="16"/>
    </row>
    <row r="20" spans="1:80" ht="51">
      <c r="A20" s="110" t="s">
        <v>9342</v>
      </c>
      <c r="B20" s="17" t="s">
        <v>104</v>
      </c>
      <c r="C20" s="18" t="s">
        <v>9343</v>
      </c>
      <c r="D20" s="17" t="s">
        <v>106</v>
      </c>
      <c r="E20" s="17" t="s">
        <v>1426</v>
      </c>
      <c r="F20" s="17" t="s">
        <v>1427</v>
      </c>
      <c r="G20" s="19" t="s">
        <v>9344</v>
      </c>
      <c r="H20" s="16" t="s">
        <v>9345</v>
      </c>
      <c r="I20" s="16" t="s">
        <v>9346</v>
      </c>
      <c r="J20" s="16" t="s">
        <v>9347</v>
      </c>
      <c r="K20" s="20" t="s">
        <v>9348</v>
      </c>
      <c r="L20" s="16" t="s">
        <v>111</v>
      </c>
      <c r="M20" s="21">
        <v>44442</v>
      </c>
      <c r="N20" s="22">
        <v>44445</v>
      </c>
      <c r="O20" s="22">
        <v>44810</v>
      </c>
      <c r="P20" s="23">
        <v>365</v>
      </c>
      <c r="Q20" s="16" t="s">
        <v>9349</v>
      </c>
      <c r="R20" s="24">
        <v>23213384</v>
      </c>
      <c r="S20" s="16" t="s">
        <v>2812</v>
      </c>
      <c r="T20" s="24">
        <v>13900000</v>
      </c>
      <c r="U20" s="24"/>
      <c r="V20" s="17" t="s">
        <v>116</v>
      </c>
      <c r="W20" s="23" t="s">
        <v>4078</v>
      </c>
      <c r="X20" s="23">
        <v>93363483</v>
      </c>
      <c r="Y20" s="17" t="s">
        <v>282</v>
      </c>
      <c r="Z20" s="17" t="s">
        <v>2513</v>
      </c>
      <c r="AA20" s="23" t="s">
        <v>9350</v>
      </c>
      <c r="AB20" s="23">
        <v>51917861</v>
      </c>
      <c r="AC20" s="17" t="s">
        <v>9261</v>
      </c>
      <c r="AD20" s="17" t="s">
        <v>515</v>
      </c>
      <c r="AE20" s="17" t="s">
        <v>121</v>
      </c>
      <c r="AF20" s="27"/>
      <c r="AG20" s="19"/>
      <c r="AH20" s="27"/>
      <c r="AI20" s="16"/>
      <c r="AJ20" s="27"/>
      <c r="AK20" s="16"/>
      <c r="AL20" s="28">
        <f t="shared" si="1"/>
        <v>0</v>
      </c>
      <c r="AM20" s="29"/>
      <c r="AN20" s="27"/>
      <c r="AO20" s="30">
        <f t="shared" si="2"/>
        <v>365</v>
      </c>
      <c r="AP20" s="31">
        <f t="shared" si="3"/>
        <v>44810</v>
      </c>
      <c r="AQ20" s="27"/>
      <c r="AR20" s="16"/>
      <c r="AS20" s="27"/>
      <c r="AT20" s="16"/>
      <c r="AU20" s="27"/>
      <c r="AV20" s="16"/>
      <c r="AW20" s="27"/>
      <c r="AX20" s="16"/>
      <c r="AY20" s="27"/>
      <c r="AZ20" s="24"/>
      <c r="BA20" s="24"/>
      <c r="BB20" s="24"/>
      <c r="BC20" s="32"/>
      <c r="BD20" s="27"/>
      <c r="BE20" s="24"/>
      <c r="BF20" s="24"/>
      <c r="BG20" s="24"/>
      <c r="BH20" s="16"/>
      <c r="BI20" s="27"/>
      <c r="BJ20" s="24"/>
      <c r="BK20" s="24"/>
      <c r="BL20" s="24"/>
      <c r="BM20" s="16"/>
      <c r="BN20" s="61">
        <f t="shared" si="4"/>
        <v>0</v>
      </c>
      <c r="BO20" s="27"/>
      <c r="BP20" s="24"/>
      <c r="BQ20" s="24"/>
      <c r="BR20" s="16"/>
      <c r="BS20" s="61">
        <f t="shared" si="10"/>
        <v>13900000</v>
      </c>
      <c r="BT20" s="62" t="s">
        <v>9351</v>
      </c>
      <c r="BU20" s="69">
        <f t="shared" ca="1" si="5"/>
        <v>13900000</v>
      </c>
      <c r="BV20" s="33">
        <f t="shared" ca="1" si="6"/>
        <v>1</v>
      </c>
      <c r="BW20" s="33">
        <v>1</v>
      </c>
      <c r="BX20" s="60">
        <f t="shared" ca="1" si="7"/>
        <v>100</v>
      </c>
      <c r="BY20" s="34" t="str">
        <f t="shared" si="8"/>
        <v/>
      </c>
      <c r="BZ20" s="21">
        <v>45427</v>
      </c>
      <c r="CA20" s="35" t="str">
        <f t="shared" ca="1" si="9"/>
        <v>LIQUIDADO</v>
      </c>
      <c r="CB20" s="16"/>
    </row>
    <row r="21" spans="1:80" ht="45">
      <c r="A21" s="110" t="s">
        <v>9352</v>
      </c>
      <c r="B21" s="17" t="s">
        <v>1423</v>
      </c>
      <c r="C21" s="18"/>
      <c r="D21" s="17" t="s">
        <v>106</v>
      </c>
      <c r="E21" s="17" t="s">
        <v>1426</v>
      </c>
      <c r="F21" s="17" t="s">
        <v>1427</v>
      </c>
      <c r="G21" s="19" t="s">
        <v>9353</v>
      </c>
      <c r="H21" s="16" t="s">
        <v>9354</v>
      </c>
      <c r="I21" s="16" t="s">
        <v>9355</v>
      </c>
      <c r="J21" s="16" t="s">
        <v>9356</v>
      </c>
      <c r="K21" s="20" t="s">
        <v>9357</v>
      </c>
      <c r="L21" s="16" t="s">
        <v>111</v>
      </c>
      <c r="M21" s="21">
        <v>44215</v>
      </c>
      <c r="N21" s="22">
        <v>44215</v>
      </c>
      <c r="O21" s="22">
        <v>44579</v>
      </c>
      <c r="P21" s="23">
        <v>364</v>
      </c>
      <c r="Q21" s="16" t="s">
        <v>9358</v>
      </c>
      <c r="R21" s="24"/>
      <c r="S21" s="16"/>
      <c r="T21" s="24">
        <v>782922667</v>
      </c>
      <c r="U21" s="24"/>
      <c r="V21" s="17" t="s">
        <v>116</v>
      </c>
      <c r="W21" s="23" t="s">
        <v>4078</v>
      </c>
      <c r="X21" s="23">
        <v>93363483</v>
      </c>
      <c r="Y21" s="17" t="s">
        <v>816</v>
      </c>
      <c r="Z21" s="17" t="s">
        <v>2577</v>
      </c>
      <c r="AA21" s="23" t="s">
        <v>9359</v>
      </c>
      <c r="AB21" s="23">
        <v>79352968</v>
      </c>
      <c r="AC21" s="17" t="s">
        <v>9282</v>
      </c>
      <c r="AD21" s="17" t="s">
        <v>515</v>
      </c>
      <c r="AE21" s="17" t="s">
        <v>121</v>
      </c>
      <c r="AF21" s="27"/>
      <c r="AG21" s="19"/>
      <c r="AH21" s="27"/>
      <c r="AI21" s="16"/>
      <c r="AJ21" s="27"/>
      <c r="AK21" s="16"/>
      <c r="AL21" s="28">
        <f t="shared" si="1"/>
        <v>0</v>
      </c>
      <c r="AM21" s="29"/>
      <c r="AN21" s="27"/>
      <c r="AO21" s="30">
        <f t="shared" si="2"/>
        <v>364</v>
      </c>
      <c r="AP21" s="31">
        <f t="shared" si="3"/>
        <v>44579</v>
      </c>
      <c r="AQ21" s="27"/>
      <c r="AR21" s="16"/>
      <c r="AS21" s="27"/>
      <c r="AT21" s="16"/>
      <c r="AU21" s="27"/>
      <c r="AV21" s="16"/>
      <c r="AW21" s="27"/>
      <c r="AX21" s="16"/>
      <c r="AY21" s="27"/>
      <c r="AZ21" s="24"/>
      <c r="BA21" s="24"/>
      <c r="BB21" s="24"/>
      <c r="BC21" s="32"/>
      <c r="BD21" s="27"/>
      <c r="BE21" s="24"/>
      <c r="BF21" s="24"/>
      <c r="BG21" s="24"/>
      <c r="BH21" s="16"/>
      <c r="BI21" s="27"/>
      <c r="BJ21" s="24"/>
      <c r="BK21" s="24"/>
      <c r="BL21" s="24"/>
      <c r="BM21" s="16"/>
      <c r="BN21" s="61">
        <f t="shared" si="4"/>
        <v>0</v>
      </c>
      <c r="BO21" s="27"/>
      <c r="BP21" s="24"/>
      <c r="BQ21" s="24"/>
      <c r="BR21" s="16"/>
      <c r="BS21" s="61">
        <f t="shared" si="10"/>
        <v>782922667</v>
      </c>
      <c r="BT21" s="62" t="s">
        <v>9360</v>
      </c>
      <c r="BU21" s="69">
        <f t="shared" ca="1" si="5"/>
        <v>782922667</v>
      </c>
      <c r="BV21" s="33">
        <f t="shared" ca="1" si="6"/>
        <v>1</v>
      </c>
      <c r="BW21" s="33">
        <v>1</v>
      </c>
      <c r="BX21" s="60">
        <f t="shared" ca="1" si="7"/>
        <v>100</v>
      </c>
      <c r="BY21" s="34" t="str">
        <f t="shared" si="8"/>
        <v/>
      </c>
      <c r="BZ21" s="21">
        <v>45428</v>
      </c>
      <c r="CA21" s="35" t="str">
        <f t="shared" ca="1" si="9"/>
        <v>LIQUIDADO</v>
      </c>
      <c r="CB21" s="16"/>
    </row>
    <row r="22" spans="1:80" ht="45">
      <c r="A22" s="110" t="s">
        <v>9361</v>
      </c>
      <c r="B22" s="17" t="s">
        <v>104</v>
      </c>
      <c r="C22" s="18" t="s">
        <v>9362</v>
      </c>
      <c r="D22" s="17" t="s">
        <v>106</v>
      </c>
      <c r="E22" s="17" t="s">
        <v>1426</v>
      </c>
      <c r="F22" s="17" t="s">
        <v>1427</v>
      </c>
      <c r="G22" s="19" t="s">
        <v>9363</v>
      </c>
      <c r="H22" s="16" t="s">
        <v>9364</v>
      </c>
      <c r="I22" s="16" t="s">
        <v>9365</v>
      </c>
      <c r="J22" s="235">
        <v>32106861</v>
      </c>
      <c r="K22" s="20" t="s">
        <v>9366</v>
      </c>
      <c r="L22" s="16"/>
      <c r="M22" s="21">
        <v>44545</v>
      </c>
      <c r="N22" s="22">
        <v>44564</v>
      </c>
      <c r="O22" s="22">
        <v>44928</v>
      </c>
      <c r="P22" s="23">
        <f t="shared" si="0"/>
        <v>364</v>
      </c>
      <c r="Q22" s="16" t="s">
        <v>9367</v>
      </c>
      <c r="R22" s="24">
        <v>550755804</v>
      </c>
      <c r="S22" s="24"/>
      <c r="T22" s="24">
        <v>527909422</v>
      </c>
      <c r="U22"/>
      <c r="V22" s="17" t="s">
        <v>116</v>
      </c>
      <c r="W22" s="23" t="str">
        <f>IFERROR(VLOOKUP(V22,Listas!$A$1:$C$14,2,FALSE),"")</f>
        <v>FREDY CÉSPEDES VILLA</v>
      </c>
      <c r="X22" s="23">
        <f>IFERROR(VLOOKUP(V22,Listas!$A$1:$C$14,3,FALSE),"")</f>
        <v>93363483</v>
      </c>
      <c r="Y22" s="17" t="s">
        <v>816</v>
      </c>
      <c r="Z22" s="17" t="s">
        <v>2577</v>
      </c>
      <c r="AA22" s="23" t="str">
        <f>IFERROR(VLOOKUP(Z22,Listas!$AD$1:$AF$65,2,FALSE),"")</f>
        <v>VICTOR RAUL BAUTISTA GALINDO</v>
      </c>
      <c r="AB22" s="23">
        <f>IFERROR(VLOOKUP(Z22,Listas!$AD$1:$AF$65,3,FALSE),"")</f>
        <v>79352968</v>
      </c>
      <c r="AC22" s="17" t="s">
        <v>9368</v>
      </c>
      <c r="AD22" s="17" t="s">
        <v>347</v>
      </c>
      <c r="AE22" s="17" t="s">
        <v>121</v>
      </c>
      <c r="AF22" s="27"/>
      <c r="AG22" s="19"/>
      <c r="AH22" s="27"/>
      <c r="AI22" s="16"/>
      <c r="AJ22" s="27"/>
      <c r="AK22" s="16"/>
      <c r="AL22" s="28">
        <f t="shared" si="1"/>
        <v>0</v>
      </c>
      <c r="AM22" s="29"/>
      <c r="AN22" s="27"/>
      <c r="AO22" s="30">
        <f t="shared" si="2"/>
        <v>364</v>
      </c>
      <c r="AP22" s="31">
        <f t="shared" si="3"/>
        <v>44928</v>
      </c>
      <c r="AQ22" s="27"/>
      <c r="AR22" s="16"/>
      <c r="AS22" s="27"/>
      <c r="AT22" s="16"/>
      <c r="AU22" s="27"/>
      <c r="AV22" s="16"/>
      <c r="AW22" s="27"/>
      <c r="AX22" s="16"/>
      <c r="AY22" s="27"/>
      <c r="AZ22" s="24"/>
      <c r="BA22" s="24"/>
      <c r="BB22" s="24"/>
      <c r="BC22" s="32"/>
      <c r="BD22" s="27"/>
      <c r="BE22" s="24"/>
      <c r="BF22" s="24"/>
      <c r="BG22" s="24"/>
      <c r="BH22" s="16"/>
      <c r="BI22" s="27"/>
      <c r="BJ22" s="24"/>
      <c r="BK22" s="24"/>
      <c r="BL22" s="24"/>
      <c r="BM22" s="16"/>
      <c r="BN22" s="61">
        <f t="shared" si="4"/>
        <v>0</v>
      </c>
      <c r="BO22" s="27"/>
      <c r="BP22" s="24"/>
      <c r="BQ22" s="24"/>
      <c r="BR22" s="16"/>
      <c r="BS22" s="61">
        <f>IF(S22=0,(T22+BN22),IF(S22&gt;0,(S22+BN22)))</f>
        <v>527909422</v>
      </c>
      <c r="BT22" s="62">
        <v>463875961.86000001</v>
      </c>
      <c r="BU22" s="69">
        <f t="shared" ca="1" si="5"/>
        <v>527909422</v>
      </c>
      <c r="BV22" s="33">
        <f t="shared" ca="1" si="6"/>
        <v>1</v>
      </c>
      <c r="BW22" s="33">
        <v>1</v>
      </c>
      <c r="BX22" s="60">
        <f t="shared" ca="1" si="7"/>
        <v>100</v>
      </c>
      <c r="BY22" s="34">
        <f t="shared" si="8"/>
        <v>87.870369902206448</v>
      </c>
      <c r="BZ22" s="21">
        <v>45455</v>
      </c>
      <c r="CA22" s="35" t="str">
        <f t="shared" ca="1" si="9"/>
        <v>LIQUIDADO</v>
      </c>
      <c r="CB22" s="16" t="s">
        <v>9369</v>
      </c>
    </row>
    <row r="23" spans="1:80" ht="45">
      <c r="A23" s="110" t="s">
        <v>9370</v>
      </c>
      <c r="B23" s="17" t="s">
        <v>104</v>
      </c>
      <c r="C23" s="18" t="s">
        <v>9371</v>
      </c>
      <c r="D23" s="17" t="s">
        <v>106</v>
      </c>
      <c r="E23" s="17" t="s">
        <v>1426</v>
      </c>
      <c r="F23" s="17" t="s">
        <v>1427</v>
      </c>
      <c r="G23" s="19" t="s">
        <v>9372</v>
      </c>
      <c r="H23" s="16" t="s">
        <v>9373</v>
      </c>
      <c r="I23" s="16" t="s">
        <v>9374</v>
      </c>
      <c r="J23" s="235">
        <v>80919468</v>
      </c>
      <c r="K23" s="20" t="s">
        <v>9375</v>
      </c>
      <c r="L23" s="16" t="s">
        <v>6261</v>
      </c>
      <c r="M23" s="21">
        <v>44463</v>
      </c>
      <c r="N23" s="22">
        <v>44468</v>
      </c>
      <c r="O23" s="22">
        <v>44832</v>
      </c>
      <c r="P23" s="23">
        <f t="shared" si="0"/>
        <v>364</v>
      </c>
      <c r="Q23" s="16" t="s">
        <v>9376</v>
      </c>
      <c r="R23" s="24">
        <v>294740719</v>
      </c>
      <c r="S23" s="16" t="s">
        <v>2812</v>
      </c>
      <c r="T23" s="24">
        <v>272570000</v>
      </c>
      <c r="U23" s="24"/>
      <c r="V23" s="17" t="s">
        <v>116</v>
      </c>
      <c r="W23" s="23" t="str">
        <f>IFERROR(VLOOKUP(V23,Listas!$A$1:$C$14,2,FALSE),"")</f>
        <v>FREDY CÉSPEDES VILLA</v>
      </c>
      <c r="X23" s="23">
        <f>IFERROR(VLOOKUP(V23,Listas!$A$1:$C$14,3,FALSE),"")</f>
        <v>93363483</v>
      </c>
      <c r="Y23" s="17" t="s">
        <v>816</v>
      </c>
      <c r="Z23" s="17" t="s">
        <v>2577</v>
      </c>
      <c r="AA23" s="23" t="str">
        <f>IFERROR(VLOOKUP(Z23,Listas!$AD$1:$AF$65,2,FALSE),"")</f>
        <v>VICTOR RAUL BAUTISTA GALINDO</v>
      </c>
      <c r="AB23" s="23">
        <f>IFERROR(VLOOKUP(Z23,Listas!$AD$1:$AF$65,3,FALSE),"")</f>
        <v>79352968</v>
      </c>
      <c r="AC23" s="17" t="s">
        <v>9368</v>
      </c>
      <c r="AD23" s="17" t="s">
        <v>347</v>
      </c>
      <c r="AE23" s="17" t="s">
        <v>121</v>
      </c>
      <c r="AF23" s="27"/>
      <c r="AG23" s="19"/>
      <c r="AH23" s="27"/>
      <c r="AI23" s="16"/>
      <c r="AJ23" s="27"/>
      <c r="AK23" s="16"/>
      <c r="AL23" s="28">
        <f t="shared" si="1"/>
        <v>0</v>
      </c>
      <c r="AM23" s="29"/>
      <c r="AN23" s="27"/>
      <c r="AO23" s="30">
        <f t="shared" si="2"/>
        <v>364</v>
      </c>
      <c r="AP23" s="31">
        <f t="shared" si="3"/>
        <v>44832</v>
      </c>
      <c r="AQ23" s="27"/>
      <c r="AR23" s="16"/>
      <c r="AS23" s="27"/>
      <c r="AT23" s="16"/>
      <c r="AU23" s="27"/>
      <c r="AV23" s="16"/>
      <c r="AW23" s="27"/>
      <c r="AX23" s="16"/>
      <c r="AY23" s="27"/>
      <c r="AZ23" s="24"/>
      <c r="BA23" s="24"/>
      <c r="BB23" s="24"/>
      <c r="BC23" s="32"/>
      <c r="BD23" s="27"/>
      <c r="BE23" s="24"/>
      <c r="BF23" s="24"/>
      <c r="BG23" s="24"/>
      <c r="BH23" s="16"/>
      <c r="BI23" s="27"/>
      <c r="BJ23" s="24"/>
      <c r="BK23" s="24"/>
      <c r="BL23" s="24"/>
      <c r="BM23" s="16"/>
      <c r="BN23" s="61">
        <f t="shared" si="4"/>
        <v>0</v>
      </c>
      <c r="BO23" s="27"/>
      <c r="BP23" s="24"/>
      <c r="BQ23" s="24"/>
      <c r="BR23" s="16"/>
      <c r="BS23" s="61">
        <f>IF(U23=0,(T23+BN23),IF(U23&gt;0,(U23+BN23)))</f>
        <v>272570000</v>
      </c>
      <c r="BT23" s="62">
        <v>272570000</v>
      </c>
      <c r="BU23" s="69">
        <f t="shared" ca="1" si="5"/>
        <v>272570000</v>
      </c>
      <c r="BV23" s="33">
        <f t="shared" ca="1" si="6"/>
        <v>1</v>
      </c>
      <c r="BW23" s="33">
        <v>1</v>
      </c>
      <c r="BX23" s="60">
        <f t="shared" ca="1" si="7"/>
        <v>100</v>
      </c>
      <c r="BY23" s="34">
        <f t="shared" si="8"/>
        <v>100</v>
      </c>
      <c r="BZ23" s="21">
        <v>45460</v>
      </c>
      <c r="CA23" s="35" t="str">
        <f t="shared" ca="1" si="9"/>
        <v>LIQUIDADO</v>
      </c>
      <c r="CB23" s="16"/>
    </row>
    <row r="24" spans="1:80" ht="39.75" customHeight="1">
      <c r="A24" s="110" t="s">
        <v>9377</v>
      </c>
      <c r="B24" s="17" t="s">
        <v>104</v>
      </c>
      <c r="C24" s="18" t="s">
        <v>9378</v>
      </c>
      <c r="D24" s="17" t="s">
        <v>106</v>
      </c>
      <c r="E24" s="17" t="s">
        <v>1426</v>
      </c>
      <c r="F24" s="17" t="s">
        <v>1427</v>
      </c>
      <c r="G24" s="19">
        <v>800250566</v>
      </c>
      <c r="H24" s="16" t="s">
        <v>9379</v>
      </c>
      <c r="I24" s="16" t="s">
        <v>9380</v>
      </c>
      <c r="J24" s="235">
        <v>19447815</v>
      </c>
      <c r="K24" s="20" t="s">
        <v>9381</v>
      </c>
      <c r="L24" s="16" t="s">
        <v>9382</v>
      </c>
      <c r="M24" s="21">
        <v>44852</v>
      </c>
      <c r="N24" s="22">
        <v>44859</v>
      </c>
      <c r="O24" s="22">
        <v>45223</v>
      </c>
      <c r="P24" s="23">
        <f t="shared" si="0"/>
        <v>364</v>
      </c>
      <c r="Q24" s="16" t="s">
        <v>9383</v>
      </c>
      <c r="R24" s="24">
        <v>80013492</v>
      </c>
      <c r="S24" s="16" t="s">
        <v>2812</v>
      </c>
      <c r="T24" s="24">
        <v>80013492</v>
      </c>
      <c r="U24" s="24"/>
      <c r="V24" s="17" t="s">
        <v>116</v>
      </c>
      <c r="W24" s="23" t="str">
        <f>IFERROR(VLOOKUP(V24,Listas!$A$1:$C$14,2,FALSE),"")</f>
        <v>FREDY CÉSPEDES VILLA</v>
      </c>
      <c r="X24" s="23">
        <f>IFERROR(VLOOKUP(V24,Listas!$A$1:$C$14,3,FALSE),"")</f>
        <v>93363483</v>
      </c>
      <c r="Y24" s="17" t="s">
        <v>217</v>
      </c>
      <c r="Z24" s="17" t="s">
        <v>539</v>
      </c>
      <c r="AA24" s="23" t="str">
        <f>IFERROR(VLOOKUP(Z24,Listas!$AD$1:$AF$65,2,FALSE),"")</f>
        <v>DORIS POVEDA BELTRÁN</v>
      </c>
      <c r="AB24" s="23">
        <f>IFERROR(VLOOKUP(Z24,Listas!$AD$1:$AF$65,3,FALSE),"")</f>
        <v>52049845</v>
      </c>
      <c r="AC24" s="17" t="s">
        <v>9228</v>
      </c>
      <c r="AD24" s="17" t="s">
        <v>347</v>
      </c>
      <c r="AE24" s="17" t="s">
        <v>121</v>
      </c>
      <c r="AF24" s="27"/>
      <c r="AG24" s="19"/>
      <c r="AH24" s="27"/>
      <c r="AI24" s="16"/>
      <c r="AJ24" s="27"/>
      <c r="AK24" s="16"/>
      <c r="AL24" s="28">
        <f t="shared" si="1"/>
        <v>0</v>
      </c>
      <c r="AM24" s="29"/>
      <c r="AN24" s="27"/>
      <c r="AO24" s="30">
        <f t="shared" si="2"/>
        <v>364</v>
      </c>
      <c r="AP24" s="31">
        <f t="shared" si="3"/>
        <v>45223</v>
      </c>
      <c r="AQ24" s="27"/>
      <c r="AR24" s="16"/>
      <c r="AS24" s="27"/>
      <c r="AT24" s="16"/>
      <c r="AU24" s="27"/>
      <c r="AV24" s="16"/>
      <c r="AW24" s="27"/>
      <c r="AX24" s="16"/>
      <c r="AY24" s="27"/>
      <c r="AZ24" s="24"/>
      <c r="BA24" s="24"/>
      <c r="BB24" s="24"/>
      <c r="BC24" s="32"/>
      <c r="BD24" s="27"/>
      <c r="BE24" s="24"/>
      <c r="BF24" s="24"/>
      <c r="BG24" s="24"/>
      <c r="BH24" s="16"/>
      <c r="BI24" s="27"/>
      <c r="BJ24" s="24"/>
      <c r="BK24" s="24"/>
      <c r="BL24" s="24"/>
      <c r="BM24" s="16"/>
      <c r="BN24" s="61">
        <f t="shared" si="4"/>
        <v>0</v>
      </c>
      <c r="BO24" s="27"/>
      <c r="BP24" s="24"/>
      <c r="BQ24" s="24"/>
      <c r="BR24" s="16"/>
      <c r="BS24" s="61">
        <f>IF(T24=0,(S24+BN24),IF(T24&gt;0,(T24+BN24)))</f>
        <v>80013492</v>
      </c>
      <c r="BT24" s="62">
        <v>80013491</v>
      </c>
      <c r="BU24" s="69">
        <f t="shared" ca="1" si="5"/>
        <v>80013492</v>
      </c>
      <c r="BV24" s="33">
        <f t="shared" ca="1" si="6"/>
        <v>1</v>
      </c>
      <c r="BW24" s="33">
        <v>1</v>
      </c>
      <c r="BX24" s="60">
        <f t="shared" ca="1" si="7"/>
        <v>100</v>
      </c>
      <c r="BY24" s="34">
        <f t="shared" si="8"/>
        <v>99.999998750210779</v>
      </c>
      <c r="BZ24" s="21">
        <v>45460</v>
      </c>
      <c r="CA24" s="35" t="str">
        <f t="shared" ca="1" si="9"/>
        <v>LIQUIDADO</v>
      </c>
      <c r="CB24" s="16"/>
    </row>
    <row r="25" spans="1:80" ht="39.75" customHeight="1">
      <c r="A25" s="110" t="s">
        <v>9384</v>
      </c>
      <c r="B25" s="17" t="s">
        <v>104</v>
      </c>
      <c r="C25" s="18" t="s">
        <v>9385</v>
      </c>
      <c r="D25" s="17" t="s">
        <v>106</v>
      </c>
      <c r="E25" s="17" t="s">
        <v>1426</v>
      </c>
      <c r="F25" s="17" t="s">
        <v>1427</v>
      </c>
      <c r="G25" s="19" t="s">
        <v>9386</v>
      </c>
      <c r="H25" s="16" t="s">
        <v>9387</v>
      </c>
      <c r="I25" s="16" t="s">
        <v>9388</v>
      </c>
      <c r="J25" s="235">
        <v>51895856</v>
      </c>
      <c r="K25" s="20" t="s">
        <v>6083</v>
      </c>
      <c r="L25" s="16" t="s">
        <v>111</v>
      </c>
      <c r="M25" s="21">
        <v>44672</v>
      </c>
      <c r="N25" s="22">
        <v>44680</v>
      </c>
      <c r="O25" s="22">
        <v>44915</v>
      </c>
      <c r="P25" s="23">
        <f t="shared" si="0"/>
        <v>235</v>
      </c>
      <c r="Q25" s="16" t="s">
        <v>9389</v>
      </c>
      <c r="R25" s="24">
        <v>90000000</v>
      </c>
      <c r="S25" s="24" t="s">
        <v>9288</v>
      </c>
      <c r="T25" s="24">
        <v>35999991</v>
      </c>
      <c r="U25" s="24"/>
      <c r="V25" s="17" t="s">
        <v>116</v>
      </c>
      <c r="W25" s="23" t="str">
        <f>IFERROR(VLOOKUP(V25,Listas!$A$1:$C$14,2,FALSE),"")</f>
        <v>FREDY CÉSPEDES VILLA</v>
      </c>
      <c r="X25" s="23">
        <f>IFERROR(VLOOKUP(V25,Listas!$A$1:$C$14,3,FALSE),"")</f>
        <v>93363483</v>
      </c>
      <c r="Y25" s="17" t="s">
        <v>951</v>
      </c>
      <c r="Z25" s="17" t="s">
        <v>952</v>
      </c>
      <c r="AA25" s="23" t="str">
        <f>IFERROR(VLOOKUP(Z25,Listas!$AD$1:$AF$65,2,FALSE),"")</f>
        <v>ANDRES MAURICIO LUQUE AYALA</v>
      </c>
      <c r="AB25" s="23">
        <f>IFERROR(VLOOKUP(Z25,Listas!$AD$1:$AF$65,3,FALSE),"")</f>
        <v>11443937</v>
      </c>
      <c r="AC25" s="17" t="s">
        <v>9261</v>
      </c>
      <c r="AD25" s="17" t="s">
        <v>347</v>
      </c>
      <c r="AE25" s="17" t="s">
        <v>121</v>
      </c>
      <c r="AF25" s="27"/>
      <c r="AG25" s="19"/>
      <c r="AH25" s="27"/>
      <c r="AI25" s="16"/>
      <c r="AJ25" s="27"/>
      <c r="AK25" s="16"/>
      <c r="AL25" s="28">
        <f t="shared" si="1"/>
        <v>0</v>
      </c>
      <c r="AM25" s="29"/>
      <c r="AN25" s="27"/>
      <c r="AO25" s="30">
        <f t="shared" si="2"/>
        <v>235</v>
      </c>
      <c r="AP25" s="31">
        <f t="shared" si="3"/>
        <v>44915</v>
      </c>
      <c r="AQ25" s="27"/>
      <c r="AR25" s="16"/>
      <c r="AS25" s="27"/>
      <c r="AT25" s="16"/>
      <c r="AU25" s="27"/>
      <c r="AV25" s="16"/>
      <c r="AW25" s="27"/>
      <c r="AX25" s="16"/>
      <c r="AY25" s="27"/>
      <c r="AZ25" s="24"/>
      <c r="BA25" s="24"/>
      <c r="BB25" s="24"/>
      <c r="BC25" s="32"/>
      <c r="BD25" s="27"/>
      <c r="BE25" s="24"/>
      <c r="BF25" s="24"/>
      <c r="BG25" s="24"/>
      <c r="BH25" s="16"/>
      <c r="BI25" s="27"/>
      <c r="BJ25" s="24"/>
      <c r="BK25" s="24"/>
      <c r="BL25" s="24"/>
      <c r="BM25" s="16"/>
      <c r="BN25" s="61">
        <f t="shared" si="4"/>
        <v>0</v>
      </c>
      <c r="BO25" s="27"/>
      <c r="BP25" s="24"/>
      <c r="BQ25" s="24"/>
      <c r="BR25" s="16"/>
      <c r="BS25" s="61">
        <f>IF(T25=0,(S25+BN25),IF(T25&gt;0,(T25+BN25)))</f>
        <v>35999991</v>
      </c>
      <c r="BT25" s="62">
        <v>30133325</v>
      </c>
      <c r="BU25" s="69">
        <f t="shared" ca="1" si="5"/>
        <v>35999991</v>
      </c>
      <c r="BV25" s="33">
        <f t="shared" ca="1" si="6"/>
        <v>1</v>
      </c>
      <c r="BW25" s="33">
        <v>1</v>
      </c>
      <c r="BX25" s="60">
        <f t="shared" ca="1" si="7"/>
        <v>100</v>
      </c>
      <c r="BY25" s="34">
        <f t="shared" si="8"/>
        <v>83.703701481480934</v>
      </c>
      <c r="BZ25" s="21">
        <v>45463</v>
      </c>
      <c r="CA25" s="35" t="str">
        <f t="shared" ca="1" si="9"/>
        <v>LIQUIDADO</v>
      </c>
      <c r="CB25" s="16" t="s">
        <v>9390</v>
      </c>
    </row>
    <row r="26" spans="1:80" ht="39.75" customHeight="1">
      <c r="A26" s="110" t="s">
        <v>9391</v>
      </c>
      <c r="B26" s="17" t="s">
        <v>104</v>
      </c>
      <c r="C26" s="18" t="s">
        <v>9392</v>
      </c>
      <c r="D26" s="17" t="s">
        <v>106</v>
      </c>
      <c r="E26" s="17" t="s">
        <v>1426</v>
      </c>
      <c r="F26" s="17" t="s">
        <v>1427</v>
      </c>
      <c r="G26" s="19" t="s">
        <v>8883</v>
      </c>
      <c r="H26" s="16" t="s">
        <v>9393</v>
      </c>
      <c r="I26" s="16" t="s">
        <v>9394</v>
      </c>
      <c r="J26" s="235">
        <v>19498654</v>
      </c>
      <c r="K26" s="20" t="s">
        <v>8451</v>
      </c>
      <c r="L26" s="16" t="s">
        <v>111</v>
      </c>
      <c r="M26" s="21">
        <v>45124</v>
      </c>
      <c r="N26" s="22">
        <v>45139</v>
      </c>
      <c r="O26" s="22">
        <v>45290</v>
      </c>
      <c r="P26" s="23">
        <f t="shared" si="0"/>
        <v>151</v>
      </c>
      <c r="Q26" s="16" t="s">
        <v>9395</v>
      </c>
      <c r="R26" s="24">
        <v>267150097</v>
      </c>
      <c r="S26" s="24" t="s">
        <v>6277</v>
      </c>
      <c r="T26" s="24">
        <v>267150097</v>
      </c>
      <c r="U26" s="24"/>
      <c r="V26" s="17" t="s">
        <v>116</v>
      </c>
      <c r="W26" s="23" t="str">
        <f>IFERROR(VLOOKUP(V26,Listas!$A$1:$C$14,2,FALSE),"")</f>
        <v>FREDY CÉSPEDES VILLA</v>
      </c>
      <c r="X26" s="23">
        <f>IFERROR(VLOOKUP(V26,Listas!$A$1:$C$14,3,FALSE),"")</f>
        <v>93363483</v>
      </c>
      <c r="Y26" s="17" t="s">
        <v>816</v>
      </c>
      <c r="Z26" s="17" t="s">
        <v>407</v>
      </c>
      <c r="AA26" s="23" t="str">
        <f>IFERROR(VLOOKUP(Z26,Listas!$AD$1:$AF$65,2,FALSE),"")</f>
        <v>MARÍA VICTORIA CAMARGO CORTÉS</v>
      </c>
      <c r="AB26" s="23">
        <f>IFERROR(VLOOKUP(Z26,Listas!$AD$1:$AF$65,3,FALSE),"")</f>
        <v>52496497</v>
      </c>
      <c r="AC26" s="17" t="s">
        <v>9289</v>
      </c>
      <c r="AD26" s="17" t="s">
        <v>347</v>
      </c>
      <c r="AE26" s="17" t="s">
        <v>121</v>
      </c>
      <c r="AF26" s="27"/>
      <c r="AG26" s="19"/>
      <c r="AH26" s="27"/>
      <c r="AI26" s="16"/>
      <c r="AJ26" s="27"/>
      <c r="AK26" s="16"/>
      <c r="AL26" s="28">
        <f>AG26+AI26+AK26</f>
        <v>0</v>
      </c>
      <c r="AM26" s="29"/>
      <c r="AN26" s="27"/>
      <c r="AO26" s="30">
        <f t="shared" si="2"/>
        <v>151</v>
      </c>
      <c r="AP26" s="31">
        <f t="shared" si="3"/>
        <v>45290</v>
      </c>
      <c r="AQ26" s="27"/>
      <c r="AR26" s="16"/>
      <c r="AS26" s="27"/>
      <c r="AT26" s="16"/>
      <c r="AU26" s="27"/>
      <c r="AV26" s="16"/>
      <c r="AW26" s="27"/>
      <c r="AX26" s="16"/>
      <c r="AY26" s="27"/>
      <c r="AZ26" s="24"/>
      <c r="BA26" s="24"/>
      <c r="BB26" s="24"/>
      <c r="BC26" s="32"/>
      <c r="BD26" s="27"/>
      <c r="BE26" s="24"/>
      <c r="BF26" s="24"/>
      <c r="BG26" s="24"/>
      <c r="BH26" s="16"/>
      <c r="BI26" s="27"/>
      <c r="BJ26" s="24"/>
      <c r="BK26" s="24"/>
      <c r="BL26" s="24"/>
      <c r="BM26" s="16"/>
      <c r="BN26" s="61">
        <f t="shared" si="4"/>
        <v>0</v>
      </c>
      <c r="BO26" s="27"/>
      <c r="BP26" s="24"/>
      <c r="BQ26" s="24"/>
      <c r="BR26" s="16"/>
      <c r="BS26" s="61">
        <f>IF(T26=0,(S26+BN26),IF(T26&gt;0,(T26+BN26)))</f>
        <v>267150097</v>
      </c>
      <c r="BT26" s="62">
        <v>267147276.90000001</v>
      </c>
      <c r="BU26" s="69">
        <f t="shared" ca="1" si="5"/>
        <v>267150097</v>
      </c>
      <c r="BV26" s="33">
        <f t="shared" ca="1" si="6"/>
        <v>1</v>
      </c>
      <c r="BW26" s="33">
        <v>1</v>
      </c>
      <c r="BX26" s="60">
        <f t="shared" ca="1" si="7"/>
        <v>100</v>
      </c>
      <c r="BY26" s="34">
        <f t="shared" si="8"/>
        <v>99.998944376202118</v>
      </c>
      <c r="BZ26" s="21">
        <v>45455</v>
      </c>
      <c r="CA26" s="35" t="str">
        <f t="shared" ca="1" si="9"/>
        <v>LIQUIDADO</v>
      </c>
      <c r="CB26" s="16"/>
    </row>
    <row r="27" spans="1:80" ht="39.75" customHeight="1">
      <c r="A27" s="110" t="s">
        <v>9396</v>
      </c>
      <c r="B27" s="17" t="s">
        <v>104</v>
      </c>
      <c r="C27" s="18" t="s">
        <v>9397</v>
      </c>
      <c r="D27" s="17" t="s">
        <v>106</v>
      </c>
      <c r="E27" s="17" t="s">
        <v>1426</v>
      </c>
      <c r="F27" s="17" t="s">
        <v>1427</v>
      </c>
      <c r="G27" s="19" t="s">
        <v>9398</v>
      </c>
      <c r="H27" s="16" t="s">
        <v>9399</v>
      </c>
      <c r="I27" s="16" t="s">
        <v>9400</v>
      </c>
      <c r="J27" s="16">
        <v>1016085517</v>
      </c>
      <c r="K27" s="20" t="s">
        <v>9401</v>
      </c>
      <c r="L27" s="16" t="s">
        <v>111</v>
      </c>
      <c r="M27" s="21">
        <v>44342</v>
      </c>
      <c r="N27" s="22">
        <v>44350</v>
      </c>
      <c r="O27" s="22">
        <v>44714</v>
      </c>
      <c r="P27" s="23">
        <v>364</v>
      </c>
      <c r="Q27" s="16" t="s">
        <v>9402</v>
      </c>
      <c r="R27" s="24">
        <v>401571840</v>
      </c>
      <c r="S27" s="24" t="s">
        <v>2812</v>
      </c>
      <c r="T27" s="24">
        <v>391265931</v>
      </c>
      <c r="U27" s="24"/>
      <c r="V27" s="17" t="s">
        <v>116</v>
      </c>
      <c r="W27" s="23" t="str">
        <f>IFERROR(VLOOKUP(V27,Listas!$A$1:$C$14,2,FALSE),"")</f>
        <v>FREDY CÉSPEDES VILLA</v>
      </c>
      <c r="X27" s="23">
        <f>IFERROR(VLOOKUP(V27,Listas!$A$1:$C$14,3,FALSE),"")</f>
        <v>93363483</v>
      </c>
      <c r="Y27" s="17" t="s">
        <v>816</v>
      </c>
      <c r="Z27" s="17" t="s">
        <v>2577</v>
      </c>
      <c r="AA27" s="23" t="str">
        <f>IFERROR(VLOOKUP(Z27,Listas!$AD$1:$AF$65,2,FALSE),"")</f>
        <v>VICTOR RAUL BAUTISTA GALINDO</v>
      </c>
      <c r="AB27" s="23">
        <v>79352968</v>
      </c>
      <c r="AC27" s="17" t="s">
        <v>9403</v>
      </c>
      <c r="AD27" s="17" t="s">
        <v>347</v>
      </c>
      <c r="AE27" s="17" t="s">
        <v>121</v>
      </c>
      <c r="AF27" s="27"/>
      <c r="AG27" s="19"/>
      <c r="AH27" s="27"/>
      <c r="AI27" s="16"/>
      <c r="AJ27" s="27"/>
      <c r="AK27" s="16"/>
      <c r="AL27" s="28">
        <f>AG27+AI27+AK27</f>
        <v>0</v>
      </c>
      <c r="AM27" s="29"/>
      <c r="AN27" s="27"/>
      <c r="AO27" s="30">
        <f t="shared" si="2"/>
        <v>364</v>
      </c>
      <c r="AP27" s="31">
        <f t="shared" si="3"/>
        <v>44714</v>
      </c>
      <c r="AQ27" s="27"/>
      <c r="AR27" s="16"/>
      <c r="AS27" s="27"/>
      <c r="AT27" s="16"/>
      <c r="AU27" s="27"/>
      <c r="AV27" s="16"/>
      <c r="AW27" s="27"/>
      <c r="AX27" s="16"/>
      <c r="AY27" s="27"/>
      <c r="AZ27" s="24"/>
      <c r="BA27" s="24"/>
      <c r="BB27" s="24"/>
      <c r="BC27" s="32"/>
      <c r="BD27" s="27"/>
      <c r="BE27" s="24"/>
      <c r="BF27" s="24"/>
      <c r="BG27" s="24"/>
      <c r="BH27" s="16"/>
      <c r="BI27" s="27"/>
      <c r="BJ27" s="24"/>
      <c r="BK27" s="24"/>
      <c r="BL27" s="24"/>
      <c r="BM27" s="16"/>
      <c r="BN27" s="61">
        <f t="shared" si="4"/>
        <v>0</v>
      </c>
      <c r="BO27" s="27"/>
      <c r="BP27" s="24"/>
      <c r="BQ27" s="24"/>
      <c r="BR27" s="16"/>
      <c r="BS27" s="61">
        <f>IF(T27=0,(S27+BN27),IF(T27&gt;0,(T27+BN27)))</f>
        <v>391265931</v>
      </c>
      <c r="BT27" s="62">
        <v>391265931</v>
      </c>
      <c r="BU27" s="69">
        <f t="shared" ca="1" si="5"/>
        <v>391265931</v>
      </c>
      <c r="BV27" s="33">
        <f t="shared" ca="1" si="6"/>
        <v>1</v>
      </c>
      <c r="BW27" s="33">
        <v>1</v>
      </c>
      <c r="BX27" s="60">
        <f t="shared" ca="1" si="7"/>
        <v>100</v>
      </c>
      <c r="BY27" s="34">
        <f t="shared" si="8"/>
        <v>100</v>
      </c>
      <c r="BZ27" s="21">
        <v>45482</v>
      </c>
      <c r="CA27" s="35" t="str">
        <f t="shared" ca="1" si="9"/>
        <v>LIQUIDADO</v>
      </c>
      <c r="CB27" s="16"/>
    </row>
    <row r="28" spans="1:80" ht="39.75" customHeight="1">
      <c r="A28" s="110" t="s">
        <v>9404</v>
      </c>
      <c r="B28" s="17" t="s">
        <v>104</v>
      </c>
      <c r="C28" s="18" t="s">
        <v>9405</v>
      </c>
      <c r="D28" s="17" t="s">
        <v>106</v>
      </c>
      <c r="E28" s="17" t="s">
        <v>9406</v>
      </c>
      <c r="F28" s="17" t="s">
        <v>1427</v>
      </c>
      <c r="G28" s="19" t="s">
        <v>9407</v>
      </c>
      <c r="H28" s="16" t="s">
        <v>9408</v>
      </c>
      <c r="I28" s="16" t="s">
        <v>9409</v>
      </c>
      <c r="J28" s="16">
        <v>16076056</v>
      </c>
      <c r="K28" s="20" t="s">
        <v>8648</v>
      </c>
      <c r="L28" s="16" t="s">
        <v>111</v>
      </c>
      <c r="M28" s="21">
        <v>44923</v>
      </c>
      <c r="N28" s="22">
        <v>44930</v>
      </c>
      <c r="O28" s="22">
        <v>45290</v>
      </c>
      <c r="P28" s="23">
        <v>361</v>
      </c>
      <c r="Q28" s="16" t="s">
        <v>9410</v>
      </c>
      <c r="R28" s="24">
        <v>653794892</v>
      </c>
      <c r="S28" s="24" t="s">
        <v>7561</v>
      </c>
      <c r="T28" s="24">
        <v>626036046</v>
      </c>
      <c r="U28" s="24"/>
      <c r="V28" s="17" t="s">
        <v>116</v>
      </c>
      <c r="W28" s="23" t="str">
        <f>IFERROR(VLOOKUP(V28,Listas!$A$1:$C$14,2,FALSE),"")</f>
        <v>FREDY CÉSPEDES VILLA</v>
      </c>
      <c r="X28" s="23">
        <f>IFERROR(VLOOKUP(V28,Listas!$A$1:$C$14,3,FALSE),"")</f>
        <v>93363483</v>
      </c>
      <c r="Y28" s="17" t="s">
        <v>816</v>
      </c>
      <c r="Z28" s="17" t="s">
        <v>817</v>
      </c>
      <c r="AA28" s="23" t="str">
        <f>IFERROR(VLOOKUP(Z28,Listas!$AD$1:$AF$65,2,FALSE),"")</f>
        <v>JOSÉ EDUARDO PARADA JIMÉNEZ</v>
      </c>
      <c r="AB28" s="23">
        <v>79434805</v>
      </c>
      <c r="AC28" s="17" t="s">
        <v>9368</v>
      </c>
      <c r="AD28" s="17" t="s">
        <v>347</v>
      </c>
      <c r="AE28" s="17" t="s">
        <v>121</v>
      </c>
      <c r="AF28" s="27"/>
      <c r="AG28" s="19"/>
      <c r="AH28" s="27"/>
      <c r="AI28" s="16"/>
      <c r="AJ28" s="27"/>
      <c r="AK28" s="16"/>
      <c r="AL28" s="28">
        <f>AG28+AI28+AK28</f>
        <v>0</v>
      </c>
      <c r="AM28" s="29"/>
      <c r="AN28" s="27"/>
      <c r="AO28" s="30">
        <f t="shared" si="2"/>
        <v>361</v>
      </c>
      <c r="AP28" s="31">
        <f t="shared" si="3"/>
        <v>45290</v>
      </c>
      <c r="AQ28" s="27"/>
      <c r="AR28" s="16"/>
      <c r="AS28" s="27"/>
      <c r="AT28" s="16"/>
      <c r="AU28" s="27"/>
      <c r="AV28" s="16"/>
      <c r="AW28" s="27"/>
      <c r="AX28" s="16"/>
      <c r="AY28" s="27"/>
      <c r="AZ28" s="24"/>
      <c r="BA28" s="24"/>
      <c r="BB28" s="24"/>
      <c r="BC28" s="32"/>
      <c r="BD28" s="27"/>
      <c r="BE28" s="24"/>
      <c r="BF28" s="24"/>
      <c r="BG28" s="24"/>
      <c r="BH28" s="16"/>
      <c r="BI28" s="27"/>
      <c r="BJ28" s="24"/>
      <c r="BK28" s="24"/>
      <c r="BL28" s="24"/>
      <c r="BM28" s="16"/>
      <c r="BN28" s="61">
        <f t="shared" si="4"/>
        <v>0</v>
      </c>
      <c r="BO28" s="27"/>
      <c r="BP28" s="24"/>
      <c r="BQ28" s="24"/>
      <c r="BR28" s="16"/>
      <c r="BS28" s="61">
        <f>IF(T28=0,(S28+BN28),IF(T28&gt;0,(T28+BN28)))</f>
        <v>626036046</v>
      </c>
      <c r="BT28" s="62">
        <v>521666365</v>
      </c>
      <c r="BU28" s="69">
        <v>521666365</v>
      </c>
      <c r="BV28" s="33">
        <f t="shared" ca="1" si="6"/>
        <v>1</v>
      </c>
      <c r="BW28" s="33">
        <v>1</v>
      </c>
      <c r="BX28" s="60">
        <f t="shared" ref="BX28" si="11">IFERROR(IF(((BU28/BS28)*100)&gt;100,100,((BU28/BS28)*100)),"")</f>
        <v>83.328486967026819</v>
      </c>
      <c r="BY28" s="34">
        <f t="shared" ref="BY28" si="12">IFERROR((BT28/BS28)*100,"")</f>
        <v>83.328486967026819</v>
      </c>
      <c r="BZ28" s="21">
        <v>45482</v>
      </c>
      <c r="CA28" s="35" t="str">
        <f t="shared" ca="1" si="9"/>
        <v>LIQUIDADO</v>
      </c>
      <c r="CB28" s="16" t="s">
        <v>9411</v>
      </c>
    </row>
    <row r="29" spans="1:80" ht="39.75" customHeight="1">
      <c r="A29" s="110" t="s">
        <v>9412</v>
      </c>
      <c r="B29" s="17" t="s">
        <v>5814</v>
      </c>
      <c r="C29" s="18" t="s">
        <v>9413</v>
      </c>
      <c r="D29" s="17" t="s">
        <v>106</v>
      </c>
      <c r="E29" s="17" t="s">
        <v>1426</v>
      </c>
      <c r="F29" s="17" t="s">
        <v>1427</v>
      </c>
      <c r="G29" s="19" t="s">
        <v>9414</v>
      </c>
      <c r="H29" s="16" t="s">
        <v>9415</v>
      </c>
      <c r="I29" s="16" t="s">
        <v>9416</v>
      </c>
      <c r="J29" s="16">
        <v>79783914</v>
      </c>
      <c r="K29" s="20" t="s">
        <v>9417</v>
      </c>
      <c r="L29" s="16" t="s">
        <v>111</v>
      </c>
      <c r="M29" s="21">
        <v>44802</v>
      </c>
      <c r="N29" s="22">
        <v>44805</v>
      </c>
      <c r="O29" s="22">
        <v>45230</v>
      </c>
      <c r="P29" s="23">
        <f t="shared" si="0"/>
        <v>425</v>
      </c>
      <c r="Q29" s="16" t="s">
        <v>9418</v>
      </c>
      <c r="R29" s="24">
        <v>11817800</v>
      </c>
      <c r="S29" s="24" t="s">
        <v>9419</v>
      </c>
      <c r="T29" s="24">
        <v>42411065</v>
      </c>
      <c r="U29" s="24"/>
      <c r="V29" s="17" t="s">
        <v>116</v>
      </c>
      <c r="W29" s="23" t="str">
        <f>IFERROR(VLOOKUP(V29,Listas!$A$1:$C$14,2,FALSE),"")</f>
        <v>FREDY CÉSPEDES VILLA</v>
      </c>
      <c r="X29" s="23">
        <f>IFERROR(VLOOKUP(V29,Listas!$A$1:$C$14,3,FALSE),"")</f>
        <v>93363483</v>
      </c>
      <c r="Y29" s="17" t="s">
        <v>217</v>
      </c>
      <c r="Z29" s="17" t="s">
        <v>539</v>
      </c>
      <c r="AA29" s="23" t="str">
        <f>IFERROR(VLOOKUP(Z29,Listas!$AD$1:$AF$65,2,FALSE),"")</f>
        <v>DORIS POVEDA BELTRÁN</v>
      </c>
      <c r="AB29" s="23">
        <f>IFERROR(VLOOKUP(Z29,Listas!$AD$1:$AF$65,3,FALSE),"")</f>
        <v>52049845</v>
      </c>
      <c r="AC29" s="17" t="s">
        <v>9261</v>
      </c>
      <c r="AD29" s="17" t="s">
        <v>515</v>
      </c>
      <c r="AE29" s="17" t="s">
        <v>121</v>
      </c>
      <c r="AF29" s="27"/>
      <c r="AG29" s="19"/>
      <c r="AH29" s="27"/>
      <c r="AI29" s="16"/>
      <c r="AJ29" s="27"/>
      <c r="AK29" s="16"/>
      <c r="AL29" s="28">
        <f t="shared" si="1"/>
        <v>0</v>
      </c>
      <c r="AM29" s="29"/>
      <c r="AN29" s="27"/>
      <c r="AO29" s="30">
        <f t="shared" si="2"/>
        <v>425</v>
      </c>
      <c r="AP29" s="31">
        <f t="shared" si="3"/>
        <v>45230</v>
      </c>
      <c r="AQ29" s="27"/>
      <c r="AR29" s="16"/>
      <c r="AS29" s="27"/>
      <c r="AT29" s="16"/>
      <c r="AU29" s="27"/>
      <c r="AV29" s="16"/>
      <c r="AW29" s="27"/>
      <c r="AX29" s="16"/>
      <c r="AY29" s="27"/>
      <c r="AZ29" s="24"/>
      <c r="BA29" s="24"/>
      <c r="BB29" s="24"/>
      <c r="BC29" s="32"/>
      <c r="BD29" s="27"/>
      <c r="BE29" s="24"/>
      <c r="BF29" s="24"/>
      <c r="BG29" s="24"/>
      <c r="BH29" s="16"/>
      <c r="BI29" s="27"/>
      <c r="BJ29" s="24"/>
      <c r="BK29" s="24"/>
      <c r="BL29" s="24"/>
      <c r="BM29" s="16"/>
      <c r="BN29" s="61">
        <f t="shared" si="4"/>
        <v>0</v>
      </c>
      <c r="BO29" s="27"/>
      <c r="BP29" s="24"/>
      <c r="BQ29" s="24"/>
      <c r="BR29" s="16"/>
      <c r="BS29" s="61">
        <f>IF(U29=0,(T29+BN29),IF(U29&gt;0,(U29+BN29)))</f>
        <v>42411065</v>
      </c>
      <c r="BT29" s="62">
        <v>41398938</v>
      </c>
      <c r="BU29" s="69">
        <f ca="1">IFERROR(IF(((BS29/AO29)*(TODAY()-N29))&gt;BS29,BS29,((BS29/AO29)*(TODAY()-N29))),"")</f>
        <v>42411065</v>
      </c>
      <c r="BV29" s="33">
        <f t="shared" ca="1" si="6"/>
        <v>1</v>
      </c>
      <c r="BW29" s="33">
        <v>1</v>
      </c>
      <c r="BX29" s="60">
        <f t="shared" ca="1" si="7"/>
        <v>100</v>
      </c>
      <c r="BY29" s="34">
        <f t="shared" si="8"/>
        <v>97.613530808528395</v>
      </c>
      <c r="BZ29" s="21">
        <v>45491</v>
      </c>
      <c r="CA29" s="35" t="str">
        <f t="shared" ca="1" si="9"/>
        <v>LIQUIDADO</v>
      </c>
      <c r="CB29" s="16"/>
    </row>
    <row r="30" spans="1:80" ht="39.75" customHeight="1">
      <c r="A30" s="110" t="s">
        <v>9420</v>
      </c>
      <c r="B30" s="17" t="s">
        <v>104</v>
      </c>
      <c r="C30" s="18" t="s">
        <v>9421</v>
      </c>
      <c r="D30" s="17" t="s">
        <v>9422</v>
      </c>
      <c r="E30" s="17" t="s">
        <v>1426</v>
      </c>
      <c r="F30" s="17" t="s">
        <v>1427</v>
      </c>
      <c r="G30" s="19" t="s">
        <v>9423</v>
      </c>
      <c r="H30" s="16" t="s">
        <v>9424</v>
      </c>
      <c r="I30" s="16" t="s">
        <v>9425</v>
      </c>
      <c r="J30" s="16">
        <v>1026254903</v>
      </c>
      <c r="K30" s="20" t="s">
        <v>9426</v>
      </c>
      <c r="L30" s="16" t="s">
        <v>111</v>
      </c>
      <c r="M30" s="21">
        <v>44375</v>
      </c>
      <c r="N30" s="22">
        <v>44386</v>
      </c>
      <c r="O30" s="22">
        <v>44639</v>
      </c>
      <c r="P30" s="23">
        <f t="shared" si="0"/>
        <v>253</v>
      </c>
      <c r="Q30" s="16" t="s">
        <v>9427</v>
      </c>
      <c r="R30" s="24">
        <v>450000000</v>
      </c>
      <c r="S30" s="24" t="s">
        <v>1318</v>
      </c>
      <c r="T30" s="24">
        <v>450000000</v>
      </c>
      <c r="U30" s="24"/>
      <c r="V30" s="17" t="s">
        <v>116</v>
      </c>
      <c r="W30" s="23" t="str">
        <f>IFERROR(VLOOKUP(V30,Listas!$A$1:$C$14,2,FALSE),"")</f>
        <v>FREDY CÉSPEDES VILLA</v>
      </c>
      <c r="X30" s="23">
        <f>IFERROR(VLOOKUP(V30,Listas!$A$1:$C$14,3,FALSE),"")</f>
        <v>93363483</v>
      </c>
      <c r="Y30" s="180" t="s">
        <v>116</v>
      </c>
      <c r="Z30" s="180" t="s">
        <v>659</v>
      </c>
      <c r="AA30" s="193" t="str">
        <f>IFERROR(VLOOKUP(Z30,Listas!$AD$1:$AF$65,2,FALSE),"")</f>
        <v>TATIANA FORERO TORRES</v>
      </c>
      <c r="AB30" s="23">
        <f>IFERROR(VLOOKUP(Z30,Listas!$AD$1:$AF$65,3,FALSE),"")</f>
        <v>1072446921</v>
      </c>
      <c r="AC30" s="17" t="s">
        <v>9228</v>
      </c>
      <c r="AD30" s="17" t="s">
        <v>367</v>
      </c>
      <c r="AE30" s="17" t="s">
        <v>121</v>
      </c>
      <c r="AF30" s="27"/>
      <c r="AG30" s="19"/>
      <c r="AH30" s="27"/>
      <c r="AI30" s="16"/>
      <c r="AJ30" s="27"/>
      <c r="AK30" s="16"/>
      <c r="AL30" s="28">
        <f t="shared" si="1"/>
        <v>0</v>
      </c>
      <c r="AM30" s="29"/>
      <c r="AN30" s="27"/>
      <c r="AO30" s="30">
        <f t="shared" si="2"/>
        <v>253</v>
      </c>
      <c r="AP30" s="31">
        <f t="shared" si="3"/>
        <v>44639</v>
      </c>
      <c r="AQ30" s="27"/>
      <c r="AR30" s="16"/>
      <c r="AS30" s="27"/>
      <c r="AT30" s="16"/>
      <c r="AU30" s="27"/>
      <c r="AV30" s="16"/>
      <c r="AW30" s="27"/>
      <c r="AX30" s="16"/>
      <c r="AY30" s="27"/>
      <c r="AZ30" s="24"/>
      <c r="BA30" s="24"/>
      <c r="BB30" s="24"/>
      <c r="BC30" s="32"/>
      <c r="BD30" s="27"/>
      <c r="BE30" s="24"/>
      <c r="BF30" s="24"/>
      <c r="BG30" s="24"/>
      <c r="BH30" s="16"/>
      <c r="BI30" s="27"/>
      <c r="BJ30" s="24"/>
      <c r="BK30" s="24"/>
      <c r="BL30" s="24"/>
      <c r="BM30" s="16"/>
      <c r="BN30" s="61">
        <f t="shared" si="4"/>
        <v>0</v>
      </c>
      <c r="BO30" s="27"/>
      <c r="BP30" s="24"/>
      <c r="BQ30" s="24"/>
      <c r="BR30" s="16"/>
      <c r="BS30" s="61">
        <f>IF(U30=0,(T30+BN30),IF(U30&gt;0,(U30+BN30)))</f>
        <v>450000000</v>
      </c>
      <c r="BT30" s="62">
        <v>253634126</v>
      </c>
      <c r="BU30" s="69">
        <f ca="1">IFERROR(IF(((BS30/AO30)*(TODAY()-N30))&gt;BS30,BS30,((BS30/AO30)*(TODAY()-N30))),"")</f>
        <v>450000000</v>
      </c>
      <c r="BV30" s="33">
        <f t="shared" ca="1" si="6"/>
        <v>1</v>
      </c>
      <c r="BW30" s="33">
        <v>1</v>
      </c>
      <c r="BX30" s="60">
        <f t="shared" ca="1" si="7"/>
        <v>100</v>
      </c>
      <c r="BY30" s="34">
        <f t="shared" si="8"/>
        <v>56.363139111111117</v>
      </c>
      <c r="BZ30" s="21">
        <v>45492</v>
      </c>
      <c r="CA30" s="35" t="str">
        <f t="shared" ca="1" si="9"/>
        <v>LIQUIDADO</v>
      </c>
      <c r="CB30" s="16"/>
    </row>
    <row r="31" spans="1:80" ht="39.75" customHeight="1">
      <c r="A31" s="110" t="s">
        <v>9428</v>
      </c>
      <c r="B31" s="17" t="s">
        <v>104</v>
      </c>
      <c r="C31" s="18" t="s">
        <v>9429</v>
      </c>
      <c r="D31" s="17" t="s">
        <v>106</v>
      </c>
      <c r="E31" s="17" t="s">
        <v>1426</v>
      </c>
      <c r="F31" s="17" t="s">
        <v>1427</v>
      </c>
      <c r="G31" s="19" t="s">
        <v>9430</v>
      </c>
      <c r="H31" s="16" t="s">
        <v>9431</v>
      </c>
      <c r="I31" s="16" t="s">
        <v>9432</v>
      </c>
      <c r="J31" s="16">
        <v>52045943</v>
      </c>
      <c r="K31" s="20" t="s">
        <v>9433</v>
      </c>
      <c r="L31" s="16"/>
      <c r="M31" s="21">
        <v>44368</v>
      </c>
      <c r="N31" s="22">
        <v>44375</v>
      </c>
      <c r="O31" s="22">
        <v>44561</v>
      </c>
      <c r="P31" s="23">
        <f t="shared" si="0"/>
        <v>186</v>
      </c>
      <c r="Q31" s="16" t="s">
        <v>9434</v>
      </c>
      <c r="R31" s="24">
        <v>2000000000</v>
      </c>
      <c r="S31" s="24" t="s">
        <v>2470</v>
      </c>
      <c r="T31" s="24">
        <v>2000000000</v>
      </c>
      <c r="U31" s="24"/>
      <c r="V31" s="17" t="s">
        <v>116</v>
      </c>
      <c r="W31" s="23" t="str">
        <f>IFERROR(VLOOKUP(V31,Listas!$A$1:$C$14,2,FALSE),"")</f>
        <v>FREDY CÉSPEDES VILLA</v>
      </c>
      <c r="X31" s="23">
        <f>IFERROR(VLOOKUP(V31,Listas!$A$1:$C$14,3,FALSE),"")</f>
        <v>93363483</v>
      </c>
      <c r="Y31" s="180" t="s">
        <v>116</v>
      </c>
      <c r="Z31" s="180" t="s">
        <v>659</v>
      </c>
      <c r="AA31" s="193" t="str">
        <f>IFERROR(VLOOKUP(Z31,Listas!$AD$1:$AF$65,2,FALSE),"")</f>
        <v>TATIANA FORERO TORRES</v>
      </c>
      <c r="AB31" s="23">
        <f>IFERROR(VLOOKUP(Z31,Listas!$AD$1:$AF$65,3,FALSE),"")</f>
        <v>1072446921</v>
      </c>
      <c r="AC31" s="17" t="s">
        <v>9238</v>
      </c>
      <c r="AD31" s="17" t="s">
        <v>367</v>
      </c>
      <c r="AE31" s="17" t="s">
        <v>121</v>
      </c>
      <c r="AF31" s="27"/>
      <c r="AG31" s="19"/>
      <c r="AH31" s="27"/>
      <c r="AI31" s="16"/>
      <c r="AJ31" s="27"/>
      <c r="AK31" s="16"/>
      <c r="AL31" s="28">
        <f t="shared" si="1"/>
        <v>0</v>
      </c>
      <c r="AM31" s="29"/>
      <c r="AN31" s="27"/>
      <c r="AO31" s="30">
        <f t="shared" si="2"/>
        <v>186</v>
      </c>
      <c r="AP31" s="31">
        <f t="shared" si="3"/>
        <v>44561</v>
      </c>
      <c r="AQ31" s="27"/>
      <c r="AR31" s="16"/>
      <c r="AS31" s="27"/>
      <c r="AT31" s="16"/>
      <c r="AU31" s="27"/>
      <c r="AV31" s="16"/>
      <c r="AW31" s="27"/>
      <c r="AX31" s="16"/>
      <c r="AY31" s="27"/>
      <c r="AZ31" s="24"/>
      <c r="BA31" s="24"/>
      <c r="BB31" s="24"/>
      <c r="BC31" s="32"/>
      <c r="BD31" s="27"/>
      <c r="BE31" s="24"/>
      <c r="BF31" s="24"/>
      <c r="BG31" s="24"/>
      <c r="BH31" s="16"/>
      <c r="BI31" s="27"/>
      <c r="BJ31" s="24"/>
      <c r="BK31" s="24"/>
      <c r="BL31" s="24"/>
      <c r="BM31" s="16"/>
      <c r="BN31" s="61">
        <f t="shared" si="4"/>
        <v>0</v>
      </c>
      <c r="BO31" s="27"/>
      <c r="BP31" s="24"/>
      <c r="BQ31" s="24"/>
      <c r="BR31" s="16"/>
      <c r="BS31" s="61">
        <f>IF(U31=0,(T31+BN31),IF(U31&gt;0,(U31+BN31)))</f>
        <v>2000000000</v>
      </c>
      <c r="BT31" s="62">
        <v>1322619663</v>
      </c>
      <c r="BU31" s="69">
        <f ca="1">IFERROR(IF(((BS31/AO31)*(TODAY()-N31))&gt;BS31,BS31,((BS31/AO31)*(TODAY()-N31))),"")</f>
        <v>2000000000</v>
      </c>
      <c r="BV31" s="33">
        <f t="shared" ca="1" si="6"/>
        <v>1</v>
      </c>
      <c r="BW31" s="33">
        <v>1</v>
      </c>
      <c r="BX31" s="60">
        <f t="shared" ca="1" si="7"/>
        <v>100</v>
      </c>
      <c r="BY31" s="34">
        <f t="shared" si="8"/>
        <v>66.130983150000006</v>
      </c>
      <c r="BZ31" s="21">
        <v>45492</v>
      </c>
      <c r="CA31" s="35" t="str">
        <f t="shared" ca="1" si="9"/>
        <v>LIQUIDADO</v>
      </c>
      <c r="CB31" s="16"/>
    </row>
    <row r="32" spans="1:80" ht="39.75" customHeight="1">
      <c r="A32" s="110" t="s">
        <v>9435</v>
      </c>
      <c r="B32" s="17" t="s">
        <v>104</v>
      </c>
      <c r="C32" s="18" t="s">
        <v>9436</v>
      </c>
      <c r="D32" s="17" t="s">
        <v>9437</v>
      </c>
      <c r="E32" s="17" t="s">
        <v>1426</v>
      </c>
      <c r="F32" s="17" t="s">
        <v>1427</v>
      </c>
      <c r="G32" s="19" t="s">
        <v>9438</v>
      </c>
      <c r="H32" s="16" t="s">
        <v>9439</v>
      </c>
      <c r="I32" s="138" t="s">
        <v>9440</v>
      </c>
      <c r="J32" s="235">
        <v>80088718</v>
      </c>
      <c r="K32" s="190" t="s">
        <v>9441</v>
      </c>
      <c r="L32" s="16" t="s">
        <v>111</v>
      </c>
      <c r="M32" s="21">
        <v>45210</v>
      </c>
      <c r="N32" s="22">
        <v>45219</v>
      </c>
      <c r="O32" s="22">
        <v>45290</v>
      </c>
      <c r="P32" s="23">
        <f t="shared" si="0"/>
        <v>71</v>
      </c>
      <c r="Q32" s="16" t="s">
        <v>9442</v>
      </c>
      <c r="R32" s="24">
        <v>800000000</v>
      </c>
      <c r="S32" s="24" t="s">
        <v>5989</v>
      </c>
      <c r="T32" s="24">
        <v>799995000</v>
      </c>
      <c r="U32"/>
      <c r="V32" s="17" t="s">
        <v>116</v>
      </c>
      <c r="W32" s="23" t="str">
        <f>IFERROR(VLOOKUP(V32,Listas!$A$1:$C$14,2,FALSE),"")</f>
        <v>FREDY CÉSPEDES VILLA</v>
      </c>
      <c r="X32" s="23">
        <f>IFERROR(VLOOKUP(V32,Listas!$A$1:$C$14,3,FALSE),"")</f>
        <v>93363483</v>
      </c>
      <c r="Y32" s="180" t="s">
        <v>345</v>
      </c>
      <c r="Z32" s="180" t="s">
        <v>346</v>
      </c>
      <c r="AA32" s="193" t="str">
        <f>IFERROR(VLOOKUP(Z32,Listas!$AD$1:$AF$65,2,FALSE),"")</f>
        <v>RODOLFO GIOVANNI CANCHILA SUÁREZ</v>
      </c>
      <c r="AB32" s="23">
        <f>IFERROR(VLOOKUP(Z32,Listas!$AD$1:$AF$65,3,FALSE),"")</f>
        <v>79672493</v>
      </c>
      <c r="AC32" s="17" t="s">
        <v>9228</v>
      </c>
      <c r="AD32" s="17" t="s">
        <v>367</v>
      </c>
      <c r="AE32" s="17" t="s">
        <v>121</v>
      </c>
      <c r="AF32" s="27"/>
      <c r="AG32" s="19"/>
      <c r="AH32" s="27"/>
      <c r="AI32" s="16"/>
      <c r="AJ32" s="27"/>
      <c r="AK32" s="16"/>
      <c r="AL32" s="28">
        <f t="shared" si="1"/>
        <v>0</v>
      </c>
      <c r="AM32" s="29"/>
      <c r="AN32" s="27"/>
      <c r="AO32" s="30">
        <f t="shared" si="2"/>
        <v>71</v>
      </c>
      <c r="AP32" s="31">
        <f t="shared" si="3"/>
        <v>45290</v>
      </c>
      <c r="AQ32" s="27"/>
      <c r="AR32" s="16"/>
      <c r="AS32" s="27"/>
      <c r="AT32" s="16"/>
      <c r="AU32" s="27"/>
      <c r="AV32" s="16"/>
      <c r="AW32" s="27"/>
      <c r="AX32" s="16"/>
      <c r="AY32" s="27"/>
      <c r="AZ32" s="24"/>
      <c r="BA32" s="24"/>
      <c r="BB32" s="24"/>
      <c r="BC32" s="32"/>
      <c r="BD32" s="27"/>
      <c r="BE32" s="24"/>
      <c r="BF32" s="24"/>
      <c r="BG32" s="24"/>
      <c r="BH32" s="16"/>
      <c r="BI32" s="27"/>
      <c r="BJ32" s="24"/>
      <c r="BK32" s="24"/>
      <c r="BL32" s="24"/>
      <c r="BM32" s="16"/>
      <c r="BN32" s="61">
        <f t="shared" si="4"/>
        <v>0</v>
      </c>
      <c r="BO32" s="27"/>
      <c r="BP32" s="24"/>
      <c r="BQ32" s="24"/>
      <c r="BR32" s="16"/>
      <c r="BS32" s="61">
        <f>IF(T32=0,(S32+BN32),IF(T32&gt;0,(T32+BN32)))</f>
        <v>799995000</v>
      </c>
      <c r="BT32" s="62">
        <v>48479697</v>
      </c>
      <c r="BU32" s="69">
        <f ca="1">IFERROR(IF(((BS32/AO32)*(TODAY()-N32))&gt;BS32,BS32,((BS32/AO32)*(TODAY()-N32))),"")</f>
        <v>799995000</v>
      </c>
      <c r="BV32" s="33">
        <f t="shared" ca="1" si="6"/>
        <v>1</v>
      </c>
      <c r="BW32" s="33">
        <v>1</v>
      </c>
      <c r="BX32" s="60">
        <f t="shared" ca="1" si="7"/>
        <v>100</v>
      </c>
      <c r="BY32" s="34">
        <f t="shared" si="8"/>
        <v>6.0600000000000005</v>
      </c>
      <c r="BZ32" s="21">
        <v>45513</v>
      </c>
      <c r="CA32" s="35" t="str">
        <f t="shared" ca="1" si="9"/>
        <v>LIQUIDADO</v>
      </c>
      <c r="CB32" s="16" t="s">
        <v>9443</v>
      </c>
    </row>
    <row r="33" spans="1:80" ht="39.75" customHeight="1">
      <c r="A33" s="110" t="s">
        <v>9444</v>
      </c>
      <c r="B33" s="17" t="s">
        <v>104</v>
      </c>
      <c r="C33" s="18" t="s">
        <v>9445</v>
      </c>
      <c r="D33" s="17" t="s">
        <v>106</v>
      </c>
      <c r="E33" s="17" t="s">
        <v>1426</v>
      </c>
      <c r="F33" s="17" t="s">
        <v>1427</v>
      </c>
      <c r="G33" s="19" t="s">
        <v>6758</v>
      </c>
      <c r="H33" s="16" t="s">
        <v>9446</v>
      </c>
      <c r="I33" s="138" t="s">
        <v>9447</v>
      </c>
      <c r="J33" s="235">
        <v>11519766</v>
      </c>
      <c r="K33" s="190" t="s">
        <v>9448</v>
      </c>
      <c r="L33" s="16"/>
      <c r="M33" s="21">
        <v>44390</v>
      </c>
      <c r="N33" s="22">
        <v>44400</v>
      </c>
      <c r="O33" s="22">
        <v>44764</v>
      </c>
      <c r="P33" s="23">
        <f t="shared" si="0"/>
        <v>364</v>
      </c>
      <c r="Q33" s="16" t="s">
        <v>9449</v>
      </c>
      <c r="R33" s="24">
        <v>15705585</v>
      </c>
      <c r="S33" s="24" t="s">
        <v>2812</v>
      </c>
      <c r="T33" s="24">
        <v>15705585</v>
      </c>
      <c r="U33"/>
      <c r="V33" s="17" t="s">
        <v>116</v>
      </c>
      <c r="W33" s="23" t="str">
        <f>IFERROR(VLOOKUP(V33,Listas!$A$1:$C$14,2,FALSE),"")</f>
        <v>FREDY CÉSPEDES VILLA</v>
      </c>
      <c r="X33" s="23">
        <f>IFERROR(VLOOKUP(V33,Listas!$A$1:$C$14,3,FALSE),"")</f>
        <v>93363483</v>
      </c>
      <c r="Y33" s="180" t="s">
        <v>816</v>
      </c>
      <c r="Z33" s="180" t="s">
        <v>2835</v>
      </c>
      <c r="AA33" s="193" t="str">
        <f>IFERROR(VLOOKUP(Z33,Listas!$AD$1:$AF$65,2,FALSE),"")</f>
        <v>GUILLERMO ANDRES CARDONA HERRERA</v>
      </c>
      <c r="AB33" s="23">
        <f>IFERROR(VLOOKUP(Z33,Listas!$AD$1:$AF$65,3,FALSE),"")</f>
        <v>80018909</v>
      </c>
      <c r="AC33" s="17" t="s">
        <v>9228</v>
      </c>
      <c r="AD33" s="17" t="s">
        <v>347</v>
      </c>
      <c r="AE33" s="17" t="s">
        <v>121</v>
      </c>
      <c r="AF33" s="27"/>
      <c r="AG33" s="19"/>
      <c r="AH33" s="27"/>
      <c r="AI33" s="16"/>
      <c r="AJ33" s="27"/>
      <c r="AK33" s="16"/>
      <c r="AL33" s="28">
        <f t="shared" si="1"/>
        <v>0</v>
      </c>
      <c r="AM33" s="29"/>
      <c r="AN33" s="27"/>
      <c r="AO33" s="30">
        <f t="shared" si="2"/>
        <v>364</v>
      </c>
      <c r="AP33" s="31" t="e">
        <f>IF(AN33="",#REF!+AL33,AN33)</f>
        <v>#REF!</v>
      </c>
      <c r="AQ33" s="27"/>
      <c r="AR33" s="16"/>
      <c r="AS33" s="27"/>
      <c r="AT33" s="16"/>
      <c r="AU33" s="27"/>
      <c r="AV33" s="16"/>
      <c r="AW33" s="27"/>
      <c r="AX33" s="16"/>
      <c r="AY33" s="27"/>
      <c r="AZ33" s="24"/>
      <c r="BA33" s="24"/>
      <c r="BB33" s="24"/>
      <c r="BC33" s="32"/>
      <c r="BD33" s="27"/>
      <c r="BE33" s="24"/>
      <c r="BF33" s="24"/>
      <c r="BG33" s="24"/>
      <c r="BH33" s="16"/>
      <c r="BI33" s="27"/>
      <c r="BJ33" s="24"/>
      <c r="BK33" s="24"/>
      <c r="BL33" s="24"/>
      <c r="BM33" s="16"/>
      <c r="BN33" s="61">
        <f t="shared" si="4"/>
        <v>0</v>
      </c>
      <c r="BO33" s="27"/>
      <c r="BP33" s="24"/>
      <c r="BQ33" s="24"/>
      <c r="BR33" s="16"/>
      <c r="BS33" s="61">
        <f>IF(U33=0,(T33+BN33),IF(U33&gt;0,(U33+BN33)))</f>
        <v>15705585</v>
      </c>
      <c r="BT33" s="62">
        <v>15704990.84</v>
      </c>
      <c r="BU33" s="69">
        <f ca="1">IFERROR(IF(((BS33/AO33)*(TODAY()-O33))&gt;BS33,BS33,((BS33/AO33)*(TODAY()-O33))),"")</f>
        <v>15705585</v>
      </c>
      <c r="BV33" s="33" t="e">
        <f ca="1">IF(TODAY()&gt;AP33,1,+(DAYS360(O33,TODAY())/DAYS360(O33,AP33)))</f>
        <v>#REF!</v>
      </c>
      <c r="BW33" s="33">
        <v>1</v>
      </c>
      <c r="BX33" s="60">
        <f t="shared" ca="1" si="7"/>
        <v>100</v>
      </c>
      <c r="BY33" s="34">
        <f t="shared" si="8"/>
        <v>99.996216887177397</v>
      </c>
      <c r="BZ33" s="21">
        <v>45518</v>
      </c>
      <c r="CA33" s="35" t="str">
        <f t="shared" ca="1" si="9"/>
        <v>LIQUIDADO</v>
      </c>
      <c r="CB33" s="16" t="s">
        <v>9450</v>
      </c>
    </row>
    <row r="34" spans="1:80" ht="39.75" customHeight="1">
      <c r="A34" s="110" t="s">
        <v>9451</v>
      </c>
      <c r="B34" s="17" t="s">
        <v>5814</v>
      </c>
      <c r="C34" s="18" t="s">
        <v>9452</v>
      </c>
      <c r="D34" s="17" t="s">
        <v>106</v>
      </c>
      <c r="E34" s="17" t="s">
        <v>1426</v>
      </c>
      <c r="F34" s="17" t="s">
        <v>1427</v>
      </c>
      <c r="G34" s="19" t="s">
        <v>9453</v>
      </c>
      <c r="H34" s="16" t="s">
        <v>9454</v>
      </c>
      <c r="I34" s="138" t="s">
        <v>9455</v>
      </c>
      <c r="J34" s="235">
        <v>19085376</v>
      </c>
      <c r="K34" s="190" t="s">
        <v>9456</v>
      </c>
      <c r="L34" s="16"/>
      <c r="M34" s="21">
        <v>44718</v>
      </c>
      <c r="N34" s="22">
        <v>44728</v>
      </c>
      <c r="O34" s="22">
        <v>44926</v>
      </c>
      <c r="P34" s="23">
        <f t="shared" si="0"/>
        <v>198</v>
      </c>
      <c r="Q34" s="16" t="s">
        <v>9457</v>
      </c>
      <c r="R34" s="24">
        <v>30600000</v>
      </c>
      <c r="S34" s="24" t="s">
        <v>9458</v>
      </c>
      <c r="T34" s="24">
        <v>30600000</v>
      </c>
      <c r="U34"/>
      <c r="V34" s="17" t="s">
        <v>116</v>
      </c>
      <c r="W34" s="23" t="str">
        <f>IFERROR(VLOOKUP(V34,Listas!$A$1:$C$14,2,FALSE),"")</f>
        <v>FREDY CÉSPEDES VILLA</v>
      </c>
      <c r="X34" s="23">
        <f>IFERROR(VLOOKUP(V34,Listas!$A$1:$C$14,3,FALSE),"")</f>
        <v>93363483</v>
      </c>
      <c r="Y34" s="180" t="s">
        <v>116</v>
      </c>
      <c r="Z34" s="180" t="s">
        <v>659</v>
      </c>
      <c r="AA34" s="193" t="str">
        <f>IFERROR(VLOOKUP(Z34,Listas!$AD$1:$AF$65,2,FALSE),"")</f>
        <v>TATIANA FORERO TORRES</v>
      </c>
      <c r="AB34" s="23">
        <f>IFERROR(VLOOKUP(Z34,Listas!$AD$1:$AF$65,3,FALSE),"")</f>
        <v>1072446921</v>
      </c>
      <c r="AC34" s="17" t="s">
        <v>9228</v>
      </c>
      <c r="AD34" s="17" t="s">
        <v>347</v>
      </c>
      <c r="AE34" s="17" t="s">
        <v>121</v>
      </c>
      <c r="AF34" s="27"/>
      <c r="AG34" s="19"/>
      <c r="AH34" s="27"/>
      <c r="AI34" s="16"/>
      <c r="AJ34" s="27"/>
      <c r="AK34" s="16"/>
      <c r="AL34" s="28">
        <f t="shared" si="1"/>
        <v>0</v>
      </c>
      <c r="AM34" s="29"/>
      <c r="AN34" s="27"/>
      <c r="AO34" s="30">
        <f t="shared" si="2"/>
        <v>198</v>
      </c>
      <c r="AP34" s="31">
        <f t="shared" si="3"/>
        <v>44926</v>
      </c>
      <c r="AQ34" s="27"/>
      <c r="AR34" s="16"/>
      <c r="AS34" s="27"/>
      <c r="AT34" s="16"/>
      <c r="AU34" s="27"/>
      <c r="AV34" s="16"/>
      <c r="AW34" s="27"/>
      <c r="AX34" s="16"/>
      <c r="AY34" s="27"/>
      <c r="AZ34" s="24">
        <v>15000000</v>
      </c>
      <c r="BA34" s="24"/>
      <c r="BB34" s="24"/>
      <c r="BC34" s="32"/>
      <c r="BD34" s="27"/>
      <c r="BE34" s="24"/>
      <c r="BF34" s="24"/>
      <c r="BG34" s="24"/>
      <c r="BH34" s="16"/>
      <c r="BI34" s="27"/>
      <c r="BJ34" s="24"/>
      <c r="BK34" s="24"/>
      <c r="BL34" s="24"/>
      <c r="BM34" s="16"/>
      <c r="BN34" s="61">
        <f t="shared" ref="BN34:BN65" si="13">BP34+BJ34+BE34+AZ34</f>
        <v>15000000</v>
      </c>
      <c r="BO34" s="27"/>
      <c r="BP34" s="24"/>
      <c r="BQ34" s="24"/>
      <c r="BR34" s="16"/>
      <c r="BS34" s="61">
        <f>IF(U34=0,(T34+BN34),IF(U34&gt;0,(U34+BN34)))</f>
        <v>45600000</v>
      </c>
      <c r="BT34" s="62">
        <v>42332172</v>
      </c>
      <c r="BU34" s="69">
        <f t="shared" ref="BU34:BU57" ca="1" si="14">IFERROR(IF(((BS34/AO34)*(TODAY()-N34))&gt;BS34,BS34,((BS34/AO34)*(TODAY()-N34))),"")</f>
        <v>45600000</v>
      </c>
      <c r="BV34" s="33">
        <f t="shared" ca="1" si="6"/>
        <v>1</v>
      </c>
      <c r="BW34" s="33">
        <v>1</v>
      </c>
      <c r="BX34" s="60">
        <f t="shared" ca="1" si="7"/>
        <v>100</v>
      </c>
      <c r="BY34" s="34">
        <f t="shared" si="8"/>
        <v>92.833710526315798</v>
      </c>
      <c r="BZ34" s="21">
        <v>45526</v>
      </c>
      <c r="CA34" s="35" t="str">
        <f t="shared" ref="CA34:CA65" ca="1" si="15">IF(BZ34&gt;1/1/6,"LIQUIDADO",IF(AP34=0,"",IF(AP34&gt;=TODAY(),"VIGENTE",IF(AP34&lt;TODAY(),"TERMINADO",))))</f>
        <v>LIQUIDADO</v>
      </c>
      <c r="CB34" s="16" t="s">
        <v>9459</v>
      </c>
    </row>
    <row r="35" spans="1:80" ht="39.75" customHeight="1">
      <c r="A35" s="107" t="s">
        <v>9460</v>
      </c>
      <c r="B35" s="17" t="s">
        <v>104</v>
      </c>
      <c r="C35" s="18" t="s">
        <v>9461</v>
      </c>
      <c r="D35" s="17" t="s">
        <v>2063</v>
      </c>
      <c r="E35" s="17" t="s">
        <v>1426</v>
      </c>
      <c r="F35" s="17" t="s">
        <v>1427</v>
      </c>
      <c r="G35" s="19" t="s">
        <v>9462</v>
      </c>
      <c r="H35" s="16" t="s">
        <v>9463</v>
      </c>
      <c r="I35" s="138" t="s">
        <v>9464</v>
      </c>
      <c r="J35" s="235">
        <v>38251871</v>
      </c>
      <c r="K35" s="190" t="s">
        <v>9242</v>
      </c>
      <c r="L35" s="16" t="s">
        <v>9382</v>
      </c>
      <c r="M35" s="21">
        <v>44860</v>
      </c>
      <c r="N35" s="22">
        <v>44866</v>
      </c>
      <c r="O35" s="22">
        <v>45116</v>
      </c>
      <c r="P35" s="138">
        <f>O35-N35</f>
        <v>250</v>
      </c>
      <c r="Q35" s="16" t="s">
        <v>9465</v>
      </c>
      <c r="R35" s="24">
        <v>37696200</v>
      </c>
      <c r="S35" s="24" t="s">
        <v>9466</v>
      </c>
      <c r="T35" s="24">
        <v>26072280</v>
      </c>
      <c r="U35"/>
      <c r="V35" s="17" t="s">
        <v>116</v>
      </c>
      <c r="W35" s="23" t="str">
        <f>IFERROR(VLOOKUP(V35,Listas!$A$1:$C$14,2,FALSE),"")</f>
        <v>FREDY CÉSPEDES VILLA</v>
      </c>
      <c r="X35" s="23">
        <f>IFERROR(VLOOKUP(V35,Listas!$A$1:$C$14,3,FALSE),"")</f>
        <v>93363483</v>
      </c>
      <c r="Y35" s="180" t="s">
        <v>116</v>
      </c>
      <c r="Z35" s="180" t="s">
        <v>659</v>
      </c>
      <c r="AA35" s="193" t="str">
        <f>IFERROR(VLOOKUP(Z35,Listas!$AD$1:$AF$65,2,FALSE),"")</f>
        <v>TATIANA FORERO TORRES</v>
      </c>
      <c r="AB35" s="23">
        <f>IFERROR(VLOOKUP(Z35,Listas!$AD$1:$AF$65,3,FALSE),"")</f>
        <v>1072446921</v>
      </c>
      <c r="AC35" s="17" t="s">
        <v>9228</v>
      </c>
      <c r="AD35" s="17" t="s">
        <v>347</v>
      </c>
      <c r="AE35" s="17" t="s">
        <v>121</v>
      </c>
      <c r="AF35" s="27">
        <v>45230</v>
      </c>
      <c r="AG35" s="19">
        <v>114</v>
      </c>
      <c r="AH35" s="27"/>
      <c r="AI35" s="16"/>
      <c r="AJ35" s="27"/>
      <c r="AK35" s="16"/>
      <c r="AL35" s="28">
        <f t="shared" si="1"/>
        <v>114</v>
      </c>
      <c r="AM35" s="29"/>
      <c r="AN35" s="27"/>
      <c r="AO35" s="30">
        <f t="shared" si="2"/>
        <v>364</v>
      </c>
      <c r="AP35" s="31">
        <f t="shared" si="3"/>
        <v>45230</v>
      </c>
      <c r="AQ35" s="27"/>
      <c r="AR35" s="16"/>
      <c r="AS35" s="27"/>
      <c r="AT35" s="16"/>
      <c r="AU35" s="27"/>
      <c r="AV35" s="16"/>
      <c r="AW35" s="27"/>
      <c r="AX35" s="16"/>
      <c r="AY35" s="27"/>
      <c r="AZ35" s="24">
        <v>11623920</v>
      </c>
      <c r="BA35" s="24"/>
      <c r="BB35" s="24"/>
      <c r="BC35" s="32"/>
      <c r="BD35" s="27"/>
      <c r="BE35" s="24"/>
      <c r="BF35" s="24"/>
      <c r="BG35" s="24"/>
      <c r="BH35" s="16"/>
      <c r="BI35" s="27"/>
      <c r="BJ35" s="24"/>
      <c r="BK35" s="24"/>
      <c r="BL35" s="24"/>
      <c r="BM35" s="16"/>
      <c r="BN35" s="61">
        <f t="shared" si="13"/>
        <v>11623920</v>
      </c>
      <c r="BO35" s="27"/>
      <c r="BP35" s="24"/>
      <c r="BQ35" s="24"/>
      <c r="BR35" s="16"/>
      <c r="BS35" s="61">
        <f>IF(U35=0,(T35+BN35),IF(U35&gt;0,(U35+BN35)))</f>
        <v>37696200</v>
      </c>
      <c r="BT35" s="62">
        <v>37696200</v>
      </c>
      <c r="BU35" s="69">
        <f t="shared" ca="1" si="14"/>
        <v>37696200</v>
      </c>
      <c r="BV35" s="33">
        <f t="shared" ca="1" si="6"/>
        <v>1</v>
      </c>
      <c r="BW35" s="33">
        <v>1</v>
      </c>
      <c r="BX35" s="60">
        <f t="shared" ca="1" si="7"/>
        <v>100</v>
      </c>
      <c r="BY35" s="34">
        <f t="shared" si="8"/>
        <v>100</v>
      </c>
      <c r="BZ35" s="21">
        <v>45545</v>
      </c>
      <c r="CA35" s="35" t="str">
        <f t="shared" ca="1" si="15"/>
        <v>LIQUIDADO</v>
      </c>
      <c r="CB35" s="16"/>
    </row>
    <row r="36" spans="1:80" ht="39.75" customHeight="1">
      <c r="A36" s="107" t="s">
        <v>9467</v>
      </c>
      <c r="B36" s="17" t="s">
        <v>104</v>
      </c>
      <c r="C36" s="18" t="s">
        <v>9468</v>
      </c>
      <c r="D36" s="17" t="s">
        <v>2063</v>
      </c>
      <c r="E36" s="17" t="s">
        <v>1426</v>
      </c>
      <c r="F36" s="17" t="s">
        <v>1427</v>
      </c>
      <c r="G36" s="19" t="s">
        <v>9469</v>
      </c>
      <c r="H36" s="16" t="s">
        <v>9470</v>
      </c>
      <c r="I36" s="138" t="s">
        <v>7586</v>
      </c>
      <c r="J36" s="235">
        <v>42876450</v>
      </c>
      <c r="K36" s="190" t="s">
        <v>9471</v>
      </c>
      <c r="L36" s="16" t="s">
        <v>111</v>
      </c>
      <c r="M36" s="21">
        <v>45086</v>
      </c>
      <c r="N36" s="22">
        <v>45093</v>
      </c>
      <c r="O36" s="22">
        <v>45291</v>
      </c>
      <c r="P36" s="23">
        <f t="shared" si="0"/>
        <v>198</v>
      </c>
      <c r="Q36" s="16" t="s">
        <v>9472</v>
      </c>
      <c r="R36" s="24">
        <v>63520800</v>
      </c>
      <c r="S36" s="24" t="s">
        <v>9473</v>
      </c>
      <c r="T36" s="24">
        <v>63520800</v>
      </c>
      <c r="U36"/>
      <c r="V36" s="17" t="s">
        <v>116</v>
      </c>
      <c r="W36" s="23" t="str">
        <f>IFERROR(VLOOKUP(V36,Listas!$A$1:$C$14,2,FALSE),"")</f>
        <v>FREDY CÉSPEDES VILLA</v>
      </c>
      <c r="X36" s="23">
        <f>IFERROR(VLOOKUP(V36,Listas!$A$1:$C$14,3,FALSE),"")</f>
        <v>93363483</v>
      </c>
      <c r="Y36" s="180" t="s">
        <v>472</v>
      </c>
      <c r="Z36" s="180" t="s">
        <v>473</v>
      </c>
      <c r="AA36" s="193" t="str">
        <f>IFERROR(VLOOKUP(Z36,Listas!$AD$1:$AF$65,2,FALSE),"")</f>
        <v>DANIEL ALBERTO CASTAÑO LOPEZ</v>
      </c>
      <c r="AB36" s="23">
        <f>IFERROR(VLOOKUP(Z36,Listas!$AD$1:$AF$65,3,FALSE),"")</f>
        <v>7544385</v>
      </c>
      <c r="AC36" s="17" t="s">
        <v>9228</v>
      </c>
      <c r="AD36" s="17" t="s">
        <v>347</v>
      </c>
      <c r="AE36" s="17" t="s">
        <v>121</v>
      </c>
      <c r="AF36" s="27"/>
      <c r="AG36" s="19"/>
      <c r="AH36" s="27"/>
      <c r="AI36" s="16"/>
      <c r="AJ36" s="27"/>
      <c r="AK36" s="16"/>
      <c r="AL36" s="28">
        <f t="shared" si="1"/>
        <v>0</v>
      </c>
      <c r="AM36" s="29"/>
      <c r="AN36" s="27"/>
      <c r="AO36" s="30">
        <f t="shared" si="2"/>
        <v>198</v>
      </c>
      <c r="AP36" s="31">
        <f t="shared" si="3"/>
        <v>45291</v>
      </c>
      <c r="AQ36" s="27"/>
      <c r="AR36" s="16"/>
      <c r="AS36" s="27"/>
      <c r="AT36" s="16"/>
      <c r="AU36" s="27"/>
      <c r="AV36" s="16"/>
      <c r="AW36" s="27"/>
      <c r="AX36" s="16"/>
      <c r="AY36" s="27"/>
      <c r="AZ36" s="24"/>
      <c r="BA36" s="24"/>
      <c r="BB36" s="24"/>
      <c r="BC36" s="32"/>
      <c r="BD36" s="27"/>
      <c r="BE36" s="24"/>
      <c r="BF36" s="24"/>
      <c r="BG36" s="24"/>
      <c r="BH36" s="16"/>
      <c r="BI36" s="27"/>
      <c r="BJ36" s="24"/>
      <c r="BK36" s="24"/>
      <c r="BL36" s="24"/>
      <c r="BM36" s="16"/>
      <c r="BN36" s="61">
        <f t="shared" si="13"/>
        <v>0</v>
      </c>
      <c r="BO36" s="27"/>
      <c r="BP36" s="24"/>
      <c r="BQ36" s="24"/>
      <c r="BR36" s="16"/>
      <c r="BS36" s="61">
        <f>IF(T36=0,(S36+BN36),IF(T36&gt;0,(T36+BN36)))</f>
        <v>63520800</v>
      </c>
      <c r="BT36" s="62">
        <v>59190177</v>
      </c>
      <c r="BU36" s="69">
        <f t="shared" ca="1" si="14"/>
        <v>63520800</v>
      </c>
      <c r="BV36" s="33">
        <f t="shared" ca="1" si="6"/>
        <v>1</v>
      </c>
      <c r="BW36" s="33">
        <v>1</v>
      </c>
      <c r="BX36" s="60">
        <f t="shared" ca="1" si="7"/>
        <v>100</v>
      </c>
      <c r="BY36" s="34">
        <f t="shared" si="8"/>
        <v>93.182354441379829</v>
      </c>
      <c r="BZ36" s="21">
        <v>45545</v>
      </c>
      <c r="CA36" s="35" t="str">
        <f t="shared" ca="1" si="15"/>
        <v>LIQUIDADO</v>
      </c>
      <c r="CB36" s="16" t="s">
        <v>9474</v>
      </c>
    </row>
    <row r="37" spans="1:80" ht="39.75" customHeight="1">
      <c r="A37" s="107" t="s">
        <v>9475</v>
      </c>
      <c r="B37" s="17" t="s">
        <v>104</v>
      </c>
      <c r="C37" s="18" t="s">
        <v>9476</v>
      </c>
      <c r="D37" s="17" t="s">
        <v>6608</v>
      </c>
      <c r="E37" s="17" t="s">
        <v>9406</v>
      </c>
      <c r="F37" s="17" t="s">
        <v>1427</v>
      </c>
      <c r="G37" s="19" t="s">
        <v>9477</v>
      </c>
      <c r="H37" s="16" t="s">
        <v>9478</v>
      </c>
      <c r="I37" s="138"/>
      <c r="J37" s="235"/>
      <c r="K37" s="190" t="s">
        <v>9479</v>
      </c>
      <c r="L37" s="16"/>
      <c r="M37" s="21">
        <v>44132</v>
      </c>
      <c r="N37" s="22">
        <v>44139</v>
      </c>
      <c r="O37" s="22">
        <v>45234</v>
      </c>
      <c r="P37" s="23">
        <f t="shared" si="0"/>
        <v>1095</v>
      </c>
      <c r="Q37" s="16" t="s">
        <v>9480</v>
      </c>
      <c r="R37" s="24">
        <v>465374890</v>
      </c>
      <c r="S37" s="24" t="s">
        <v>9481</v>
      </c>
      <c r="T37" s="24">
        <v>450604500</v>
      </c>
      <c r="U37"/>
      <c r="V37" s="17" t="s">
        <v>116</v>
      </c>
      <c r="W37" s="23" t="str">
        <f>IFERROR(VLOOKUP(V37,Listas!$A$1:$C$14,2,FALSE),"")</f>
        <v>FREDY CÉSPEDES VILLA</v>
      </c>
      <c r="X37" s="23">
        <f>IFERROR(VLOOKUP(V37,Listas!$A$1:$C$14,3,FALSE),"")</f>
        <v>93363483</v>
      </c>
      <c r="Y37" s="180" t="s">
        <v>816</v>
      </c>
      <c r="Z37" s="180" t="s">
        <v>1450</v>
      </c>
      <c r="AA37" s="193" t="str">
        <f>IFERROR(VLOOKUP(Z37,Listas!$AD$1:$AF$65,2,FALSE),"")</f>
        <v>LINA MARIA CRUZ SILVA</v>
      </c>
      <c r="AB37" s="23">
        <f>IFERROR(VLOOKUP(Z37,Listas!$AD$1:$AF$65,3,FALSE),"")</f>
        <v>52423537</v>
      </c>
      <c r="AC37" s="17" t="s">
        <v>9289</v>
      </c>
      <c r="AD37" s="17" t="s">
        <v>367</v>
      </c>
      <c r="AE37" s="17" t="s">
        <v>121</v>
      </c>
      <c r="AF37" s="27"/>
      <c r="AG37" s="19"/>
      <c r="AH37" s="27"/>
      <c r="AI37" s="16"/>
      <c r="AJ37" s="27"/>
      <c r="AK37" s="16"/>
      <c r="AL37" s="28">
        <f t="shared" si="1"/>
        <v>0</v>
      </c>
      <c r="AM37" s="29"/>
      <c r="AN37" s="27"/>
      <c r="AO37" s="30">
        <f t="shared" si="2"/>
        <v>1095</v>
      </c>
      <c r="AP37" s="31">
        <f t="shared" si="3"/>
        <v>45234</v>
      </c>
      <c r="AQ37" s="27"/>
      <c r="AR37" s="16"/>
      <c r="AS37" s="27"/>
      <c r="AT37" s="16"/>
      <c r="AU37" s="27"/>
      <c r="AV37" s="16"/>
      <c r="AW37" s="27"/>
      <c r="AX37" s="16"/>
      <c r="AY37" s="27"/>
      <c r="AZ37" s="24"/>
      <c r="BA37" s="24"/>
      <c r="BB37" s="24"/>
      <c r="BC37" s="32"/>
      <c r="BD37" s="27"/>
      <c r="BE37" s="24"/>
      <c r="BF37" s="24"/>
      <c r="BG37" s="24"/>
      <c r="BH37" s="16"/>
      <c r="BI37" s="27"/>
      <c r="BJ37" s="24"/>
      <c r="BK37" s="24"/>
      <c r="BL37" s="24"/>
      <c r="BM37" s="16"/>
      <c r="BN37" s="61">
        <f t="shared" si="13"/>
        <v>0</v>
      </c>
      <c r="BO37" s="27"/>
      <c r="BP37" s="24"/>
      <c r="BQ37" s="24"/>
      <c r="BR37" s="16"/>
      <c r="BS37" s="61">
        <f t="shared" ref="BS37:BS45" si="16">IF(U37=0,(T37+BN37),IF(U37&gt;0,(U37+BN37)))</f>
        <v>450604500</v>
      </c>
      <c r="BT37" s="62">
        <v>450604500</v>
      </c>
      <c r="BU37" s="69">
        <f t="shared" ca="1" si="14"/>
        <v>450604500</v>
      </c>
      <c r="BV37" s="33">
        <f t="shared" ca="1" si="6"/>
        <v>1</v>
      </c>
      <c r="BW37" s="33">
        <v>1</v>
      </c>
      <c r="BX37" s="60">
        <f t="shared" ca="1" si="7"/>
        <v>100</v>
      </c>
      <c r="BY37" s="34">
        <f t="shared" si="8"/>
        <v>100</v>
      </c>
      <c r="BZ37" s="21">
        <v>45544</v>
      </c>
      <c r="CA37" s="35" t="str">
        <f t="shared" ca="1" si="15"/>
        <v>LIQUIDADO</v>
      </c>
      <c r="CB37" s="16"/>
    </row>
    <row r="38" spans="1:80" ht="60">
      <c r="A38" s="107" t="s">
        <v>9482</v>
      </c>
      <c r="B38" s="17" t="s">
        <v>104</v>
      </c>
      <c r="C38" s="18" t="s">
        <v>9483</v>
      </c>
      <c r="D38" s="17" t="s">
        <v>106</v>
      </c>
      <c r="E38" s="17" t="s">
        <v>1426</v>
      </c>
      <c r="F38" s="17" t="s">
        <v>1427</v>
      </c>
      <c r="G38" s="19" t="s">
        <v>9484</v>
      </c>
      <c r="H38" s="16" t="s">
        <v>9485</v>
      </c>
      <c r="I38" s="138" t="s">
        <v>9486</v>
      </c>
      <c r="J38" s="235">
        <v>80410786</v>
      </c>
      <c r="K38" s="190" t="s">
        <v>9487</v>
      </c>
      <c r="L38" s="16" t="s">
        <v>111</v>
      </c>
      <c r="M38" s="21">
        <v>44355</v>
      </c>
      <c r="N38" s="22">
        <v>44369</v>
      </c>
      <c r="O38" s="22">
        <v>44733</v>
      </c>
      <c r="P38" s="23">
        <f t="shared" si="0"/>
        <v>364</v>
      </c>
      <c r="Q38" s="16" t="s">
        <v>9488</v>
      </c>
      <c r="R38" s="24">
        <v>14835000</v>
      </c>
      <c r="S38" s="24" t="s">
        <v>2812</v>
      </c>
      <c r="T38" s="24">
        <v>4653750</v>
      </c>
      <c r="U38"/>
      <c r="V38" s="17" t="s">
        <v>116</v>
      </c>
      <c r="W38" s="23" t="str">
        <f>IFERROR(VLOOKUP(V38,Listas!$A$1:$C$14,2,FALSE),"")</f>
        <v>FREDY CÉSPEDES VILLA</v>
      </c>
      <c r="X38" s="23">
        <f>IFERROR(VLOOKUP(V38,Listas!$A$1:$C$14,3,FALSE),"")</f>
        <v>93363483</v>
      </c>
      <c r="Y38" s="180" t="s">
        <v>816</v>
      </c>
      <c r="Z38" s="180" t="s">
        <v>2577</v>
      </c>
      <c r="AA38" s="193" t="str">
        <f>IFERROR(VLOOKUP(Z38,Listas!$AD$1:$AF$65,2,FALSE),"")</f>
        <v>VICTOR RAUL BAUTISTA GALINDO</v>
      </c>
      <c r="AB38" s="23">
        <f>IFERROR(VLOOKUP(Z38,Listas!$AD$1:$AF$65,3,FALSE),"")</f>
        <v>79352968</v>
      </c>
      <c r="AC38" s="17" t="s">
        <v>9228</v>
      </c>
      <c r="AD38" s="17" t="s">
        <v>367</v>
      </c>
      <c r="AE38" s="17" t="s">
        <v>121</v>
      </c>
      <c r="AF38" s="27"/>
      <c r="AG38" s="19"/>
      <c r="AH38" s="27"/>
      <c r="AI38" s="16"/>
      <c r="AJ38" s="27"/>
      <c r="AK38" s="16"/>
      <c r="AL38" s="28">
        <f t="shared" si="1"/>
        <v>0</v>
      </c>
      <c r="AM38" s="29"/>
      <c r="AN38" s="27"/>
      <c r="AO38" s="30">
        <f t="shared" si="2"/>
        <v>364</v>
      </c>
      <c r="AP38" s="31">
        <f t="shared" si="3"/>
        <v>44733</v>
      </c>
      <c r="AQ38" s="27"/>
      <c r="AR38" s="16"/>
      <c r="AS38" s="27"/>
      <c r="AT38" s="16"/>
      <c r="AU38" s="27"/>
      <c r="AV38" s="16"/>
      <c r="AW38" s="27"/>
      <c r="AX38" s="16"/>
      <c r="AY38" s="27"/>
      <c r="AZ38" s="24"/>
      <c r="BA38" s="24"/>
      <c r="BB38" s="24"/>
      <c r="BC38" s="32"/>
      <c r="BD38" s="27"/>
      <c r="BE38" s="24"/>
      <c r="BF38" s="24"/>
      <c r="BG38" s="24"/>
      <c r="BH38" s="16"/>
      <c r="BI38" s="27"/>
      <c r="BJ38" s="24"/>
      <c r="BK38" s="24"/>
      <c r="BL38" s="24"/>
      <c r="BM38" s="16"/>
      <c r="BN38" s="61">
        <f t="shared" si="13"/>
        <v>0</v>
      </c>
      <c r="BO38" s="27"/>
      <c r="BP38" s="24"/>
      <c r="BQ38" s="24"/>
      <c r="BR38" s="16"/>
      <c r="BS38" s="61">
        <f t="shared" si="16"/>
        <v>4653750</v>
      </c>
      <c r="BT38" s="62">
        <v>4653750</v>
      </c>
      <c r="BU38" s="69">
        <f t="shared" ca="1" si="14"/>
        <v>4653750</v>
      </c>
      <c r="BV38" s="33">
        <f t="shared" ca="1" si="6"/>
        <v>1</v>
      </c>
      <c r="BW38" s="33">
        <v>1</v>
      </c>
      <c r="BX38" s="60">
        <f t="shared" ca="1" si="7"/>
        <v>100</v>
      </c>
      <c r="BY38" s="34">
        <f t="shared" si="8"/>
        <v>100</v>
      </c>
      <c r="BZ38" s="21">
        <v>45551</v>
      </c>
      <c r="CA38" s="35" t="str">
        <f t="shared" ca="1" si="15"/>
        <v>LIQUIDADO</v>
      </c>
      <c r="CB38" s="16"/>
    </row>
    <row r="39" spans="1:80" ht="45">
      <c r="A39" s="107" t="s">
        <v>9489</v>
      </c>
      <c r="B39" s="17" t="s">
        <v>104</v>
      </c>
      <c r="C39" s="18" t="s">
        <v>9490</v>
      </c>
      <c r="D39" s="17" t="s">
        <v>2063</v>
      </c>
      <c r="E39" s="17" t="s">
        <v>1426</v>
      </c>
      <c r="F39" s="17" t="s">
        <v>1427</v>
      </c>
      <c r="G39" s="19" t="s">
        <v>2064</v>
      </c>
      <c r="H39" s="16" t="s">
        <v>2065</v>
      </c>
      <c r="I39" s="16" t="s">
        <v>2066</v>
      </c>
      <c r="J39" s="16">
        <v>17122481</v>
      </c>
      <c r="K39" s="20" t="s">
        <v>9491</v>
      </c>
      <c r="L39" s="16" t="s">
        <v>111</v>
      </c>
      <c r="M39" s="21">
        <v>44880</v>
      </c>
      <c r="N39" s="22">
        <v>44927</v>
      </c>
      <c r="O39" s="22">
        <v>45291</v>
      </c>
      <c r="P39" s="23">
        <f t="shared" si="0"/>
        <v>364</v>
      </c>
      <c r="Q39" s="16" t="s">
        <v>9492</v>
      </c>
      <c r="R39" s="24">
        <v>68617668</v>
      </c>
      <c r="S39" s="16" t="s">
        <v>2070</v>
      </c>
      <c r="T39" s="24">
        <v>68617668</v>
      </c>
      <c r="U39" s="24"/>
      <c r="V39" s="17" t="s">
        <v>116</v>
      </c>
      <c r="W39" s="23" t="str">
        <f>IFERROR(VLOOKUP(V39,Listas!$A$1:$C$14,2,FALSE),"")</f>
        <v>FREDY CÉSPEDES VILLA</v>
      </c>
      <c r="X39" s="23">
        <f>IFERROR(VLOOKUP(V39,Listas!$A$1:$C$14,3,FALSE),"")</f>
        <v>93363483</v>
      </c>
      <c r="Y39" s="17" t="s">
        <v>116</v>
      </c>
      <c r="Z39" s="17" t="s">
        <v>659</v>
      </c>
      <c r="AA39" s="23" t="str">
        <f>IFERROR(VLOOKUP(Z39,Listas!$AD$1:$AF$65,2,FALSE),"")</f>
        <v>TATIANA FORERO TORRES</v>
      </c>
      <c r="AB39" s="23">
        <f>IFERROR(VLOOKUP(Z39,Listas!$AD$1:$AF$65,3,FALSE),"")</f>
        <v>1072446921</v>
      </c>
      <c r="AC39" s="17" t="s">
        <v>9228</v>
      </c>
      <c r="AD39" s="17" t="s">
        <v>515</v>
      </c>
      <c r="AE39" s="17" t="s">
        <v>121</v>
      </c>
      <c r="AF39" s="27"/>
      <c r="AG39" s="19"/>
      <c r="AH39" s="27"/>
      <c r="AI39" s="16"/>
      <c r="AJ39" s="27"/>
      <c r="AK39" s="16"/>
      <c r="AL39" s="28">
        <f t="shared" si="1"/>
        <v>0</v>
      </c>
      <c r="AM39" s="29"/>
      <c r="AN39" s="27"/>
      <c r="AO39" s="30">
        <f t="shared" si="2"/>
        <v>364</v>
      </c>
      <c r="AP39" s="31">
        <f t="shared" si="3"/>
        <v>45291</v>
      </c>
      <c r="AQ39" s="27"/>
      <c r="AR39" s="16"/>
      <c r="AS39" s="27"/>
      <c r="AT39" s="16"/>
      <c r="AU39" s="27"/>
      <c r="AV39" s="16"/>
      <c r="AW39" s="27"/>
      <c r="AX39" s="16"/>
      <c r="AY39" s="27"/>
      <c r="AZ39" s="24"/>
      <c r="BA39" s="24"/>
      <c r="BB39" s="24"/>
      <c r="BC39" s="32"/>
      <c r="BD39" s="27"/>
      <c r="BE39" s="24"/>
      <c r="BF39" s="24"/>
      <c r="BG39" s="24"/>
      <c r="BH39" s="16"/>
      <c r="BI39" s="27"/>
      <c r="BJ39" s="24"/>
      <c r="BK39" s="24"/>
      <c r="BL39" s="24"/>
      <c r="BM39" s="16"/>
      <c r="BN39" s="61">
        <f t="shared" si="13"/>
        <v>0</v>
      </c>
      <c r="BO39" s="27"/>
      <c r="BP39" s="24"/>
      <c r="BQ39" s="24"/>
      <c r="BR39" s="16"/>
      <c r="BS39" s="61">
        <f t="shared" si="16"/>
        <v>68617668</v>
      </c>
      <c r="BT39" s="62">
        <v>68617668</v>
      </c>
      <c r="BU39" s="69">
        <f t="shared" ca="1" si="14"/>
        <v>68617668</v>
      </c>
      <c r="BV39" s="33">
        <f t="shared" ca="1" si="6"/>
        <v>1</v>
      </c>
      <c r="BW39" s="33">
        <v>1</v>
      </c>
      <c r="BX39" s="60">
        <f t="shared" ca="1" si="7"/>
        <v>100</v>
      </c>
      <c r="BY39" s="34">
        <f t="shared" si="8"/>
        <v>100</v>
      </c>
      <c r="BZ39" s="21">
        <v>45553</v>
      </c>
      <c r="CA39" s="35" t="str">
        <f t="shared" ca="1" si="15"/>
        <v>LIQUIDADO</v>
      </c>
      <c r="CB39" s="16"/>
    </row>
    <row r="40" spans="1:80" ht="39.75" customHeight="1">
      <c r="A40" s="107" t="s">
        <v>9493</v>
      </c>
      <c r="B40" s="17" t="s">
        <v>104</v>
      </c>
      <c r="C40" s="18" t="s">
        <v>9494</v>
      </c>
      <c r="D40" s="17" t="s">
        <v>106</v>
      </c>
      <c r="E40" s="17" t="s">
        <v>1426</v>
      </c>
      <c r="F40" s="17" t="s">
        <v>1427</v>
      </c>
      <c r="G40" s="19" t="s">
        <v>9495</v>
      </c>
      <c r="H40" s="16" t="s">
        <v>6325</v>
      </c>
      <c r="I40" s="16" t="s">
        <v>6326</v>
      </c>
      <c r="J40" s="16">
        <v>1020715580</v>
      </c>
      <c r="K40" s="20" t="s">
        <v>8838</v>
      </c>
      <c r="L40" s="16" t="s">
        <v>111</v>
      </c>
      <c r="M40" s="21">
        <v>45099</v>
      </c>
      <c r="N40" s="22">
        <v>45100</v>
      </c>
      <c r="O40" s="22">
        <v>45290</v>
      </c>
      <c r="P40" s="23">
        <f t="shared" si="0"/>
        <v>190</v>
      </c>
      <c r="Q40" s="16" t="s">
        <v>9496</v>
      </c>
      <c r="R40" s="24">
        <v>27387692</v>
      </c>
      <c r="S40" s="16" t="s">
        <v>6330</v>
      </c>
      <c r="T40" s="24">
        <v>20979001</v>
      </c>
      <c r="U40" s="24"/>
      <c r="V40" s="17" t="s">
        <v>116</v>
      </c>
      <c r="W40" s="23" t="str">
        <f>IFERROR(VLOOKUP(V40,Listas!$A$1:$C$14,2,FALSE),"")</f>
        <v>FREDY CÉSPEDES VILLA</v>
      </c>
      <c r="X40" s="23">
        <f>IFERROR(VLOOKUP(V40,Listas!$A$1:$C$14,3,FALSE),"")</f>
        <v>93363483</v>
      </c>
      <c r="Y40" s="17" t="s">
        <v>406</v>
      </c>
      <c r="Z40" s="17" t="s">
        <v>407</v>
      </c>
      <c r="AA40" s="23" t="str">
        <f>IFERROR(VLOOKUP(Z40,Listas!$AD$1:$AF$65,2,FALSE),"")</f>
        <v>MARÍA VICTORIA CAMARGO CORTÉS</v>
      </c>
      <c r="AB40" s="23">
        <f>IFERROR(VLOOKUP(Z40,Listas!$AD$1:$AF$65,3,FALSE),"")</f>
        <v>52496497</v>
      </c>
      <c r="AC40" s="17" t="s">
        <v>9228</v>
      </c>
      <c r="AD40" s="17" t="s">
        <v>515</v>
      </c>
      <c r="AE40" s="17" t="s">
        <v>121</v>
      </c>
      <c r="AF40" s="27"/>
      <c r="AG40" s="19"/>
      <c r="AH40" s="27"/>
      <c r="AI40" s="16"/>
      <c r="AJ40" s="27"/>
      <c r="AK40" s="16"/>
      <c r="AL40" s="28">
        <f t="shared" si="1"/>
        <v>0</v>
      </c>
      <c r="AM40" s="29"/>
      <c r="AN40" s="27"/>
      <c r="AO40" s="30">
        <f t="shared" si="2"/>
        <v>190</v>
      </c>
      <c r="AP40" s="31">
        <f t="shared" si="3"/>
        <v>45290</v>
      </c>
      <c r="AQ40" s="27"/>
      <c r="AR40" s="16"/>
      <c r="AS40" s="27"/>
      <c r="AT40" s="16"/>
      <c r="AU40" s="27"/>
      <c r="AV40" s="16"/>
      <c r="AW40" s="27"/>
      <c r="AX40" s="16"/>
      <c r="AY40" s="27"/>
      <c r="AZ40" s="24"/>
      <c r="BA40" s="24"/>
      <c r="BB40" s="24"/>
      <c r="BC40" s="32"/>
      <c r="BD40" s="27"/>
      <c r="BE40" s="24"/>
      <c r="BF40" s="24"/>
      <c r="BG40" s="24"/>
      <c r="BH40" s="16"/>
      <c r="BI40" s="27"/>
      <c r="BJ40" s="24"/>
      <c r="BK40" s="24"/>
      <c r="BL40" s="24"/>
      <c r="BM40" s="16"/>
      <c r="BN40" s="61">
        <f t="shared" si="13"/>
        <v>0</v>
      </c>
      <c r="BO40" s="27"/>
      <c r="BP40" s="24"/>
      <c r="BQ40" s="24"/>
      <c r="BR40" s="16"/>
      <c r="BS40" s="61">
        <f t="shared" si="16"/>
        <v>20979001</v>
      </c>
      <c r="BT40" s="62">
        <v>20959463</v>
      </c>
      <c r="BU40" s="69">
        <f t="shared" ca="1" si="14"/>
        <v>20979001</v>
      </c>
      <c r="BV40" s="33">
        <f t="shared" ca="1" si="6"/>
        <v>1</v>
      </c>
      <c r="BW40" s="33">
        <v>1</v>
      </c>
      <c r="BX40" s="60">
        <f t="shared" ca="1" si="7"/>
        <v>100</v>
      </c>
      <c r="BY40" s="34">
        <f t="shared" si="8"/>
        <v>99.906868777974694</v>
      </c>
      <c r="BZ40" s="21">
        <v>45560</v>
      </c>
      <c r="CA40" s="35" t="str">
        <f t="shared" ca="1" si="15"/>
        <v>LIQUIDADO</v>
      </c>
      <c r="CB40" s="16"/>
    </row>
    <row r="41" spans="1:80" ht="39.75" customHeight="1">
      <c r="A41" s="16" t="s">
        <v>9497</v>
      </c>
      <c r="B41" s="17" t="s">
        <v>2927</v>
      </c>
      <c r="C41" s="18" t="s">
        <v>9498</v>
      </c>
      <c r="D41" s="17" t="s">
        <v>5866</v>
      </c>
      <c r="E41" s="17" t="s">
        <v>1426</v>
      </c>
      <c r="F41" s="17" t="s">
        <v>1427</v>
      </c>
      <c r="G41" s="19" t="s">
        <v>9499</v>
      </c>
      <c r="H41" s="16" t="s">
        <v>9500</v>
      </c>
      <c r="I41" s="16"/>
      <c r="J41" s="16"/>
      <c r="K41" s="20" t="s">
        <v>9501</v>
      </c>
      <c r="L41" s="16" t="s">
        <v>111</v>
      </c>
      <c r="M41" s="21">
        <v>44447</v>
      </c>
      <c r="N41" s="22">
        <v>44447</v>
      </c>
      <c r="O41" s="22">
        <v>44926</v>
      </c>
      <c r="P41" s="23">
        <f t="shared" si="0"/>
        <v>479</v>
      </c>
      <c r="Q41" s="16" t="s">
        <v>9502</v>
      </c>
      <c r="R41" s="24">
        <v>2875900000</v>
      </c>
      <c r="S41" s="16" t="s">
        <v>9503</v>
      </c>
      <c r="T41" s="24">
        <v>100000000</v>
      </c>
      <c r="U41" s="24">
        <v>142857143</v>
      </c>
      <c r="V41" s="17" t="s">
        <v>607</v>
      </c>
      <c r="W41" s="23" t="str">
        <f>IFERROR(VLOOKUP(V41,Listas!$A$1:$C$14,2,FALSE),"")</f>
        <v>MARÍA FRANCISCA CEPEDA QUINTERO</v>
      </c>
      <c r="X41" s="23">
        <f>IFERROR(VLOOKUP(V41,Listas!$A$1:$C$14,3,FALSE),"")</f>
        <v>53062608</v>
      </c>
      <c r="Y41" s="17" t="s">
        <v>607</v>
      </c>
      <c r="Z41" s="17" t="s">
        <v>1155</v>
      </c>
      <c r="AA41" s="23" t="str">
        <f>IFERROR(VLOOKUP(Z41,Listas!$AD$1:$AF$65,2,FALSE),"")</f>
        <v>MARÍA FRANCISCA CEPEDA QUINTERO</v>
      </c>
      <c r="AB41" s="23">
        <f>IFERROR(VLOOKUP(Z41,Listas!$AD$1:$AF$65,3,FALSE),"")</f>
        <v>53062608</v>
      </c>
      <c r="AC41" s="17" t="s">
        <v>9504</v>
      </c>
      <c r="AD41" s="17" t="s">
        <v>9229</v>
      </c>
      <c r="AE41" s="17" t="s">
        <v>2937</v>
      </c>
      <c r="AF41" s="27"/>
      <c r="AG41" s="19"/>
      <c r="AH41" s="27"/>
      <c r="AI41" s="16"/>
      <c r="AJ41" s="27"/>
      <c r="AK41" s="16"/>
      <c r="AL41" s="28">
        <f t="shared" si="1"/>
        <v>0</v>
      </c>
      <c r="AM41" s="29"/>
      <c r="AN41" s="27"/>
      <c r="AO41" s="30">
        <f t="shared" si="2"/>
        <v>479</v>
      </c>
      <c r="AP41" s="31">
        <f t="shared" si="3"/>
        <v>44926</v>
      </c>
      <c r="AQ41" s="27"/>
      <c r="AR41" s="16"/>
      <c r="AS41" s="27"/>
      <c r="AT41" s="16"/>
      <c r="AU41" s="27"/>
      <c r="AV41" s="16"/>
      <c r="AW41" s="27"/>
      <c r="AX41" s="16"/>
      <c r="AY41" s="27"/>
      <c r="AZ41" s="24"/>
      <c r="BA41" s="24"/>
      <c r="BB41" s="24"/>
      <c r="BC41" s="32"/>
      <c r="BD41" s="27"/>
      <c r="BE41" s="24"/>
      <c r="BF41" s="24"/>
      <c r="BG41" s="24"/>
      <c r="BH41" s="16"/>
      <c r="BI41" s="27"/>
      <c r="BJ41" s="24"/>
      <c r="BK41" s="24"/>
      <c r="BL41" s="24"/>
      <c r="BM41" s="16"/>
      <c r="BN41" s="61">
        <f t="shared" si="13"/>
        <v>0</v>
      </c>
      <c r="BO41" s="27"/>
      <c r="BP41" s="24"/>
      <c r="BQ41" s="24"/>
      <c r="BR41" s="16"/>
      <c r="BS41" s="61">
        <f t="shared" si="16"/>
        <v>142857143</v>
      </c>
      <c r="BT41" s="62">
        <v>100000000</v>
      </c>
      <c r="BU41" s="69">
        <f t="shared" ca="1" si="14"/>
        <v>142857143</v>
      </c>
      <c r="BV41" s="33">
        <f t="shared" ca="1" si="6"/>
        <v>1</v>
      </c>
      <c r="BW41" s="33">
        <v>1</v>
      </c>
      <c r="BX41" s="60">
        <f t="shared" ca="1" si="7"/>
        <v>100</v>
      </c>
      <c r="BY41" s="34">
        <v>100</v>
      </c>
      <c r="BZ41" s="21">
        <v>45554</v>
      </c>
      <c r="CA41" s="35" t="str">
        <f t="shared" ca="1" si="15"/>
        <v>LIQUIDADO</v>
      </c>
      <c r="CB41" s="16"/>
    </row>
    <row r="42" spans="1:80" ht="39.75" customHeight="1">
      <c r="A42" s="16" t="s">
        <v>9505</v>
      </c>
      <c r="B42" s="17" t="s">
        <v>2927</v>
      </c>
      <c r="C42" s="18" t="s">
        <v>9506</v>
      </c>
      <c r="D42" s="17" t="s">
        <v>5866</v>
      </c>
      <c r="E42" s="17" t="s">
        <v>1426</v>
      </c>
      <c r="F42" s="17" t="s">
        <v>1427</v>
      </c>
      <c r="G42" s="19" t="s">
        <v>7090</v>
      </c>
      <c r="H42" s="16" t="s">
        <v>7091</v>
      </c>
      <c r="I42" s="16"/>
      <c r="J42" s="16"/>
      <c r="K42" s="20" t="s">
        <v>9507</v>
      </c>
      <c r="L42" s="16"/>
      <c r="M42" s="21">
        <v>45202</v>
      </c>
      <c r="N42" s="22">
        <v>45223</v>
      </c>
      <c r="O42" s="22">
        <v>45260</v>
      </c>
      <c r="P42" s="23">
        <f t="shared" si="0"/>
        <v>37</v>
      </c>
      <c r="Q42" s="16" t="s">
        <v>9508</v>
      </c>
      <c r="R42" s="24">
        <v>120132206</v>
      </c>
      <c r="S42" s="16" t="s">
        <v>365</v>
      </c>
      <c r="T42" s="24">
        <v>120132206</v>
      </c>
      <c r="U42" s="24">
        <v>164182323</v>
      </c>
      <c r="V42" s="17" t="s">
        <v>345</v>
      </c>
      <c r="W42" s="23" t="str">
        <f>IFERROR(VLOOKUP(V42,Listas!$A$1:$C$14,2,FALSE),"")</f>
        <v>RODOLFO GIOVANNI CANCHILA SUÁREZ</v>
      </c>
      <c r="X42" s="23">
        <f>IFERROR(VLOOKUP(V42,Listas!$A$1:$C$14,3,FALSE),"")</f>
        <v>79672493</v>
      </c>
      <c r="Y42" s="17" t="s">
        <v>559</v>
      </c>
      <c r="Z42" s="17" t="s">
        <v>560</v>
      </c>
      <c r="AA42" s="23" t="str">
        <f>IFERROR(VLOOKUP(Z42,Listas!$AD$1:$AF$65,2,FALSE),"")</f>
        <v>CESAR AUGUSTO LÓPEZ LÓPEZ</v>
      </c>
      <c r="AB42" s="23">
        <f>IFERROR(VLOOKUP(Z42,Listas!$AD$1:$AF$65,3,FALSE),"")</f>
        <v>6103856</v>
      </c>
      <c r="AC42" s="17" t="s">
        <v>9504</v>
      </c>
      <c r="AD42" s="17" t="s">
        <v>9229</v>
      </c>
      <c r="AE42" s="17" t="s">
        <v>2937</v>
      </c>
      <c r="AF42" s="27"/>
      <c r="AG42" s="19"/>
      <c r="AH42" s="27"/>
      <c r="AI42" s="16"/>
      <c r="AJ42" s="27"/>
      <c r="AK42" s="16"/>
      <c r="AL42" s="28">
        <f t="shared" si="1"/>
        <v>0</v>
      </c>
      <c r="AM42" s="29"/>
      <c r="AN42" s="27"/>
      <c r="AO42" s="30">
        <f t="shared" si="2"/>
        <v>37</v>
      </c>
      <c r="AP42" s="31">
        <f t="shared" si="3"/>
        <v>45260</v>
      </c>
      <c r="AQ42" s="27"/>
      <c r="AR42" s="16"/>
      <c r="AS42" s="27"/>
      <c r="AT42" s="16"/>
      <c r="AU42" s="27"/>
      <c r="AV42" s="16"/>
      <c r="AW42" s="27"/>
      <c r="AX42" s="16"/>
      <c r="AY42" s="27"/>
      <c r="AZ42" s="24"/>
      <c r="BA42" s="24"/>
      <c r="BB42" s="24"/>
      <c r="BC42" s="32"/>
      <c r="BD42" s="27"/>
      <c r="BE42" s="24"/>
      <c r="BF42" s="24"/>
      <c r="BG42" s="24"/>
      <c r="BH42" s="16"/>
      <c r="BI42" s="27"/>
      <c r="BJ42" s="24"/>
      <c r="BK42" s="24"/>
      <c r="BL42" s="24"/>
      <c r="BM42" s="16"/>
      <c r="BN42" s="61">
        <f t="shared" si="13"/>
        <v>0</v>
      </c>
      <c r="BO42" s="27"/>
      <c r="BP42" s="24"/>
      <c r="BQ42" s="24"/>
      <c r="BR42" s="16"/>
      <c r="BS42" s="61">
        <f t="shared" si="16"/>
        <v>164182323</v>
      </c>
      <c r="BT42" s="62">
        <v>120132206</v>
      </c>
      <c r="BU42" s="69">
        <f t="shared" ca="1" si="14"/>
        <v>164182323</v>
      </c>
      <c r="BV42" s="33">
        <f t="shared" ca="1" si="6"/>
        <v>1</v>
      </c>
      <c r="BW42" s="33">
        <v>1</v>
      </c>
      <c r="BX42" s="60">
        <f t="shared" ca="1" si="7"/>
        <v>100</v>
      </c>
      <c r="BY42" s="34">
        <v>100</v>
      </c>
      <c r="BZ42" s="21">
        <v>45553</v>
      </c>
      <c r="CA42" s="35" t="str">
        <f t="shared" ca="1" si="15"/>
        <v>LIQUIDADO</v>
      </c>
      <c r="CB42" s="16"/>
    </row>
    <row r="43" spans="1:80" ht="39.75" customHeight="1">
      <c r="A43" s="16" t="s">
        <v>9505</v>
      </c>
      <c r="B43" s="17" t="s">
        <v>2927</v>
      </c>
      <c r="C43" s="18" t="s">
        <v>9509</v>
      </c>
      <c r="D43" s="17" t="s">
        <v>5866</v>
      </c>
      <c r="E43" s="17" t="s">
        <v>1426</v>
      </c>
      <c r="F43" s="17" t="s">
        <v>1427</v>
      </c>
      <c r="G43" s="19" t="s">
        <v>9510</v>
      </c>
      <c r="H43" s="16" t="s">
        <v>9511</v>
      </c>
      <c r="I43" s="16"/>
      <c r="J43" s="16"/>
      <c r="K43" s="20" t="s">
        <v>9512</v>
      </c>
      <c r="L43" s="16"/>
      <c r="M43" s="21">
        <v>44469</v>
      </c>
      <c r="N43" s="22">
        <v>44470</v>
      </c>
      <c r="O43" s="22">
        <v>44642</v>
      </c>
      <c r="P43" s="23">
        <f t="shared" si="0"/>
        <v>172</v>
      </c>
      <c r="Q43" s="16" t="s">
        <v>9502</v>
      </c>
      <c r="R43" s="24">
        <v>2875900000</v>
      </c>
      <c r="S43" s="16" t="s">
        <v>9503</v>
      </c>
      <c r="T43" s="24">
        <v>129047734</v>
      </c>
      <c r="U43" s="24">
        <v>337918514</v>
      </c>
      <c r="V43" s="17" t="s">
        <v>607</v>
      </c>
      <c r="W43" s="23" t="str">
        <f>IFERROR(VLOOKUP(V43,Listas!$A$1:$C$14,2,FALSE),"")</f>
        <v>MARÍA FRANCISCA CEPEDA QUINTERO</v>
      </c>
      <c r="X43" s="23">
        <f>IFERROR(VLOOKUP(V43,Listas!$A$1:$C$14,3,FALSE),"")</f>
        <v>53062608</v>
      </c>
      <c r="Y43" s="17" t="s">
        <v>607</v>
      </c>
      <c r="Z43" s="17" t="s">
        <v>1155</v>
      </c>
      <c r="AA43" s="23" t="str">
        <f>IFERROR(VLOOKUP(Z43,Listas!$AD$1:$AF$65,2,FALSE),"")</f>
        <v>MARÍA FRANCISCA CEPEDA QUINTERO</v>
      </c>
      <c r="AB43" s="23">
        <f>IFERROR(VLOOKUP(Z43,Listas!$AD$1:$AF$65,3,FALSE),"")</f>
        <v>53062608</v>
      </c>
      <c r="AC43" s="17" t="s">
        <v>9504</v>
      </c>
      <c r="AD43" s="17" t="s">
        <v>3508</v>
      </c>
      <c r="AE43" s="17" t="s">
        <v>2937</v>
      </c>
      <c r="AF43" s="27"/>
      <c r="AG43" s="19"/>
      <c r="AH43" s="27"/>
      <c r="AI43" s="16"/>
      <c r="AJ43" s="27"/>
      <c r="AK43" s="16"/>
      <c r="AL43" s="28">
        <f t="shared" si="1"/>
        <v>0</v>
      </c>
      <c r="AM43" s="29"/>
      <c r="AN43" s="27"/>
      <c r="AO43" s="30">
        <f t="shared" si="2"/>
        <v>172</v>
      </c>
      <c r="AP43" s="31">
        <f t="shared" si="3"/>
        <v>44642</v>
      </c>
      <c r="AQ43" s="27"/>
      <c r="AR43" s="16"/>
      <c r="AS43" s="27"/>
      <c r="AT43" s="16"/>
      <c r="AU43" s="27"/>
      <c r="AV43" s="16"/>
      <c r="AW43" s="27"/>
      <c r="AX43" s="16"/>
      <c r="AY43" s="27"/>
      <c r="AZ43" s="24"/>
      <c r="BA43" s="24"/>
      <c r="BB43" s="24"/>
      <c r="BC43" s="32"/>
      <c r="BD43" s="27"/>
      <c r="BE43" s="24"/>
      <c r="BF43" s="24"/>
      <c r="BG43" s="24"/>
      <c r="BH43" s="16"/>
      <c r="BI43" s="27"/>
      <c r="BJ43" s="24"/>
      <c r="BK43" s="24"/>
      <c r="BL43" s="24"/>
      <c r="BM43" s="16"/>
      <c r="BN43" s="61">
        <f t="shared" si="13"/>
        <v>0</v>
      </c>
      <c r="BO43" s="27"/>
      <c r="BP43" s="24"/>
      <c r="BQ43" s="24"/>
      <c r="BR43" s="16"/>
      <c r="BS43" s="61">
        <f t="shared" si="16"/>
        <v>337918514</v>
      </c>
      <c r="BT43" s="62">
        <v>129047734</v>
      </c>
      <c r="BU43" s="69">
        <f t="shared" ca="1" si="14"/>
        <v>337918514</v>
      </c>
      <c r="BV43" s="33">
        <f t="shared" ca="1" si="6"/>
        <v>1</v>
      </c>
      <c r="BW43" s="33">
        <v>1</v>
      </c>
      <c r="BX43" s="60">
        <f t="shared" ca="1" si="7"/>
        <v>100</v>
      </c>
      <c r="BY43" s="34">
        <v>100</v>
      </c>
      <c r="BZ43" s="21">
        <v>45553</v>
      </c>
      <c r="CA43" s="35" t="str">
        <f t="shared" ca="1" si="15"/>
        <v>LIQUIDADO</v>
      </c>
      <c r="CB43" s="16"/>
    </row>
    <row r="44" spans="1:80" ht="39.75" customHeight="1">
      <c r="A44" s="16" t="s">
        <v>9513</v>
      </c>
      <c r="B44" s="17" t="s">
        <v>2927</v>
      </c>
      <c r="C44" s="18" t="s">
        <v>9514</v>
      </c>
      <c r="D44" s="17" t="s">
        <v>5866</v>
      </c>
      <c r="E44" s="17" t="s">
        <v>1426</v>
      </c>
      <c r="F44" s="17" t="s">
        <v>1427</v>
      </c>
      <c r="G44" s="19" t="s">
        <v>9515</v>
      </c>
      <c r="H44" s="16" t="s">
        <v>9516</v>
      </c>
      <c r="I44" s="16" t="s">
        <v>9517</v>
      </c>
      <c r="J44" s="104">
        <v>1111790534</v>
      </c>
      <c r="K44" s="20" t="s">
        <v>9518</v>
      </c>
      <c r="L44" s="16"/>
      <c r="M44" s="21">
        <v>45274</v>
      </c>
      <c r="N44" s="22">
        <v>45281</v>
      </c>
      <c r="O44" s="22">
        <v>45290</v>
      </c>
      <c r="P44" s="23">
        <f t="shared" si="0"/>
        <v>9</v>
      </c>
      <c r="Q44" s="16" t="s">
        <v>9519</v>
      </c>
      <c r="R44" s="24">
        <v>200000000</v>
      </c>
      <c r="S44" s="16" t="s">
        <v>5989</v>
      </c>
      <c r="T44" s="24">
        <v>200000000</v>
      </c>
      <c r="U44" s="24">
        <v>287248925</v>
      </c>
      <c r="V44" s="17" t="s">
        <v>345</v>
      </c>
      <c r="W44" s="23" t="str">
        <f>IFERROR(VLOOKUP(V44,Listas!$A$1:$C$14,2,FALSE),"")</f>
        <v>RODOLFO GIOVANNI CANCHILA SUÁREZ</v>
      </c>
      <c r="X44" s="23">
        <f>IFERROR(VLOOKUP(V44,Listas!$A$1:$C$14,3,FALSE),"")</f>
        <v>79672493</v>
      </c>
      <c r="Y44" s="17" t="s">
        <v>345</v>
      </c>
      <c r="Z44" s="17" t="s">
        <v>346</v>
      </c>
      <c r="AA44" s="23" t="str">
        <f>IFERROR(VLOOKUP(Z44,Listas!$AD$1:$AF$65,2,FALSE),"")</f>
        <v>RODOLFO GIOVANNI CANCHILA SUÁREZ</v>
      </c>
      <c r="AB44" s="23">
        <f>IFERROR(VLOOKUP(Z44,Listas!$AD$1:$AF$65,3,FALSE),"")</f>
        <v>79672493</v>
      </c>
      <c r="AC44" s="17" t="s">
        <v>9504</v>
      </c>
      <c r="AD44" s="17" t="s">
        <v>3508</v>
      </c>
      <c r="AE44" s="17" t="s">
        <v>2937</v>
      </c>
      <c r="AF44" s="27"/>
      <c r="AG44" s="19"/>
      <c r="AH44" s="27"/>
      <c r="AI44" s="16"/>
      <c r="AJ44" s="27"/>
      <c r="AK44" s="16"/>
      <c r="AL44" s="28">
        <f t="shared" si="1"/>
        <v>0</v>
      </c>
      <c r="AM44" s="29"/>
      <c r="AN44" s="27"/>
      <c r="AO44" s="30">
        <f t="shared" si="2"/>
        <v>9</v>
      </c>
      <c r="AP44" s="31">
        <f t="shared" si="3"/>
        <v>45290</v>
      </c>
      <c r="AQ44" s="27"/>
      <c r="AR44" s="16"/>
      <c r="AS44" s="27"/>
      <c r="AT44" s="16"/>
      <c r="AU44" s="27"/>
      <c r="AV44" s="16"/>
      <c r="AW44" s="27"/>
      <c r="AX44" s="16"/>
      <c r="AY44" s="27"/>
      <c r="AZ44" s="24"/>
      <c r="BA44" s="24"/>
      <c r="BB44" s="24"/>
      <c r="BC44" s="32"/>
      <c r="BD44" s="27"/>
      <c r="BE44" s="24"/>
      <c r="BF44" s="24"/>
      <c r="BG44" s="24"/>
      <c r="BH44" s="16"/>
      <c r="BI44" s="27"/>
      <c r="BJ44" s="24"/>
      <c r="BK44" s="24"/>
      <c r="BL44" s="24"/>
      <c r="BM44" s="16"/>
      <c r="BN44" s="61">
        <f t="shared" si="13"/>
        <v>0</v>
      </c>
      <c r="BO44" s="27"/>
      <c r="BP44" s="24"/>
      <c r="BQ44" s="24"/>
      <c r="BR44" s="16"/>
      <c r="BS44" s="61">
        <f t="shared" si="16"/>
        <v>287248925</v>
      </c>
      <c r="BT44" s="62">
        <v>200000000</v>
      </c>
      <c r="BU44" s="69">
        <f t="shared" ca="1" si="14"/>
        <v>287248925</v>
      </c>
      <c r="BV44" s="33">
        <f t="shared" ca="1" si="6"/>
        <v>1</v>
      </c>
      <c r="BW44" s="33">
        <v>1</v>
      </c>
      <c r="BX44" s="60">
        <f t="shared" ca="1" si="7"/>
        <v>100</v>
      </c>
      <c r="BY44" s="34">
        <v>100</v>
      </c>
      <c r="BZ44" s="21">
        <v>45573</v>
      </c>
      <c r="CA44" s="35" t="str">
        <f t="shared" ca="1" si="15"/>
        <v>LIQUIDADO</v>
      </c>
      <c r="CB44" s="16"/>
    </row>
    <row r="45" spans="1:80" ht="39.75" customHeight="1">
      <c r="A45" s="16" t="s">
        <v>9520</v>
      </c>
      <c r="B45" s="17" t="s">
        <v>2927</v>
      </c>
      <c r="C45" s="18" t="s">
        <v>9521</v>
      </c>
      <c r="D45" s="17" t="s">
        <v>5866</v>
      </c>
      <c r="E45" s="17" t="s">
        <v>1426</v>
      </c>
      <c r="F45" s="17" t="s">
        <v>1427</v>
      </c>
      <c r="G45" s="19" t="s">
        <v>6976</v>
      </c>
      <c r="H45" s="16" t="s">
        <v>6977</v>
      </c>
      <c r="I45" s="16"/>
      <c r="J45" s="16"/>
      <c r="K45" s="20" t="s">
        <v>9522</v>
      </c>
      <c r="L45" s="16"/>
      <c r="M45" s="21">
        <v>45163</v>
      </c>
      <c r="N45" s="22">
        <v>45163</v>
      </c>
      <c r="O45" s="22">
        <v>45291</v>
      </c>
      <c r="P45" s="23">
        <f t="shared" si="0"/>
        <v>128</v>
      </c>
      <c r="Q45" s="16" t="s">
        <v>9523</v>
      </c>
      <c r="R45" s="24">
        <v>5050000000</v>
      </c>
      <c r="S45" s="16" t="s">
        <v>6131</v>
      </c>
      <c r="T45" s="24">
        <v>495950000</v>
      </c>
      <c r="U45" s="24">
        <v>1021875000</v>
      </c>
      <c r="V45" s="17" t="s">
        <v>607</v>
      </c>
      <c r="W45" s="23" t="str">
        <f>IFERROR(VLOOKUP(V45,Listas!$A$1:$C$14,2,FALSE),"")</f>
        <v>MARÍA FRANCISCA CEPEDA QUINTERO</v>
      </c>
      <c r="X45" s="23">
        <f>IFERROR(VLOOKUP(V45,Listas!$A$1:$C$14,3,FALSE),"")</f>
        <v>53062608</v>
      </c>
      <c r="Y45" s="17" t="s">
        <v>607</v>
      </c>
      <c r="Z45" s="17" t="s">
        <v>1155</v>
      </c>
      <c r="AA45" s="23" t="str">
        <f>IFERROR(VLOOKUP(Z45,Listas!$AD$1:$AF$65,2,FALSE),"")</f>
        <v>MARÍA FRANCISCA CEPEDA QUINTERO</v>
      </c>
      <c r="AB45" s="23">
        <f>IFERROR(VLOOKUP(Z45,Listas!$AD$1:$AF$65,3,FALSE),"")</f>
        <v>53062608</v>
      </c>
      <c r="AC45" s="17" t="s">
        <v>9504</v>
      </c>
      <c r="AD45" s="17" t="s">
        <v>3508</v>
      </c>
      <c r="AE45" s="17" t="s">
        <v>2937</v>
      </c>
      <c r="AF45" s="27"/>
      <c r="AG45" s="19"/>
      <c r="AH45" s="27"/>
      <c r="AI45" s="16"/>
      <c r="AJ45" s="27"/>
      <c r="AK45" s="16"/>
      <c r="AL45" s="28">
        <f t="shared" si="1"/>
        <v>0</v>
      </c>
      <c r="AM45" s="29"/>
      <c r="AN45" s="27"/>
      <c r="AO45" s="30">
        <f t="shared" si="2"/>
        <v>128</v>
      </c>
      <c r="AP45" s="31">
        <f t="shared" si="3"/>
        <v>45291</v>
      </c>
      <c r="AQ45" s="27"/>
      <c r="AR45" s="16"/>
      <c r="AS45" s="27"/>
      <c r="AT45" s="16"/>
      <c r="AU45" s="27"/>
      <c r="AV45" s="16"/>
      <c r="AW45" s="27"/>
      <c r="AX45" s="16"/>
      <c r="AY45" s="27"/>
      <c r="AZ45" s="24"/>
      <c r="BA45" s="24"/>
      <c r="BB45" s="24"/>
      <c r="BC45" s="32"/>
      <c r="BD45" s="27"/>
      <c r="BE45" s="24"/>
      <c r="BF45" s="24"/>
      <c r="BG45" s="24"/>
      <c r="BH45" s="16"/>
      <c r="BI45" s="27"/>
      <c r="BJ45" s="24"/>
      <c r="BK45" s="24"/>
      <c r="BL45" s="24"/>
      <c r="BM45" s="16"/>
      <c r="BN45" s="61">
        <f t="shared" si="13"/>
        <v>0</v>
      </c>
      <c r="BO45" s="27"/>
      <c r="BP45" s="24"/>
      <c r="BQ45" s="24"/>
      <c r="BR45" s="16"/>
      <c r="BS45" s="61">
        <f t="shared" si="16"/>
        <v>1021875000</v>
      </c>
      <c r="BT45" s="62">
        <v>495950000</v>
      </c>
      <c r="BU45" s="69">
        <f t="shared" ca="1" si="14"/>
        <v>1021875000</v>
      </c>
      <c r="BV45" s="33">
        <f t="shared" ca="1" si="6"/>
        <v>1</v>
      </c>
      <c r="BW45" s="33">
        <v>1</v>
      </c>
      <c r="BX45" s="60">
        <f t="shared" ca="1" si="7"/>
        <v>100</v>
      </c>
      <c r="BY45" s="34">
        <v>100</v>
      </c>
      <c r="BZ45" s="21">
        <v>45572</v>
      </c>
      <c r="CA45" s="35" t="str">
        <f t="shared" ca="1" si="15"/>
        <v>LIQUIDADO</v>
      </c>
      <c r="CB45" s="16"/>
    </row>
    <row r="46" spans="1:80" ht="39.75" customHeight="1">
      <c r="A46" s="16" t="s">
        <v>9524</v>
      </c>
      <c r="B46" s="17" t="s">
        <v>5814</v>
      </c>
      <c r="C46" s="18" t="s">
        <v>9525</v>
      </c>
      <c r="D46" s="17" t="s">
        <v>106</v>
      </c>
      <c r="E46" s="17" t="s">
        <v>1426</v>
      </c>
      <c r="F46" s="17" t="s">
        <v>1427</v>
      </c>
      <c r="G46" s="19" t="s">
        <v>9526</v>
      </c>
      <c r="H46" s="16" t="s">
        <v>9527</v>
      </c>
      <c r="I46" s="16" t="s">
        <v>9528</v>
      </c>
      <c r="J46" s="16">
        <v>80351648</v>
      </c>
      <c r="K46" s="20" t="s">
        <v>9529</v>
      </c>
      <c r="L46" s="16"/>
      <c r="M46" s="21">
        <v>44280</v>
      </c>
      <c r="N46" s="22">
        <v>44286</v>
      </c>
      <c r="O46" s="22">
        <v>44650</v>
      </c>
      <c r="P46" s="23">
        <v>364</v>
      </c>
      <c r="Q46" s="16" t="s">
        <v>9530</v>
      </c>
      <c r="R46" s="24">
        <v>5250000</v>
      </c>
      <c r="S46" s="16" t="s">
        <v>9531</v>
      </c>
      <c r="T46" s="24">
        <v>4969321</v>
      </c>
      <c r="U46" s="24"/>
      <c r="V46" s="17" t="s">
        <v>116</v>
      </c>
      <c r="W46" s="23" t="str">
        <f>IFERROR(VLOOKUP(V46,Listas!$A$1:$C$14,2,FALSE),"")</f>
        <v>FREDY CÉSPEDES VILLA</v>
      </c>
      <c r="X46" s="23">
        <f>IFERROR(VLOOKUP(V46,Listas!$A$1:$C$14,3,FALSE),"")</f>
        <v>93363483</v>
      </c>
      <c r="Y46" s="17" t="s">
        <v>816</v>
      </c>
      <c r="Z46" s="17" t="s">
        <v>1450</v>
      </c>
      <c r="AA46" s="23" t="str">
        <f>IFERROR(VLOOKUP(Z46,Listas!$AD$1:$AF$65,2,FALSE),"")</f>
        <v>LINA MARIA CRUZ SILVA</v>
      </c>
      <c r="AB46" s="23">
        <f>IFERROR(VLOOKUP(Z46,Listas!$AD$1:$AF$65,3,FALSE),"")</f>
        <v>52423537</v>
      </c>
      <c r="AC46" s="17" t="s">
        <v>9289</v>
      </c>
      <c r="AD46" s="17" t="s">
        <v>347</v>
      </c>
      <c r="AE46" s="17" t="s">
        <v>121</v>
      </c>
      <c r="AF46" s="27"/>
      <c r="AG46" s="19"/>
      <c r="AH46" s="27"/>
      <c r="AI46" s="16"/>
      <c r="AJ46" s="27"/>
      <c r="AK46" s="16"/>
      <c r="AL46" s="28">
        <f t="shared" si="1"/>
        <v>0</v>
      </c>
      <c r="AM46" s="29"/>
      <c r="AN46" s="27"/>
      <c r="AO46" s="30">
        <f t="shared" si="2"/>
        <v>364</v>
      </c>
      <c r="AP46" s="31">
        <f t="shared" si="3"/>
        <v>44650</v>
      </c>
      <c r="AQ46" s="27"/>
      <c r="AR46" s="16"/>
      <c r="AS46" s="27"/>
      <c r="AT46" s="16"/>
      <c r="AU46" s="27"/>
      <c r="AV46" s="16"/>
      <c r="AW46" s="27"/>
      <c r="AX46" s="16"/>
      <c r="AY46" s="27"/>
      <c r="AZ46" s="24"/>
      <c r="BA46" s="24"/>
      <c r="BB46" s="24"/>
      <c r="BC46" s="32"/>
      <c r="BD46" s="27"/>
      <c r="BE46" s="24"/>
      <c r="BF46" s="24"/>
      <c r="BG46" s="24"/>
      <c r="BH46" s="16"/>
      <c r="BI46" s="27"/>
      <c r="BJ46" s="24"/>
      <c r="BK46" s="24"/>
      <c r="BL46" s="24"/>
      <c r="BM46" s="16"/>
      <c r="BN46" s="61">
        <f t="shared" si="13"/>
        <v>0</v>
      </c>
      <c r="BO46" s="27"/>
      <c r="BP46" s="24"/>
      <c r="BQ46" s="24"/>
      <c r="BR46" s="16"/>
      <c r="BS46" s="61">
        <f>IF(R46=0,(U46+BN46),IF(R46&gt;0,(R46+BN46)))</f>
        <v>5250000</v>
      </c>
      <c r="BT46" s="62">
        <v>4969321</v>
      </c>
      <c r="BU46" s="69">
        <f t="shared" ca="1" si="14"/>
        <v>5250000</v>
      </c>
      <c r="BV46" s="33">
        <f t="shared" ca="1" si="6"/>
        <v>1</v>
      </c>
      <c r="BW46" s="33">
        <v>1</v>
      </c>
      <c r="BX46" s="60">
        <f t="shared" ca="1" si="7"/>
        <v>100</v>
      </c>
      <c r="BY46" s="34">
        <f t="shared" si="8"/>
        <v>94.653733333333335</v>
      </c>
      <c r="BZ46" s="21">
        <v>45576</v>
      </c>
      <c r="CA46" s="35" t="str">
        <f t="shared" ca="1" si="15"/>
        <v>LIQUIDADO</v>
      </c>
      <c r="CB46" s="16"/>
    </row>
    <row r="47" spans="1:80" ht="39.75" customHeight="1">
      <c r="A47" s="107" t="s">
        <v>9532</v>
      </c>
      <c r="B47" s="17" t="s">
        <v>104</v>
      </c>
      <c r="C47" s="18" t="s">
        <v>9533</v>
      </c>
      <c r="D47" s="17" t="s">
        <v>106</v>
      </c>
      <c r="E47" s="17" t="s">
        <v>1426</v>
      </c>
      <c r="F47" s="17" t="s">
        <v>1427</v>
      </c>
      <c r="G47" s="19" t="s">
        <v>7028</v>
      </c>
      <c r="H47" s="16" t="s">
        <v>9534</v>
      </c>
      <c r="I47" s="16" t="s">
        <v>9535</v>
      </c>
      <c r="J47" s="16">
        <v>79950083</v>
      </c>
      <c r="K47" s="20" t="s">
        <v>9536</v>
      </c>
      <c r="L47" s="16"/>
      <c r="M47" s="21">
        <v>44484</v>
      </c>
      <c r="N47" s="22">
        <v>44484</v>
      </c>
      <c r="O47" s="22">
        <v>44848</v>
      </c>
      <c r="P47" s="23">
        <v>364</v>
      </c>
      <c r="Q47" s="16" t="s">
        <v>9537</v>
      </c>
      <c r="R47" s="24">
        <v>152320000</v>
      </c>
      <c r="S47" s="16" t="s">
        <v>2812</v>
      </c>
      <c r="T47" s="24">
        <v>110000000</v>
      </c>
      <c r="U47" s="24"/>
      <c r="V47" s="17" t="s">
        <v>116</v>
      </c>
      <c r="W47" s="23" t="str">
        <f>IFERROR(VLOOKUP(V47,Listas!$A$1:$C$14,2,FALSE),"")</f>
        <v>FREDY CÉSPEDES VILLA</v>
      </c>
      <c r="X47" s="23">
        <f>IFERROR(VLOOKUP(V47,Listas!$A$1:$C$14,3,FALSE),"")</f>
        <v>93363483</v>
      </c>
      <c r="Y47" s="17" t="s">
        <v>816</v>
      </c>
      <c r="Z47" s="17" t="s">
        <v>2577</v>
      </c>
      <c r="AA47" s="23" t="str">
        <f>IFERROR(VLOOKUP(Z47,Listas!$AD$1:$AF$65,2,FALSE),"")</f>
        <v>VICTOR RAUL BAUTISTA GALINDO</v>
      </c>
      <c r="AB47" s="23">
        <f>IFERROR(VLOOKUP(Z47,Listas!$AD$1:$AF$65,3,FALSE),"")</f>
        <v>79352968</v>
      </c>
      <c r="AC47" s="17" t="s">
        <v>9368</v>
      </c>
      <c r="AD47" s="17" t="s">
        <v>515</v>
      </c>
      <c r="AE47" s="17" t="s">
        <v>121</v>
      </c>
      <c r="AF47" s="27"/>
      <c r="AG47" s="19"/>
      <c r="AH47" s="27"/>
      <c r="AI47" s="16"/>
      <c r="AJ47" s="27"/>
      <c r="AK47" s="16"/>
      <c r="AL47" s="28">
        <f t="shared" si="1"/>
        <v>0</v>
      </c>
      <c r="AM47" s="29"/>
      <c r="AN47" s="27"/>
      <c r="AO47" s="30">
        <f t="shared" si="2"/>
        <v>364</v>
      </c>
      <c r="AP47" s="31">
        <f t="shared" si="3"/>
        <v>44848</v>
      </c>
      <c r="AQ47" s="27"/>
      <c r="AR47" s="16"/>
      <c r="AS47" s="27"/>
      <c r="AT47" s="16"/>
      <c r="AU47" s="27"/>
      <c r="AV47" s="16"/>
      <c r="AW47" s="27"/>
      <c r="AX47" s="16"/>
      <c r="AY47" s="27"/>
      <c r="AZ47" s="24"/>
      <c r="BA47" s="24"/>
      <c r="BB47" s="24"/>
      <c r="BC47" s="32"/>
      <c r="BD47" s="27"/>
      <c r="BE47" s="24"/>
      <c r="BF47" s="24"/>
      <c r="BG47" s="24"/>
      <c r="BH47" s="16"/>
      <c r="BI47" s="27"/>
      <c r="BJ47" s="24"/>
      <c r="BK47" s="24"/>
      <c r="BL47" s="24"/>
      <c r="BM47" s="16"/>
      <c r="BN47" s="61">
        <f t="shared" si="13"/>
        <v>0</v>
      </c>
      <c r="BO47" s="27"/>
      <c r="BP47" s="24"/>
      <c r="BQ47" s="24"/>
      <c r="BR47" s="16"/>
      <c r="BS47" s="61">
        <f>IF(R47=0,(U47+BN47),IF(R47&gt;0,(R47+BN47)))</f>
        <v>152320000</v>
      </c>
      <c r="BT47" s="62">
        <v>110000000</v>
      </c>
      <c r="BU47" s="69">
        <f t="shared" ca="1" si="14"/>
        <v>152320000</v>
      </c>
      <c r="BV47" s="33">
        <f t="shared" ca="1" si="6"/>
        <v>1</v>
      </c>
      <c r="BW47" s="33">
        <v>1</v>
      </c>
      <c r="BX47" s="60">
        <f t="shared" ca="1" si="7"/>
        <v>100</v>
      </c>
      <c r="BY47" s="34">
        <f t="shared" si="8"/>
        <v>72.216386554621849</v>
      </c>
      <c r="BZ47" s="21">
        <v>45589</v>
      </c>
      <c r="CA47" s="35" t="str">
        <f t="shared" ca="1" si="15"/>
        <v>LIQUIDADO</v>
      </c>
      <c r="CB47" s="16"/>
    </row>
    <row r="48" spans="1:80" ht="39.75" customHeight="1">
      <c r="A48" s="16" t="s">
        <v>9538</v>
      </c>
      <c r="B48" s="17" t="s">
        <v>104</v>
      </c>
      <c r="C48" s="18"/>
      <c r="D48" s="17" t="s">
        <v>106</v>
      </c>
      <c r="E48" s="17" t="s">
        <v>1426</v>
      </c>
      <c r="F48" s="17" t="s">
        <v>1427</v>
      </c>
      <c r="G48" s="19" t="s">
        <v>9539</v>
      </c>
      <c r="H48" s="16" t="s">
        <v>9540</v>
      </c>
      <c r="I48" s="16"/>
      <c r="J48" s="16"/>
      <c r="K48" s="20"/>
      <c r="L48" s="16" t="s">
        <v>111</v>
      </c>
      <c r="M48" s="21">
        <v>44409</v>
      </c>
      <c r="N48" s="22">
        <v>44409</v>
      </c>
      <c r="O48" s="22">
        <v>45107</v>
      </c>
      <c r="P48" s="23">
        <f t="shared" si="0"/>
        <v>698</v>
      </c>
      <c r="Q48" s="16" t="s">
        <v>9541</v>
      </c>
      <c r="R48" s="24"/>
      <c r="S48" s="16"/>
      <c r="T48" s="24">
        <v>6346666666.3699999</v>
      </c>
      <c r="U48" s="24"/>
      <c r="V48" s="17" t="s">
        <v>116</v>
      </c>
      <c r="W48" s="23" t="str">
        <f>IFERROR(VLOOKUP(V48,Listas!$A$1:$C$14,2,FALSE),"")</f>
        <v>FREDY CÉSPEDES VILLA</v>
      </c>
      <c r="X48" s="23">
        <f>IFERROR(VLOOKUP(V48,Listas!$A$1:$C$14,3,FALSE),"")</f>
        <v>93363483</v>
      </c>
      <c r="Y48" s="17" t="s">
        <v>406</v>
      </c>
      <c r="Z48" s="17" t="s">
        <v>407</v>
      </c>
      <c r="AA48" s="23" t="str">
        <f>IFERROR(VLOOKUP(Z48,Listas!$AD$1:$AF$65,2,FALSE),"")</f>
        <v>MARÍA VICTORIA CAMARGO CORTÉS</v>
      </c>
      <c r="AB48" s="23">
        <f>IFERROR(VLOOKUP(Z48,Listas!$AD$1:$AF$65,3,FALSE),"")</f>
        <v>52496497</v>
      </c>
      <c r="AC48" s="17" t="s">
        <v>9282</v>
      </c>
      <c r="AD48" s="17" t="s">
        <v>515</v>
      </c>
      <c r="AE48" s="17" t="s">
        <v>121</v>
      </c>
      <c r="AF48" s="27"/>
      <c r="AG48" s="19"/>
      <c r="AH48" s="27"/>
      <c r="AI48" s="16"/>
      <c r="AJ48" s="27"/>
      <c r="AK48" s="16"/>
      <c r="AL48" s="28">
        <f t="shared" si="1"/>
        <v>0</v>
      </c>
      <c r="AM48" s="29"/>
      <c r="AN48" s="27"/>
      <c r="AO48" s="30">
        <f t="shared" si="2"/>
        <v>698</v>
      </c>
      <c r="AP48" s="31">
        <f t="shared" si="3"/>
        <v>45107</v>
      </c>
      <c r="AQ48" s="27"/>
      <c r="AR48" s="16"/>
      <c r="AS48" s="27"/>
      <c r="AT48" s="16"/>
      <c r="AU48" s="27"/>
      <c r="AV48" s="16"/>
      <c r="AW48" s="27"/>
      <c r="AX48" s="16"/>
      <c r="AY48" s="27">
        <v>44673</v>
      </c>
      <c r="AZ48" s="24">
        <v>214108797</v>
      </c>
      <c r="BA48" s="24" t="s">
        <v>9542</v>
      </c>
      <c r="BB48" s="24"/>
      <c r="BC48" s="32"/>
      <c r="BD48" s="27">
        <v>44907</v>
      </c>
      <c r="BE48" s="24">
        <v>1663793628</v>
      </c>
      <c r="BF48" s="24" t="s">
        <v>9543</v>
      </c>
      <c r="BG48" s="24"/>
      <c r="BH48" s="16">
        <v>414870959</v>
      </c>
      <c r="BI48" s="27"/>
      <c r="BJ48" s="24">
        <v>414870959</v>
      </c>
      <c r="BK48" s="24" t="s">
        <v>9544</v>
      </c>
      <c r="BL48" s="24" t="s">
        <v>9545</v>
      </c>
      <c r="BM48" s="16"/>
      <c r="BN48" s="61">
        <f t="shared" si="13"/>
        <v>2292773384</v>
      </c>
      <c r="BO48" s="27"/>
      <c r="BP48" s="24"/>
      <c r="BQ48" s="24"/>
      <c r="BR48" s="16"/>
      <c r="BS48" s="61">
        <f t="shared" ref="BS48:BS79" si="17">IF(U48=0,(T48+BN48),IF(U48&gt;0,(U48+BN48)))</f>
        <v>8639440050.3699989</v>
      </c>
      <c r="BT48" s="62"/>
      <c r="BU48" s="69">
        <f t="shared" ca="1" si="14"/>
        <v>8639440050.3699989</v>
      </c>
      <c r="BV48" s="33">
        <f t="shared" ca="1" si="6"/>
        <v>1</v>
      </c>
      <c r="BW48" s="33">
        <v>1</v>
      </c>
      <c r="BX48" s="60">
        <f t="shared" ca="1" si="7"/>
        <v>100</v>
      </c>
      <c r="BY48" s="34">
        <f t="shared" si="8"/>
        <v>0</v>
      </c>
      <c r="BZ48" s="21">
        <v>45610</v>
      </c>
      <c r="CA48" s="35" t="str">
        <f t="shared" ca="1" si="15"/>
        <v>LIQUIDADO</v>
      </c>
      <c r="CB48" s="16" t="s">
        <v>9546</v>
      </c>
    </row>
    <row r="49" spans="1:80" ht="39.75" customHeight="1">
      <c r="A49" s="107" t="s">
        <v>9547</v>
      </c>
      <c r="B49" s="17" t="s">
        <v>104</v>
      </c>
      <c r="C49" s="18" t="s">
        <v>9548</v>
      </c>
      <c r="D49" s="17" t="s">
        <v>2063</v>
      </c>
      <c r="E49" s="17" t="s">
        <v>1426</v>
      </c>
      <c r="F49" s="17" t="s">
        <v>1427</v>
      </c>
      <c r="G49" s="19" t="s">
        <v>9462</v>
      </c>
      <c r="H49" s="16" t="s">
        <v>9549</v>
      </c>
      <c r="I49" s="16" t="s">
        <v>9464</v>
      </c>
      <c r="J49" s="16">
        <v>38251871</v>
      </c>
      <c r="K49" s="20" t="s">
        <v>9242</v>
      </c>
      <c r="L49" s="16" t="s">
        <v>7229</v>
      </c>
      <c r="M49" s="21">
        <v>44511</v>
      </c>
      <c r="N49" s="22">
        <v>44512</v>
      </c>
      <c r="O49" s="22">
        <v>44865</v>
      </c>
      <c r="P49" s="23">
        <f t="shared" si="0"/>
        <v>353</v>
      </c>
      <c r="Q49" s="16" t="s">
        <v>9550</v>
      </c>
      <c r="R49" s="24">
        <v>51600000</v>
      </c>
      <c r="S49" s="16" t="s">
        <v>9551</v>
      </c>
      <c r="T49" s="24">
        <v>34609167</v>
      </c>
      <c r="U49" s="24"/>
      <c r="V49" s="17" t="s">
        <v>116</v>
      </c>
      <c r="W49" s="23" t="str">
        <f>IFERROR(VLOOKUP(V49,Listas!$A$1:$C$14,2,FALSE),"")</f>
        <v>FREDY CÉSPEDES VILLA</v>
      </c>
      <c r="X49" s="23">
        <f>IFERROR(VLOOKUP(V49,Listas!$A$1:$C$14,3,FALSE),"")</f>
        <v>93363483</v>
      </c>
      <c r="Y49" s="17" t="s">
        <v>1523</v>
      </c>
      <c r="Z49" s="17" t="s">
        <v>1524</v>
      </c>
      <c r="AA49" s="23" t="str">
        <f>IFERROR(VLOOKUP(Z49,Listas!$AD$1:$AF$65,2,FALSE),"")</f>
        <v>IVETTE FRASSER SÁNCHEZ</v>
      </c>
      <c r="AB49" s="23">
        <f>IFERROR(VLOOKUP(Z49,Listas!$AD$1:$AF$65,3,FALSE),"")</f>
        <v>38285903</v>
      </c>
      <c r="AC49" s="17" t="s">
        <v>9228</v>
      </c>
      <c r="AD49" s="17" t="s">
        <v>367</v>
      </c>
      <c r="AE49" s="17" t="s">
        <v>121</v>
      </c>
      <c r="AF49" s="27"/>
      <c r="AG49" s="19"/>
      <c r="AH49" s="27"/>
      <c r="AI49" s="16"/>
      <c r="AJ49" s="27"/>
      <c r="AK49" s="16"/>
      <c r="AL49" s="28">
        <f t="shared" si="1"/>
        <v>0</v>
      </c>
      <c r="AM49" s="29"/>
      <c r="AN49" s="27"/>
      <c r="AO49" s="30">
        <f t="shared" si="2"/>
        <v>353</v>
      </c>
      <c r="AP49" s="31">
        <f t="shared" si="3"/>
        <v>44865</v>
      </c>
      <c r="AQ49" s="27"/>
      <c r="AR49" s="16"/>
      <c r="AS49" s="27"/>
      <c r="AT49" s="16"/>
      <c r="AU49" s="27"/>
      <c r="AV49" s="16"/>
      <c r="AW49" s="27"/>
      <c r="AX49" s="16"/>
      <c r="AY49" s="27"/>
      <c r="AZ49" s="24"/>
      <c r="BA49" s="24"/>
      <c r="BB49" s="24"/>
      <c r="BC49" s="32"/>
      <c r="BD49" s="27"/>
      <c r="BE49" s="24"/>
      <c r="BF49" s="24"/>
      <c r="BG49" s="24"/>
      <c r="BH49" s="16"/>
      <c r="BI49" s="27"/>
      <c r="BJ49" s="24"/>
      <c r="BK49" s="24"/>
      <c r="BL49" s="24"/>
      <c r="BM49" s="16"/>
      <c r="BN49" s="61">
        <f t="shared" si="13"/>
        <v>0</v>
      </c>
      <c r="BO49" s="27"/>
      <c r="BP49" s="24"/>
      <c r="BQ49" s="24"/>
      <c r="BR49" s="16"/>
      <c r="BS49" s="61">
        <f t="shared" si="17"/>
        <v>34609167</v>
      </c>
      <c r="BT49" s="62">
        <v>34510000</v>
      </c>
      <c r="BU49" s="69">
        <f t="shared" ca="1" si="14"/>
        <v>34609167</v>
      </c>
      <c r="BV49" s="33">
        <f t="shared" ca="1" si="6"/>
        <v>1</v>
      </c>
      <c r="BW49" s="33">
        <v>1</v>
      </c>
      <c r="BX49" s="60">
        <f t="shared" ca="1" si="7"/>
        <v>100</v>
      </c>
      <c r="BY49" s="34">
        <f t="shared" si="8"/>
        <v>99.713466088334343</v>
      </c>
      <c r="BZ49" s="21">
        <v>45604</v>
      </c>
      <c r="CA49" s="35" t="str">
        <f t="shared" ca="1" si="15"/>
        <v>LIQUIDADO</v>
      </c>
      <c r="CB49" s="16"/>
    </row>
    <row r="50" spans="1:80" ht="39.75" customHeight="1">
      <c r="A50" s="107" t="s">
        <v>9552</v>
      </c>
      <c r="B50" s="17" t="s">
        <v>104</v>
      </c>
      <c r="C50" s="18" t="s">
        <v>9553</v>
      </c>
      <c r="D50" s="17" t="s">
        <v>106</v>
      </c>
      <c r="E50" s="17" t="s">
        <v>1426</v>
      </c>
      <c r="F50" s="17" t="s">
        <v>1427</v>
      </c>
      <c r="G50" s="19" t="s">
        <v>9554</v>
      </c>
      <c r="H50" s="16" t="s">
        <v>9555</v>
      </c>
      <c r="I50" s="16" t="s">
        <v>9556</v>
      </c>
      <c r="J50" s="104">
        <v>8742265</v>
      </c>
      <c r="K50" s="20" t="s">
        <v>9557</v>
      </c>
      <c r="L50" s="16"/>
      <c r="M50" s="21">
        <v>44525</v>
      </c>
      <c r="N50" s="22">
        <v>44533</v>
      </c>
      <c r="O50" s="22">
        <v>44923</v>
      </c>
      <c r="P50" s="23">
        <f t="shared" si="0"/>
        <v>390</v>
      </c>
      <c r="Q50" s="16" t="s">
        <v>9558</v>
      </c>
      <c r="R50" s="24">
        <v>25241790</v>
      </c>
      <c r="S50" s="24" t="s">
        <v>2812</v>
      </c>
      <c r="T50" s="24">
        <v>25241790</v>
      </c>
      <c r="U50"/>
      <c r="V50" s="17" t="s">
        <v>116</v>
      </c>
      <c r="W50" s="23" t="str">
        <f>IFERROR(VLOOKUP(V50,Listas!$A$1:$C$14,2,FALSE),"")</f>
        <v>FREDY CÉSPEDES VILLA</v>
      </c>
      <c r="X50" s="23">
        <f>IFERROR(VLOOKUP(V50,Listas!$A$1:$C$14,3,FALSE),"")</f>
        <v>93363483</v>
      </c>
      <c r="Y50" s="17" t="s">
        <v>816</v>
      </c>
      <c r="Z50" s="17" t="s">
        <v>2577</v>
      </c>
      <c r="AA50" s="23" t="str">
        <f>IFERROR(VLOOKUP(Z50,Listas!$AD$1:$AF$65,2,FALSE),"")</f>
        <v>VICTOR RAUL BAUTISTA GALINDO</v>
      </c>
      <c r="AB50" s="23">
        <f>IFERROR(VLOOKUP(Z50,Listas!$AD$1:$AF$65,3,FALSE),"")</f>
        <v>79352968</v>
      </c>
      <c r="AC50" s="17" t="s">
        <v>9228</v>
      </c>
      <c r="AD50" s="17" t="s">
        <v>367</v>
      </c>
      <c r="AE50" s="17" t="s">
        <v>121</v>
      </c>
      <c r="AF50" s="27"/>
      <c r="AG50" s="19"/>
      <c r="AH50" s="27"/>
      <c r="AI50" s="16"/>
      <c r="AJ50" s="27"/>
      <c r="AK50" s="16"/>
      <c r="AL50" s="28">
        <f t="shared" si="1"/>
        <v>0</v>
      </c>
      <c r="AM50" s="29"/>
      <c r="AN50" s="27"/>
      <c r="AO50" s="30">
        <f t="shared" si="2"/>
        <v>390</v>
      </c>
      <c r="AP50" s="31">
        <f t="shared" si="3"/>
        <v>44923</v>
      </c>
      <c r="AQ50" s="27"/>
      <c r="AR50" s="16"/>
      <c r="AS50" s="27"/>
      <c r="AT50" s="16"/>
      <c r="AU50" s="27"/>
      <c r="AV50" s="16"/>
      <c r="AW50" s="27"/>
      <c r="AX50" s="16"/>
      <c r="AY50" s="27"/>
      <c r="AZ50" s="24"/>
      <c r="BA50" s="24"/>
      <c r="BB50" s="24"/>
      <c r="BC50" s="32"/>
      <c r="BD50" s="27"/>
      <c r="BE50" s="24"/>
      <c r="BF50" s="24"/>
      <c r="BG50" s="24"/>
      <c r="BH50" s="16"/>
      <c r="BI50" s="27"/>
      <c r="BJ50" s="24"/>
      <c r="BK50" s="24"/>
      <c r="BL50" s="24"/>
      <c r="BM50" s="16"/>
      <c r="BN50" s="61">
        <f t="shared" si="13"/>
        <v>0</v>
      </c>
      <c r="BO50" s="27"/>
      <c r="BP50" s="24"/>
      <c r="BQ50" s="24"/>
      <c r="BR50" s="16"/>
      <c r="BS50" s="61">
        <f>IF(U50=0,(T50+BN50),IF(U50&gt;0,(U50+BN50)))</f>
        <v>25241790</v>
      </c>
      <c r="BT50" s="62">
        <v>25241790</v>
      </c>
      <c r="BU50" s="69">
        <f t="shared" ca="1" si="14"/>
        <v>25241790</v>
      </c>
      <c r="BV50" s="33">
        <f t="shared" ca="1" si="6"/>
        <v>1</v>
      </c>
      <c r="BW50" s="33">
        <v>1</v>
      </c>
      <c r="BX50" s="60">
        <f t="shared" ca="1" si="7"/>
        <v>100</v>
      </c>
      <c r="BY50" s="34">
        <f t="shared" si="8"/>
        <v>100</v>
      </c>
      <c r="BZ50" s="21">
        <v>45604</v>
      </c>
      <c r="CA50" s="35" t="str">
        <f t="shared" ca="1" si="15"/>
        <v>LIQUIDADO</v>
      </c>
      <c r="CB50" s="16"/>
    </row>
    <row r="51" spans="1:80" ht="39.75" customHeight="1">
      <c r="A51" s="107" t="s">
        <v>9559</v>
      </c>
      <c r="B51" s="17" t="s">
        <v>104</v>
      </c>
      <c r="C51" s="18" t="s">
        <v>9560</v>
      </c>
      <c r="D51" s="17" t="s">
        <v>106</v>
      </c>
      <c r="E51" s="17" t="s">
        <v>1426</v>
      </c>
      <c r="F51" s="17" t="s">
        <v>1427</v>
      </c>
      <c r="G51" s="19" t="s">
        <v>9344</v>
      </c>
      <c r="H51" s="16" t="s">
        <v>9345</v>
      </c>
      <c r="I51" s="16" t="s">
        <v>9346</v>
      </c>
      <c r="J51" s="16">
        <v>1143353278</v>
      </c>
      <c r="K51" s="20" t="s">
        <v>9561</v>
      </c>
      <c r="L51" s="16" t="s">
        <v>111</v>
      </c>
      <c r="M51" s="21">
        <v>44810</v>
      </c>
      <c r="N51" s="22">
        <v>44812</v>
      </c>
      <c r="O51" s="22">
        <v>45177</v>
      </c>
      <c r="P51" s="23">
        <f t="shared" si="0"/>
        <v>365</v>
      </c>
      <c r="Q51" s="16" t="s">
        <v>9562</v>
      </c>
      <c r="R51" s="24">
        <v>17549775</v>
      </c>
      <c r="S51" s="24" t="s">
        <v>2812</v>
      </c>
      <c r="T51" s="24">
        <v>16990000</v>
      </c>
      <c r="U51" s="24"/>
      <c r="V51" s="17" t="s">
        <v>116</v>
      </c>
      <c r="W51" s="23" t="str">
        <f>IFERROR(VLOOKUP(V51,Listas!$A$1:$C$14,2,FALSE),"")</f>
        <v>FREDY CÉSPEDES VILLA</v>
      </c>
      <c r="X51" s="23">
        <f>IFERROR(VLOOKUP(V51,Listas!$A$1:$C$14,3,FALSE),"")</f>
        <v>93363483</v>
      </c>
      <c r="Y51" s="17" t="s">
        <v>282</v>
      </c>
      <c r="Z51" s="17" t="s">
        <v>2513</v>
      </c>
      <c r="AA51" s="23" t="str">
        <f>IFERROR(VLOOKUP(Z51,Listas!$AD$1:$AF$65,2,FALSE),"")</f>
        <v>SANDRA MIREYA ARÉVALO RODRÍGUEZ</v>
      </c>
      <c r="AB51" s="23">
        <f>IFERROR(VLOOKUP(Z51,Listas!$AD$1:$AF$65,3,FALSE),"")</f>
        <v>51917861</v>
      </c>
      <c r="AC51" s="17" t="s">
        <v>9228</v>
      </c>
      <c r="AD51" s="17" t="s">
        <v>367</v>
      </c>
      <c r="AE51" s="17" t="s">
        <v>121</v>
      </c>
      <c r="AF51" s="27"/>
      <c r="AG51" s="19"/>
      <c r="AH51" s="27"/>
      <c r="AI51" s="16"/>
      <c r="AJ51" s="27"/>
      <c r="AK51" s="16"/>
      <c r="AL51" s="28">
        <f t="shared" si="1"/>
        <v>0</v>
      </c>
      <c r="AM51" s="29"/>
      <c r="AN51" s="27"/>
      <c r="AO51" s="30">
        <f t="shared" si="2"/>
        <v>365</v>
      </c>
      <c r="AP51" s="31">
        <f t="shared" si="3"/>
        <v>45177</v>
      </c>
      <c r="AQ51" s="27"/>
      <c r="AR51" s="16"/>
      <c r="AS51" s="27"/>
      <c r="AT51" s="16"/>
      <c r="AU51" s="27"/>
      <c r="AV51" s="16"/>
      <c r="AW51" s="27"/>
      <c r="AX51" s="16"/>
      <c r="AY51" s="27"/>
      <c r="AZ51" s="24"/>
      <c r="BA51" s="24"/>
      <c r="BB51" s="24"/>
      <c r="BC51" s="32"/>
      <c r="BD51" s="27"/>
      <c r="BE51" s="24"/>
      <c r="BF51" s="24"/>
      <c r="BG51" s="24"/>
      <c r="BH51" s="16"/>
      <c r="BI51" s="27"/>
      <c r="BJ51" s="24"/>
      <c r="BK51" s="24"/>
      <c r="BL51" s="24"/>
      <c r="BM51" s="16"/>
      <c r="BN51" s="61">
        <f t="shared" si="13"/>
        <v>0</v>
      </c>
      <c r="BO51" s="27"/>
      <c r="BP51" s="24"/>
      <c r="BQ51" s="24"/>
      <c r="BR51" s="16"/>
      <c r="BS51" s="61">
        <f>IF(U51=0,(T51+BN51),IF(U51&gt;0,(U51+BN51)))</f>
        <v>16990000</v>
      </c>
      <c r="BT51" s="62">
        <v>16990000</v>
      </c>
      <c r="BU51" s="69">
        <f t="shared" ca="1" si="14"/>
        <v>16990000</v>
      </c>
      <c r="BV51" s="33">
        <f t="shared" ca="1" si="6"/>
        <v>1</v>
      </c>
      <c r="BW51" s="33">
        <v>1</v>
      </c>
      <c r="BX51" s="60">
        <f t="shared" ca="1" si="7"/>
        <v>100</v>
      </c>
      <c r="BY51" s="34">
        <f t="shared" si="8"/>
        <v>100</v>
      </c>
      <c r="BZ51" s="21">
        <v>45604</v>
      </c>
      <c r="CA51" s="35" t="str">
        <f t="shared" ca="1" si="15"/>
        <v>LIQUIDADO</v>
      </c>
      <c r="CB51" s="16"/>
    </row>
    <row r="52" spans="1:80" ht="39.75" customHeight="1">
      <c r="A52" s="107" t="s">
        <v>9563</v>
      </c>
      <c r="B52" s="17" t="s">
        <v>104</v>
      </c>
      <c r="C52" s="18" t="s">
        <v>9564</v>
      </c>
      <c r="D52" s="17" t="s">
        <v>106</v>
      </c>
      <c r="E52" s="17" t="s">
        <v>1426</v>
      </c>
      <c r="F52" s="17" t="s">
        <v>1427</v>
      </c>
      <c r="G52" s="19" t="s">
        <v>9565</v>
      </c>
      <c r="H52" s="16" t="s">
        <v>9566</v>
      </c>
      <c r="I52" s="16" t="s">
        <v>9567</v>
      </c>
      <c r="J52" s="16"/>
      <c r="K52" s="20" t="s">
        <v>9568</v>
      </c>
      <c r="L52" s="16" t="s">
        <v>111</v>
      </c>
      <c r="M52" s="21">
        <v>44671</v>
      </c>
      <c r="N52" s="22">
        <v>44704</v>
      </c>
      <c r="O52" s="22">
        <v>44895</v>
      </c>
      <c r="P52" s="23">
        <f t="shared" si="0"/>
        <v>191</v>
      </c>
      <c r="Q52" s="16" t="s">
        <v>9569</v>
      </c>
      <c r="R52" s="24">
        <v>2000000000</v>
      </c>
      <c r="S52" s="24" t="s">
        <v>2470</v>
      </c>
      <c r="T52" s="24">
        <v>2000000000</v>
      </c>
      <c r="U52" s="24"/>
      <c r="V52" s="17" t="s">
        <v>116</v>
      </c>
      <c r="W52" s="23" t="str">
        <f>IFERROR(VLOOKUP(V52,Listas!$A$1:$C$14,2,FALSE),"")</f>
        <v>FREDY CÉSPEDES VILLA</v>
      </c>
      <c r="X52" s="23">
        <f>IFERROR(VLOOKUP(V52,Listas!$A$1:$C$14,3,FALSE),"")</f>
        <v>93363483</v>
      </c>
      <c r="Y52" s="17" t="s">
        <v>116</v>
      </c>
      <c r="Z52" s="17" t="s">
        <v>659</v>
      </c>
      <c r="AA52" s="23" t="str">
        <f>IFERROR(VLOOKUP(Z52,Listas!$AD$1:$AF$65,2,FALSE),"")</f>
        <v>TATIANA FORERO TORRES</v>
      </c>
      <c r="AB52" s="23">
        <f>IFERROR(VLOOKUP(Z52,Listas!$AD$1:$AF$65,3,FALSE),"")</f>
        <v>1072446921</v>
      </c>
      <c r="AC52" s="17" t="s">
        <v>9228</v>
      </c>
      <c r="AD52" s="17" t="s">
        <v>367</v>
      </c>
      <c r="AE52" s="17" t="s">
        <v>121</v>
      </c>
      <c r="AF52" s="27">
        <v>44910</v>
      </c>
      <c r="AG52" s="19">
        <v>15</v>
      </c>
      <c r="AH52" s="27">
        <v>44985</v>
      </c>
      <c r="AI52" s="16">
        <v>78</v>
      </c>
      <c r="AJ52" s="27">
        <v>45075</v>
      </c>
      <c r="AK52" s="16">
        <v>90</v>
      </c>
      <c r="AL52" s="28">
        <f t="shared" si="1"/>
        <v>183</v>
      </c>
      <c r="AM52" s="29"/>
      <c r="AN52" s="27"/>
      <c r="AO52" s="30">
        <f t="shared" si="2"/>
        <v>374</v>
      </c>
      <c r="AP52" s="31">
        <f t="shared" si="3"/>
        <v>45078</v>
      </c>
      <c r="AQ52" s="27"/>
      <c r="AR52" s="16"/>
      <c r="AS52" s="27"/>
      <c r="AT52" s="16"/>
      <c r="AU52" s="27"/>
      <c r="AV52" s="16"/>
      <c r="AW52" s="27"/>
      <c r="AX52" s="16"/>
      <c r="AY52" s="27"/>
      <c r="AZ52" s="24">
        <v>340000000</v>
      </c>
      <c r="BA52" s="24" t="s">
        <v>9570</v>
      </c>
      <c r="BB52" s="24" t="s">
        <v>9571</v>
      </c>
      <c r="BC52" s="32"/>
      <c r="BD52" s="27"/>
      <c r="BE52" s="24">
        <v>535953490</v>
      </c>
      <c r="BG52" s="24"/>
      <c r="BH52" s="16"/>
      <c r="BI52" s="27"/>
      <c r="BL52" s="24"/>
      <c r="BM52" s="16"/>
      <c r="BN52" s="61">
        <f>BP52+BJ52+BE52+AZ52</f>
        <v>875953490</v>
      </c>
      <c r="BO52" s="27"/>
      <c r="BP52" s="24"/>
      <c r="BQ52" s="24"/>
      <c r="BR52" s="16"/>
      <c r="BS52" s="61">
        <f>IF(U52=0,(T52+BN52),IF(U52&gt;0,(U52+BN52)))</f>
        <v>2875953490</v>
      </c>
      <c r="BT52" s="62">
        <v>2255295264</v>
      </c>
      <c r="BU52" s="69">
        <f t="shared" ca="1" si="14"/>
        <v>2875953490</v>
      </c>
      <c r="BV52" s="33">
        <f t="shared" ca="1" si="6"/>
        <v>1</v>
      </c>
      <c r="BW52" s="33">
        <v>1</v>
      </c>
      <c r="BX52" s="60">
        <f t="shared" ca="1" si="7"/>
        <v>100</v>
      </c>
      <c r="BY52" s="34">
        <f t="shared" si="8"/>
        <v>78.419045086852222</v>
      </c>
      <c r="BZ52" s="21">
        <v>45622</v>
      </c>
      <c r="CA52" s="35" t="str">
        <f t="shared" ca="1" si="15"/>
        <v>LIQUIDADO</v>
      </c>
      <c r="CB52" s="16"/>
    </row>
    <row r="53" spans="1:80" ht="39.75" customHeight="1">
      <c r="A53" s="107" t="s">
        <v>9572</v>
      </c>
      <c r="B53" s="17" t="s">
        <v>104</v>
      </c>
      <c r="C53" s="18" t="s">
        <v>9573</v>
      </c>
      <c r="D53" s="17" t="s">
        <v>106</v>
      </c>
      <c r="E53" s="17" t="s">
        <v>1426</v>
      </c>
      <c r="F53" s="17" t="s">
        <v>1427</v>
      </c>
      <c r="G53" s="19" t="s">
        <v>9574</v>
      </c>
      <c r="H53" s="16" t="s">
        <v>9575</v>
      </c>
      <c r="I53" s="16" t="s">
        <v>9576</v>
      </c>
      <c r="J53" s="16">
        <v>19498654</v>
      </c>
      <c r="K53" s="20" t="s">
        <v>9577</v>
      </c>
      <c r="L53" s="16" t="s">
        <v>111</v>
      </c>
      <c r="M53" s="21">
        <v>45147</v>
      </c>
      <c r="N53" s="22">
        <v>45160</v>
      </c>
      <c r="O53" s="22">
        <v>45290</v>
      </c>
      <c r="P53" s="23">
        <f t="shared" si="0"/>
        <v>130</v>
      </c>
      <c r="Q53" s="16" t="s">
        <v>9578</v>
      </c>
      <c r="R53" s="24">
        <v>177569610</v>
      </c>
      <c r="S53" s="24" t="s">
        <v>9579</v>
      </c>
      <c r="T53" s="24">
        <v>177569610</v>
      </c>
      <c r="U53" s="24"/>
      <c r="V53" s="17" t="s">
        <v>116</v>
      </c>
      <c r="W53" s="23" t="str">
        <f>IFERROR(VLOOKUP(V53,Listas!$A$1:$C$14,2,FALSE),"")</f>
        <v>FREDY CÉSPEDES VILLA</v>
      </c>
      <c r="X53" s="23">
        <f>IFERROR(VLOOKUP(V53,Listas!$A$1:$C$14,3,FALSE),"")</f>
        <v>93363483</v>
      </c>
      <c r="Y53" s="17" t="s">
        <v>406</v>
      </c>
      <c r="Z53" s="17" t="s">
        <v>407</v>
      </c>
      <c r="AA53" s="23" t="str">
        <f>IFERROR(VLOOKUP(Z53,Listas!$AD$1:$AF$65,2,FALSE),"")</f>
        <v>MARÍA VICTORIA CAMARGO CORTÉS</v>
      </c>
      <c r="AB53" s="23">
        <f>IFERROR(VLOOKUP(Z53,Listas!$AD$1:$AF$65,3,FALSE),"")</f>
        <v>52496497</v>
      </c>
      <c r="AC53" s="17" t="s">
        <v>9580</v>
      </c>
      <c r="AD53" s="17" t="s">
        <v>367</v>
      </c>
      <c r="AE53" s="17" t="s">
        <v>121</v>
      </c>
      <c r="AF53" s="27"/>
      <c r="AG53" s="19"/>
      <c r="AH53" s="27"/>
      <c r="AI53" s="16"/>
      <c r="AJ53" s="27"/>
      <c r="AK53" s="16"/>
      <c r="AL53" s="28">
        <f t="shared" si="1"/>
        <v>0</v>
      </c>
      <c r="AM53" s="29"/>
      <c r="AN53" s="27"/>
      <c r="AO53" s="30">
        <f t="shared" si="2"/>
        <v>130</v>
      </c>
      <c r="AP53" s="31">
        <f t="shared" si="3"/>
        <v>45290</v>
      </c>
      <c r="AQ53" s="27"/>
      <c r="AR53" s="16"/>
      <c r="AS53" s="27"/>
      <c r="AT53" s="16"/>
      <c r="AU53" s="27"/>
      <c r="AV53" s="16"/>
      <c r="AW53" s="27"/>
      <c r="AX53" s="16"/>
      <c r="AY53" s="27"/>
      <c r="AZ53" s="24"/>
      <c r="BA53" s="24"/>
      <c r="BB53" s="24"/>
      <c r="BC53" s="32"/>
      <c r="BD53" s="27"/>
      <c r="BE53" s="24"/>
      <c r="BF53" s="24"/>
      <c r="BG53" s="24"/>
      <c r="BH53" s="16"/>
      <c r="BI53" s="27"/>
      <c r="BJ53" s="24"/>
      <c r="BK53" s="24"/>
      <c r="BL53" s="24"/>
      <c r="BM53" s="16"/>
      <c r="BN53" s="61">
        <f t="shared" si="13"/>
        <v>0</v>
      </c>
      <c r="BO53" s="27"/>
      <c r="BP53" s="24"/>
      <c r="BQ53" s="24"/>
      <c r="BR53" s="16"/>
      <c r="BS53" s="61">
        <f>IF(U53=0,(T53+BN53),IF(U53&gt;0,(U53+BN53)))</f>
        <v>177569610</v>
      </c>
      <c r="BT53" s="62">
        <v>177532482.59</v>
      </c>
      <c r="BU53" s="69">
        <f t="shared" ca="1" si="14"/>
        <v>177569610</v>
      </c>
      <c r="BV53" s="33">
        <f t="shared" ca="1" si="6"/>
        <v>1</v>
      </c>
      <c r="BW53" s="33">
        <v>1</v>
      </c>
      <c r="BX53" s="60">
        <f t="shared" ca="1" si="7"/>
        <v>100</v>
      </c>
      <c r="BY53" s="34">
        <f t="shared" si="8"/>
        <v>99.97909134902082</v>
      </c>
      <c r="BZ53" s="21">
        <v>45604</v>
      </c>
      <c r="CA53" s="35" t="str">
        <f t="shared" ca="1" si="15"/>
        <v>LIQUIDADO</v>
      </c>
      <c r="CB53" s="16"/>
    </row>
    <row r="54" spans="1:80" ht="39.75" customHeight="1">
      <c r="A54" s="107" t="s">
        <v>9581</v>
      </c>
      <c r="B54" s="17" t="s">
        <v>104</v>
      </c>
      <c r="C54" s="18" t="s">
        <v>9582</v>
      </c>
      <c r="D54" s="17" t="s">
        <v>106</v>
      </c>
      <c r="E54" s="17" t="s">
        <v>1426</v>
      </c>
      <c r="F54" s="17" t="s">
        <v>1427</v>
      </c>
      <c r="G54" s="19" t="s">
        <v>9583</v>
      </c>
      <c r="H54" s="16" t="s">
        <v>9584</v>
      </c>
      <c r="I54" s="16" t="s">
        <v>9585</v>
      </c>
      <c r="J54" s="16"/>
      <c r="K54" s="20" t="s">
        <v>9586</v>
      </c>
      <c r="L54" s="16" t="s">
        <v>111</v>
      </c>
      <c r="M54" s="21">
        <v>44706</v>
      </c>
      <c r="N54" s="22">
        <v>44722</v>
      </c>
      <c r="O54" s="22">
        <v>44911</v>
      </c>
      <c r="P54" s="23">
        <f t="shared" ref="P54:P63" si="18">O54-N54</f>
        <v>189</v>
      </c>
      <c r="Q54" s="16" t="s">
        <v>9587</v>
      </c>
      <c r="R54" s="24">
        <v>22208240</v>
      </c>
      <c r="S54" s="24" t="s">
        <v>9588</v>
      </c>
      <c r="T54" s="24">
        <v>20690200</v>
      </c>
      <c r="U54" s="24"/>
      <c r="V54" s="17" t="s">
        <v>116</v>
      </c>
      <c r="W54" s="23" t="str">
        <f>IFERROR(VLOOKUP(V54,Listas!$A$1:$C$14,2,FALSE),"")</f>
        <v>FREDY CÉSPEDES VILLA</v>
      </c>
      <c r="X54" s="23">
        <f>IFERROR(VLOOKUP(V54,Listas!$A$1:$C$14,3,FALSE),"")</f>
        <v>93363483</v>
      </c>
      <c r="Y54" s="17" t="s">
        <v>116</v>
      </c>
      <c r="Z54" s="17" t="s">
        <v>659</v>
      </c>
      <c r="AA54" s="23" t="str">
        <f>IFERROR(VLOOKUP(Z54,Listas!$AD$1:$AF$65,2,FALSE),"")</f>
        <v>TATIANA FORERO TORRES</v>
      </c>
      <c r="AB54" s="23">
        <f>IFERROR(VLOOKUP(Z54,Listas!$AD$1:$AF$65,3,FALSE),"")</f>
        <v>1072446921</v>
      </c>
      <c r="AC54" s="17" t="s">
        <v>9261</v>
      </c>
      <c r="AD54" s="17" t="s">
        <v>347</v>
      </c>
      <c r="AE54" s="17" t="s">
        <v>121</v>
      </c>
      <c r="AF54" s="27"/>
      <c r="AG54" s="19"/>
      <c r="AH54" s="27"/>
      <c r="AI54" s="16"/>
      <c r="AJ54" s="27"/>
      <c r="AK54" s="16"/>
      <c r="AL54" s="28">
        <f t="shared" ref="AL54:AL63" si="19">AG54+AI54+AK54</f>
        <v>0</v>
      </c>
      <c r="AM54" s="29"/>
      <c r="AN54" s="27"/>
      <c r="AO54" s="30">
        <f t="shared" ref="AO54:AO63" si="20">(P54+AL54)-AM54</f>
        <v>189</v>
      </c>
      <c r="AP54" s="31">
        <f t="shared" ref="AP54:AP63" si="21">IF(AN54="",O54+AL54,AN54)</f>
        <v>44911</v>
      </c>
      <c r="AQ54" s="27"/>
      <c r="AR54" s="16"/>
      <c r="AS54" s="27"/>
      <c r="AT54" s="16"/>
      <c r="AU54" s="27"/>
      <c r="AV54" s="16"/>
      <c r="AW54" s="27"/>
      <c r="AX54" s="16"/>
      <c r="AY54" s="27"/>
      <c r="AZ54" s="24"/>
      <c r="BA54" s="24"/>
      <c r="BB54" s="24"/>
      <c r="BC54" s="32"/>
      <c r="BD54" s="27"/>
      <c r="BE54" s="24"/>
      <c r="BF54" s="24"/>
      <c r="BG54" s="24"/>
      <c r="BH54" s="16"/>
      <c r="BI54" s="27"/>
      <c r="BJ54" s="24"/>
      <c r="BK54" s="24"/>
      <c r="BL54" s="24"/>
      <c r="BM54" s="16"/>
      <c r="BN54" s="61">
        <f t="shared" si="13"/>
        <v>0</v>
      </c>
      <c r="BO54" s="27"/>
      <c r="BP54" s="24"/>
      <c r="BQ54" s="24"/>
      <c r="BR54" s="16"/>
      <c r="BS54" s="61" t="e">
        <f>IF(U54=0,(S54+BN54),IF(U54&gt;0,(U54+BN54)))</f>
        <v>#VALUE!</v>
      </c>
      <c r="BT54" s="62"/>
      <c r="BU54" s="69" t="str">
        <f t="shared" ca="1" si="14"/>
        <v/>
      </c>
      <c r="BV54" s="33">
        <f t="shared" ref="BV54:BV63" ca="1" si="22">IF(TODAY()&gt;AP54,1,+(DAYS360(N54,TODAY())/DAYS360(N54,AP54)))</f>
        <v>1</v>
      </c>
      <c r="BW54" s="33">
        <v>1</v>
      </c>
      <c r="BX54" s="60" t="str">
        <f t="shared" ref="BX54:BX63" ca="1" si="23">IFERROR(IF(((BU54/BS54)*100)&gt;100,100,((BU54/BS54)*100)),"")</f>
        <v/>
      </c>
      <c r="BY54" s="34" t="str">
        <f t="shared" ref="BY54:BY63" si="24">IFERROR((BT54/BS54)*100,"")</f>
        <v/>
      </c>
      <c r="BZ54" s="21"/>
      <c r="CA54" s="35" t="str">
        <f t="shared" ca="1" si="15"/>
        <v>TERMINADO</v>
      </c>
      <c r="CB54" s="16"/>
    </row>
    <row r="55" spans="1:80" ht="39.75" customHeight="1">
      <c r="A55" s="16" t="s">
        <v>9589</v>
      </c>
      <c r="B55" s="17" t="s">
        <v>104</v>
      </c>
      <c r="C55" s="18" t="s">
        <v>9590</v>
      </c>
      <c r="D55" s="17" t="s">
        <v>106</v>
      </c>
      <c r="E55" s="17" t="s">
        <v>1426</v>
      </c>
      <c r="F55" s="17" t="s">
        <v>1427</v>
      </c>
      <c r="G55" s="19" t="s">
        <v>9591</v>
      </c>
      <c r="H55" s="16" t="s">
        <v>9592</v>
      </c>
      <c r="I55" s="16" t="s">
        <v>9593</v>
      </c>
      <c r="J55" s="16">
        <v>55152065</v>
      </c>
      <c r="K55" s="20" t="s">
        <v>9594</v>
      </c>
      <c r="L55" s="16" t="s">
        <v>111</v>
      </c>
      <c r="M55" s="21">
        <v>44749</v>
      </c>
      <c r="N55" s="22">
        <v>44764</v>
      </c>
      <c r="O55" s="22">
        <v>45115</v>
      </c>
      <c r="P55" s="23">
        <f t="shared" si="18"/>
        <v>351</v>
      </c>
      <c r="Q55" s="138" t="s">
        <v>9595</v>
      </c>
      <c r="R55" s="138" t="s">
        <v>2811</v>
      </c>
      <c r="S55" s="138" t="s">
        <v>9596</v>
      </c>
      <c r="T55" s="138" t="s">
        <v>2812</v>
      </c>
      <c r="U55" s="24"/>
      <c r="V55" s="17"/>
      <c r="W55" s="23" t="str">
        <f>IFERROR(VLOOKUP(V55,Listas!$A$1:$C$14,2,FALSE),"")</f>
        <v/>
      </c>
      <c r="X55" s="23" t="str">
        <f>IFERROR(VLOOKUP(V55,Listas!$A$1:$C$14,3,FALSE),"")</f>
        <v/>
      </c>
      <c r="Y55" s="17"/>
      <c r="Z55" s="17"/>
      <c r="AA55" s="23" t="str">
        <f>IFERROR(VLOOKUP(Z55,Listas!$AD$1:$AF$65,2,FALSE),"")</f>
        <v/>
      </c>
      <c r="AB55" s="23" t="str">
        <f>IFERROR(VLOOKUP(Z55,Listas!$AD$1:$AF$65,3,FALSE),"")</f>
        <v/>
      </c>
      <c r="AC55" s="17"/>
      <c r="AD55" s="17"/>
      <c r="AE55" s="17"/>
      <c r="AF55" s="27"/>
      <c r="AG55" s="19"/>
      <c r="AH55" s="27"/>
      <c r="AI55" s="16"/>
      <c r="AJ55" s="27"/>
      <c r="AK55" s="16"/>
      <c r="AL55" s="28">
        <f t="shared" si="19"/>
        <v>0</v>
      </c>
      <c r="AM55" s="29"/>
      <c r="AN55" s="27"/>
      <c r="AO55" s="30">
        <f t="shared" si="20"/>
        <v>351</v>
      </c>
      <c r="AP55" s="31">
        <f t="shared" si="21"/>
        <v>45115</v>
      </c>
      <c r="AQ55" s="27"/>
      <c r="AR55" s="16"/>
      <c r="AS55" s="27"/>
      <c r="AT55" s="16"/>
      <c r="AU55" s="27"/>
      <c r="AV55" s="16"/>
      <c r="AW55" s="27"/>
      <c r="AX55" s="16"/>
      <c r="AY55" s="27"/>
      <c r="AZ55" s="24"/>
      <c r="BA55" s="24"/>
      <c r="BB55" s="24"/>
      <c r="BC55" s="32"/>
      <c r="BD55" s="27"/>
      <c r="BE55" s="24"/>
      <c r="BF55" s="24"/>
      <c r="BG55" s="24"/>
      <c r="BH55" s="16"/>
      <c r="BI55" s="27"/>
      <c r="BJ55" s="24"/>
      <c r="BK55" s="24"/>
      <c r="BL55" s="24"/>
      <c r="BM55" s="16"/>
      <c r="BN55" s="61">
        <f t="shared" si="13"/>
        <v>0</v>
      </c>
      <c r="BO55" s="27"/>
      <c r="BP55" s="24"/>
      <c r="BQ55" s="24"/>
      <c r="BR55" s="16"/>
      <c r="BS55" s="61" t="e">
        <f t="shared" ref="BS55:BS57" si="25">IF(U55=0,(T55+BN55),IF(U55&gt;0,(U55+BN55)))</f>
        <v>#VALUE!</v>
      </c>
      <c r="BT55" s="62"/>
      <c r="BU55" s="69" t="str">
        <f t="shared" ca="1" si="14"/>
        <v/>
      </c>
      <c r="BV55" s="33">
        <f t="shared" ca="1" si="22"/>
        <v>1</v>
      </c>
      <c r="BW55" s="33">
        <v>1</v>
      </c>
      <c r="BX55" s="60" t="str">
        <f t="shared" ca="1" si="23"/>
        <v/>
      </c>
      <c r="BY55" s="34" t="str">
        <f t="shared" si="24"/>
        <v/>
      </c>
      <c r="BZ55" s="21"/>
      <c r="CA55" s="35" t="str">
        <f t="shared" ca="1" si="15"/>
        <v>TERMINADO</v>
      </c>
      <c r="CB55" s="16"/>
    </row>
    <row r="56" spans="1:80" ht="39.75" customHeight="1">
      <c r="A56" s="16" t="s">
        <v>9597</v>
      </c>
      <c r="B56" s="17" t="s">
        <v>2927</v>
      </c>
      <c r="C56" s="18" t="s">
        <v>9598</v>
      </c>
      <c r="D56" s="17" t="s">
        <v>5866</v>
      </c>
      <c r="E56" s="17" t="s">
        <v>1426</v>
      </c>
      <c r="F56" s="17" t="s">
        <v>1427</v>
      </c>
      <c r="G56" s="19" t="s">
        <v>7006</v>
      </c>
      <c r="H56" s="16" t="s">
        <v>9599</v>
      </c>
      <c r="I56" s="16"/>
      <c r="J56" s="16"/>
      <c r="K56" s="20" t="s">
        <v>9600</v>
      </c>
      <c r="L56" s="16"/>
      <c r="M56" s="21">
        <v>44776</v>
      </c>
      <c r="N56" s="22">
        <v>44784</v>
      </c>
      <c r="O56" s="22">
        <v>45107</v>
      </c>
      <c r="P56" s="23">
        <f t="shared" si="18"/>
        <v>323</v>
      </c>
      <c r="Q56" s="16" t="s">
        <v>9601</v>
      </c>
      <c r="R56" s="24">
        <v>70810716021</v>
      </c>
      <c r="S56" s="16" t="s">
        <v>6131</v>
      </c>
      <c r="T56" s="24">
        <v>5933983555.5600004</v>
      </c>
      <c r="U56" s="24"/>
      <c r="V56" s="17" t="s">
        <v>607</v>
      </c>
      <c r="W56" s="23" t="str">
        <f>IFERROR(VLOOKUP(V56,Listas!$A$1:$C$14,2,FALSE),"")</f>
        <v>MARÍA FRANCISCA CEPEDA QUINTERO</v>
      </c>
      <c r="X56" s="23">
        <f>IFERROR(VLOOKUP(V56,Listas!$A$1:$C$14,3,FALSE),"")</f>
        <v>53062608</v>
      </c>
      <c r="Y56" s="17" t="s">
        <v>607</v>
      </c>
      <c r="Z56" s="17" t="s">
        <v>1155</v>
      </c>
      <c r="AA56" s="23" t="str">
        <f>IFERROR(VLOOKUP(Z56,Listas!$AD$1:$AF$65,2,FALSE),"")</f>
        <v>MARÍA FRANCISCA CEPEDA QUINTERO</v>
      </c>
      <c r="AB56" s="23">
        <f>IFERROR(VLOOKUP(Z56,Listas!$AD$1:$AF$65,3,FALSE),"")</f>
        <v>53062608</v>
      </c>
      <c r="AC56" s="17" t="s">
        <v>9228</v>
      </c>
      <c r="AD56" s="17" t="s">
        <v>9229</v>
      </c>
      <c r="AE56" s="17" t="s">
        <v>2937</v>
      </c>
      <c r="AF56" s="27"/>
      <c r="AG56" s="19"/>
      <c r="AH56" s="27"/>
      <c r="AI56" s="16"/>
      <c r="AJ56" s="27"/>
      <c r="AK56" s="16"/>
      <c r="AL56" s="28">
        <f t="shared" si="19"/>
        <v>0</v>
      </c>
      <c r="AM56" s="29"/>
      <c r="AN56" s="27"/>
      <c r="AO56" s="30">
        <f t="shared" si="20"/>
        <v>323</v>
      </c>
      <c r="AP56" s="31">
        <f t="shared" si="21"/>
        <v>45107</v>
      </c>
      <c r="AQ56" s="27"/>
      <c r="AR56" s="16"/>
      <c r="AS56" s="27"/>
      <c r="AT56" s="16"/>
      <c r="AU56" s="27"/>
      <c r="AV56" s="16"/>
      <c r="AW56" s="27"/>
      <c r="AX56" s="16"/>
      <c r="AY56" s="27"/>
      <c r="AZ56" s="24"/>
      <c r="BA56" s="24"/>
      <c r="BB56" s="24"/>
      <c r="BC56" s="32"/>
      <c r="BD56" s="27"/>
      <c r="BE56" s="24"/>
      <c r="BF56" s="24"/>
      <c r="BG56" s="24"/>
      <c r="BH56" s="16"/>
      <c r="BI56" s="27"/>
      <c r="BJ56" s="24"/>
      <c r="BK56" s="24"/>
      <c r="BL56" s="24"/>
      <c r="BM56" s="16"/>
      <c r="BN56" s="61">
        <f t="shared" si="13"/>
        <v>0</v>
      </c>
      <c r="BO56" s="27"/>
      <c r="BP56" s="24"/>
      <c r="BQ56" s="24"/>
      <c r="BR56" s="16"/>
      <c r="BS56" s="61">
        <f t="shared" si="25"/>
        <v>5933983555.5600004</v>
      </c>
      <c r="BT56" s="62">
        <v>1500000000</v>
      </c>
      <c r="BU56" s="69">
        <f t="shared" ca="1" si="14"/>
        <v>5933983555.5600004</v>
      </c>
      <c r="BV56" s="33">
        <f t="shared" ca="1" si="22"/>
        <v>1</v>
      </c>
      <c r="BW56" s="33">
        <v>1</v>
      </c>
      <c r="BX56" s="60">
        <f t="shared" ca="1" si="23"/>
        <v>100</v>
      </c>
      <c r="BY56" s="34">
        <f t="shared" si="24"/>
        <v>25.278128696439271</v>
      </c>
      <c r="BZ56" s="21">
        <v>45642</v>
      </c>
      <c r="CA56" s="35" t="str">
        <f t="shared" ca="1" si="15"/>
        <v>LIQUIDADO</v>
      </c>
      <c r="CB56" s="16" t="s">
        <v>9602</v>
      </c>
    </row>
    <row r="57" spans="1:80" ht="39.75" customHeight="1">
      <c r="A57" s="16" t="s">
        <v>9603</v>
      </c>
      <c r="B57" s="17" t="s">
        <v>2927</v>
      </c>
      <c r="C57" s="18" t="s">
        <v>9604</v>
      </c>
      <c r="D57" s="17" t="s">
        <v>5866</v>
      </c>
      <c r="E57" s="17" t="s">
        <v>1426</v>
      </c>
      <c r="F57" s="17" t="s">
        <v>1427</v>
      </c>
      <c r="G57" s="19" t="s">
        <v>9605</v>
      </c>
      <c r="H57" s="16" t="s">
        <v>9511</v>
      </c>
      <c r="I57" s="16"/>
      <c r="J57" s="16"/>
      <c r="K57" s="20" t="s">
        <v>9606</v>
      </c>
      <c r="L57" s="16"/>
      <c r="M57" s="21">
        <v>44852</v>
      </c>
      <c r="N57" s="22">
        <v>44852</v>
      </c>
      <c r="O57" s="22">
        <v>45015</v>
      </c>
      <c r="P57" s="23">
        <f t="shared" si="18"/>
        <v>163</v>
      </c>
      <c r="Q57" s="16" t="s">
        <v>9601</v>
      </c>
      <c r="R57" s="24">
        <v>3000000000</v>
      </c>
      <c r="S57" s="16" t="s">
        <v>9503</v>
      </c>
      <c r="T57" s="24">
        <v>206020800</v>
      </c>
      <c r="U57" s="24">
        <v>533689502</v>
      </c>
      <c r="V57" s="17" t="s">
        <v>607</v>
      </c>
      <c r="W57" s="23" t="str">
        <f>IFERROR(VLOOKUP(V57,Listas!$A$1:$C$14,2,FALSE),"")</f>
        <v>MARÍA FRANCISCA CEPEDA QUINTERO</v>
      </c>
      <c r="X57" s="23">
        <f>IFERROR(VLOOKUP(V57,Listas!$A$1:$C$14,3,FALSE),"")</f>
        <v>53062608</v>
      </c>
      <c r="Y57" s="17" t="s">
        <v>607</v>
      </c>
      <c r="Z57" s="17" t="s">
        <v>1155</v>
      </c>
      <c r="AA57" s="23" t="str">
        <f>IFERROR(VLOOKUP(Z57,Listas!$AD$1:$AF$65,2,FALSE),"")</f>
        <v>MARÍA FRANCISCA CEPEDA QUINTERO</v>
      </c>
      <c r="AB57" s="23">
        <f>IFERROR(VLOOKUP(Z57,Listas!$AD$1:$AF$65,3,FALSE),"")</f>
        <v>53062608</v>
      </c>
      <c r="AC57" s="17" t="s">
        <v>9228</v>
      </c>
      <c r="AD57" s="17" t="s">
        <v>9229</v>
      </c>
      <c r="AE57" s="17" t="s">
        <v>2937</v>
      </c>
      <c r="AF57" s="27"/>
      <c r="AG57" s="19"/>
      <c r="AH57" s="27"/>
      <c r="AI57" s="16"/>
      <c r="AJ57" s="27"/>
      <c r="AK57" s="16"/>
      <c r="AL57" s="28">
        <f t="shared" si="19"/>
        <v>0</v>
      </c>
      <c r="AM57" s="29"/>
      <c r="AN57" s="27"/>
      <c r="AO57" s="30">
        <f t="shared" si="20"/>
        <v>163</v>
      </c>
      <c r="AP57" s="31">
        <f t="shared" si="21"/>
        <v>45015</v>
      </c>
      <c r="AQ57" s="27"/>
      <c r="AR57" s="16"/>
      <c r="AS57" s="27"/>
      <c r="AT57" s="16"/>
      <c r="AU57" s="27"/>
      <c r="AV57" s="16"/>
      <c r="AW57" s="27"/>
      <c r="AX57" s="16"/>
      <c r="AY57" s="27"/>
      <c r="AZ57" s="24"/>
      <c r="BA57" s="24"/>
      <c r="BB57" s="24"/>
      <c r="BC57" s="32"/>
      <c r="BD57" s="27"/>
      <c r="BE57" s="24"/>
      <c r="BF57" s="24"/>
      <c r="BG57" s="24"/>
      <c r="BH57" s="16"/>
      <c r="BI57" s="27"/>
      <c r="BJ57" s="24"/>
      <c r="BK57" s="24"/>
      <c r="BL57" s="24"/>
      <c r="BM57" s="16"/>
      <c r="BN57" s="61">
        <f t="shared" si="13"/>
        <v>0</v>
      </c>
      <c r="BO57" s="27"/>
      <c r="BP57" s="24"/>
      <c r="BQ57" s="24"/>
      <c r="BR57" s="16"/>
      <c r="BS57" s="61">
        <f t="shared" si="25"/>
        <v>533689502</v>
      </c>
      <c r="BT57" s="62">
        <v>206020800</v>
      </c>
      <c r="BU57" s="69">
        <f t="shared" ca="1" si="14"/>
        <v>533689502</v>
      </c>
      <c r="BV57" s="33">
        <f t="shared" ca="1" si="22"/>
        <v>1</v>
      </c>
      <c r="BW57" s="33">
        <v>1</v>
      </c>
      <c r="BX57" s="60">
        <f t="shared" ca="1" si="23"/>
        <v>100</v>
      </c>
      <c r="BY57" s="34">
        <v>100</v>
      </c>
      <c r="BZ57" s="21">
        <v>45644</v>
      </c>
      <c r="CA57" s="35" t="str">
        <f t="shared" ca="1" si="15"/>
        <v>LIQUIDADO</v>
      </c>
      <c r="CB57" s="16"/>
    </row>
    <row r="58" spans="1:80" s="265" customFormat="1" ht="39.75" customHeight="1">
      <c r="A58" s="370" t="s">
        <v>9607</v>
      </c>
      <c r="B58" s="328" t="s">
        <v>104</v>
      </c>
      <c r="C58" s="371" t="s">
        <v>9608</v>
      </c>
      <c r="D58" s="328" t="s">
        <v>106</v>
      </c>
      <c r="E58" s="328" t="s">
        <v>1426</v>
      </c>
      <c r="F58" s="328" t="s">
        <v>1427</v>
      </c>
      <c r="G58" s="372" t="s">
        <v>9609</v>
      </c>
      <c r="H58" s="373" t="s">
        <v>9610</v>
      </c>
      <c r="I58" s="335" t="s">
        <v>9611</v>
      </c>
      <c r="J58" s="257"/>
      <c r="K58" s="333" t="s">
        <v>9612</v>
      </c>
      <c r="L58" s="257"/>
      <c r="M58" s="374">
        <v>44326</v>
      </c>
      <c r="N58" s="375">
        <v>44475</v>
      </c>
      <c r="O58" s="375">
        <v>45076</v>
      </c>
      <c r="P58" s="311">
        <f>O58-N58</f>
        <v>601</v>
      </c>
      <c r="Q58" s="335" t="s">
        <v>9613</v>
      </c>
      <c r="R58" s="376" t="s">
        <v>9614</v>
      </c>
      <c r="S58" s="334" t="s">
        <v>939</v>
      </c>
      <c r="T58" s="377" t="s">
        <v>9615</v>
      </c>
      <c r="U58" s="258"/>
      <c r="V58" s="328" t="s">
        <v>116</v>
      </c>
      <c r="W58" s="311" t="str">
        <f>IFERROR(VLOOKUP(V58,Listas!$A$1:$C$14,2,FALSE),"")</f>
        <v>FREDY CÉSPEDES VILLA</v>
      </c>
      <c r="X58" s="311">
        <f>IFERROR(VLOOKUP(V58,Listas!$A$1:$C$14,3,FALSE),"")</f>
        <v>93363483</v>
      </c>
      <c r="Y58" s="328" t="s">
        <v>116</v>
      </c>
      <c r="Z58" s="328" t="s">
        <v>940</v>
      </c>
      <c r="AA58" s="311" t="str">
        <f>IFERROR(VLOOKUP(Z58,Listas!$AD$1:$AF$65,2,FALSE),"")</f>
        <v>GERARDO ALONSO RODRÍGUEZ PINEDA</v>
      </c>
      <c r="AB58" s="311">
        <f>IFERROR(VLOOKUP(Z58,Listas!$AD$1:$AF$65,3,FALSE),"")</f>
        <v>79466595</v>
      </c>
      <c r="AC58" s="328" t="s">
        <v>9238</v>
      </c>
      <c r="AD58" s="328" t="s">
        <v>367</v>
      </c>
      <c r="AE58" s="328" t="s">
        <v>121</v>
      </c>
      <c r="AF58" s="259"/>
      <c r="AG58" s="256"/>
      <c r="AH58" s="259"/>
      <c r="AI58" s="257"/>
      <c r="AJ58" s="259"/>
      <c r="AK58" s="257"/>
      <c r="AL58" s="311">
        <f>AG58+AI58+AK58</f>
        <v>0</v>
      </c>
      <c r="AM58" s="260"/>
      <c r="AN58" s="259"/>
      <c r="AO58" s="378">
        <f>(P58+AL58)-AM58</f>
        <v>601</v>
      </c>
      <c r="AP58" s="379">
        <f>IF(AN58="",O58+AL58,AN58)</f>
        <v>45076</v>
      </c>
      <c r="AQ58" s="259"/>
      <c r="AR58" s="257"/>
      <c r="AS58" s="259"/>
      <c r="AT58" s="257"/>
      <c r="AU58" s="259"/>
      <c r="AV58" s="257"/>
      <c r="AW58" s="259"/>
      <c r="AX58" s="257"/>
      <c r="AY58" s="259"/>
      <c r="AZ58" s="258"/>
      <c r="BA58" s="258"/>
      <c r="BB58" s="258"/>
      <c r="BC58" s="261"/>
      <c r="BD58" s="259"/>
      <c r="BE58" s="258"/>
      <c r="BF58" s="258"/>
      <c r="BG58" s="258"/>
      <c r="BH58" s="257"/>
      <c r="BI58" s="259"/>
      <c r="BJ58" s="258"/>
      <c r="BK58" s="258"/>
      <c r="BL58" s="258"/>
      <c r="BM58" s="257"/>
      <c r="BN58" s="380">
        <f>BP58+BJ58+BE58+AZ58</f>
        <v>0</v>
      </c>
      <c r="BO58" s="27"/>
      <c r="BP58" s="24"/>
      <c r="BQ58" s="24"/>
      <c r="BR58" s="16"/>
      <c r="BS58" s="330" t="s">
        <v>9616</v>
      </c>
      <c r="BT58" s="331" t="s">
        <v>9617</v>
      </c>
      <c r="BU58" s="332" t="s">
        <v>9617</v>
      </c>
      <c r="BV58" s="325">
        <f ca="1">IF(TODAY()&gt;AP58,1,+(DAYS360(N58,TODAY())/DAYS360(N58,AP58)))</f>
        <v>1</v>
      </c>
      <c r="BW58" s="325">
        <v>1</v>
      </c>
      <c r="BX58" s="327" t="str">
        <f>IFERROR(IF(((BU58/BS58)*100)&gt;100,100,((BU58/BS58)*100)),"")</f>
        <v/>
      </c>
      <c r="BY58" s="326" t="str">
        <f>IFERROR((BT58/BS58)*100,"")</f>
        <v/>
      </c>
      <c r="BZ58" s="381">
        <v>45636</v>
      </c>
      <c r="CA58" s="382" t="str">
        <f ca="1">IF(BZ58&gt;1/1/6,"LIQUIDADO",IF(AP58=0,"",IF(AP58&gt;=TODAY(),"VIGENTE",IF(AP58&lt;TODAY(),"TERMINADO",))))</f>
        <v>LIQUIDADO</v>
      </c>
      <c r="CB58" s="257"/>
    </row>
    <row r="59" spans="1:80" s="265" customFormat="1" ht="39.75" customHeight="1">
      <c r="A59" s="383" t="s">
        <v>9618</v>
      </c>
      <c r="B59" s="328" t="s">
        <v>104</v>
      </c>
      <c r="C59" s="371" t="s">
        <v>9619</v>
      </c>
      <c r="D59" s="328" t="s">
        <v>106</v>
      </c>
      <c r="E59" s="328" t="s">
        <v>1426</v>
      </c>
      <c r="F59" s="328" t="s">
        <v>1427</v>
      </c>
      <c r="G59" s="372" t="s">
        <v>9620</v>
      </c>
      <c r="H59" s="384" t="s">
        <v>9621</v>
      </c>
      <c r="I59" s="335" t="s">
        <v>9622</v>
      </c>
      <c r="J59" s="385">
        <v>79450776</v>
      </c>
      <c r="K59" s="333" t="s">
        <v>9623</v>
      </c>
      <c r="L59" s="257"/>
      <c r="M59" s="374">
        <v>44530</v>
      </c>
      <c r="N59" s="386">
        <v>44537</v>
      </c>
      <c r="O59" s="386">
        <v>44901</v>
      </c>
      <c r="P59" s="311">
        <f t="shared" si="18"/>
        <v>364</v>
      </c>
      <c r="Q59" s="335" t="s">
        <v>9624</v>
      </c>
      <c r="R59" s="376"/>
      <c r="S59" s="334" t="s">
        <v>2812</v>
      </c>
      <c r="T59" s="377" t="s">
        <v>9625</v>
      </c>
      <c r="U59" s="258"/>
      <c r="V59" s="328" t="s">
        <v>116</v>
      </c>
      <c r="W59" s="311" t="str">
        <f>IFERROR(VLOOKUP(V59,Listas!$A$1:$C$14,2,FALSE),"")</f>
        <v>FREDY CÉSPEDES VILLA</v>
      </c>
      <c r="X59" s="311">
        <f>IFERROR(VLOOKUP(V59,Listas!$A$1:$C$14,3,FALSE),"")</f>
        <v>93363483</v>
      </c>
      <c r="Y59" s="328" t="s">
        <v>816</v>
      </c>
      <c r="Z59" s="328" t="s">
        <v>1450</v>
      </c>
      <c r="AA59" s="311" t="str">
        <f>IFERROR(VLOOKUP(Z59,Listas!$AD$1:$AF$65,2,FALSE),"")</f>
        <v>LINA MARIA CRUZ SILVA</v>
      </c>
      <c r="AB59" s="311">
        <f>IFERROR(VLOOKUP(Z59,Listas!$AD$1:$AF$65,3,FALSE),"")</f>
        <v>52423537</v>
      </c>
      <c r="AC59" s="328" t="s">
        <v>9261</v>
      </c>
      <c r="AD59" s="328" t="s">
        <v>367</v>
      </c>
      <c r="AE59" s="328" t="s">
        <v>121</v>
      </c>
      <c r="AF59" s="259"/>
      <c r="AG59" s="256"/>
      <c r="AH59" s="259"/>
      <c r="AI59" s="257"/>
      <c r="AJ59" s="259"/>
      <c r="AK59" s="257"/>
      <c r="AL59" s="311">
        <f t="shared" si="19"/>
        <v>0</v>
      </c>
      <c r="AM59" s="260"/>
      <c r="AN59" s="259"/>
      <c r="AO59" s="378">
        <f t="shared" si="20"/>
        <v>364</v>
      </c>
      <c r="AP59" s="379">
        <f t="shared" si="21"/>
        <v>44901</v>
      </c>
      <c r="AQ59" s="259"/>
      <c r="AR59" s="257"/>
      <c r="AS59" s="259"/>
      <c r="AT59" s="257"/>
      <c r="AU59" s="259"/>
      <c r="AV59" s="257"/>
      <c r="AW59" s="259"/>
      <c r="AX59" s="257"/>
      <c r="AY59" s="259"/>
      <c r="AZ59" s="258"/>
      <c r="BA59" s="258"/>
      <c r="BB59" s="258"/>
      <c r="BC59" s="261"/>
      <c r="BD59" s="259"/>
      <c r="BE59" s="258"/>
      <c r="BF59" s="258"/>
      <c r="BG59" s="258"/>
      <c r="BH59" s="257"/>
      <c r="BI59" s="259"/>
      <c r="BJ59" s="258"/>
      <c r="BK59" s="258"/>
      <c r="BL59" s="258"/>
      <c r="BM59" s="257"/>
      <c r="BN59" s="380">
        <f t="shared" si="13"/>
        <v>0</v>
      </c>
      <c r="BO59" s="27"/>
      <c r="BP59" s="24"/>
      <c r="BQ59" s="24"/>
      <c r="BR59" s="16"/>
      <c r="BS59" s="330" t="s">
        <v>9626</v>
      </c>
      <c r="BT59" s="331" t="s">
        <v>9627</v>
      </c>
      <c r="BU59" s="332" t="s">
        <v>9627</v>
      </c>
      <c r="BV59" s="325">
        <f t="shared" ca="1" si="22"/>
        <v>1</v>
      </c>
      <c r="BW59" s="325">
        <v>1</v>
      </c>
      <c r="BX59" s="327" t="str">
        <f t="shared" si="23"/>
        <v/>
      </c>
      <c r="BY59" s="326" t="str">
        <f>IFERROR((#REF!/BS59)*100,"")</f>
        <v/>
      </c>
      <c r="BZ59" s="387">
        <v>45638</v>
      </c>
      <c r="CA59" s="382" t="str">
        <f t="shared" ca="1" si="15"/>
        <v>LIQUIDADO</v>
      </c>
      <c r="CB59" s="257"/>
    </row>
    <row r="60" spans="1:80" s="265" customFormat="1" ht="39.75" customHeight="1">
      <c r="A60" s="388" t="s">
        <v>9628</v>
      </c>
      <c r="B60" s="328" t="s">
        <v>104</v>
      </c>
      <c r="C60" s="371" t="s">
        <v>9629</v>
      </c>
      <c r="D60" s="328" t="s">
        <v>106</v>
      </c>
      <c r="E60" s="328" t="s">
        <v>1426</v>
      </c>
      <c r="F60" s="328" t="s">
        <v>1427</v>
      </c>
      <c r="G60" s="372" t="s">
        <v>9630</v>
      </c>
      <c r="H60" s="384" t="s">
        <v>9631</v>
      </c>
      <c r="I60" s="335" t="s">
        <v>9632</v>
      </c>
      <c r="J60" s="385">
        <v>52186966</v>
      </c>
      <c r="K60" s="333" t="s">
        <v>9633</v>
      </c>
      <c r="L60" s="257"/>
      <c r="M60" s="374">
        <v>45179</v>
      </c>
      <c r="N60" s="386">
        <v>45219</v>
      </c>
      <c r="O60" s="386">
        <v>45342</v>
      </c>
      <c r="P60" s="311">
        <f t="shared" si="18"/>
        <v>123</v>
      </c>
      <c r="Q60" s="335" t="s">
        <v>9634</v>
      </c>
      <c r="R60" s="376" t="s">
        <v>9635</v>
      </c>
      <c r="S60" s="334" t="s">
        <v>6943</v>
      </c>
      <c r="T60" s="377" t="s">
        <v>9636</v>
      </c>
      <c r="U60" s="258"/>
      <c r="V60" s="328" t="s">
        <v>116</v>
      </c>
      <c r="W60" s="311" t="str">
        <f>IFERROR(VLOOKUP(V60,Listas!$A$1:$C$14,2,FALSE),"")</f>
        <v>FREDY CÉSPEDES VILLA</v>
      </c>
      <c r="X60" s="311">
        <f>IFERROR(VLOOKUP(V60,Listas!$A$1:$C$14,3,FALSE),"")</f>
        <v>93363483</v>
      </c>
      <c r="Y60" s="328" t="s">
        <v>116</v>
      </c>
      <c r="Z60" s="328" t="s">
        <v>659</v>
      </c>
      <c r="AA60" s="311" t="str">
        <f>IFERROR(VLOOKUP(Z60,Listas!$AD$1:$AF$65,2,FALSE),"")</f>
        <v>TATIANA FORERO TORRES</v>
      </c>
      <c r="AB60" s="311">
        <f>IFERROR(VLOOKUP(Z60,Listas!$AD$1:$AF$65,3,FALSE),"")</f>
        <v>1072446921</v>
      </c>
      <c r="AC60" s="328" t="s">
        <v>9238</v>
      </c>
      <c r="AD60" s="328" t="s">
        <v>367</v>
      </c>
      <c r="AE60" s="328" t="s">
        <v>121</v>
      </c>
      <c r="AF60" s="259"/>
      <c r="AG60" s="256"/>
      <c r="AH60" s="259"/>
      <c r="AI60" s="257"/>
      <c r="AJ60" s="259"/>
      <c r="AK60" s="257"/>
      <c r="AL60" s="311">
        <f t="shared" si="19"/>
        <v>0</v>
      </c>
      <c r="AM60" s="260"/>
      <c r="AN60" s="259"/>
      <c r="AO60" s="378">
        <f t="shared" si="20"/>
        <v>123</v>
      </c>
      <c r="AP60" s="379">
        <f t="shared" si="21"/>
        <v>45342</v>
      </c>
      <c r="AQ60" s="259"/>
      <c r="AR60" s="257"/>
      <c r="AS60" s="259"/>
      <c r="AT60" s="257"/>
      <c r="AU60" s="259"/>
      <c r="AV60" s="257"/>
      <c r="AW60" s="259"/>
      <c r="AX60" s="257"/>
      <c r="AY60" s="259"/>
      <c r="AZ60" s="258"/>
      <c r="BA60" s="258"/>
      <c r="BB60" s="258"/>
      <c r="BC60" s="261"/>
      <c r="BD60" s="259"/>
      <c r="BE60" s="258"/>
      <c r="BF60" s="258"/>
      <c r="BG60" s="258"/>
      <c r="BH60" s="257"/>
      <c r="BI60" s="259"/>
      <c r="BJ60" s="258"/>
      <c r="BK60" s="258"/>
      <c r="BL60" s="258"/>
      <c r="BM60" s="257"/>
      <c r="BN60" s="380">
        <f t="shared" si="13"/>
        <v>0</v>
      </c>
      <c r="BO60" s="27"/>
      <c r="BP60" s="24"/>
      <c r="BQ60" s="24"/>
      <c r="BR60" s="16"/>
      <c r="BS60" s="330" t="s">
        <v>9637</v>
      </c>
      <c r="BT60" s="331" t="s">
        <v>9638</v>
      </c>
      <c r="BU60" s="332" t="s">
        <v>9638</v>
      </c>
      <c r="BV60" s="325">
        <f t="shared" ca="1" si="22"/>
        <v>1</v>
      </c>
      <c r="BW60" s="325">
        <v>1</v>
      </c>
      <c r="BX60" s="327" t="str">
        <f t="shared" si="23"/>
        <v/>
      </c>
      <c r="BY60" s="326" t="str">
        <f>IFERROR((#REF!/BS60)*100,"")</f>
        <v/>
      </c>
      <c r="BZ60" s="387">
        <v>45652</v>
      </c>
      <c r="CA60" s="382" t="str">
        <f t="shared" ca="1" si="15"/>
        <v>LIQUIDADO</v>
      </c>
      <c r="CB60" s="257"/>
    </row>
    <row r="61" spans="1:80" s="265" customFormat="1" ht="39.75" customHeight="1">
      <c r="A61" s="388" t="s">
        <v>9639</v>
      </c>
      <c r="B61" s="328" t="s">
        <v>104</v>
      </c>
      <c r="C61" s="371" t="s">
        <v>9640</v>
      </c>
      <c r="D61" s="328" t="s">
        <v>106</v>
      </c>
      <c r="E61" s="328" t="s">
        <v>1426</v>
      </c>
      <c r="F61" s="328" t="s">
        <v>1427</v>
      </c>
      <c r="G61" s="372" t="s">
        <v>8746</v>
      </c>
      <c r="H61" s="384" t="s">
        <v>9641</v>
      </c>
      <c r="I61" s="335" t="s">
        <v>9642</v>
      </c>
      <c r="J61" s="385">
        <v>91489161</v>
      </c>
      <c r="K61" s="333" t="s">
        <v>9643</v>
      </c>
      <c r="L61" s="257"/>
      <c r="M61" s="374">
        <v>44557</v>
      </c>
      <c r="N61" s="386">
        <v>44566</v>
      </c>
      <c r="O61" s="386">
        <v>44926</v>
      </c>
      <c r="P61" s="311">
        <f t="shared" si="18"/>
        <v>360</v>
      </c>
      <c r="Q61" s="335" t="s">
        <v>9644</v>
      </c>
      <c r="R61" s="376" t="s">
        <v>9645</v>
      </c>
      <c r="S61" s="334" t="s">
        <v>6806</v>
      </c>
      <c r="T61" s="377" t="s">
        <v>9646</v>
      </c>
      <c r="U61" s="258"/>
      <c r="V61" s="328" t="s">
        <v>116</v>
      </c>
      <c r="W61" s="311" t="str">
        <f>IFERROR(VLOOKUP(V61,Listas!$A$1:$C$14,2,FALSE),"")</f>
        <v>FREDY CÉSPEDES VILLA</v>
      </c>
      <c r="X61" s="311">
        <f>IFERROR(VLOOKUP(V61,Listas!$A$1:$C$14,3,FALSE),"")</f>
        <v>93363483</v>
      </c>
      <c r="Y61" s="328" t="s">
        <v>816</v>
      </c>
      <c r="Z61" s="328" t="s">
        <v>2577</v>
      </c>
      <c r="AA61" s="311" t="str">
        <f>IFERROR(VLOOKUP(Z61,Listas!$AD$1:$AF$65,2,FALSE),"")</f>
        <v>VICTOR RAUL BAUTISTA GALINDO</v>
      </c>
      <c r="AB61" s="311">
        <f>IFERROR(VLOOKUP(Z61,Listas!$AD$1:$AF$65,3,FALSE),"")</f>
        <v>79352968</v>
      </c>
      <c r="AC61" s="328" t="s">
        <v>9238</v>
      </c>
      <c r="AD61" s="328" t="s">
        <v>367</v>
      </c>
      <c r="AE61" s="328" t="s">
        <v>121</v>
      </c>
      <c r="AF61" s="259"/>
      <c r="AG61" s="256"/>
      <c r="AH61" s="259"/>
      <c r="AI61" s="257"/>
      <c r="AJ61" s="259"/>
      <c r="AK61" s="257"/>
      <c r="AL61" s="311">
        <f t="shared" si="19"/>
        <v>0</v>
      </c>
      <c r="AM61" s="260"/>
      <c r="AN61" s="259"/>
      <c r="AO61" s="378">
        <f t="shared" si="20"/>
        <v>360</v>
      </c>
      <c r="AP61" s="379">
        <f t="shared" si="21"/>
        <v>44926</v>
      </c>
      <c r="AQ61" s="259"/>
      <c r="AR61" s="257"/>
      <c r="AS61" s="259"/>
      <c r="AT61" s="257"/>
      <c r="AU61" s="259"/>
      <c r="AV61" s="257"/>
      <c r="AW61" s="259"/>
      <c r="AX61" s="257"/>
      <c r="AY61" s="259"/>
      <c r="AZ61" s="258"/>
      <c r="BA61" s="258"/>
      <c r="BB61" s="258"/>
      <c r="BC61" s="261"/>
      <c r="BD61" s="259"/>
      <c r="BE61" s="258"/>
      <c r="BF61" s="258"/>
      <c r="BG61" s="258"/>
      <c r="BH61" s="257"/>
      <c r="BI61" s="259"/>
      <c r="BJ61" s="258"/>
      <c r="BK61" s="258"/>
      <c r="BL61" s="258"/>
      <c r="BM61" s="257"/>
      <c r="BN61" s="380">
        <f t="shared" si="13"/>
        <v>0</v>
      </c>
      <c r="BO61" s="27"/>
      <c r="BP61" s="24"/>
      <c r="BQ61" s="24"/>
      <c r="BR61" s="16"/>
      <c r="BS61" s="330" t="s">
        <v>9647</v>
      </c>
      <c r="BT61" s="331" t="s">
        <v>9648</v>
      </c>
      <c r="BU61" s="332" t="s">
        <v>9648</v>
      </c>
      <c r="BV61" s="325">
        <f t="shared" ca="1" si="22"/>
        <v>1</v>
      </c>
      <c r="BW61" s="325">
        <v>1</v>
      </c>
      <c r="BX61" s="327" t="str">
        <f t="shared" si="23"/>
        <v/>
      </c>
      <c r="BY61" s="326" t="str">
        <f>IFERROR((#REF!/BS61)*100,"")</f>
        <v/>
      </c>
      <c r="BZ61" s="387">
        <v>45646</v>
      </c>
      <c r="CA61" s="382" t="str">
        <f t="shared" ca="1" si="15"/>
        <v>LIQUIDADO</v>
      </c>
      <c r="CB61" s="257"/>
    </row>
    <row r="62" spans="1:80" s="263" customFormat="1" ht="39.75" customHeight="1">
      <c r="A62" s="389" t="s">
        <v>9649</v>
      </c>
      <c r="B62" s="328" t="s">
        <v>104</v>
      </c>
      <c r="C62" s="371" t="s">
        <v>9650</v>
      </c>
      <c r="D62" s="328" t="s">
        <v>106</v>
      </c>
      <c r="E62" s="328" t="s">
        <v>1426</v>
      </c>
      <c r="F62" s="328" t="s">
        <v>1427</v>
      </c>
      <c r="G62" s="372" t="s">
        <v>4531</v>
      </c>
      <c r="H62" s="315" t="s">
        <v>4532</v>
      </c>
      <c r="I62" s="335" t="s">
        <v>9651</v>
      </c>
      <c r="J62" s="385">
        <v>52056284</v>
      </c>
      <c r="K62" s="333" t="s">
        <v>9652</v>
      </c>
      <c r="L62" s="257"/>
      <c r="M62" s="374">
        <v>44523</v>
      </c>
      <c r="N62" s="390">
        <v>44526</v>
      </c>
      <c r="O62" s="390">
        <v>44917</v>
      </c>
      <c r="P62" s="311">
        <f t="shared" si="18"/>
        <v>391</v>
      </c>
      <c r="Q62" s="335" t="s">
        <v>9653</v>
      </c>
      <c r="R62" s="376" t="s">
        <v>9654</v>
      </c>
      <c r="S62" s="334" t="s">
        <v>3076</v>
      </c>
      <c r="T62" s="377" t="s">
        <v>9655</v>
      </c>
      <c r="U62" s="258"/>
      <c r="V62" s="328" t="s">
        <v>116</v>
      </c>
      <c r="W62" s="311" t="str">
        <f>IFERROR(VLOOKUP(V62,Listas!$A$1:$C$14,2,FALSE),"")</f>
        <v>FREDY CÉSPEDES VILLA</v>
      </c>
      <c r="X62" s="311">
        <f>IFERROR(VLOOKUP(V62,Listas!$A$1:$C$14,3,FALSE),"")</f>
        <v>93363483</v>
      </c>
      <c r="Y62" s="328" t="s">
        <v>816</v>
      </c>
      <c r="Z62" s="328" t="s">
        <v>2577</v>
      </c>
      <c r="AA62" s="311" t="str">
        <f>IFERROR(VLOOKUP(Z62,Listas!$AD$1:$AF$65,2,FALSE),"")</f>
        <v>VICTOR RAUL BAUTISTA GALINDO</v>
      </c>
      <c r="AB62" s="311">
        <f>IFERROR(VLOOKUP(Z62,Listas!$AD$1:$AF$65,3,FALSE),"")</f>
        <v>79352968</v>
      </c>
      <c r="AC62" s="328" t="s">
        <v>9228</v>
      </c>
      <c r="AD62" s="328" t="s">
        <v>515</v>
      </c>
      <c r="AE62" s="328" t="s">
        <v>121</v>
      </c>
      <c r="AF62" s="259"/>
      <c r="AG62" s="256"/>
      <c r="AH62" s="259"/>
      <c r="AI62" s="257"/>
      <c r="AJ62" s="259"/>
      <c r="AK62" s="257"/>
      <c r="AL62" s="312">
        <f t="shared" si="19"/>
        <v>0</v>
      </c>
      <c r="AM62" s="260"/>
      <c r="AN62" s="259"/>
      <c r="AO62" s="313">
        <f t="shared" si="20"/>
        <v>391</v>
      </c>
      <c r="AP62" s="314">
        <f t="shared" si="21"/>
        <v>44917</v>
      </c>
      <c r="AQ62" s="259"/>
      <c r="AR62" s="257"/>
      <c r="AS62" s="259"/>
      <c r="AT62" s="257"/>
      <c r="AU62" s="259"/>
      <c r="AV62" s="257"/>
      <c r="AW62" s="259"/>
      <c r="AX62" s="257"/>
      <c r="AY62" s="259"/>
      <c r="AZ62" s="258"/>
      <c r="BA62" s="258"/>
      <c r="BB62" s="258"/>
      <c r="BC62" s="261"/>
      <c r="BD62" s="259"/>
      <c r="BE62" s="258"/>
      <c r="BF62" s="258"/>
      <c r="BG62" s="258"/>
      <c r="BH62" s="257"/>
      <c r="BI62" s="259"/>
      <c r="BJ62" s="258"/>
      <c r="BK62" s="258"/>
      <c r="BL62" s="258"/>
      <c r="BM62" s="257"/>
      <c r="BN62" s="264">
        <f t="shared" si="13"/>
        <v>0</v>
      </c>
      <c r="BO62" s="27"/>
      <c r="BP62" s="24"/>
      <c r="BQ62" s="24"/>
      <c r="BR62" s="16"/>
      <c r="BS62" s="330" t="s">
        <v>9655</v>
      </c>
      <c r="BT62" s="331" t="s">
        <v>9655</v>
      </c>
      <c r="BU62" s="332" t="s">
        <v>9655</v>
      </c>
      <c r="BV62" s="325">
        <f t="shared" ca="1" si="22"/>
        <v>1</v>
      </c>
      <c r="BW62" s="325">
        <v>1</v>
      </c>
      <c r="BX62" s="327" t="str">
        <f t="shared" si="23"/>
        <v/>
      </c>
      <c r="BY62" s="326" t="str">
        <f t="shared" si="24"/>
        <v/>
      </c>
      <c r="BZ62" s="387">
        <v>45638</v>
      </c>
      <c r="CA62" s="324" t="str">
        <f t="shared" ca="1" si="15"/>
        <v>LIQUIDADO</v>
      </c>
      <c r="CB62" s="257"/>
    </row>
    <row r="63" spans="1:80" s="263" customFormat="1" ht="39.75" customHeight="1">
      <c r="A63" s="388" t="s">
        <v>9656</v>
      </c>
      <c r="B63" s="328" t="s">
        <v>104</v>
      </c>
      <c r="C63" s="371" t="s">
        <v>9657</v>
      </c>
      <c r="D63" s="328" t="s">
        <v>106</v>
      </c>
      <c r="E63" s="328" t="s">
        <v>1426</v>
      </c>
      <c r="F63" s="328" t="s">
        <v>1427</v>
      </c>
      <c r="G63" s="372" t="s">
        <v>6160</v>
      </c>
      <c r="H63" s="316" t="s">
        <v>6161</v>
      </c>
      <c r="I63" s="335" t="s">
        <v>6162</v>
      </c>
      <c r="J63" s="385">
        <v>32812089</v>
      </c>
      <c r="K63" s="333" t="s">
        <v>6163</v>
      </c>
      <c r="L63" s="257"/>
      <c r="M63" s="374">
        <v>45063</v>
      </c>
      <c r="N63" s="390">
        <v>45071</v>
      </c>
      <c r="O63" s="390">
        <v>45290</v>
      </c>
      <c r="P63" s="311">
        <f t="shared" si="18"/>
        <v>219</v>
      </c>
      <c r="Q63" s="335" t="s">
        <v>9658</v>
      </c>
      <c r="R63" s="376" t="s">
        <v>9659</v>
      </c>
      <c r="S63" s="334" t="s">
        <v>6166</v>
      </c>
      <c r="T63" s="377" t="s">
        <v>9660</v>
      </c>
      <c r="U63" s="258"/>
      <c r="V63" s="328" t="s">
        <v>116</v>
      </c>
      <c r="W63" s="311" t="str">
        <f>IFERROR(VLOOKUP(V63,Listas!$A$1:$C$14,2,FALSE),"")</f>
        <v>FREDY CÉSPEDES VILLA</v>
      </c>
      <c r="X63" s="311">
        <f>IFERROR(VLOOKUP(V63,Listas!$A$1:$C$14,3,FALSE),"")</f>
        <v>93363483</v>
      </c>
      <c r="Y63" s="328" t="s">
        <v>406</v>
      </c>
      <c r="Z63" s="328" t="s">
        <v>407</v>
      </c>
      <c r="AA63" s="311" t="str">
        <f>IFERROR(VLOOKUP(Z63,Listas!$AD$1:$AF$65,2,FALSE),"")</f>
        <v>MARÍA VICTORIA CAMARGO CORTÉS</v>
      </c>
      <c r="AB63" s="311">
        <f>IFERROR(VLOOKUP(Z63,Listas!$AD$1:$AF$65,3,FALSE),"")</f>
        <v>52496497</v>
      </c>
      <c r="AC63" s="328" t="s">
        <v>9261</v>
      </c>
      <c r="AD63" s="328" t="s">
        <v>515</v>
      </c>
      <c r="AE63" s="328" t="s">
        <v>121</v>
      </c>
      <c r="AF63" s="259"/>
      <c r="AG63" s="256"/>
      <c r="AH63" s="259"/>
      <c r="AI63" s="257"/>
      <c r="AJ63" s="259"/>
      <c r="AK63" s="257"/>
      <c r="AL63" s="312">
        <f t="shared" si="19"/>
        <v>0</v>
      </c>
      <c r="AM63" s="260"/>
      <c r="AN63" s="259"/>
      <c r="AO63" s="313">
        <f t="shared" si="20"/>
        <v>219</v>
      </c>
      <c r="AP63" s="314">
        <f t="shared" si="21"/>
        <v>45290</v>
      </c>
      <c r="AQ63" s="259"/>
      <c r="AR63" s="257"/>
      <c r="AS63" s="259"/>
      <c r="AT63" s="257"/>
      <c r="AU63" s="259"/>
      <c r="AV63" s="257"/>
      <c r="AW63" s="259"/>
      <c r="AX63" s="257"/>
      <c r="AY63" s="259"/>
      <c r="AZ63" s="258"/>
      <c r="BA63" s="258"/>
      <c r="BB63" s="258"/>
      <c r="BC63" s="261"/>
      <c r="BD63" s="259"/>
      <c r="BE63" s="258"/>
      <c r="BF63" s="258"/>
      <c r="BG63" s="258"/>
      <c r="BH63" s="257"/>
      <c r="BI63" s="259"/>
      <c r="BJ63" s="258"/>
      <c r="BK63" s="258"/>
      <c r="BL63" s="258"/>
      <c r="BM63" s="257"/>
      <c r="BN63" s="264">
        <f t="shared" si="13"/>
        <v>0</v>
      </c>
      <c r="BO63" s="27"/>
      <c r="BP63" s="24"/>
      <c r="BQ63" s="24"/>
      <c r="BR63" s="16"/>
      <c r="BS63" s="330" t="s">
        <v>9660</v>
      </c>
      <c r="BT63" s="331" t="s">
        <v>9660</v>
      </c>
      <c r="BU63" s="332" t="s">
        <v>9660</v>
      </c>
      <c r="BV63" s="325">
        <f t="shared" ca="1" si="22"/>
        <v>1</v>
      </c>
      <c r="BW63" s="325">
        <v>1</v>
      </c>
      <c r="BX63" s="327" t="str">
        <f t="shared" si="23"/>
        <v/>
      </c>
      <c r="BY63" s="326" t="str">
        <f t="shared" si="24"/>
        <v/>
      </c>
      <c r="BZ63" s="387">
        <v>45636</v>
      </c>
      <c r="CA63" s="324" t="str">
        <f t="shared" ca="1" si="15"/>
        <v>LIQUIDADO</v>
      </c>
      <c r="CB63" s="257"/>
    </row>
    <row r="64" spans="1:80" s="263" customFormat="1" ht="39.75" customHeight="1">
      <c r="A64" s="389" t="s">
        <v>9661</v>
      </c>
      <c r="B64" s="328" t="s">
        <v>104</v>
      </c>
      <c r="C64" s="371" t="s">
        <v>9662</v>
      </c>
      <c r="D64" s="328" t="s">
        <v>106</v>
      </c>
      <c r="E64" s="328" t="s">
        <v>1426</v>
      </c>
      <c r="F64" s="328" t="s">
        <v>1427</v>
      </c>
      <c r="G64" s="372" t="s">
        <v>9663</v>
      </c>
      <c r="H64" s="317" t="s">
        <v>9664</v>
      </c>
      <c r="I64" s="335" t="s">
        <v>9665</v>
      </c>
      <c r="J64" s="385">
        <v>70810230</v>
      </c>
      <c r="K64" s="333" t="s">
        <v>9666</v>
      </c>
      <c r="L64" s="257"/>
      <c r="M64" s="374">
        <v>44566</v>
      </c>
      <c r="N64" s="391">
        <v>44578</v>
      </c>
      <c r="O64" s="391">
        <v>44926</v>
      </c>
      <c r="P64" s="311">
        <f t="shared" ref="P64:P65" si="26">O64-N64</f>
        <v>348</v>
      </c>
      <c r="Q64" s="335" t="s">
        <v>9667</v>
      </c>
      <c r="R64" s="376" t="s">
        <v>9668</v>
      </c>
      <c r="S64" s="334" t="s">
        <v>2812</v>
      </c>
      <c r="T64" s="377" t="s">
        <v>9669</v>
      </c>
      <c r="U64" s="258"/>
      <c r="V64" s="328" t="s">
        <v>116</v>
      </c>
      <c r="W64" s="311" t="str">
        <f>IFERROR(VLOOKUP(V64,Listas!$A$1:$C$14,2,FALSE),"")</f>
        <v>FREDY CÉSPEDES VILLA</v>
      </c>
      <c r="X64" s="311">
        <f>IFERROR(VLOOKUP(V64,Listas!$A$1:$C$14,3,FALSE),"")</f>
        <v>93363483</v>
      </c>
      <c r="Y64" s="328" t="s">
        <v>816</v>
      </c>
      <c r="Z64" s="328" t="s">
        <v>2835</v>
      </c>
      <c r="AA64" s="311" t="str">
        <f>IFERROR(VLOOKUP(Z64,Listas!$AD$1:$AF$65,2,FALSE),"")</f>
        <v>GUILLERMO ANDRES CARDONA HERRERA</v>
      </c>
      <c r="AB64" s="311">
        <f>IFERROR(VLOOKUP(Z64,Listas!$AD$1:$AF$65,3,FALSE),"")</f>
        <v>80018909</v>
      </c>
      <c r="AC64" s="328" t="s">
        <v>9228</v>
      </c>
      <c r="AD64" s="328" t="s">
        <v>347</v>
      </c>
      <c r="AE64" s="328" t="s">
        <v>121</v>
      </c>
      <c r="AF64" s="259"/>
      <c r="AG64" s="256"/>
      <c r="AH64" s="259"/>
      <c r="AI64" s="257"/>
      <c r="AJ64" s="259"/>
      <c r="AK64" s="257"/>
      <c r="AL64" s="312">
        <f t="shared" ref="AL64:AL65" si="27">AG64+AI64+AK64</f>
        <v>0</v>
      </c>
      <c r="AM64" s="260"/>
      <c r="AN64" s="259"/>
      <c r="AO64" s="313">
        <f t="shared" ref="AO64:AO65" si="28">(P64+AL64)-AM64</f>
        <v>348</v>
      </c>
      <c r="AP64" s="314">
        <f t="shared" ref="AP64:AP65" si="29">IF(AN64="",O64+AL64,AN64)</f>
        <v>44926</v>
      </c>
      <c r="AQ64" s="259"/>
      <c r="AR64" s="257"/>
      <c r="AS64" s="259"/>
      <c r="AT64" s="257"/>
      <c r="AU64" s="259"/>
      <c r="AV64" s="257"/>
      <c r="AW64" s="259"/>
      <c r="AX64" s="257"/>
      <c r="AY64" s="259"/>
      <c r="AZ64" s="258"/>
      <c r="BA64" s="258"/>
      <c r="BB64" s="258"/>
      <c r="BC64" s="261"/>
      <c r="BD64" s="259"/>
      <c r="BE64" s="258"/>
      <c r="BF64" s="258"/>
      <c r="BG64" s="258"/>
      <c r="BH64" s="257"/>
      <c r="BI64" s="259"/>
      <c r="BJ64" s="258"/>
      <c r="BK64" s="258"/>
      <c r="BL64" s="258"/>
      <c r="BM64" s="257"/>
      <c r="BN64" s="264">
        <f t="shared" si="13"/>
        <v>0</v>
      </c>
      <c r="BO64" s="27"/>
      <c r="BP64" s="24"/>
      <c r="BQ64" s="24"/>
      <c r="BR64" s="16"/>
      <c r="BS64" s="330" t="s">
        <v>9670</v>
      </c>
      <c r="BT64" s="331" t="s">
        <v>9670</v>
      </c>
      <c r="BU64" s="332" t="s">
        <v>9670</v>
      </c>
      <c r="BV64" s="325">
        <f t="shared" ref="BV64:BV65" ca="1" si="30">IF(TODAY()&gt;AP64,1,+(DAYS360(N64,TODAY())/DAYS360(N64,AP64)))</f>
        <v>1</v>
      </c>
      <c r="BW64" s="325">
        <v>1</v>
      </c>
      <c r="BX64" s="327" t="str">
        <f t="shared" ref="BX64:BX65" si="31">IFERROR(IF(((BU64/BS64)*100)&gt;100,100,((BU64/BS64)*100)),"")</f>
        <v/>
      </c>
      <c r="BY64" s="326" t="str">
        <f t="shared" ref="BY64:BY65" si="32">IFERROR((BT64/BS64)*100,"")</f>
        <v/>
      </c>
      <c r="BZ64" s="321">
        <v>45635</v>
      </c>
      <c r="CA64" s="324" t="str">
        <f t="shared" ca="1" si="15"/>
        <v>LIQUIDADO</v>
      </c>
      <c r="CB64" s="257"/>
    </row>
    <row r="65" spans="1:80" s="263" customFormat="1" ht="135">
      <c r="A65" s="392" t="s">
        <v>9671</v>
      </c>
      <c r="B65" s="328" t="s">
        <v>104</v>
      </c>
      <c r="C65" s="371" t="s">
        <v>9672</v>
      </c>
      <c r="D65" s="328" t="s">
        <v>106</v>
      </c>
      <c r="E65" s="328" t="s">
        <v>1426</v>
      </c>
      <c r="F65" s="328" t="s">
        <v>1427</v>
      </c>
      <c r="G65" s="372" t="s">
        <v>9673</v>
      </c>
      <c r="H65" s="317" t="s">
        <v>9674</v>
      </c>
      <c r="I65" s="335" t="s">
        <v>9675</v>
      </c>
      <c r="J65" s="385">
        <v>79819990</v>
      </c>
      <c r="K65" s="333" t="s">
        <v>9676</v>
      </c>
      <c r="L65" s="257"/>
      <c r="M65" s="374">
        <v>44474</v>
      </c>
      <c r="N65" s="393">
        <v>44480</v>
      </c>
      <c r="O65" s="393">
        <v>44996</v>
      </c>
      <c r="P65" s="311">
        <f t="shared" si="26"/>
        <v>516</v>
      </c>
      <c r="Q65" s="335" t="s">
        <v>9677</v>
      </c>
      <c r="R65" s="376" t="s">
        <v>9678</v>
      </c>
      <c r="S65" s="334" t="s">
        <v>9679</v>
      </c>
      <c r="T65" s="377" t="s">
        <v>9680</v>
      </c>
      <c r="U65" s="258"/>
      <c r="V65" s="328" t="s">
        <v>116</v>
      </c>
      <c r="W65" s="311" t="str">
        <f>IFERROR(VLOOKUP(V65,Listas!$A$1:$C$14,2,FALSE),"")</f>
        <v>FREDY CÉSPEDES VILLA</v>
      </c>
      <c r="X65" s="311">
        <f>IFERROR(VLOOKUP(V65,Listas!$A$1:$C$14,3,FALSE),"")</f>
        <v>93363483</v>
      </c>
      <c r="Y65" s="328" t="s">
        <v>816</v>
      </c>
      <c r="Z65" s="328" t="s">
        <v>6614</v>
      </c>
      <c r="AA65" s="311" t="str">
        <f>IFERROR(VLOOKUP(Z65,Listas!$AD$1:$AF$65,2,FALSE),"")</f>
        <v>VICTOR RAUL BAUTISTA GALINDO</v>
      </c>
      <c r="AB65" s="311">
        <f>IFERROR(VLOOKUP(Z65,Listas!$AD$1:$AF$65,3,FALSE),"")</f>
        <v>79352968</v>
      </c>
      <c r="AC65" s="328" t="s">
        <v>9238</v>
      </c>
      <c r="AD65" s="328" t="s">
        <v>347</v>
      </c>
      <c r="AE65" s="328" t="s">
        <v>121</v>
      </c>
      <c r="AF65" s="259"/>
      <c r="AG65" s="256"/>
      <c r="AH65" s="259"/>
      <c r="AI65" s="257"/>
      <c r="AJ65" s="259"/>
      <c r="AK65" s="257"/>
      <c r="AL65" s="312">
        <f t="shared" si="27"/>
        <v>0</v>
      </c>
      <c r="AM65" s="260"/>
      <c r="AN65" s="259"/>
      <c r="AO65" s="313">
        <f t="shared" si="28"/>
        <v>516</v>
      </c>
      <c r="AP65" s="314">
        <f t="shared" si="29"/>
        <v>44996</v>
      </c>
      <c r="AQ65" s="259"/>
      <c r="AR65" s="257"/>
      <c r="AS65" s="259"/>
      <c r="AT65" s="257"/>
      <c r="AU65" s="259"/>
      <c r="AV65" s="257"/>
      <c r="AW65" s="259"/>
      <c r="AX65" s="257"/>
      <c r="AY65" s="259"/>
      <c r="AZ65" s="258"/>
      <c r="BA65" s="258"/>
      <c r="BB65" s="258"/>
      <c r="BC65" s="261"/>
      <c r="BD65" s="259"/>
      <c r="BE65" s="258"/>
      <c r="BF65" s="258"/>
      <c r="BG65" s="258"/>
      <c r="BH65" s="257"/>
      <c r="BI65" s="259"/>
      <c r="BJ65" s="258"/>
      <c r="BK65" s="258"/>
      <c r="BL65" s="258"/>
      <c r="BM65" s="257"/>
      <c r="BN65" s="264">
        <f t="shared" si="13"/>
        <v>0</v>
      </c>
      <c r="BO65" s="27"/>
      <c r="BP65" s="24"/>
      <c r="BQ65" s="24"/>
      <c r="BR65" s="16"/>
      <c r="BS65" s="330" t="s">
        <v>9681</v>
      </c>
      <c r="BT65" s="331" t="s">
        <v>9681</v>
      </c>
      <c r="BU65" s="332" t="s">
        <v>9681</v>
      </c>
      <c r="BV65" s="325">
        <f t="shared" ca="1" si="30"/>
        <v>1</v>
      </c>
      <c r="BW65" s="325">
        <v>1</v>
      </c>
      <c r="BX65" s="327" t="str">
        <f t="shared" si="31"/>
        <v/>
      </c>
      <c r="BY65" s="326" t="str">
        <f t="shared" si="32"/>
        <v/>
      </c>
      <c r="BZ65" s="322">
        <v>45636</v>
      </c>
      <c r="CA65" s="324" t="str">
        <f t="shared" ca="1" si="15"/>
        <v>LIQUIDADO</v>
      </c>
      <c r="CB65" s="257"/>
    </row>
    <row r="66" spans="1:80" s="263" customFormat="1" ht="105">
      <c r="A66" s="392" t="s">
        <v>9682</v>
      </c>
      <c r="B66" s="328" t="s">
        <v>6292</v>
      </c>
      <c r="C66" s="371" t="s">
        <v>1424</v>
      </c>
      <c r="D66" s="328" t="s">
        <v>106</v>
      </c>
      <c r="E66" s="328" t="s">
        <v>1426</v>
      </c>
      <c r="F66" s="328" t="s">
        <v>1427</v>
      </c>
      <c r="G66" s="372"/>
      <c r="H66" s="318" t="s">
        <v>9683</v>
      </c>
      <c r="I66" s="335" t="s">
        <v>9684</v>
      </c>
      <c r="J66" s="385"/>
      <c r="K66" s="333" t="s">
        <v>9685</v>
      </c>
      <c r="L66" s="257"/>
      <c r="M66" s="374">
        <v>44484</v>
      </c>
      <c r="N66" s="393">
        <v>44484</v>
      </c>
      <c r="O66" s="393">
        <v>44772</v>
      </c>
      <c r="P66" s="311">
        <f t="shared" ref="P66:P129" si="33">O66-N66</f>
        <v>288</v>
      </c>
      <c r="Q66" s="335" t="s">
        <v>1424</v>
      </c>
      <c r="R66" s="334" t="s">
        <v>1424</v>
      </c>
      <c r="S66" s="335" t="s">
        <v>1424</v>
      </c>
      <c r="T66" s="377">
        <v>0</v>
      </c>
      <c r="U66" s="258"/>
      <c r="V66" s="328" t="s">
        <v>116</v>
      </c>
      <c r="W66" s="311" t="str">
        <f>IFERROR(VLOOKUP(V66,Listas!$A$1:$C$14,2,FALSE),"")</f>
        <v>FREDY CÉSPEDES VILLA</v>
      </c>
      <c r="X66" s="311">
        <f>IFERROR(VLOOKUP(V66,Listas!$A$1:$C$14,3,FALSE),"")</f>
        <v>93363483</v>
      </c>
      <c r="Y66" s="328" t="s">
        <v>116</v>
      </c>
      <c r="Z66" s="328" t="s">
        <v>743</v>
      </c>
      <c r="AA66" s="311" t="str">
        <f>IFERROR(VLOOKUP(Z66,Listas!$AD$1:$AF$65,2,FALSE),"")</f>
        <v>FREDY CÉSPEDES VILLA</v>
      </c>
      <c r="AB66" s="311">
        <f>IFERROR(VLOOKUP(Z66,Listas!$AD$1:$AF$65,3,FALSE),"")</f>
        <v>93363483</v>
      </c>
      <c r="AC66" s="328" t="s">
        <v>9228</v>
      </c>
      <c r="AD66" s="328" t="s">
        <v>347</v>
      </c>
      <c r="AE66" s="328" t="s">
        <v>121</v>
      </c>
      <c r="AF66" s="259"/>
      <c r="AG66" s="256"/>
      <c r="AH66" s="259"/>
      <c r="AI66" s="257"/>
      <c r="AJ66" s="259"/>
      <c r="AK66" s="257"/>
      <c r="AL66" s="312">
        <f t="shared" ref="AL66:AL129" si="34">AG66+AI66+AK66</f>
        <v>0</v>
      </c>
      <c r="AM66" s="260"/>
      <c r="AN66" s="259"/>
      <c r="AO66" s="313">
        <f t="shared" ref="AO66:AO129" si="35">(P66+AL66)-AM66</f>
        <v>288</v>
      </c>
      <c r="AP66" s="314">
        <f t="shared" ref="AP66:AP129" si="36">IF(AN66="",O66+AL66,AN66)</f>
        <v>44772</v>
      </c>
      <c r="AQ66" s="259"/>
      <c r="AR66" s="257"/>
      <c r="AS66" s="259"/>
      <c r="AT66" s="257"/>
      <c r="AU66" s="259"/>
      <c r="AV66" s="257"/>
      <c r="AW66" s="259"/>
      <c r="AX66" s="257"/>
      <c r="AY66" s="259"/>
      <c r="AZ66" s="258"/>
      <c r="BA66" s="258"/>
      <c r="BB66" s="258"/>
      <c r="BC66" s="261"/>
      <c r="BD66" s="259"/>
      <c r="BE66" s="258"/>
      <c r="BF66" s="258"/>
      <c r="BG66" s="258"/>
      <c r="BH66" s="257"/>
      <c r="BI66" s="259"/>
      <c r="BJ66" s="258"/>
      <c r="BK66" s="258"/>
      <c r="BL66" s="258"/>
      <c r="BM66" s="257"/>
      <c r="BN66" s="264">
        <f t="shared" ref="BN66:BN97" si="37">BP66+BJ66+BE66+AZ66</f>
        <v>0</v>
      </c>
      <c r="BO66" s="27"/>
      <c r="BP66" s="24"/>
      <c r="BQ66" s="24"/>
      <c r="BR66" s="16"/>
      <c r="BS66" s="330">
        <v>0</v>
      </c>
      <c r="BT66" s="331">
        <v>0</v>
      </c>
      <c r="BU66" s="332">
        <v>0</v>
      </c>
      <c r="BV66" s="325">
        <f t="shared" ref="BV66:BV129" ca="1" si="38">IF(TODAY()&gt;AP66,1,+(DAYS360(N66,TODAY())/DAYS360(N66,AP66)))</f>
        <v>1</v>
      </c>
      <c r="BW66" s="325">
        <v>1</v>
      </c>
      <c r="BX66" s="327" t="str">
        <f t="shared" ref="BX66:BX129" si="39">IFERROR(IF(((BU66/BS66)*100)&gt;100,100,((BU66/BS66)*100)),"")</f>
        <v/>
      </c>
      <c r="BY66" s="326" t="str">
        <f t="shared" ref="BY66:BY129" si="40">IFERROR((BT66/BS66)*100,"")</f>
        <v/>
      </c>
      <c r="BZ66" s="322">
        <v>45649</v>
      </c>
      <c r="CA66" s="324" t="str">
        <f t="shared" ref="CA66:CA97" ca="1" si="41">IF(BZ66&gt;1/1/6,"LIQUIDADO",IF(AP66=0,"",IF(AP66&gt;=TODAY(),"VIGENTE",IF(AP66&lt;TODAY(),"TERMINADO",))))</f>
        <v>LIQUIDADO</v>
      </c>
      <c r="CB66" s="257"/>
    </row>
    <row r="67" spans="1:80" s="263" customFormat="1" ht="120">
      <c r="A67" s="392" t="s">
        <v>9686</v>
      </c>
      <c r="B67" s="328" t="s">
        <v>104</v>
      </c>
      <c r="C67" s="371" t="s">
        <v>9687</v>
      </c>
      <c r="D67" s="328" t="s">
        <v>8840</v>
      </c>
      <c r="E67" s="328" t="s">
        <v>1426</v>
      </c>
      <c r="F67" s="328" t="s">
        <v>1427</v>
      </c>
      <c r="G67" s="372" t="s">
        <v>9688</v>
      </c>
      <c r="H67" s="319" t="s">
        <v>9689</v>
      </c>
      <c r="I67" s="335" t="s">
        <v>9690</v>
      </c>
      <c r="J67" s="385">
        <v>16784854</v>
      </c>
      <c r="K67" s="333" t="s">
        <v>9691</v>
      </c>
      <c r="L67" s="257"/>
      <c r="M67" s="374">
        <v>45107</v>
      </c>
      <c r="N67" s="393">
        <v>45120</v>
      </c>
      <c r="O67" s="393">
        <v>45289</v>
      </c>
      <c r="P67" s="311">
        <f t="shared" si="33"/>
        <v>169</v>
      </c>
      <c r="Q67" s="335" t="s">
        <v>9692</v>
      </c>
      <c r="R67" s="376" t="s">
        <v>9693</v>
      </c>
      <c r="S67" s="334" t="s">
        <v>4639</v>
      </c>
      <c r="T67" s="377" t="s">
        <v>9694</v>
      </c>
      <c r="U67" s="258"/>
      <c r="V67" s="328" t="s">
        <v>116</v>
      </c>
      <c r="W67" s="311" t="str">
        <f>IFERROR(VLOOKUP(V67,Listas!$A$1:$C$14,2,FALSE),"")</f>
        <v>FREDY CÉSPEDES VILLA</v>
      </c>
      <c r="X67" s="311">
        <f>IFERROR(VLOOKUP(V67,Listas!$A$1:$C$14,3,FALSE),"")</f>
        <v>93363483</v>
      </c>
      <c r="Y67" s="328" t="s">
        <v>116</v>
      </c>
      <c r="Z67" s="328" t="s">
        <v>659</v>
      </c>
      <c r="AA67" s="311" t="str">
        <f>IFERROR(VLOOKUP(Z67,Listas!$AD$1:$AF$65,2,FALSE),"")</f>
        <v>TATIANA FORERO TORRES</v>
      </c>
      <c r="AB67" s="311">
        <f>IFERROR(VLOOKUP(Z67,Listas!$AD$1:$AF$65,3,FALSE),"")</f>
        <v>1072446921</v>
      </c>
      <c r="AC67" s="328" t="s">
        <v>9228</v>
      </c>
      <c r="AD67" s="328" t="s">
        <v>347</v>
      </c>
      <c r="AE67" s="328" t="s">
        <v>121</v>
      </c>
      <c r="AF67" s="259"/>
      <c r="AG67" s="256"/>
      <c r="AH67" s="259"/>
      <c r="AI67" s="257"/>
      <c r="AJ67" s="259"/>
      <c r="AK67" s="257"/>
      <c r="AL67" s="312">
        <f t="shared" si="34"/>
        <v>0</v>
      </c>
      <c r="AM67" s="260"/>
      <c r="AN67" s="259"/>
      <c r="AO67" s="313">
        <f t="shared" si="35"/>
        <v>169</v>
      </c>
      <c r="AP67" s="314">
        <f t="shared" si="36"/>
        <v>45289</v>
      </c>
      <c r="AQ67" s="259"/>
      <c r="AR67" s="257"/>
      <c r="AS67" s="259"/>
      <c r="AT67" s="257"/>
      <c r="AU67" s="259"/>
      <c r="AV67" s="257"/>
      <c r="AW67" s="259"/>
      <c r="AX67" s="257"/>
      <c r="AY67" s="259"/>
      <c r="AZ67" s="258"/>
      <c r="BA67" s="258"/>
      <c r="BB67" s="258"/>
      <c r="BC67" s="261"/>
      <c r="BD67" s="259"/>
      <c r="BE67" s="258"/>
      <c r="BF67" s="258"/>
      <c r="BG67" s="258"/>
      <c r="BH67" s="257"/>
      <c r="BI67" s="259"/>
      <c r="BJ67" s="258"/>
      <c r="BK67" s="258"/>
      <c r="BL67" s="258"/>
      <c r="BM67" s="257"/>
      <c r="BN67" s="264">
        <f t="shared" si="37"/>
        <v>0</v>
      </c>
      <c r="BO67" s="27"/>
      <c r="BP67" s="24"/>
      <c r="BQ67" s="24"/>
      <c r="BR67" s="16"/>
      <c r="BS67" s="330" t="s">
        <v>9695</v>
      </c>
      <c r="BT67" s="331" t="s">
        <v>9695</v>
      </c>
      <c r="BU67" s="332" t="s">
        <v>9695</v>
      </c>
      <c r="BV67" s="325">
        <f t="shared" ca="1" si="38"/>
        <v>1</v>
      </c>
      <c r="BW67" s="325">
        <v>1</v>
      </c>
      <c r="BX67" s="327" t="str">
        <f t="shared" si="39"/>
        <v/>
      </c>
      <c r="BY67" s="326" t="str">
        <f t="shared" si="40"/>
        <v/>
      </c>
      <c r="BZ67" s="322">
        <v>45650</v>
      </c>
      <c r="CA67" s="324" t="str">
        <f t="shared" ca="1" si="41"/>
        <v>LIQUIDADO</v>
      </c>
      <c r="CB67" s="257"/>
    </row>
    <row r="68" spans="1:80" ht="102">
      <c r="A68" s="394" t="s">
        <v>9696</v>
      </c>
      <c r="B68" s="328" t="s">
        <v>104</v>
      </c>
      <c r="C68" s="18" t="s">
        <v>9697</v>
      </c>
      <c r="D68" s="328" t="s">
        <v>106</v>
      </c>
      <c r="E68" s="328" t="s">
        <v>1426</v>
      </c>
      <c r="F68" s="328" t="s">
        <v>1427</v>
      </c>
      <c r="G68" s="372" t="s">
        <v>9698</v>
      </c>
      <c r="H68" s="320" t="s">
        <v>9699</v>
      </c>
      <c r="I68" s="16" t="s">
        <v>9700</v>
      </c>
      <c r="J68" s="385">
        <v>16233218</v>
      </c>
      <c r="K68" s="20" t="s">
        <v>9701</v>
      </c>
      <c r="L68" s="16"/>
      <c r="M68" s="374">
        <v>44195</v>
      </c>
      <c r="N68" s="393">
        <v>44216</v>
      </c>
      <c r="O68" s="393">
        <v>44946</v>
      </c>
      <c r="P68" s="311">
        <f t="shared" si="33"/>
        <v>730</v>
      </c>
      <c r="Q68" s="362" t="s">
        <v>9702</v>
      </c>
      <c r="R68" s="376" t="s">
        <v>9703</v>
      </c>
      <c r="S68" s="334" t="s">
        <v>9704</v>
      </c>
      <c r="T68" s="377">
        <v>178322949</v>
      </c>
      <c r="U68" s="363"/>
      <c r="V68" s="328" t="s">
        <v>116</v>
      </c>
      <c r="W68" s="23" t="str">
        <f>IFERROR(VLOOKUP(V68,Listas!$A$1:$C$14,2,FALSE),"")</f>
        <v>FREDY CÉSPEDES VILLA</v>
      </c>
      <c r="X68" s="23">
        <f>IFERROR(VLOOKUP(V68,Listas!$A$1:$C$14,3,FALSE),"")</f>
        <v>93363483</v>
      </c>
      <c r="Y68" s="328" t="s">
        <v>816</v>
      </c>
      <c r="Z68" s="328" t="s">
        <v>2450</v>
      </c>
      <c r="AA68" s="311" t="str">
        <f>IFERROR(VLOOKUP(Z68,Listas!$AD$1:$AF$65,2,FALSE),"")</f>
        <v>VICTOR MANUEL MONDRAGÓN MACA</v>
      </c>
      <c r="AB68" s="311">
        <f>IFERROR(VLOOKUP(Z68,Listas!$AD$1:$AF$65,3,FALSE),"")</f>
        <v>76322322</v>
      </c>
      <c r="AC68" s="328" t="s">
        <v>9228</v>
      </c>
      <c r="AD68" s="328" t="s">
        <v>347</v>
      </c>
      <c r="AE68" s="328" t="s">
        <v>121</v>
      </c>
      <c r="AF68" s="27"/>
      <c r="AG68" s="19"/>
      <c r="AH68" s="27"/>
      <c r="AI68" s="16"/>
      <c r="AJ68" s="27"/>
      <c r="AK68" s="16"/>
      <c r="AL68" s="28">
        <f t="shared" si="34"/>
        <v>0</v>
      </c>
      <c r="AM68" s="29"/>
      <c r="AN68" s="27"/>
      <c r="AO68" s="30">
        <f t="shared" si="35"/>
        <v>730</v>
      </c>
      <c r="AP68" s="31">
        <f t="shared" si="36"/>
        <v>44946</v>
      </c>
      <c r="AQ68" s="27"/>
      <c r="AR68" s="16"/>
      <c r="AS68" s="27"/>
      <c r="AT68" s="16"/>
      <c r="AU68" s="27"/>
      <c r="AV68" s="16"/>
      <c r="AW68" s="27"/>
      <c r="AX68" s="16"/>
      <c r="AY68" s="27"/>
      <c r="AZ68" s="24"/>
      <c r="BA68" s="24"/>
      <c r="BB68" s="24"/>
      <c r="BC68" s="32"/>
      <c r="BD68" s="27"/>
      <c r="BE68" s="24"/>
      <c r="BF68" s="24"/>
      <c r="BG68" s="24"/>
      <c r="BH68" s="16"/>
      <c r="BI68" s="27"/>
      <c r="BJ68" s="24"/>
      <c r="BK68" s="24"/>
      <c r="BL68" s="24"/>
      <c r="BM68" s="16"/>
      <c r="BN68" s="61">
        <f t="shared" si="37"/>
        <v>0</v>
      </c>
      <c r="BO68" s="27"/>
      <c r="BP68" s="24"/>
      <c r="BQ68" s="24"/>
      <c r="BR68" s="16"/>
      <c r="BS68" s="329">
        <f t="shared" si="17"/>
        <v>178322949</v>
      </c>
      <c r="BT68" s="62">
        <v>178322949</v>
      </c>
      <c r="BU68" s="69">
        <v>178322949</v>
      </c>
      <c r="BV68" s="325">
        <f t="shared" ca="1" si="38"/>
        <v>1</v>
      </c>
      <c r="BW68" s="325">
        <v>1</v>
      </c>
      <c r="BX68" s="327">
        <f t="shared" si="39"/>
        <v>100</v>
      </c>
      <c r="BY68" s="326">
        <f t="shared" si="40"/>
        <v>100</v>
      </c>
      <c r="BZ68" s="323">
        <v>45632</v>
      </c>
      <c r="CA68" s="35" t="str">
        <f t="shared" ca="1" si="41"/>
        <v>LIQUIDADO</v>
      </c>
      <c r="CB68" s="16"/>
    </row>
    <row r="69" spans="1:80" ht="15.75">
      <c r="A69" s="362"/>
      <c r="B69" s="17"/>
      <c r="C69" s="18"/>
      <c r="D69" s="17"/>
      <c r="E69" s="17"/>
      <c r="F69" s="17"/>
      <c r="G69" s="19"/>
      <c r="H69" s="16"/>
      <c r="I69" s="16"/>
      <c r="J69" s="385"/>
      <c r="K69" s="20"/>
      <c r="L69" s="16"/>
      <c r="M69" s="364"/>
      <c r="N69" s="365"/>
      <c r="O69" s="365"/>
      <c r="P69" s="311">
        <f t="shared" si="33"/>
        <v>0</v>
      </c>
      <c r="Q69" s="362"/>
      <c r="R69" s="366"/>
      <c r="S69" s="362"/>
      <c r="T69" s="366"/>
      <c r="U69" s="363"/>
      <c r="V69" s="17"/>
      <c r="W69" s="23" t="str">
        <f>IFERROR(VLOOKUP(V69,Listas!$A$1:$C$14,2,FALSE),"")</f>
        <v/>
      </c>
      <c r="X69" s="23" t="str">
        <f>IFERROR(VLOOKUP(V69,Listas!$A$1:$C$14,3,FALSE),"")</f>
        <v/>
      </c>
      <c r="Y69" s="17"/>
      <c r="Z69" s="17"/>
      <c r="AA69" s="23" t="str">
        <f>IFERROR(VLOOKUP(Z69,Listas!$AD$1:$AF$65,2,FALSE),"")</f>
        <v/>
      </c>
      <c r="AB69" s="23" t="str">
        <f>IFERROR(VLOOKUP(Z69,Listas!$AD$1:$AF$65,3,FALSE),"")</f>
        <v/>
      </c>
      <c r="AC69" s="17"/>
      <c r="AD69" s="17"/>
      <c r="AE69" s="17"/>
      <c r="AF69" s="27"/>
      <c r="AG69" s="19"/>
      <c r="AH69" s="27"/>
      <c r="AI69" s="16"/>
      <c r="AJ69" s="27"/>
      <c r="AK69" s="16"/>
      <c r="AL69" s="28">
        <f t="shared" si="34"/>
        <v>0</v>
      </c>
      <c r="AM69" s="29"/>
      <c r="AN69" s="27"/>
      <c r="AO69" s="30">
        <f t="shared" si="35"/>
        <v>0</v>
      </c>
      <c r="AP69" s="31">
        <f t="shared" si="36"/>
        <v>0</v>
      </c>
      <c r="AQ69" s="27"/>
      <c r="AR69" s="16"/>
      <c r="AS69" s="27"/>
      <c r="AT69" s="16"/>
      <c r="AU69" s="27"/>
      <c r="AV69" s="16"/>
      <c r="AW69" s="27"/>
      <c r="AX69" s="16"/>
      <c r="AY69" s="27"/>
      <c r="AZ69" s="24"/>
      <c r="BA69" s="24"/>
      <c r="BB69" s="24"/>
      <c r="BC69" s="32"/>
      <c r="BD69" s="27"/>
      <c r="BE69" s="24"/>
      <c r="BF69" s="24"/>
      <c r="BG69" s="24"/>
      <c r="BH69" s="16"/>
      <c r="BI69" s="27"/>
      <c r="BJ69" s="24"/>
      <c r="BK69" s="24"/>
      <c r="BL69" s="24"/>
      <c r="BM69" s="16"/>
      <c r="BN69" s="61">
        <f t="shared" si="37"/>
        <v>0</v>
      </c>
      <c r="BO69" s="27"/>
      <c r="BP69" s="24"/>
      <c r="BQ69" s="24"/>
      <c r="BR69" s="16"/>
      <c r="BS69" s="61">
        <f t="shared" si="17"/>
        <v>0</v>
      </c>
      <c r="BT69" s="62"/>
      <c r="BU69" s="69" t="str">
        <f t="shared" ref="BU69:BU97" ca="1" si="42">IFERROR(IF(((BS69/AO69)*(TODAY()-N69))&gt;BS69,BS69,((BS69/AO69)*(TODAY()-N69))),"")</f>
        <v/>
      </c>
      <c r="BV69" s="33">
        <f t="shared" ca="1" si="38"/>
        <v>1</v>
      </c>
      <c r="BW69" s="33">
        <v>1</v>
      </c>
      <c r="BX69" s="60" t="str">
        <f t="shared" ca="1" si="39"/>
        <v/>
      </c>
      <c r="BY69" s="34" t="str">
        <f t="shared" si="40"/>
        <v/>
      </c>
      <c r="BZ69" s="21"/>
      <c r="CA69" s="35" t="str">
        <f t="shared" ca="1" si="41"/>
        <v/>
      </c>
      <c r="CB69" s="16"/>
    </row>
    <row r="70" spans="1:80" ht="15.75">
      <c r="A70" s="362"/>
      <c r="B70" s="17"/>
      <c r="C70" s="18"/>
      <c r="D70" s="17"/>
      <c r="E70" s="17"/>
      <c r="F70" s="17"/>
      <c r="G70" s="19"/>
      <c r="H70" s="16"/>
      <c r="I70" s="16"/>
      <c r="J70" s="16"/>
      <c r="K70" s="20"/>
      <c r="L70" s="16"/>
      <c r="M70" s="364"/>
      <c r="N70" s="365"/>
      <c r="O70" s="365"/>
      <c r="P70" s="311">
        <f t="shared" si="33"/>
        <v>0</v>
      </c>
      <c r="Q70" s="362"/>
      <c r="R70" s="366"/>
      <c r="S70" s="362"/>
      <c r="T70" s="366"/>
      <c r="U70" s="363"/>
      <c r="V70" s="17"/>
      <c r="W70" s="23" t="str">
        <f>IFERROR(VLOOKUP(V70,Listas!$A$1:$C$14,2,FALSE),"")</f>
        <v/>
      </c>
      <c r="X70" s="23" t="str">
        <f>IFERROR(VLOOKUP(V70,Listas!$A$1:$C$14,3,FALSE),"")</f>
        <v/>
      </c>
      <c r="Y70" s="17"/>
      <c r="Z70" s="17"/>
      <c r="AA70" s="23" t="str">
        <f>IFERROR(VLOOKUP(Z70,Listas!$AD$1:$AF$65,2,FALSE),"")</f>
        <v/>
      </c>
      <c r="AB70" s="23" t="str">
        <f>IFERROR(VLOOKUP(Z70,Listas!$AD$1:$AF$65,3,FALSE),"")</f>
        <v/>
      </c>
      <c r="AC70" s="17"/>
      <c r="AD70" s="17"/>
      <c r="AE70" s="17"/>
      <c r="AF70" s="27"/>
      <c r="AG70" s="19"/>
      <c r="AH70" s="27"/>
      <c r="AI70" s="16"/>
      <c r="AJ70" s="27"/>
      <c r="AK70" s="16"/>
      <c r="AL70" s="28">
        <f t="shared" si="34"/>
        <v>0</v>
      </c>
      <c r="AM70" s="29"/>
      <c r="AN70" s="27"/>
      <c r="AO70" s="30">
        <f t="shared" si="35"/>
        <v>0</v>
      </c>
      <c r="AP70" s="31">
        <f t="shared" si="36"/>
        <v>0</v>
      </c>
      <c r="AQ70" s="27"/>
      <c r="AR70" s="16"/>
      <c r="AS70" s="27"/>
      <c r="AT70" s="16"/>
      <c r="AU70" s="27"/>
      <c r="AV70" s="16"/>
      <c r="AW70" s="27"/>
      <c r="AX70" s="16"/>
      <c r="AY70" s="27"/>
      <c r="AZ70" s="24"/>
      <c r="BA70" s="24"/>
      <c r="BB70" s="24"/>
      <c r="BC70" s="32"/>
      <c r="BD70" s="27"/>
      <c r="BE70" s="24"/>
      <c r="BF70" s="24"/>
      <c r="BG70" s="24"/>
      <c r="BH70" s="16"/>
      <c r="BI70" s="27"/>
      <c r="BJ70" s="24"/>
      <c r="BK70" s="24"/>
      <c r="BL70" s="24"/>
      <c r="BM70" s="16"/>
      <c r="BN70" s="61">
        <f t="shared" si="37"/>
        <v>0</v>
      </c>
      <c r="BO70" s="27"/>
      <c r="BP70" s="24"/>
      <c r="BQ70" s="24"/>
      <c r="BR70" s="16"/>
      <c r="BS70" s="61">
        <f t="shared" si="17"/>
        <v>0</v>
      </c>
      <c r="BT70" s="62"/>
      <c r="BU70" s="69" t="str">
        <f t="shared" ca="1" si="42"/>
        <v/>
      </c>
      <c r="BV70" s="33">
        <f t="shared" ca="1" si="38"/>
        <v>1</v>
      </c>
      <c r="BW70" s="33">
        <v>1</v>
      </c>
      <c r="BX70" s="60" t="str">
        <f t="shared" ca="1" si="39"/>
        <v/>
      </c>
      <c r="BY70" s="34" t="str">
        <f t="shared" si="40"/>
        <v/>
      </c>
      <c r="BZ70" s="21"/>
      <c r="CA70" s="35" t="str">
        <f t="shared" ca="1" si="41"/>
        <v/>
      </c>
      <c r="CB70" s="16"/>
    </row>
    <row r="71" spans="1:80" ht="15.75">
      <c r="A71" s="362"/>
      <c r="B71" s="17"/>
      <c r="C71" s="18"/>
      <c r="D71" s="17"/>
      <c r="E71" s="17"/>
      <c r="F71" s="17"/>
      <c r="G71" s="19"/>
      <c r="H71" s="16"/>
      <c r="I71" s="16"/>
      <c r="J71" s="16"/>
      <c r="K71" s="20"/>
      <c r="L71" s="16"/>
      <c r="M71" s="364"/>
      <c r="N71" s="365"/>
      <c r="O71" s="365"/>
      <c r="P71" s="311">
        <f t="shared" si="33"/>
        <v>0</v>
      </c>
      <c r="Q71" s="362"/>
      <c r="R71" s="366"/>
      <c r="S71" s="362"/>
      <c r="T71" s="366"/>
      <c r="U71" s="363"/>
      <c r="V71" s="17"/>
      <c r="W71" s="23" t="str">
        <f>IFERROR(VLOOKUP(V71,Listas!$A$1:$C$14,2,FALSE),"")</f>
        <v/>
      </c>
      <c r="X71" s="23" t="str">
        <f>IFERROR(VLOOKUP(V71,Listas!$A$1:$C$14,3,FALSE),"")</f>
        <v/>
      </c>
      <c r="Y71" s="17"/>
      <c r="Z71" s="17"/>
      <c r="AA71" s="23" t="str">
        <f>IFERROR(VLOOKUP(Z71,Listas!$AD$1:$AF$65,2,FALSE),"")</f>
        <v/>
      </c>
      <c r="AB71" s="23" t="str">
        <f>IFERROR(VLOOKUP(Z71,Listas!$AD$1:$AF$65,3,FALSE),"")</f>
        <v/>
      </c>
      <c r="AC71" s="17"/>
      <c r="AD71" s="17"/>
      <c r="AE71" s="17"/>
      <c r="AF71" s="27"/>
      <c r="AG71" s="19"/>
      <c r="AH71" s="27"/>
      <c r="AI71" s="16"/>
      <c r="AJ71" s="27"/>
      <c r="AK71" s="16"/>
      <c r="AL71" s="28">
        <f t="shared" si="34"/>
        <v>0</v>
      </c>
      <c r="AM71" s="29"/>
      <c r="AN71" s="27"/>
      <c r="AO71" s="30">
        <f t="shared" si="35"/>
        <v>0</v>
      </c>
      <c r="AP71" s="31">
        <f t="shared" si="36"/>
        <v>0</v>
      </c>
      <c r="AQ71" s="27"/>
      <c r="AR71" s="16"/>
      <c r="AS71" s="27"/>
      <c r="AT71" s="16"/>
      <c r="AU71" s="27"/>
      <c r="AV71" s="16"/>
      <c r="AW71" s="27"/>
      <c r="AX71" s="16"/>
      <c r="AY71" s="27"/>
      <c r="AZ71" s="24"/>
      <c r="BA71" s="24"/>
      <c r="BB71" s="24"/>
      <c r="BC71" s="32"/>
      <c r="BD71" s="27"/>
      <c r="BE71" s="24"/>
      <c r="BF71" s="24"/>
      <c r="BG71" s="24"/>
      <c r="BH71" s="16"/>
      <c r="BI71" s="27"/>
      <c r="BJ71" s="24"/>
      <c r="BK71" s="24"/>
      <c r="BL71" s="24"/>
      <c r="BM71" s="16"/>
      <c r="BN71" s="61">
        <f t="shared" si="37"/>
        <v>0</v>
      </c>
      <c r="BO71" s="27"/>
      <c r="BP71" s="24"/>
      <c r="BQ71" s="24"/>
      <c r="BR71" s="16"/>
      <c r="BS71" s="61">
        <f t="shared" si="17"/>
        <v>0</v>
      </c>
      <c r="BT71" s="62"/>
      <c r="BU71" s="69" t="str">
        <f t="shared" ca="1" si="42"/>
        <v/>
      </c>
      <c r="BV71" s="33">
        <f t="shared" ca="1" si="38"/>
        <v>1</v>
      </c>
      <c r="BW71" s="33">
        <v>1</v>
      </c>
      <c r="BX71" s="60" t="str">
        <f t="shared" ca="1" si="39"/>
        <v/>
      </c>
      <c r="BY71" s="34" t="str">
        <f t="shared" si="40"/>
        <v/>
      </c>
      <c r="BZ71" s="21"/>
      <c r="CA71" s="35" t="str">
        <f t="shared" ca="1" si="41"/>
        <v/>
      </c>
      <c r="CB71" s="16"/>
    </row>
    <row r="72" spans="1:80" ht="15.75">
      <c r="A72" s="362"/>
      <c r="B72" s="17"/>
      <c r="C72" s="18"/>
      <c r="D72" s="17"/>
      <c r="E72" s="17"/>
      <c r="F72" s="17"/>
      <c r="G72" s="19"/>
      <c r="H72" s="16"/>
      <c r="I72" s="16"/>
      <c r="J72" s="16"/>
      <c r="K72" s="20"/>
      <c r="L72" s="16"/>
      <c r="M72" s="364"/>
      <c r="N72" s="365"/>
      <c r="O72" s="365"/>
      <c r="P72" s="311">
        <f t="shared" si="33"/>
        <v>0</v>
      </c>
      <c r="Q72" s="362"/>
      <c r="R72" s="366"/>
      <c r="S72" s="362"/>
      <c r="T72" s="366"/>
      <c r="U72" s="363"/>
      <c r="V72" s="17"/>
      <c r="W72" s="23" t="str">
        <f>IFERROR(VLOOKUP(V72,Listas!$A$1:$C$14,2,FALSE),"")</f>
        <v/>
      </c>
      <c r="X72" s="23" t="str">
        <f>IFERROR(VLOOKUP(V72,Listas!$A$1:$C$14,3,FALSE),"")</f>
        <v/>
      </c>
      <c r="Y72" s="17"/>
      <c r="Z72" s="17"/>
      <c r="AA72" s="23" t="str">
        <f>IFERROR(VLOOKUP(Z72,Listas!$AD$1:$AF$65,2,FALSE),"")</f>
        <v/>
      </c>
      <c r="AB72" s="23" t="str">
        <f>IFERROR(VLOOKUP(Z72,Listas!$AD$1:$AF$65,3,FALSE),"")</f>
        <v/>
      </c>
      <c r="AC72" s="17"/>
      <c r="AD72" s="17"/>
      <c r="AE72" s="17"/>
      <c r="AF72" s="27"/>
      <c r="AG72" s="19"/>
      <c r="AH72" s="27"/>
      <c r="AI72" s="16"/>
      <c r="AJ72" s="27"/>
      <c r="AK72" s="16"/>
      <c r="AL72" s="28">
        <f t="shared" si="34"/>
        <v>0</v>
      </c>
      <c r="AM72" s="29"/>
      <c r="AN72" s="27"/>
      <c r="AO72" s="30">
        <f t="shared" si="35"/>
        <v>0</v>
      </c>
      <c r="AP72" s="31">
        <f t="shared" si="36"/>
        <v>0</v>
      </c>
      <c r="AQ72" s="27"/>
      <c r="AR72" s="16"/>
      <c r="AS72" s="27"/>
      <c r="AT72" s="16"/>
      <c r="AU72" s="27"/>
      <c r="AV72" s="16"/>
      <c r="AW72" s="27"/>
      <c r="AX72" s="16"/>
      <c r="AY72" s="27"/>
      <c r="AZ72" s="24"/>
      <c r="BA72" s="24"/>
      <c r="BB72" s="24"/>
      <c r="BC72" s="32"/>
      <c r="BD72" s="27"/>
      <c r="BE72" s="24"/>
      <c r="BF72" s="24"/>
      <c r="BG72" s="24"/>
      <c r="BH72" s="16"/>
      <c r="BI72" s="27"/>
      <c r="BJ72" s="24"/>
      <c r="BK72" s="24"/>
      <c r="BL72" s="24"/>
      <c r="BM72" s="16"/>
      <c r="BN72" s="61">
        <f t="shared" si="37"/>
        <v>0</v>
      </c>
      <c r="BO72" s="27"/>
      <c r="BP72" s="24"/>
      <c r="BQ72" s="24"/>
      <c r="BR72" s="16"/>
      <c r="BS72" s="61">
        <f t="shared" si="17"/>
        <v>0</v>
      </c>
      <c r="BT72" s="62"/>
      <c r="BU72" s="69" t="str">
        <f t="shared" ca="1" si="42"/>
        <v/>
      </c>
      <c r="BV72" s="33">
        <f t="shared" ca="1" si="38"/>
        <v>1</v>
      </c>
      <c r="BW72" s="33">
        <v>1</v>
      </c>
      <c r="BX72" s="60" t="str">
        <f t="shared" ca="1" si="39"/>
        <v/>
      </c>
      <c r="BY72" s="34" t="str">
        <f t="shared" si="40"/>
        <v/>
      </c>
      <c r="BZ72" s="21"/>
      <c r="CA72" s="35" t="str">
        <f t="shared" ca="1" si="41"/>
        <v/>
      </c>
      <c r="CB72" s="16"/>
    </row>
    <row r="73" spans="1:80" ht="15.75">
      <c r="A73" s="362"/>
      <c r="B73" s="17"/>
      <c r="C73" s="18"/>
      <c r="D73" s="17"/>
      <c r="E73" s="17"/>
      <c r="F73" s="17"/>
      <c r="G73" s="19"/>
      <c r="H73" s="16"/>
      <c r="I73" s="16"/>
      <c r="J73" s="16"/>
      <c r="K73" s="20"/>
      <c r="L73" s="16"/>
      <c r="M73" s="364"/>
      <c r="N73" s="365"/>
      <c r="O73" s="365"/>
      <c r="P73" s="311">
        <f t="shared" si="33"/>
        <v>0</v>
      </c>
      <c r="Q73" s="362"/>
      <c r="R73" s="366"/>
      <c r="S73" s="362"/>
      <c r="T73" s="366"/>
      <c r="U73" s="363"/>
      <c r="V73" s="17"/>
      <c r="W73" s="23" t="str">
        <f>IFERROR(VLOOKUP(V73,Listas!$A$1:$C$14,2,FALSE),"")</f>
        <v/>
      </c>
      <c r="X73" s="23" t="str">
        <f>IFERROR(VLOOKUP(V73,Listas!$A$1:$C$14,3,FALSE),"")</f>
        <v/>
      </c>
      <c r="Y73" s="17"/>
      <c r="Z73" s="17"/>
      <c r="AA73" s="23" t="str">
        <f>IFERROR(VLOOKUP(Z73,Listas!$AD$1:$AF$65,2,FALSE),"")</f>
        <v/>
      </c>
      <c r="AB73" s="23" t="str">
        <f>IFERROR(VLOOKUP(Z73,Listas!$AD$1:$AF$65,3,FALSE),"")</f>
        <v/>
      </c>
      <c r="AC73" s="17"/>
      <c r="AD73" s="17"/>
      <c r="AE73" s="17"/>
      <c r="AF73" s="27"/>
      <c r="AG73" s="19"/>
      <c r="AH73" s="27"/>
      <c r="AI73" s="16"/>
      <c r="AJ73" s="27"/>
      <c r="AK73" s="16"/>
      <c r="AL73" s="28">
        <f t="shared" si="34"/>
        <v>0</v>
      </c>
      <c r="AM73" s="29"/>
      <c r="AN73" s="27"/>
      <c r="AO73" s="30">
        <f t="shared" si="35"/>
        <v>0</v>
      </c>
      <c r="AP73" s="31">
        <f t="shared" si="36"/>
        <v>0</v>
      </c>
      <c r="AQ73" s="27"/>
      <c r="AR73" s="16"/>
      <c r="AS73" s="27"/>
      <c r="AT73" s="16"/>
      <c r="AU73" s="27"/>
      <c r="AV73" s="16"/>
      <c r="AW73" s="27"/>
      <c r="AX73" s="16"/>
      <c r="AY73" s="27"/>
      <c r="AZ73" s="24"/>
      <c r="BA73" s="24"/>
      <c r="BB73" s="24"/>
      <c r="BC73" s="32"/>
      <c r="BD73" s="27"/>
      <c r="BE73" s="24"/>
      <c r="BF73" s="24"/>
      <c r="BG73" s="24"/>
      <c r="BH73" s="16"/>
      <c r="BI73" s="27"/>
      <c r="BJ73" s="24"/>
      <c r="BK73" s="24"/>
      <c r="BL73" s="24"/>
      <c r="BM73" s="16"/>
      <c r="BN73" s="61">
        <f t="shared" si="37"/>
        <v>0</v>
      </c>
      <c r="BO73" s="27"/>
      <c r="BP73" s="24"/>
      <c r="BQ73" s="24"/>
      <c r="BR73" s="16"/>
      <c r="BS73" s="61">
        <f t="shared" si="17"/>
        <v>0</v>
      </c>
      <c r="BT73" s="62"/>
      <c r="BU73" s="69" t="str">
        <f t="shared" ca="1" si="42"/>
        <v/>
      </c>
      <c r="BV73" s="33">
        <f t="shared" ca="1" si="38"/>
        <v>1</v>
      </c>
      <c r="BW73" s="33">
        <v>1</v>
      </c>
      <c r="BX73" s="60" t="str">
        <f t="shared" ca="1" si="39"/>
        <v/>
      </c>
      <c r="BY73" s="34" t="str">
        <f t="shared" si="40"/>
        <v/>
      </c>
      <c r="BZ73" s="21"/>
      <c r="CA73" s="35" t="str">
        <f t="shared" ca="1" si="41"/>
        <v/>
      </c>
      <c r="CB73" s="16"/>
    </row>
    <row r="74" spans="1:80" ht="15.75">
      <c r="A74" s="362"/>
      <c r="B74" s="17"/>
      <c r="C74" s="18"/>
      <c r="D74" s="17"/>
      <c r="E74" s="17"/>
      <c r="F74" s="17"/>
      <c r="G74" s="19"/>
      <c r="H74" s="16"/>
      <c r="I74" s="16"/>
      <c r="J74" s="16"/>
      <c r="K74" s="20"/>
      <c r="L74" s="16"/>
      <c r="M74" s="364"/>
      <c r="N74" s="365"/>
      <c r="O74" s="365"/>
      <c r="P74" s="311">
        <f t="shared" si="33"/>
        <v>0</v>
      </c>
      <c r="Q74" s="362"/>
      <c r="R74" s="366"/>
      <c r="S74" s="362"/>
      <c r="T74" s="366"/>
      <c r="U74" s="363"/>
      <c r="V74" s="17"/>
      <c r="W74" s="23" t="str">
        <f>IFERROR(VLOOKUP(V74,Listas!$A$1:$C$14,2,FALSE),"")</f>
        <v/>
      </c>
      <c r="X74" s="23" t="str">
        <f>IFERROR(VLOOKUP(V74,Listas!$A$1:$C$14,3,FALSE),"")</f>
        <v/>
      </c>
      <c r="Y74" s="17"/>
      <c r="Z74" s="17"/>
      <c r="AA74" s="23" t="str">
        <f>IFERROR(VLOOKUP(Z74,Listas!$AD$1:$AF$65,2,FALSE),"")</f>
        <v/>
      </c>
      <c r="AB74" s="23" t="str">
        <f>IFERROR(VLOOKUP(Z74,Listas!$AD$1:$AF$65,3,FALSE),"")</f>
        <v/>
      </c>
      <c r="AC74" s="17"/>
      <c r="AD74" s="17"/>
      <c r="AE74" s="17"/>
      <c r="AF74" s="27"/>
      <c r="AG74" s="19"/>
      <c r="AH74" s="27"/>
      <c r="AI74" s="16"/>
      <c r="AJ74" s="27"/>
      <c r="AK74" s="16"/>
      <c r="AL74" s="28">
        <f t="shared" si="34"/>
        <v>0</v>
      </c>
      <c r="AM74" s="29"/>
      <c r="AN74" s="27"/>
      <c r="AO74" s="30">
        <f t="shared" si="35"/>
        <v>0</v>
      </c>
      <c r="AP74" s="31">
        <f t="shared" si="36"/>
        <v>0</v>
      </c>
      <c r="AQ74" s="27"/>
      <c r="AR74" s="16"/>
      <c r="AS74" s="27"/>
      <c r="AT74" s="16"/>
      <c r="AU74" s="27"/>
      <c r="AV74" s="16"/>
      <c r="AW74" s="27"/>
      <c r="AX74" s="16"/>
      <c r="AY74" s="27"/>
      <c r="AZ74" s="24"/>
      <c r="BA74" s="24"/>
      <c r="BB74" s="24"/>
      <c r="BC74" s="32"/>
      <c r="BD74" s="27"/>
      <c r="BE74" s="24"/>
      <c r="BF74" s="24"/>
      <c r="BG74" s="24"/>
      <c r="BH74" s="16"/>
      <c r="BI74" s="27"/>
      <c r="BJ74" s="24"/>
      <c r="BK74" s="24"/>
      <c r="BL74" s="24"/>
      <c r="BM74" s="16"/>
      <c r="BN74" s="61">
        <f t="shared" si="37"/>
        <v>0</v>
      </c>
      <c r="BO74" s="27"/>
      <c r="BP74" s="24"/>
      <c r="BQ74" s="24"/>
      <c r="BR74" s="16"/>
      <c r="BS74" s="61">
        <f t="shared" si="17"/>
        <v>0</v>
      </c>
      <c r="BT74" s="62"/>
      <c r="BU74" s="69" t="str">
        <f t="shared" ca="1" si="42"/>
        <v/>
      </c>
      <c r="BV74" s="33">
        <f t="shared" ca="1" si="38"/>
        <v>1</v>
      </c>
      <c r="BW74" s="33">
        <v>1</v>
      </c>
      <c r="BX74" s="60" t="str">
        <f t="shared" ca="1" si="39"/>
        <v/>
      </c>
      <c r="BY74" s="34" t="str">
        <f t="shared" si="40"/>
        <v/>
      </c>
      <c r="BZ74" s="21"/>
      <c r="CA74" s="35" t="str">
        <f t="shared" ca="1" si="41"/>
        <v/>
      </c>
      <c r="CB74" s="16"/>
    </row>
    <row r="75" spans="1:80" ht="15.75">
      <c r="A75" s="362"/>
      <c r="B75" s="17"/>
      <c r="C75" s="18"/>
      <c r="D75" s="17"/>
      <c r="E75" s="17"/>
      <c r="F75" s="17"/>
      <c r="G75" s="19"/>
      <c r="H75" s="16"/>
      <c r="I75" s="16"/>
      <c r="J75" s="16"/>
      <c r="K75" s="20"/>
      <c r="L75" s="16"/>
      <c r="M75" s="364"/>
      <c r="N75" s="365"/>
      <c r="O75" s="365"/>
      <c r="P75" s="311">
        <f t="shared" si="33"/>
        <v>0</v>
      </c>
      <c r="Q75" s="362"/>
      <c r="R75" s="366"/>
      <c r="S75" s="362"/>
      <c r="T75" s="366"/>
      <c r="U75" s="363"/>
      <c r="V75" s="17"/>
      <c r="W75" s="23" t="str">
        <f>IFERROR(VLOOKUP(V75,Listas!$A$1:$C$14,2,FALSE),"")</f>
        <v/>
      </c>
      <c r="X75" s="23" t="str">
        <f>IFERROR(VLOOKUP(V75,Listas!$A$1:$C$14,3,FALSE),"")</f>
        <v/>
      </c>
      <c r="Y75" s="17"/>
      <c r="Z75" s="17"/>
      <c r="AA75" s="23" t="str">
        <f>IFERROR(VLOOKUP(Z75,Listas!$AD$1:$AF$65,2,FALSE),"")</f>
        <v/>
      </c>
      <c r="AB75" s="23" t="str">
        <f>IFERROR(VLOOKUP(Z75,Listas!$AD$1:$AF$65,3,FALSE),"")</f>
        <v/>
      </c>
      <c r="AC75" s="17"/>
      <c r="AD75" s="17"/>
      <c r="AE75" s="17"/>
      <c r="AF75" s="27"/>
      <c r="AG75" s="19"/>
      <c r="AH75" s="27"/>
      <c r="AI75" s="16"/>
      <c r="AJ75" s="27"/>
      <c r="AK75" s="16"/>
      <c r="AL75" s="28">
        <f t="shared" si="34"/>
        <v>0</v>
      </c>
      <c r="AM75" s="29"/>
      <c r="AN75" s="27"/>
      <c r="AO75" s="30">
        <f t="shared" si="35"/>
        <v>0</v>
      </c>
      <c r="AP75" s="31">
        <f t="shared" si="36"/>
        <v>0</v>
      </c>
      <c r="AQ75" s="27"/>
      <c r="AR75" s="16"/>
      <c r="AS75" s="27"/>
      <c r="AT75" s="16"/>
      <c r="AU75" s="27"/>
      <c r="AV75" s="16"/>
      <c r="AW75" s="27"/>
      <c r="AX75" s="16"/>
      <c r="AY75" s="27"/>
      <c r="AZ75" s="24"/>
      <c r="BA75" s="24"/>
      <c r="BB75" s="24"/>
      <c r="BC75" s="32"/>
      <c r="BD75" s="27"/>
      <c r="BE75" s="24"/>
      <c r="BF75" s="24"/>
      <c r="BG75" s="24"/>
      <c r="BH75" s="16"/>
      <c r="BI75" s="27"/>
      <c r="BJ75" s="24"/>
      <c r="BK75" s="24"/>
      <c r="BL75" s="24"/>
      <c r="BM75" s="16"/>
      <c r="BN75" s="61">
        <f t="shared" si="37"/>
        <v>0</v>
      </c>
      <c r="BO75" s="27"/>
      <c r="BP75" s="24"/>
      <c r="BQ75" s="24"/>
      <c r="BR75" s="16"/>
      <c r="BS75" s="61">
        <f t="shared" si="17"/>
        <v>0</v>
      </c>
      <c r="BT75" s="62"/>
      <c r="BU75" s="69" t="str">
        <f t="shared" ca="1" si="42"/>
        <v/>
      </c>
      <c r="BV75" s="33">
        <f t="shared" ca="1" si="38"/>
        <v>1</v>
      </c>
      <c r="BW75" s="33">
        <v>1</v>
      </c>
      <c r="BX75" s="60" t="str">
        <f t="shared" ca="1" si="39"/>
        <v/>
      </c>
      <c r="BY75" s="34" t="str">
        <f t="shared" si="40"/>
        <v/>
      </c>
      <c r="BZ75" s="21"/>
      <c r="CA75" s="35" t="str">
        <f t="shared" ca="1" si="41"/>
        <v/>
      </c>
      <c r="CB75" s="16"/>
    </row>
    <row r="76" spans="1:80" ht="15.75">
      <c r="A76" s="362"/>
      <c r="B76" s="17"/>
      <c r="C76" s="18"/>
      <c r="D76" s="17"/>
      <c r="E76" s="17"/>
      <c r="F76" s="17"/>
      <c r="G76" s="19"/>
      <c r="H76" s="16"/>
      <c r="I76" s="16"/>
      <c r="J76" s="16"/>
      <c r="K76" s="20"/>
      <c r="L76" s="16"/>
      <c r="M76" s="364"/>
      <c r="N76" s="365"/>
      <c r="O76" s="365"/>
      <c r="P76" s="311">
        <f t="shared" si="33"/>
        <v>0</v>
      </c>
      <c r="Q76" s="362"/>
      <c r="R76" s="366"/>
      <c r="S76" s="362"/>
      <c r="T76" s="366"/>
      <c r="U76" s="363"/>
      <c r="V76" s="17"/>
      <c r="W76" s="23" t="str">
        <f>IFERROR(VLOOKUP(V76,Listas!$A$1:$C$14,2,FALSE),"")</f>
        <v/>
      </c>
      <c r="X76" s="23" t="str">
        <f>IFERROR(VLOOKUP(V76,Listas!$A$1:$C$14,3,FALSE),"")</f>
        <v/>
      </c>
      <c r="Y76" s="17"/>
      <c r="Z76" s="17"/>
      <c r="AA76" s="23" t="str">
        <f>IFERROR(VLOOKUP(Z76,Listas!$AD$1:$AF$65,2,FALSE),"")</f>
        <v/>
      </c>
      <c r="AB76" s="23" t="str">
        <f>IFERROR(VLOOKUP(Z76,Listas!$AD$1:$AF$65,3,FALSE),"")</f>
        <v/>
      </c>
      <c r="AC76" s="17"/>
      <c r="AD76" s="17"/>
      <c r="AE76" s="17"/>
      <c r="AF76" s="27"/>
      <c r="AG76" s="19"/>
      <c r="AH76" s="27"/>
      <c r="AI76" s="16"/>
      <c r="AJ76" s="27"/>
      <c r="AK76" s="16"/>
      <c r="AL76" s="28">
        <f t="shared" si="34"/>
        <v>0</v>
      </c>
      <c r="AM76" s="29"/>
      <c r="AN76" s="27"/>
      <c r="AO76" s="30">
        <f t="shared" si="35"/>
        <v>0</v>
      </c>
      <c r="AP76" s="31">
        <f t="shared" si="36"/>
        <v>0</v>
      </c>
      <c r="AQ76" s="27"/>
      <c r="AR76" s="16"/>
      <c r="AS76" s="27"/>
      <c r="AT76" s="16"/>
      <c r="AU76" s="27"/>
      <c r="AV76" s="16"/>
      <c r="AW76" s="27"/>
      <c r="AX76" s="16"/>
      <c r="AY76" s="27"/>
      <c r="AZ76" s="24"/>
      <c r="BA76" s="24"/>
      <c r="BB76" s="24"/>
      <c r="BC76" s="32"/>
      <c r="BD76" s="27"/>
      <c r="BE76" s="24"/>
      <c r="BF76" s="24"/>
      <c r="BG76" s="24"/>
      <c r="BH76" s="16"/>
      <c r="BI76" s="27"/>
      <c r="BJ76" s="24"/>
      <c r="BK76" s="24"/>
      <c r="BL76" s="24"/>
      <c r="BM76" s="16"/>
      <c r="BN76" s="61">
        <f t="shared" si="37"/>
        <v>0</v>
      </c>
      <c r="BO76" s="27"/>
      <c r="BP76" s="24"/>
      <c r="BQ76" s="24"/>
      <c r="BR76" s="16"/>
      <c r="BS76" s="61">
        <f t="shared" si="17"/>
        <v>0</v>
      </c>
      <c r="BT76" s="62"/>
      <c r="BU76" s="69" t="str">
        <f t="shared" ca="1" si="42"/>
        <v/>
      </c>
      <c r="BV76" s="33">
        <f t="shared" ca="1" si="38"/>
        <v>1</v>
      </c>
      <c r="BW76" s="33">
        <v>1</v>
      </c>
      <c r="BX76" s="60" t="str">
        <f t="shared" ca="1" si="39"/>
        <v/>
      </c>
      <c r="BY76" s="34" t="str">
        <f t="shared" si="40"/>
        <v/>
      </c>
      <c r="BZ76" s="21"/>
      <c r="CA76" s="35" t="str">
        <f t="shared" ca="1" si="41"/>
        <v/>
      </c>
      <c r="CB76" s="16"/>
    </row>
    <row r="77" spans="1:80" ht="15.75">
      <c r="A77" s="362"/>
      <c r="B77" s="17"/>
      <c r="C77" s="18"/>
      <c r="D77" s="17"/>
      <c r="E77" s="17"/>
      <c r="F77" s="17"/>
      <c r="G77" s="19"/>
      <c r="H77" s="16"/>
      <c r="I77" s="16"/>
      <c r="J77" s="16"/>
      <c r="K77" s="20"/>
      <c r="L77" s="16"/>
      <c r="M77" s="364"/>
      <c r="N77" s="365"/>
      <c r="O77" s="365"/>
      <c r="P77" s="311">
        <f t="shared" si="33"/>
        <v>0</v>
      </c>
      <c r="Q77" s="362"/>
      <c r="R77" s="366"/>
      <c r="S77" s="362"/>
      <c r="T77" s="366"/>
      <c r="U77" s="363"/>
      <c r="V77" s="17"/>
      <c r="W77" s="23" t="str">
        <f>IFERROR(VLOOKUP(V77,Listas!$A$1:$C$14,2,FALSE),"")</f>
        <v/>
      </c>
      <c r="X77" s="23" t="str">
        <f>IFERROR(VLOOKUP(V77,Listas!$A$1:$C$14,3,FALSE),"")</f>
        <v/>
      </c>
      <c r="Y77" s="17"/>
      <c r="Z77" s="17"/>
      <c r="AA77" s="23" t="str">
        <f>IFERROR(VLOOKUP(Z77,Listas!$AD$1:$AF$65,2,FALSE),"")</f>
        <v/>
      </c>
      <c r="AB77" s="23" t="str">
        <f>IFERROR(VLOOKUP(Z77,Listas!$AD$1:$AF$65,3,FALSE),"")</f>
        <v/>
      </c>
      <c r="AC77" s="17"/>
      <c r="AD77" s="17"/>
      <c r="AE77" s="17"/>
      <c r="AF77" s="27"/>
      <c r="AG77" s="19"/>
      <c r="AH77" s="27"/>
      <c r="AI77" s="16"/>
      <c r="AJ77" s="27"/>
      <c r="AK77" s="16"/>
      <c r="AL77" s="28">
        <f t="shared" si="34"/>
        <v>0</v>
      </c>
      <c r="AM77" s="29"/>
      <c r="AN77" s="27"/>
      <c r="AO77" s="30">
        <f t="shared" si="35"/>
        <v>0</v>
      </c>
      <c r="AP77" s="31">
        <f t="shared" si="36"/>
        <v>0</v>
      </c>
      <c r="AQ77" s="27"/>
      <c r="AR77" s="16"/>
      <c r="AS77" s="27"/>
      <c r="AT77" s="16"/>
      <c r="AU77" s="27"/>
      <c r="AV77" s="16"/>
      <c r="AW77" s="27"/>
      <c r="AX77" s="16"/>
      <c r="AY77" s="27"/>
      <c r="AZ77" s="24"/>
      <c r="BA77" s="24"/>
      <c r="BB77" s="24"/>
      <c r="BC77" s="32"/>
      <c r="BD77" s="27"/>
      <c r="BE77" s="24"/>
      <c r="BF77" s="24"/>
      <c r="BG77" s="24"/>
      <c r="BH77" s="16"/>
      <c r="BI77" s="27"/>
      <c r="BJ77" s="24"/>
      <c r="BK77" s="24"/>
      <c r="BL77" s="24"/>
      <c r="BM77" s="16"/>
      <c r="BN77" s="61">
        <f t="shared" si="37"/>
        <v>0</v>
      </c>
      <c r="BO77" s="27"/>
      <c r="BP77" s="24"/>
      <c r="BQ77" s="24"/>
      <c r="BR77" s="16"/>
      <c r="BS77" s="61">
        <f t="shared" si="17"/>
        <v>0</v>
      </c>
      <c r="BT77" s="62"/>
      <c r="BU77" s="69" t="str">
        <f t="shared" ca="1" si="42"/>
        <v/>
      </c>
      <c r="BV77" s="33">
        <f t="shared" ca="1" si="38"/>
        <v>1</v>
      </c>
      <c r="BW77" s="33">
        <v>1</v>
      </c>
      <c r="BX77" s="60" t="str">
        <f t="shared" ca="1" si="39"/>
        <v/>
      </c>
      <c r="BY77" s="34" t="str">
        <f t="shared" si="40"/>
        <v/>
      </c>
      <c r="BZ77" s="21"/>
      <c r="CA77" s="35" t="str">
        <f t="shared" ca="1" si="41"/>
        <v/>
      </c>
      <c r="CB77" s="16"/>
    </row>
    <row r="78" spans="1:80" ht="15.75">
      <c r="A78" s="362"/>
      <c r="B78" s="17"/>
      <c r="C78" s="18"/>
      <c r="D78" s="17"/>
      <c r="E78" s="17"/>
      <c r="F78" s="17"/>
      <c r="G78" s="19"/>
      <c r="H78" s="16"/>
      <c r="I78" s="16"/>
      <c r="J78" s="16"/>
      <c r="K78" s="20"/>
      <c r="L78" s="16"/>
      <c r="M78" s="364"/>
      <c r="N78" s="365"/>
      <c r="O78" s="365"/>
      <c r="P78" s="311">
        <f t="shared" si="33"/>
        <v>0</v>
      </c>
      <c r="Q78" s="362"/>
      <c r="R78" s="366"/>
      <c r="S78" s="362"/>
      <c r="T78" s="366"/>
      <c r="U78" s="363"/>
      <c r="V78" s="17"/>
      <c r="W78" s="23" t="str">
        <f>IFERROR(VLOOKUP(V78,Listas!$A$1:$C$14,2,FALSE),"")</f>
        <v/>
      </c>
      <c r="X78" s="23" t="str">
        <f>IFERROR(VLOOKUP(V78,Listas!$A$1:$C$14,3,FALSE),"")</f>
        <v/>
      </c>
      <c r="Y78" s="17"/>
      <c r="Z78" s="17"/>
      <c r="AA78" s="23" t="str">
        <f>IFERROR(VLOOKUP(Z78,Listas!$AD$1:$AF$65,2,FALSE),"")</f>
        <v/>
      </c>
      <c r="AB78" s="23" t="str">
        <f>IFERROR(VLOOKUP(Z78,Listas!$AD$1:$AF$65,3,FALSE),"")</f>
        <v/>
      </c>
      <c r="AC78" s="17"/>
      <c r="AD78" s="17"/>
      <c r="AE78" s="17"/>
      <c r="AF78" s="27"/>
      <c r="AG78" s="19"/>
      <c r="AH78" s="27"/>
      <c r="AI78" s="16"/>
      <c r="AJ78" s="27"/>
      <c r="AK78" s="16"/>
      <c r="AL78" s="28">
        <f t="shared" si="34"/>
        <v>0</v>
      </c>
      <c r="AM78" s="29"/>
      <c r="AN78" s="27"/>
      <c r="AO78" s="30">
        <f t="shared" si="35"/>
        <v>0</v>
      </c>
      <c r="AP78" s="31">
        <f t="shared" si="36"/>
        <v>0</v>
      </c>
      <c r="AQ78" s="27"/>
      <c r="AR78" s="16"/>
      <c r="AS78" s="27"/>
      <c r="AT78" s="16"/>
      <c r="AU78" s="27"/>
      <c r="AV78" s="16"/>
      <c r="AW78" s="27"/>
      <c r="AX78" s="16"/>
      <c r="AY78" s="27"/>
      <c r="AZ78" s="24"/>
      <c r="BA78" s="24"/>
      <c r="BB78" s="24"/>
      <c r="BC78" s="32"/>
      <c r="BD78" s="27"/>
      <c r="BE78" s="24"/>
      <c r="BF78" s="24"/>
      <c r="BG78" s="24"/>
      <c r="BH78" s="16"/>
      <c r="BI78" s="27"/>
      <c r="BJ78" s="24"/>
      <c r="BK78" s="24"/>
      <c r="BL78" s="24"/>
      <c r="BM78" s="16"/>
      <c r="BN78" s="61">
        <f t="shared" si="37"/>
        <v>0</v>
      </c>
      <c r="BO78" s="27"/>
      <c r="BP78" s="24"/>
      <c r="BQ78" s="24"/>
      <c r="BR78" s="16"/>
      <c r="BS78" s="61">
        <f t="shared" si="17"/>
        <v>0</v>
      </c>
      <c r="BT78" s="62"/>
      <c r="BU78" s="69" t="str">
        <f t="shared" ca="1" si="42"/>
        <v/>
      </c>
      <c r="BV78" s="33">
        <f t="shared" ca="1" si="38"/>
        <v>1</v>
      </c>
      <c r="BW78" s="33">
        <v>1</v>
      </c>
      <c r="BX78" s="60" t="str">
        <f t="shared" ca="1" si="39"/>
        <v/>
      </c>
      <c r="BY78" s="34" t="str">
        <f t="shared" si="40"/>
        <v/>
      </c>
      <c r="BZ78" s="21"/>
      <c r="CA78" s="35" t="str">
        <f t="shared" ca="1" si="41"/>
        <v/>
      </c>
      <c r="CB78" s="16"/>
    </row>
    <row r="79" spans="1:80" ht="15.75">
      <c r="A79" s="362"/>
      <c r="B79" s="17"/>
      <c r="C79" s="18"/>
      <c r="D79" s="17"/>
      <c r="E79" s="17"/>
      <c r="F79" s="17"/>
      <c r="G79" s="19"/>
      <c r="H79" s="16"/>
      <c r="I79" s="16"/>
      <c r="J79" s="16"/>
      <c r="K79" s="20"/>
      <c r="L79" s="16"/>
      <c r="M79" s="364"/>
      <c r="N79" s="365"/>
      <c r="O79" s="365"/>
      <c r="P79" s="311">
        <f t="shared" si="33"/>
        <v>0</v>
      </c>
      <c r="Q79" s="362"/>
      <c r="R79" s="366"/>
      <c r="S79" s="362"/>
      <c r="T79" s="366"/>
      <c r="U79" s="363"/>
      <c r="V79" s="17"/>
      <c r="W79" s="23" t="str">
        <f>IFERROR(VLOOKUP(V79,Listas!$A$1:$C$14,2,FALSE),"")</f>
        <v/>
      </c>
      <c r="X79" s="23" t="str">
        <f>IFERROR(VLOOKUP(V79,Listas!$A$1:$C$14,3,FALSE),"")</f>
        <v/>
      </c>
      <c r="Y79" s="17"/>
      <c r="Z79" s="17"/>
      <c r="AA79" s="23" t="str">
        <f>IFERROR(VLOOKUP(Z79,Listas!$AD$1:$AF$65,2,FALSE),"")</f>
        <v/>
      </c>
      <c r="AB79" s="23" t="str">
        <f>IFERROR(VLOOKUP(Z79,Listas!$AD$1:$AF$65,3,FALSE),"")</f>
        <v/>
      </c>
      <c r="AC79" s="17"/>
      <c r="AD79" s="17"/>
      <c r="AE79" s="17"/>
      <c r="AF79" s="27"/>
      <c r="AG79" s="19"/>
      <c r="AH79" s="27"/>
      <c r="AI79" s="16"/>
      <c r="AJ79" s="27"/>
      <c r="AK79" s="16"/>
      <c r="AL79" s="28">
        <f t="shared" si="34"/>
        <v>0</v>
      </c>
      <c r="AM79" s="29"/>
      <c r="AN79" s="27"/>
      <c r="AO79" s="30">
        <f t="shared" si="35"/>
        <v>0</v>
      </c>
      <c r="AP79" s="31">
        <f t="shared" si="36"/>
        <v>0</v>
      </c>
      <c r="AQ79" s="27"/>
      <c r="AR79" s="16"/>
      <c r="AS79" s="27"/>
      <c r="AT79" s="16"/>
      <c r="AU79" s="27"/>
      <c r="AV79" s="16"/>
      <c r="AW79" s="27"/>
      <c r="AX79" s="16"/>
      <c r="AY79" s="27"/>
      <c r="AZ79" s="24"/>
      <c r="BA79" s="24"/>
      <c r="BB79" s="24"/>
      <c r="BC79" s="32"/>
      <c r="BD79" s="27"/>
      <c r="BE79" s="24"/>
      <c r="BF79" s="24"/>
      <c r="BG79" s="24"/>
      <c r="BH79" s="16"/>
      <c r="BI79" s="27"/>
      <c r="BJ79" s="24"/>
      <c r="BK79" s="24"/>
      <c r="BL79" s="24"/>
      <c r="BM79" s="16"/>
      <c r="BN79" s="61">
        <f t="shared" si="37"/>
        <v>0</v>
      </c>
      <c r="BO79" s="27"/>
      <c r="BP79" s="24"/>
      <c r="BQ79" s="24"/>
      <c r="BR79" s="16"/>
      <c r="BS79" s="61">
        <f t="shared" si="17"/>
        <v>0</v>
      </c>
      <c r="BT79" s="62"/>
      <c r="BU79" s="69" t="str">
        <f t="shared" ca="1" si="42"/>
        <v/>
      </c>
      <c r="BV79" s="33">
        <f t="shared" ca="1" si="38"/>
        <v>1</v>
      </c>
      <c r="BW79" s="33">
        <v>1</v>
      </c>
      <c r="BX79" s="60" t="str">
        <f t="shared" ca="1" si="39"/>
        <v/>
      </c>
      <c r="BY79" s="34" t="str">
        <f t="shared" si="40"/>
        <v/>
      </c>
      <c r="BZ79" s="21"/>
      <c r="CA79" s="35" t="str">
        <f t="shared" ca="1" si="41"/>
        <v/>
      </c>
      <c r="CB79" s="16"/>
    </row>
    <row r="80" spans="1:80" ht="15.75">
      <c r="A80" s="362"/>
      <c r="B80" s="17"/>
      <c r="C80" s="18"/>
      <c r="D80" s="17"/>
      <c r="E80" s="17"/>
      <c r="F80" s="17"/>
      <c r="G80" s="19"/>
      <c r="H80" s="16"/>
      <c r="I80" s="16"/>
      <c r="J80" s="16"/>
      <c r="K80" s="20"/>
      <c r="L80" s="16"/>
      <c r="M80" s="364"/>
      <c r="N80" s="365"/>
      <c r="O80" s="365"/>
      <c r="P80" s="311">
        <f t="shared" si="33"/>
        <v>0</v>
      </c>
      <c r="Q80" s="362"/>
      <c r="R80" s="366"/>
      <c r="S80" s="362"/>
      <c r="T80" s="366"/>
      <c r="U80" s="363"/>
      <c r="V80" s="17"/>
      <c r="W80" s="23" t="str">
        <f>IFERROR(VLOOKUP(V80,Listas!$A$1:$C$14,2,FALSE),"")</f>
        <v/>
      </c>
      <c r="X80" s="23" t="str">
        <f>IFERROR(VLOOKUP(V80,Listas!$A$1:$C$14,3,FALSE),"")</f>
        <v/>
      </c>
      <c r="Y80" s="17"/>
      <c r="Z80" s="17"/>
      <c r="AA80" s="23" t="str">
        <f>IFERROR(VLOOKUP(Z80,Listas!$AD$1:$AF$65,2,FALSE),"")</f>
        <v/>
      </c>
      <c r="AB80" s="23" t="str">
        <f>IFERROR(VLOOKUP(Z80,Listas!$AD$1:$AF$65,3,FALSE),"")</f>
        <v/>
      </c>
      <c r="AC80" s="17"/>
      <c r="AD80" s="17"/>
      <c r="AE80" s="17"/>
      <c r="AF80" s="27"/>
      <c r="AG80" s="19"/>
      <c r="AH80" s="27"/>
      <c r="AI80" s="16"/>
      <c r="AJ80" s="27"/>
      <c r="AK80" s="16"/>
      <c r="AL80" s="28">
        <f t="shared" si="34"/>
        <v>0</v>
      </c>
      <c r="AM80" s="29"/>
      <c r="AN80" s="27"/>
      <c r="AO80" s="30">
        <f t="shared" si="35"/>
        <v>0</v>
      </c>
      <c r="AP80" s="31">
        <f t="shared" si="36"/>
        <v>0</v>
      </c>
      <c r="AQ80" s="27"/>
      <c r="AR80" s="16"/>
      <c r="AS80" s="27"/>
      <c r="AT80" s="16"/>
      <c r="AU80" s="27"/>
      <c r="AV80" s="16"/>
      <c r="AW80" s="27"/>
      <c r="AX80" s="16"/>
      <c r="AY80" s="27"/>
      <c r="AZ80" s="24"/>
      <c r="BA80" s="24"/>
      <c r="BB80" s="24"/>
      <c r="BC80" s="32"/>
      <c r="BD80" s="27"/>
      <c r="BE80" s="24"/>
      <c r="BF80" s="24"/>
      <c r="BG80" s="24"/>
      <c r="BH80" s="16"/>
      <c r="BI80" s="27"/>
      <c r="BJ80" s="24"/>
      <c r="BK80" s="24"/>
      <c r="BL80" s="24"/>
      <c r="BM80" s="16"/>
      <c r="BN80" s="61">
        <f t="shared" si="37"/>
        <v>0</v>
      </c>
      <c r="BO80" s="27"/>
      <c r="BP80" s="24"/>
      <c r="BQ80" s="24"/>
      <c r="BR80" s="16"/>
      <c r="BS80" s="61">
        <f t="shared" ref="BS80:BS111" si="43">IF(U80=0,(T80+BN80),IF(U80&gt;0,(U80+BN80)))</f>
        <v>0</v>
      </c>
      <c r="BT80" s="62"/>
      <c r="BU80" s="69" t="str">
        <f t="shared" ca="1" si="42"/>
        <v/>
      </c>
      <c r="BV80" s="33">
        <f t="shared" ca="1" si="38"/>
        <v>1</v>
      </c>
      <c r="BW80" s="33">
        <v>1</v>
      </c>
      <c r="BX80" s="60" t="str">
        <f t="shared" ca="1" si="39"/>
        <v/>
      </c>
      <c r="BY80" s="34" t="str">
        <f t="shared" si="40"/>
        <v/>
      </c>
      <c r="BZ80" s="21"/>
      <c r="CA80" s="35" t="str">
        <f t="shared" ca="1" si="41"/>
        <v/>
      </c>
      <c r="CB80" s="16"/>
    </row>
    <row r="81" spans="1:80" ht="15.75">
      <c r="A81" s="362"/>
      <c r="B81" s="17"/>
      <c r="C81" s="18"/>
      <c r="D81" s="17"/>
      <c r="E81" s="17"/>
      <c r="F81" s="17"/>
      <c r="G81" s="19"/>
      <c r="H81" s="16"/>
      <c r="I81" s="16"/>
      <c r="J81" s="16"/>
      <c r="K81" s="20"/>
      <c r="L81" s="16"/>
      <c r="M81" s="364"/>
      <c r="N81" s="365"/>
      <c r="O81" s="365"/>
      <c r="P81" s="311">
        <f t="shared" si="33"/>
        <v>0</v>
      </c>
      <c r="Q81" s="362"/>
      <c r="R81" s="366"/>
      <c r="S81" s="362"/>
      <c r="T81" s="366"/>
      <c r="U81" s="363"/>
      <c r="V81" s="17"/>
      <c r="W81" s="23" t="str">
        <f>IFERROR(VLOOKUP(V81,Listas!$A$1:$C$14,2,FALSE),"")</f>
        <v/>
      </c>
      <c r="X81" s="23" t="str">
        <f>IFERROR(VLOOKUP(V81,Listas!$A$1:$C$14,3,FALSE),"")</f>
        <v/>
      </c>
      <c r="Y81" s="17"/>
      <c r="Z81" s="17"/>
      <c r="AA81" s="23" t="str">
        <f>IFERROR(VLOOKUP(Z81,Listas!$AD$1:$AF$65,2,FALSE),"")</f>
        <v/>
      </c>
      <c r="AB81" s="23" t="str">
        <f>IFERROR(VLOOKUP(Z81,Listas!$AD$1:$AF$65,3,FALSE),"")</f>
        <v/>
      </c>
      <c r="AC81" s="17"/>
      <c r="AD81" s="17"/>
      <c r="AE81" s="17"/>
      <c r="AF81" s="27"/>
      <c r="AG81" s="19"/>
      <c r="AH81" s="27"/>
      <c r="AI81" s="16"/>
      <c r="AJ81" s="27"/>
      <c r="AK81" s="16"/>
      <c r="AL81" s="28">
        <f t="shared" si="34"/>
        <v>0</v>
      </c>
      <c r="AM81" s="29"/>
      <c r="AN81" s="27"/>
      <c r="AO81" s="30">
        <f t="shared" si="35"/>
        <v>0</v>
      </c>
      <c r="AP81" s="31">
        <f t="shared" si="36"/>
        <v>0</v>
      </c>
      <c r="AQ81" s="27"/>
      <c r="AR81" s="16"/>
      <c r="AS81" s="27"/>
      <c r="AT81" s="16"/>
      <c r="AU81" s="27"/>
      <c r="AV81" s="16"/>
      <c r="AW81" s="27"/>
      <c r="AX81" s="16"/>
      <c r="AY81" s="27"/>
      <c r="AZ81" s="24"/>
      <c r="BA81" s="24"/>
      <c r="BB81" s="24"/>
      <c r="BC81" s="32"/>
      <c r="BD81" s="27"/>
      <c r="BE81" s="24"/>
      <c r="BF81" s="24"/>
      <c r="BG81" s="24"/>
      <c r="BH81" s="16"/>
      <c r="BI81" s="27"/>
      <c r="BJ81" s="24"/>
      <c r="BK81" s="24"/>
      <c r="BL81" s="24"/>
      <c r="BM81" s="16"/>
      <c r="BN81" s="61">
        <f t="shared" si="37"/>
        <v>0</v>
      </c>
      <c r="BO81" s="27"/>
      <c r="BP81" s="24"/>
      <c r="BQ81" s="24"/>
      <c r="BR81" s="16"/>
      <c r="BS81" s="61">
        <f t="shared" si="43"/>
        <v>0</v>
      </c>
      <c r="BT81" s="62"/>
      <c r="BU81" s="69" t="str">
        <f t="shared" ca="1" si="42"/>
        <v/>
      </c>
      <c r="BV81" s="33">
        <f t="shared" ca="1" si="38"/>
        <v>1</v>
      </c>
      <c r="BW81" s="33">
        <v>1</v>
      </c>
      <c r="BX81" s="60" t="str">
        <f t="shared" ca="1" si="39"/>
        <v/>
      </c>
      <c r="BY81" s="34" t="str">
        <f t="shared" si="40"/>
        <v/>
      </c>
      <c r="BZ81" s="21"/>
      <c r="CA81" s="35" t="str">
        <f t="shared" ca="1" si="41"/>
        <v/>
      </c>
      <c r="CB81" s="16"/>
    </row>
    <row r="82" spans="1:80" ht="15.75">
      <c r="A82" s="362"/>
      <c r="B82" s="17"/>
      <c r="C82" s="18"/>
      <c r="D82" s="17"/>
      <c r="E82" s="17"/>
      <c r="F82" s="17"/>
      <c r="G82" s="19"/>
      <c r="H82" s="16"/>
      <c r="I82" s="16"/>
      <c r="J82" s="16"/>
      <c r="K82" s="20"/>
      <c r="L82" s="16"/>
      <c r="M82" s="364"/>
      <c r="N82" s="365"/>
      <c r="O82" s="365"/>
      <c r="P82" s="311">
        <f t="shared" si="33"/>
        <v>0</v>
      </c>
      <c r="Q82" s="362"/>
      <c r="R82" s="366"/>
      <c r="S82" s="362"/>
      <c r="T82" s="366"/>
      <c r="U82" s="363"/>
      <c r="V82" s="17"/>
      <c r="W82" s="23" t="str">
        <f>IFERROR(VLOOKUP(V82,Listas!$A$1:$C$14,2,FALSE),"")</f>
        <v/>
      </c>
      <c r="X82" s="23" t="str">
        <f>IFERROR(VLOOKUP(V82,Listas!$A$1:$C$14,3,FALSE),"")</f>
        <v/>
      </c>
      <c r="Y82" s="17"/>
      <c r="Z82" s="17"/>
      <c r="AA82" s="23" t="str">
        <f>IFERROR(VLOOKUP(Z82,Listas!$AD$1:$AF$65,2,FALSE),"")</f>
        <v/>
      </c>
      <c r="AB82" s="23" t="str">
        <f>IFERROR(VLOOKUP(Z82,Listas!$AD$1:$AF$65,3,FALSE),"")</f>
        <v/>
      </c>
      <c r="AC82" s="17"/>
      <c r="AD82" s="17"/>
      <c r="AE82" s="17"/>
      <c r="AF82" s="27"/>
      <c r="AG82" s="19"/>
      <c r="AH82" s="27"/>
      <c r="AI82" s="16"/>
      <c r="AJ82" s="27"/>
      <c r="AK82" s="16"/>
      <c r="AL82" s="28">
        <f t="shared" si="34"/>
        <v>0</v>
      </c>
      <c r="AM82" s="29"/>
      <c r="AN82" s="27"/>
      <c r="AO82" s="30">
        <f t="shared" si="35"/>
        <v>0</v>
      </c>
      <c r="AP82" s="31">
        <f t="shared" si="36"/>
        <v>0</v>
      </c>
      <c r="AQ82" s="27"/>
      <c r="AR82" s="16"/>
      <c r="AS82" s="27"/>
      <c r="AT82" s="16"/>
      <c r="AU82" s="27"/>
      <c r="AV82" s="16"/>
      <c r="AW82" s="27"/>
      <c r="AX82" s="16"/>
      <c r="AY82" s="27"/>
      <c r="AZ82" s="24"/>
      <c r="BA82" s="24"/>
      <c r="BB82" s="24"/>
      <c r="BC82" s="32"/>
      <c r="BD82" s="27"/>
      <c r="BE82" s="24"/>
      <c r="BF82" s="24"/>
      <c r="BG82" s="24"/>
      <c r="BH82" s="16"/>
      <c r="BI82" s="27"/>
      <c r="BJ82" s="24"/>
      <c r="BK82" s="24"/>
      <c r="BL82" s="24"/>
      <c r="BM82" s="16"/>
      <c r="BN82" s="61">
        <f t="shared" si="37"/>
        <v>0</v>
      </c>
      <c r="BO82" s="27"/>
      <c r="BP82" s="24"/>
      <c r="BQ82" s="24"/>
      <c r="BR82" s="16"/>
      <c r="BS82" s="61">
        <f t="shared" si="43"/>
        <v>0</v>
      </c>
      <c r="BT82" s="62"/>
      <c r="BU82" s="69" t="str">
        <f t="shared" ca="1" si="42"/>
        <v/>
      </c>
      <c r="BV82" s="33">
        <f t="shared" ca="1" si="38"/>
        <v>1</v>
      </c>
      <c r="BW82" s="33">
        <v>1</v>
      </c>
      <c r="BX82" s="60" t="str">
        <f t="shared" ca="1" si="39"/>
        <v/>
      </c>
      <c r="BY82" s="34" t="str">
        <f t="shared" si="40"/>
        <v/>
      </c>
      <c r="BZ82" s="21"/>
      <c r="CA82" s="35" t="str">
        <f t="shared" ca="1" si="41"/>
        <v/>
      </c>
      <c r="CB82" s="16"/>
    </row>
    <row r="83" spans="1:80" ht="15.75">
      <c r="A83" s="362"/>
      <c r="B83" s="17"/>
      <c r="C83" s="18"/>
      <c r="D83" s="17"/>
      <c r="E83" s="17"/>
      <c r="F83" s="17"/>
      <c r="G83" s="19"/>
      <c r="H83" s="16"/>
      <c r="I83" s="16"/>
      <c r="J83" s="16"/>
      <c r="K83" s="20"/>
      <c r="L83" s="16"/>
      <c r="M83" s="364"/>
      <c r="N83" s="365"/>
      <c r="O83" s="365"/>
      <c r="P83" s="311">
        <f t="shared" si="33"/>
        <v>0</v>
      </c>
      <c r="Q83" s="362"/>
      <c r="R83" s="366"/>
      <c r="S83" s="362"/>
      <c r="T83" s="366"/>
      <c r="U83" s="363"/>
      <c r="V83" s="17"/>
      <c r="W83" s="23" t="str">
        <f>IFERROR(VLOOKUP(V83,Listas!$A$1:$C$14,2,FALSE),"")</f>
        <v/>
      </c>
      <c r="X83" s="23" t="str">
        <f>IFERROR(VLOOKUP(V83,Listas!$A$1:$C$14,3,FALSE),"")</f>
        <v/>
      </c>
      <c r="Y83" s="17"/>
      <c r="Z83" s="17"/>
      <c r="AA83" s="23" t="str">
        <f>IFERROR(VLOOKUP(Z83,Listas!$AD$1:$AF$65,2,FALSE),"")</f>
        <v/>
      </c>
      <c r="AB83" s="23" t="str">
        <f>IFERROR(VLOOKUP(Z83,Listas!$AD$1:$AF$65,3,FALSE),"")</f>
        <v/>
      </c>
      <c r="AC83" s="17"/>
      <c r="AD83" s="17"/>
      <c r="AE83" s="17"/>
      <c r="AF83" s="27"/>
      <c r="AG83" s="19"/>
      <c r="AH83" s="27"/>
      <c r="AI83" s="16"/>
      <c r="AJ83" s="27"/>
      <c r="AK83" s="16"/>
      <c r="AL83" s="28">
        <f t="shared" si="34"/>
        <v>0</v>
      </c>
      <c r="AM83" s="29"/>
      <c r="AN83" s="27"/>
      <c r="AO83" s="30">
        <f t="shared" si="35"/>
        <v>0</v>
      </c>
      <c r="AP83" s="31">
        <f t="shared" si="36"/>
        <v>0</v>
      </c>
      <c r="AQ83" s="27"/>
      <c r="AR83" s="16"/>
      <c r="AS83" s="27"/>
      <c r="AT83" s="16"/>
      <c r="AU83" s="27"/>
      <c r="AV83" s="16"/>
      <c r="AW83" s="27"/>
      <c r="AX83" s="16"/>
      <c r="AY83" s="27"/>
      <c r="AZ83" s="24"/>
      <c r="BA83" s="24"/>
      <c r="BB83" s="24"/>
      <c r="BC83" s="32"/>
      <c r="BD83" s="27"/>
      <c r="BE83" s="24"/>
      <c r="BF83" s="24"/>
      <c r="BG83" s="24"/>
      <c r="BH83" s="16"/>
      <c r="BI83" s="27"/>
      <c r="BJ83" s="24"/>
      <c r="BK83" s="24"/>
      <c r="BL83" s="24"/>
      <c r="BM83" s="16"/>
      <c r="BN83" s="61">
        <f t="shared" si="37"/>
        <v>0</v>
      </c>
      <c r="BO83" s="27"/>
      <c r="BP83" s="24"/>
      <c r="BQ83" s="24"/>
      <c r="BR83" s="16"/>
      <c r="BS83" s="61">
        <f t="shared" si="43"/>
        <v>0</v>
      </c>
      <c r="BT83" s="62"/>
      <c r="BU83" s="69" t="str">
        <f t="shared" ca="1" si="42"/>
        <v/>
      </c>
      <c r="BV83" s="33">
        <f t="shared" ca="1" si="38"/>
        <v>1</v>
      </c>
      <c r="BW83" s="33">
        <v>1</v>
      </c>
      <c r="BX83" s="60" t="str">
        <f t="shared" ca="1" si="39"/>
        <v/>
      </c>
      <c r="BY83" s="34" t="str">
        <f t="shared" si="40"/>
        <v/>
      </c>
      <c r="BZ83" s="21"/>
      <c r="CA83" s="35" t="str">
        <f t="shared" ca="1" si="41"/>
        <v/>
      </c>
      <c r="CB83" s="16"/>
    </row>
    <row r="84" spans="1:80" ht="15.75">
      <c r="A84" s="362"/>
      <c r="B84" s="17"/>
      <c r="C84" s="18"/>
      <c r="D84" s="17"/>
      <c r="E84" s="17"/>
      <c r="F84" s="17"/>
      <c r="G84" s="19"/>
      <c r="H84" s="16"/>
      <c r="I84" s="16"/>
      <c r="J84" s="16"/>
      <c r="K84" s="20"/>
      <c r="L84" s="16"/>
      <c r="M84" s="364"/>
      <c r="N84" s="365"/>
      <c r="O84" s="365"/>
      <c r="P84" s="311">
        <f t="shared" si="33"/>
        <v>0</v>
      </c>
      <c r="Q84" s="362"/>
      <c r="R84" s="366"/>
      <c r="S84" s="362"/>
      <c r="T84" s="366"/>
      <c r="U84" s="363"/>
      <c r="V84" s="17"/>
      <c r="W84" s="23" t="str">
        <f>IFERROR(VLOOKUP(V84,Listas!$A$1:$C$14,2,FALSE),"")</f>
        <v/>
      </c>
      <c r="X84" s="23" t="str">
        <f>IFERROR(VLOOKUP(V84,Listas!$A$1:$C$14,3,FALSE),"")</f>
        <v/>
      </c>
      <c r="Y84" s="17"/>
      <c r="Z84" s="17"/>
      <c r="AA84" s="23" t="str">
        <f>IFERROR(VLOOKUP(Z84,Listas!$AD$1:$AF$65,2,FALSE),"")</f>
        <v/>
      </c>
      <c r="AB84" s="23" t="str">
        <f>IFERROR(VLOOKUP(Z84,Listas!$AD$1:$AF$65,3,FALSE),"")</f>
        <v/>
      </c>
      <c r="AC84" s="17"/>
      <c r="AD84" s="17"/>
      <c r="AE84" s="17"/>
      <c r="AF84" s="27"/>
      <c r="AG84" s="19"/>
      <c r="AH84" s="27"/>
      <c r="AI84" s="16"/>
      <c r="AJ84" s="27"/>
      <c r="AK84" s="16"/>
      <c r="AL84" s="28">
        <f t="shared" si="34"/>
        <v>0</v>
      </c>
      <c r="AM84" s="29"/>
      <c r="AN84" s="27"/>
      <c r="AO84" s="30">
        <f t="shared" si="35"/>
        <v>0</v>
      </c>
      <c r="AP84" s="31">
        <f t="shared" si="36"/>
        <v>0</v>
      </c>
      <c r="AQ84" s="27"/>
      <c r="AR84" s="16"/>
      <c r="AS84" s="27"/>
      <c r="AT84" s="16"/>
      <c r="AU84" s="27"/>
      <c r="AV84" s="16"/>
      <c r="AW84" s="27"/>
      <c r="AX84" s="16"/>
      <c r="AY84" s="27"/>
      <c r="AZ84" s="24"/>
      <c r="BA84" s="24"/>
      <c r="BB84" s="24"/>
      <c r="BC84" s="32"/>
      <c r="BD84" s="27"/>
      <c r="BE84" s="24"/>
      <c r="BF84" s="24"/>
      <c r="BG84" s="24"/>
      <c r="BH84" s="16"/>
      <c r="BI84" s="27"/>
      <c r="BJ84" s="24"/>
      <c r="BK84" s="24"/>
      <c r="BL84" s="24"/>
      <c r="BM84" s="16"/>
      <c r="BN84" s="61">
        <f t="shared" si="37"/>
        <v>0</v>
      </c>
      <c r="BO84" s="27"/>
      <c r="BP84" s="24"/>
      <c r="BQ84" s="24"/>
      <c r="BR84" s="16"/>
      <c r="BS84" s="61">
        <f t="shared" si="43"/>
        <v>0</v>
      </c>
      <c r="BT84" s="62"/>
      <c r="BU84" s="69" t="str">
        <f t="shared" ca="1" si="42"/>
        <v/>
      </c>
      <c r="BV84" s="33">
        <f t="shared" ca="1" si="38"/>
        <v>1</v>
      </c>
      <c r="BW84" s="33">
        <v>1</v>
      </c>
      <c r="BX84" s="60" t="str">
        <f t="shared" ca="1" si="39"/>
        <v/>
      </c>
      <c r="BY84" s="34" t="str">
        <f t="shared" si="40"/>
        <v/>
      </c>
      <c r="BZ84" s="21"/>
      <c r="CA84" s="35" t="str">
        <f t="shared" ca="1" si="41"/>
        <v/>
      </c>
      <c r="CB84" s="16"/>
    </row>
    <row r="85" spans="1:80" ht="15.75">
      <c r="A85" s="362"/>
      <c r="B85" s="17"/>
      <c r="C85" s="18"/>
      <c r="D85" s="17"/>
      <c r="E85" s="17"/>
      <c r="F85" s="17"/>
      <c r="G85" s="19"/>
      <c r="H85" s="16"/>
      <c r="I85" s="16"/>
      <c r="J85" s="16"/>
      <c r="K85" s="20"/>
      <c r="L85" s="16"/>
      <c r="M85" s="364"/>
      <c r="N85" s="365"/>
      <c r="O85" s="365"/>
      <c r="P85" s="311">
        <f t="shared" si="33"/>
        <v>0</v>
      </c>
      <c r="Q85" s="362"/>
      <c r="R85" s="366"/>
      <c r="S85" s="362"/>
      <c r="T85" s="366"/>
      <c r="U85" s="363"/>
      <c r="V85" s="17"/>
      <c r="W85" s="23" t="str">
        <f>IFERROR(VLOOKUP(V85,Listas!$A$1:$C$14,2,FALSE),"")</f>
        <v/>
      </c>
      <c r="X85" s="23" t="str">
        <f>IFERROR(VLOOKUP(V85,Listas!$A$1:$C$14,3,FALSE),"")</f>
        <v/>
      </c>
      <c r="Y85" s="17"/>
      <c r="Z85" s="17"/>
      <c r="AA85" s="23" t="str">
        <f>IFERROR(VLOOKUP(Z85,Listas!$AD$1:$AF$65,2,FALSE),"")</f>
        <v/>
      </c>
      <c r="AB85" s="23" t="str">
        <f>IFERROR(VLOOKUP(Z85,Listas!$AD$1:$AF$65,3,FALSE),"")</f>
        <v/>
      </c>
      <c r="AC85" s="17"/>
      <c r="AD85" s="17"/>
      <c r="AE85" s="17"/>
      <c r="AF85" s="27"/>
      <c r="AG85" s="19"/>
      <c r="AH85" s="27"/>
      <c r="AI85" s="16"/>
      <c r="AJ85" s="27"/>
      <c r="AK85" s="16"/>
      <c r="AL85" s="28">
        <f t="shared" si="34"/>
        <v>0</v>
      </c>
      <c r="AM85" s="29"/>
      <c r="AN85" s="27"/>
      <c r="AO85" s="30">
        <f t="shared" si="35"/>
        <v>0</v>
      </c>
      <c r="AP85" s="31">
        <f t="shared" si="36"/>
        <v>0</v>
      </c>
      <c r="AQ85" s="27"/>
      <c r="AR85" s="16"/>
      <c r="AS85" s="27"/>
      <c r="AT85" s="16"/>
      <c r="AU85" s="27"/>
      <c r="AV85" s="16"/>
      <c r="AW85" s="27"/>
      <c r="AX85" s="16"/>
      <c r="AY85" s="27"/>
      <c r="AZ85" s="24"/>
      <c r="BA85" s="24"/>
      <c r="BB85" s="24"/>
      <c r="BC85" s="32"/>
      <c r="BD85" s="27"/>
      <c r="BE85" s="24"/>
      <c r="BF85" s="24"/>
      <c r="BG85" s="24"/>
      <c r="BH85" s="16"/>
      <c r="BI85" s="27"/>
      <c r="BJ85" s="24"/>
      <c r="BK85" s="24"/>
      <c r="BL85" s="24"/>
      <c r="BM85" s="16"/>
      <c r="BN85" s="61">
        <f t="shared" si="37"/>
        <v>0</v>
      </c>
      <c r="BO85" s="27"/>
      <c r="BP85" s="24"/>
      <c r="BQ85" s="24"/>
      <c r="BR85" s="16"/>
      <c r="BS85" s="61">
        <f t="shared" si="43"/>
        <v>0</v>
      </c>
      <c r="BT85" s="62"/>
      <c r="BU85" s="69" t="str">
        <f t="shared" ca="1" si="42"/>
        <v/>
      </c>
      <c r="BV85" s="33">
        <f t="shared" ca="1" si="38"/>
        <v>1</v>
      </c>
      <c r="BW85" s="33">
        <v>1</v>
      </c>
      <c r="BX85" s="60" t="str">
        <f t="shared" ca="1" si="39"/>
        <v/>
      </c>
      <c r="BY85" s="34" t="str">
        <f t="shared" si="40"/>
        <v/>
      </c>
      <c r="BZ85" s="21"/>
      <c r="CA85" s="35" t="str">
        <f t="shared" ca="1" si="41"/>
        <v/>
      </c>
      <c r="CB85" s="16"/>
    </row>
    <row r="86" spans="1:80" ht="15.75">
      <c r="A86" s="362"/>
      <c r="B86" s="17"/>
      <c r="C86" s="18"/>
      <c r="D86" s="17"/>
      <c r="E86" s="17"/>
      <c r="F86" s="17"/>
      <c r="G86" s="19"/>
      <c r="H86" s="16"/>
      <c r="I86" s="16"/>
      <c r="J86" s="16"/>
      <c r="K86" s="20"/>
      <c r="L86" s="16"/>
      <c r="M86" s="364"/>
      <c r="N86" s="365"/>
      <c r="O86" s="365"/>
      <c r="P86" s="311">
        <f t="shared" si="33"/>
        <v>0</v>
      </c>
      <c r="Q86" s="362"/>
      <c r="R86" s="366"/>
      <c r="S86" s="362"/>
      <c r="T86" s="366"/>
      <c r="U86" s="363"/>
      <c r="V86" s="17"/>
      <c r="W86" s="23" t="str">
        <f>IFERROR(VLOOKUP(V86,Listas!$A$1:$C$14,2,FALSE),"")</f>
        <v/>
      </c>
      <c r="X86" s="23" t="str">
        <f>IFERROR(VLOOKUP(V86,Listas!$A$1:$C$14,3,FALSE),"")</f>
        <v/>
      </c>
      <c r="Y86" s="17"/>
      <c r="Z86" s="17"/>
      <c r="AA86" s="23" t="str">
        <f>IFERROR(VLOOKUP(Z86,Listas!$AD$1:$AF$65,2,FALSE),"")</f>
        <v/>
      </c>
      <c r="AB86" s="23" t="str">
        <f>IFERROR(VLOOKUP(Z86,Listas!$AD$1:$AF$65,3,FALSE),"")</f>
        <v/>
      </c>
      <c r="AC86" s="17"/>
      <c r="AD86" s="17"/>
      <c r="AE86" s="17"/>
      <c r="AF86" s="27"/>
      <c r="AG86" s="19"/>
      <c r="AH86" s="27"/>
      <c r="AI86" s="16"/>
      <c r="AJ86" s="27"/>
      <c r="AK86" s="16"/>
      <c r="AL86" s="28">
        <f t="shared" si="34"/>
        <v>0</v>
      </c>
      <c r="AM86" s="29"/>
      <c r="AN86" s="27"/>
      <c r="AO86" s="30">
        <f t="shared" si="35"/>
        <v>0</v>
      </c>
      <c r="AP86" s="31">
        <f t="shared" si="36"/>
        <v>0</v>
      </c>
      <c r="AQ86" s="27"/>
      <c r="AR86" s="16"/>
      <c r="AS86" s="27"/>
      <c r="AT86" s="16"/>
      <c r="AU86" s="27"/>
      <c r="AV86" s="16"/>
      <c r="AW86" s="27"/>
      <c r="AX86" s="16"/>
      <c r="AY86" s="27"/>
      <c r="AZ86" s="24"/>
      <c r="BA86" s="24"/>
      <c r="BB86" s="24"/>
      <c r="BC86" s="32"/>
      <c r="BD86" s="27"/>
      <c r="BE86" s="24"/>
      <c r="BF86" s="24"/>
      <c r="BG86" s="24"/>
      <c r="BH86" s="16"/>
      <c r="BI86" s="27"/>
      <c r="BJ86" s="24"/>
      <c r="BK86" s="24"/>
      <c r="BL86" s="24"/>
      <c r="BM86" s="16"/>
      <c r="BN86" s="61">
        <f t="shared" si="37"/>
        <v>0</v>
      </c>
      <c r="BO86" s="27"/>
      <c r="BP86" s="24"/>
      <c r="BQ86" s="24"/>
      <c r="BR86" s="16"/>
      <c r="BS86" s="61">
        <f t="shared" si="43"/>
        <v>0</v>
      </c>
      <c r="BT86" s="62"/>
      <c r="BU86" s="69" t="str">
        <f t="shared" ca="1" si="42"/>
        <v/>
      </c>
      <c r="BV86" s="33">
        <f t="shared" ca="1" si="38"/>
        <v>1</v>
      </c>
      <c r="BW86" s="33">
        <v>1</v>
      </c>
      <c r="BX86" s="60" t="str">
        <f t="shared" ca="1" si="39"/>
        <v/>
      </c>
      <c r="BY86" s="34" t="str">
        <f t="shared" si="40"/>
        <v/>
      </c>
      <c r="BZ86" s="21"/>
      <c r="CA86" s="35" t="str">
        <f t="shared" ca="1" si="41"/>
        <v/>
      </c>
      <c r="CB86" s="16"/>
    </row>
    <row r="87" spans="1:80" ht="15.75">
      <c r="A87" s="362"/>
      <c r="B87" s="17"/>
      <c r="C87" s="18"/>
      <c r="D87" s="17"/>
      <c r="E87" s="17"/>
      <c r="F87" s="17"/>
      <c r="G87" s="19"/>
      <c r="H87" s="16"/>
      <c r="I87" s="16"/>
      <c r="J87" s="16"/>
      <c r="K87" s="20"/>
      <c r="L87" s="16"/>
      <c r="M87" s="364"/>
      <c r="N87" s="365"/>
      <c r="O87" s="365"/>
      <c r="P87" s="311">
        <f t="shared" si="33"/>
        <v>0</v>
      </c>
      <c r="Q87" s="362"/>
      <c r="R87" s="366"/>
      <c r="S87" s="362"/>
      <c r="T87" s="366"/>
      <c r="U87" s="363"/>
      <c r="V87" s="17"/>
      <c r="W87" s="23" t="str">
        <f>IFERROR(VLOOKUP(V87,Listas!$A$1:$C$14,2,FALSE),"")</f>
        <v/>
      </c>
      <c r="X87" s="23" t="str">
        <f>IFERROR(VLOOKUP(V87,Listas!$A$1:$C$14,3,FALSE),"")</f>
        <v/>
      </c>
      <c r="Y87" s="17"/>
      <c r="Z87" s="17"/>
      <c r="AA87" s="23" t="str">
        <f>IFERROR(VLOOKUP(Z87,Listas!$AD$1:$AF$65,2,FALSE),"")</f>
        <v/>
      </c>
      <c r="AB87" s="23" t="str">
        <f>IFERROR(VLOOKUP(Z87,Listas!$AD$1:$AF$65,3,FALSE),"")</f>
        <v/>
      </c>
      <c r="AC87" s="17"/>
      <c r="AD87" s="17"/>
      <c r="AE87" s="17"/>
      <c r="AF87" s="27"/>
      <c r="AG87" s="19"/>
      <c r="AH87" s="27"/>
      <c r="AI87" s="16"/>
      <c r="AJ87" s="27"/>
      <c r="AK87" s="16"/>
      <c r="AL87" s="28">
        <f t="shared" si="34"/>
        <v>0</v>
      </c>
      <c r="AM87" s="29"/>
      <c r="AN87" s="27"/>
      <c r="AO87" s="30">
        <f t="shared" si="35"/>
        <v>0</v>
      </c>
      <c r="AP87" s="31">
        <f t="shared" si="36"/>
        <v>0</v>
      </c>
      <c r="AQ87" s="27"/>
      <c r="AR87" s="16"/>
      <c r="AS87" s="27"/>
      <c r="AT87" s="16"/>
      <c r="AU87" s="27"/>
      <c r="AV87" s="16"/>
      <c r="AW87" s="27"/>
      <c r="AX87" s="16"/>
      <c r="AY87" s="27"/>
      <c r="AZ87" s="24"/>
      <c r="BA87" s="24"/>
      <c r="BB87" s="24"/>
      <c r="BC87" s="32"/>
      <c r="BD87" s="27"/>
      <c r="BE87" s="24"/>
      <c r="BF87" s="24"/>
      <c r="BG87" s="24"/>
      <c r="BH87" s="16"/>
      <c r="BI87" s="27"/>
      <c r="BJ87" s="24"/>
      <c r="BK87" s="24"/>
      <c r="BL87" s="24"/>
      <c r="BM87" s="16"/>
      <c r="BN87" s="61">
        <f t="shared" si="37"/>
        <v>0</v>
      </c>
      <c r="BO87" s="27"/>
      <c r="BP87" s="24"/>
      <c r="BQ87" s="24"/>
      <c r="BR87" s="16"/>
      <c r="BS87" s="61">
        <f t="shared" si="43"/>
        <v>0</v>
      </c>
      <c r="BT87" s="62"/>
      <c r="BU87" s="69" t="str">
        <f t="shared" ca="1" si="42"/>
        <v/>
      </c>
      <c r="BV87" s="33">
        <f t="shared" ca="1" si="38"/>
        <v>1</v>
      </c>
      <c r="BW87" s="33">
        <v>1</v>
      </c>
      <c r="BX87" s="60" t="str">
        <f t="shared" ca="1" si="39"/>
        <v/>
      </c>
      <c r="BY87" s="34" t="str">
        <f t="shared" si="40"/>
        <v/>
      </c>
      <c r="BZ87" s="21"/>
      <c r="CA87" s="35" t="str">
        <f t="shared" ca="1" si="41"/>
        <v/>
      </c>
      <c r="CB87" s="16"/>
    </row>
    <row r="88" spans="1:80" ht="15.75">
      <c r="A88" s="362"/>
      <c r="B88" s="17"/>
      <c r="C88" s="18"/>
      <c r="D88" s="17"/>
      <c r="E88" s="17"/>
      <c r="F88" s="17"/>
      <c r="G88" s="19"/>
      <c r="H88" s="16"/>
      <c r="I88" s="16"/>
      <c r="J88" s="16"/>
      <c r="K88" s="20"/>
      <c r="L88" s="16"/>
      <c r="M88" s="364"/>
      <c r="N88" s="365"/>
      <c r="O88" s="365"/>
      <c r="P88" s="311">
        <f t="shared" si="33"/>
        <v>0</v>
      </c>
      <c r="Q88" s="362"/>
      <c r="R88" s="366"/>
      <c r="S88" s="362"/>
      <c r="T88" s="366"/>
      <c r="U88" s="363"/>
      <c r="V88" s="17"/>
      <c r="W88" s="23" t="str">
        <f>IFERROR(VLOOKUP(V88,Listas!$A$1:$C$14,2,FALSE),"")</f>
        <v/>
      </c>
      <c r="X88" s="23" t="str">
        <f>IFERROR(VLOOKUP(V88,Listas!$A$1:$C$14,3,FALSE),"")</f>
        <v/>
      </c>
      <c r="Y88" s="17"/>
      <c r="Z88" s="17"/>
      <c r="AA88" s="23" t="str">
        <f>IFERROR(VLOOKUP(Z88,Listas!$AD$1:$AF$65,2,FALSE),"")</f>
        <v/>
      </c>
      <c r="AB88" s="23" t="str">
        <f>IFERROR(VLOOKUP(Z88,Listas!$AD$1:$AF$65,3,FALSE),"")</f>
        <v/>
      </c>
      <c r="AC88" s="17"/>
      <c r="AD88" s="17"/>
      <c r="AE88" s="17"/>
      <c r="AF88" s="27"/>
      <c r="AG88" s="19"/>
      <c r="AH88" s="27"/>
      <c r="AI88" s="16"/>
      <c r="AJ88" s="27"/>
      <c r="AK88" s="16"/>
      <c r="AL88" s="28">
        <f t="shared" si="34"/>
        <v>0</v>
      </c>
      <c r="AM88" s="29"/>
      <c r="AN88" s="27"/>
      <c r="AO88" s="30">
        <f t="shared" si="35"/>
        <v>0</v>
      </c>
      <c r="AP88" s="31">
        <f t="shared" si="36"/>
        <v>0</v>
      </c>
      <c r="AQ88" s="27"/>
      <c r="AR88" s="16"/>
      <c r="AS88" s="27"/>
      <c r="AT88" s="16"/>
      <c r="AU88" s="27"/>
      <c r="AV88" s="16"/>
      <c r="AW88" s="27"/>
      <c r="AX88" s="16"/>
      <c r="AY88" s="27"/>
      <c r="AZ88" s="24"/>
      <c r="BA88" s="24"/>
      <c r="BB88" s="24"/>
      <c r="BC88" s="32"/>
      <c r="BD88" s="27"/>
      <c r="BE88" s="24"/>
      <c r="BF88" s="24"/>
      <c r="BG88" s="24"/>
      <c r="BH88" s="16"/>
      <c r="BI88" s="27"/>
      <c r="BJ88" s="24"/>
      <c r="BK88" s="24"/>
      <c r="BL88" s="24"/>
      <c r="BM88" s="16"/>
      <c r="BN88" s="61">
        <f t="shared" si="37"/>
        <v>0</v>
      </c>
      <c r="BO88" s="27"/>
      <c r="BP88" s="24"/>
      <c r="BQ88" s="24"/>
      <c r="BR88" s="16"/>
      <c r="BS88" s="61">
        <f t="shared" si="43"/>
        <v>0</v>
      </c>
      <c r="BT88" s="62"/>
      <c r="BU88" s="69" t="str">
        <f t="shared" ca="1" si="42"/>
        <v/>
      </c>
      <c r="BV88" s="33">
        <f t="shared" ca="1" si="38"/>
        <v>1</v>
      </c>
      <c r="BW88" s="33">
        <v>1</v>
      </c>
      <c r="BX88" s="60" t="str">
        <f t="shared" ca="1" si="39"/>
        <v/>
      </c>
      <c r="BY88" s="34" t="str">
        <f t="shared" si="40"/>
        <v/>
      </c>
      <c r="BZ88" s="21"/>
      <c r="CA88" s="35" t="str">
        <f t="shared" ca="1" si="41"/>
        <v/>
      </c>
      <c r="CB88" s="16"/>
    </row>
    <row r="89" spans="1:80" ht="15.75">
      <c r="A89" s="362"/>
      <c r="B89" s="17"/>
      <c r="C89" s="18"/>
      <c r="D89" s="17"/>
      <c r="E89" s="17"/>
      <c r="F89" s="17"/>
      <c r="G89" s="19"/>
      <c r="H89" s="16"/>
      <c r="I89" s="16"/>
      <c r="J89" s="16"/>
      <c r="K89" s="20"/>
      <c r="L89" s="16"/>
      <c r="M89" s="364"/>
      <c r="N89" s="365"/>
      <c r="O89" s="365"/>
      <c r="P89" s="311">
        <f t="shared" si="33"/>
        <v>0</v>
      </c>
      <c r="Q89" s="362"/>
      <c r="R89" s="366"/>
      <c r="S89" s="362"/>
      <c r="T89" s="366"/>
      <c r="U89" s="363"/>
      <c r="V89" s="17"/>
      <c r="W89" s="23" t="str">
        <f>IFERROR(VLOOKUP(V89,Listas!$A$1:$C$14,2,FALSE),"")</f>
        <v/>
      </c>
      <c r="X89" s="23" t="str">
        <f>IFERROR(VLOOKUP(V89,Listas!$A$1:$C$14,3,FALSE),"")</f>
        <v/>
      </c>
      <c r="Y89" s="17"/>
      <c r="Z89" s="17"/>
      <c r="AA89" s="23" t="str">
        <f>IFERROR(VLOOKUP(Z89,Listas!$AD$1:$AF$65,2,FALSE),"")</f>
        <v/>
      </c>
      <c r="AB89" s="23" t="str">
        <f>IFERROR(VLOOKUP(Z89,Listas!$AD$1:$AF$65,3,FALSE),"")</f>
        <v/>
      </c>
      <c r="AC89" s="17"/>
      <c r="AD89" s="17"/>
      <c r="AE89" s="17"/>
      <c r="AF89" s="27"/>
      <c r="AG89" s="19"/>
      <c r="AH89" s="27"/>
      <c r="AI89" s="16"/>
      <c r="AJ89" s="27"/>
      <c r="AK89" s="16"/>
      <c r="AL89" s="28">
        <f t="shared" si="34"/>
        <v>0</v>
      </c>
      <c r="AM89" s="29"/>
      <c r="AN89" s="27"/>
      <c r="AO89" s="30">
        <f t="shared" si="35"/>
        <v>0</v>
      </c>
      <c r="AP89" s="31">
        <f t="shared" si="36"/>
        <v>0</v>
      </c>
      <c r="AQ89" s="27"/>
      <c r="AR89" s="16"/>
      <c r="AS89" s="27"/>
      <c r="AT89" s="16"/>
      <c r="AU89" s="27"/>
      <c r="AV89" s="16"/>
      <c r="AW89" s="27"/>
      <c r="AX89" s="16"/>
      <c r="AY89" s="27"/>
      <c r="AZ89" s="24"/>
      <c r="BA89" s="24"/>
      <c r="BB89" s="24"/>
      <c r="BC89" s="32"/>
      <c r="BD89" s="27"/>
      <c r="BE89" s="24"/>
      <c r="BF89" s="24"/>
      <c r="BG89" s="24"/>
      <c r="BH89" s="16"/>
      <c r="BI89" s="27"/>
      <c r="BJ89" s="24"/>
      <c r="BK89" s="24"/>
      <c r="BL89" s="24"/>
      <c r="BM89" s="16"/>
      <c r="BN89" s="61">
        <f t="shared" si="37"/>
        <v>0</v>
      </c>
      <c r="BO89" s="27"/>
      <c r="BP89" s="24"/>
      <c r="BQ89" s="24"/>
      <c r="BR89" s="16"/>
      <c r="BS89" s="61">
        <f t="shared" si="43"/>
        <v>0</v>
      </c>
      <c r="BT89" s="62"/>
      <c r="BU89" s="69" t="str">
        <f t="shared" ca="1" si="42"/>
        <v/>
      </c>
      <c r="BV89" s="33">
        <f t="shared" ca="1" si="38"/>
        <v>1</v>
      </c>
      <c r="BW89" s="33">
        <v>1</v>
      </c>
      <c r="BX89" s="60" t="str">
        <f t="shared" ca="1" si="39"/>
        <v/>
      </c>
      <c r="BY89" s="34" t="str">
        <f t="shared" si="40"/>
        <v/>
      </c>
      <c r="BZ89" s="21"/>
      <c r="CA89" s="35" t="str">
        <f t="shared" ca="1" si="41"/>
        <v/>
      </c>
      <c r="CB89" s="16"/>
    </row>
    <row r="90" spans="1:80" ht="15.75">
      <c r="A90" s="362"/>
      <c r="B90" s="17"/>
      <c r="C90" s="18"/>
      <c r="D90" s="17"/>
      <c r="E90" s="17"/>
      <c r="F90" s="17"/>
      <c r="G90" s="19"/>
      <c r="H90" s="16"/>
      <c r="I90" s="16"/>
      <c r="J90" s="16"/>
      <c r="K90" s="20"/>
      <c r="L90" s="16"/>
      <c r="M90" s="364"/>
      <c r="N90" s="365"/>
      <c r="O90" s="365"/>
      <c r="P90" s="311">
        <f t="shared" si="33"/>
        <v>0</v>
      </c>
      <c r="Q90" s="362"/>
      <c r="R90" s="366"/>
      <c r="S90" s="362"/>
      <c r="T90" s="366"/>
      <c r="U90" s="363"/>
      <c r="V90" s="17"/>
      <c r="W90" s="23" t="str">
        <f>IFERROR(VLOOKUP(V90,Listas!$A$1:$C$14,2,FALSE),"")</f>
        <v/>
      </c>
      <c r="X90" s="23" t="str">
        <f>IFERROR(VLOOKUP(V90,Listas!$A$1:$C$14,3,FALSE),"")</f>
        <v/>
      </c>
      <c r="Y90" s="17"/>
      <c r="Z90" s="17"/>
      <c r="AA90" s="23" t="str">
        <f>IFERROR(VLOOKUP(Z90,Listas!$AD$1:$AF$65,2,FALSE),"")</f>
        <v/>
      </c>
      <c r="AB90" s="23" t="str">
        <f>IFERROR(VLOOKUP(Z90,Listas!$AD$1:$AF$65,3,FALSE),"")</f>
        <v/>
      </c>
      <c r="AC90" s="17"/>
      <c r="AD90" s="17"/>
      <c r="AE90" s="17"/>
      <c r="AF90" s="27"/>
      <c r="AG90" s="19"/>
      <c r="AH90" s="27"/>
      <c r="AI90" s="16"/>
      <c r="AJ90" s="27"/>
      <c r="AK90" s="16"/>
      <c r="AL90" s="28">
        <f t="shared" si="34"/>
        <v>0</v>
      </c>
      <c r="AM90" s="29"/>
      <c r="AN90" s="27"/>
      <c r="AO90" s="30">
        <f t="shared" si="35"/>
        <v>0</v>
      </c>
      <c r="AP90" s="31">
        <f t="shared" si="36"/>
        <v>0</v>
      </c>
      <c r="AQ90" s="27"/>
      <c r="AR90" s="16"/>
      <c r="AS90" s="27"/>
      <c r="AT90" s="16"/>
      <c r="AU90" s="27"/>
      <c r="AV90" s="16"/>
      <c r="AW90" s="27"/>
      <c r="AX90" s="16"/>
      <c r="AY90" s="27"/>
      <c r="AZ90" s="24"/>
      <c r="BA90" s="24"/>
      <c r="BB90" s="24"/>
      <c r="BC90" s="32"/>
      <c r="BD90" s="27"/>
      <c r="BE90" s="24"/>
      <c r="BF90" s="24"/>
      <c r="BG90" s="24"/>
      <c r="BH90" s="16"/>
      <c r="BI90" s="27"/>
      <c r="BJ90" s="24"/>
      <c r="BK90" s="24"/>
      <c r="BL90" s="24"/>
      <c r="BM90" s="16"/>
      <c r="BN90" s="61">
        <f t="shared" si="37"/>
        <v>0</v>
      </c>
      <c r="BO90" s="27"/>
      <c r="BP90" s="24"/>
      <c r="BQ90" s="24"/>
      <c r="BR90" s="16"/>
      <c r="BS90" s="61">
        <f t="shared" si="43"/>
        <v>0</v>
      </c>
      <c r="BT90" s="62"/>
      <c r="BU90" s="69" t="str">
        <f t="shared" ca="1" si="42"/>
        <v/>
      </c>
      <c r="BV90" s="33">
        <f t="shared" ca="1" si="38"/>
        <v>1</v>
      </c>
      <c r="BW90" s="33">
        <v>1</v>
      </c>
      <c r="BX90" s="60" t="str">
        <f t="shared" ca="1" si="39"/>
        <v/>
      </c>
      <c r="BY90" s="34" t="str">
        <f t="shared" si="40"/>
        <v/>
      </c>
      <c r="BZ90" s="21"/>
      <c r="CA90" s="35" t="str">
        <f t="shared" ca="1" si="41"/>
        <v/>
      </c>
      <c r="CB90" s="16"/>
    </row>
    <row r="91" spans="1:80" ht="15.75">
      <c r="A91" s="362"/>
      <c r="B91" s="17"/>
      <c r="C91" s="18"/>
      <c r="D91" s="17"/>
      <c r="E91" s="17"/>
      <c r="F91" s="17"/>
      <c r="G91" s="19"/>
      <c r="H91" s="16"/>
      <c r="I91" s="16"/>
      <c r="J91" s="16"/>
      <c r="K91" s="20"/>
      <c r="L91" s="16"/>
      <c r="M91" s="364"/>
      <c r="N91" s="365"/>
      <c r="O91" s="365"/>
      <c r="P91" s="311">
        <f t="shared" si="33"/>
        <v>0</v>
      </c>
      <c r="Q91" s="362"/>
      <c r="R91" s="366"/>
      <c r="S91" s="362"/>
      <c r="T91" s="366"/>
      <c r="U91" s="363"/>
      <c r="V91" s="17"/>
      <c r="W91" s="23" t="str">
        <f>IFERROR(VLOOKUP(V91,Listas!$A$1:$C$14,2,FALSE),"")</f>
        <v/>
      </c>
      <c r="X91" s="23" t="str">
        <f>IFERROR(VLOOKUP(V91,Listas!$A$1:$C$14,3,FALSE),"")</f>
        <v/>
      </c>
      <c r="Y91" s="17"/>
      <c r="Z91" s="17"/>
      <c r="AA91" s="23" t="str">
        <f>IFERROR(VLOOKUP(Z91,Listas!$AD$1:$AF$65,2,FALSE),"")</f>
        <v/>
      </c>
      <c r="AB91" s="23" t="str">
        <f>IFERROR(VLOOKUP(Z91,Listas!$AD$1:$AF$65,3,FALSE),"")</f>
        <v/>
      </c>
      <c r="AC91" s="17"/>
      <c r="AD91" s="17"/>
      <c r="AE91" s="17"/>
      <c r="AF91" s="27"/>
      <c r="AG91" s="19"/>
      <c r="AH91" s="27"/>
      <c r="AI91" s="16"/>
      <c r="AJ91" s="27"/>
      <c r="AK91" s="16"/>
      <c r="AL91" s="28">
        <f t="shared" si="34"/>
        <v>0</v>
      </c>
      <c r="AM91" s="29"/>
      <c r="AN91" s="27"/>
      <c r="AO91" s="30">
        <f t="shared" si="35"/>
        <v>0</v>
      </c>
      <c r="AP91" s="31">
        <f t="shared" si="36"/>
        <v>0</v>
      </c>
      <c r="AQ91" s="27"/>
      <c r="AR91" s="16"/>
      <c r="AS91" s="27"/>
      <c r="AT91" s="16"/>
      <c r="AU91" s="27"/>
      <c r="AV91" s="16"/>
      <c r="AW91" s="27"/>
      <c r="AX91" s="16"/>
      <c r="AY91" s="27"/>
      <c r="AZ91" s="24"/>
      <c r="BA91" s="24"/>
      <c r="BB91" s="24"/>
      <c r="BC91" s="32"/>
      <c r="BD91" s="27"/>
      <c r="BE91" s="24"/>
      <c r="BF91" s="24"/>
      <c r="BG91" s="24"/>
      <c r="BH91" s="16"/>
      <c r="BI91" s="27"/>
      <c r="BJ91" s="24"/>
      <c r="BK91" s="24"/>
      <c r="BL91" s="24"/>
      <c r="BM91" s="16"/>
      <c r="BN91" s="61">
        <f t="shared" si="37"/>
        <v>0</v>
      </c>
      <c r="BO91" s="27"/>
      <c r="BP91" s="24"/>
      <c r="BQ91" s="24"/>
      <c r="BR91" s="16"/>
      <c r="BS91" s="61">
        <f t="shared" si="43"/>
        <v>0</v>
      </c>
      <c r="BT91" s="62"/>
      <c r="BU91" s="69" t="str">
        <f t="shared" ca="1" si="42"/>
        <v/>
      </c>
      <c r="BV91" s="33">
        <f t="shared" ca="1" si="38"/>
        <v>1</v>
      </c>
      <c r="BW91" s="33">
        <v>1</v>
      </c>
      <c r="BX91" s="60" t="str">
        <f t="shared" ca="1" si="39"/>
        <v/>
      </c>
      <c r="BY91" s="34" t="str">
        <f t="shared" si="40"/>
        <v/>
      </c>
      <c r="BZ91" s="21"/>
      <c r="CA91" s="35" t="str">
        <f t="shared" ca="1" si="41"/>
        <v/>
      </c>
      <c r="CB91" s="16"/>
    </row>
    <row r="92" spans="1:80" ht="15.75">
      <c r="A92" s="362"/>
      <c r="B92" s="17"/>
      <c r="C92" s="18"/>
      <c r="D92" s="17"/>
      <c r="E92" s="17"/>
      <c r="F92" s="17"/>
      <c r="G92" s="19"/>
      <c r="H92" s="16"/>
      <c r="I92" s="16"/>
      <c r="J92" s="16"/>
      <c r="K92" s="20"/>
      <c r="L92" s="16"/>
      <c r="M92" s="364"/>
      <c r="N92" s="365"/>
      <c r="O92" s="365"/>
      <c r="P92" s="311">
        <f t="shared" si="33"/>
        <v>0</v>
      </c>
      <c r="Q92" s="362"/>
      <c r="R92" s="366"/>
      <c r="S92" s="362"/>
      <c r="T92" s="366"/>
      <c r="U92" s="363"/>
      <c r="V92" s="17"/>
      <c r="W92" s="23" t="str">
        <f>IFERROR(VLOOKUP(V92,Listas!$A$1:$C$14,2,FALSE),"")</f>
        <v/>
      </c>
      <c r="X92" s="23" t="str">
        <f>IFERROR(VLOOKUP(V92,Listas!$A$1:$C$14,3,FALSE),"")</f>
        <v/>
      </c>
      <c r="Y92" s="17"/>
      <c r="Z92" s="17"/>
      <c r="AA92" s="23" t="str">
        <f>IFERROR(VLOOKUP(Z92,Listas!$AD$1:$AF$65,2,FALSE),"")</f>
        <v/>
      </c>
      <c r="AB92" s="23" t="str">
        <f>IFERROR(VLOOKUP(Z92,Listas!$AD$1:$AF$65,3,FALSE),"")</f>
        <v/>
      </c>
      <c r="AC92" s="17"/>
      <c r="AD92" s="17"/>
      <c r="AE92" s="17"/>
      <c r="AF92" s="27"/>
      <c r="AG92" s="19"/>
      <c r="AH92" s="27"/>
      <c r="AI92" s="16"/>
      <c r="AJ92" s="27"/>
      <c r="AK92" s="16"/>
      <c r="AL92" s="28">
        <f t="shared" si="34"/>
        <v>0</v>
      </c>
      <c r="AM92" s="29"/>
      <c r="AN92" s="27"/>
      <c r="AO92" s="30">
        <f t="shared" si="35"/>
        <v>0</v>
      </c>
      <c r="AP92" s="31">
        <f t="shared" si="36"/>
        <v>0</v>
      </c>
      <c r="AQ92" s="27"/>
      <c r="AR92" s="16"/>
      <c r="AS92" s="27"/>
      <c r="AT92" s="16"/>
      <c r="AU92" s="27"/>
      <c r="AV92" s="16"/>
      <c r="AW92" s="27"/>
      <c r="AX92" s="16"/>
      <c r="AY92" s="27"/>
      <c r="AZ92" s="24"/>
      <c r="BA92" s="24"/>
      <c r="BB92" s="24"/>
      <c r="BC92" s="32"/>
      <c r="BD92" s="27"/>
      <c r="BE92" s="24"/>
      <c r="BF92" s="24"/>
      <c r="BG92" s="24"/>
      <c r="BH92" s="16"/>
      <c r="BI92" s="27"/>
      <c r="BJ92" s="24"/>
      <c r="BK92" s="24"/>
      <c r="BL92" s="24"/>
      <c r="BM92" s="16"/>
      <c r="BN92" s="61">
        <f t="shared" si="37"/>
        <v>0</v>
      </c>
      <c r="BO92" s="27"/>
      <c r="BP92" s="24"/>
      <c r="BQ92" s="24"/>
      <c r="BR92" s="16"/>
      <c r="BS92" s="61">
        <f t="shared" si="43"/>
        <v>0</v>
      </c>
      <c r="BT92" s="62"/>
      <c r="BU92" s="69" t="str">
        <f t="shared" ca="1" si="42"/>
        <v/>
      </c>
      <c r="BV92" s="33">
        <f t="shared" ca="1" si="38"/>
        <v>1</v>
      </c>
      <c r="BW92" s="33">
        <v>1</v>
      </c>
      <c r="BX92" s="60" t="str">
        <f t="shared" ca="1" si="39"/>
        <v/>
      </c>
      <c r="BY92" s="34" t="str">
        <f t="shared" si="40"/>
        <v/>
      </c>
      <c r="BZ92" s="21"/>
      <c r="CA92" s="35" t="str">
        <f t="shared" ca="1" si="41"/>
        <v/>
      </c>
      <c r="CB92" s="16"/>
    </row>
    <row r="93" spans="1:80" ht="15.75">
      <c r="A93" s="362"/>
      <c r="B93" s="17"/>
      <c r="C93" s="18"/>
      <c r="D93" s="17"/>
      <c r="E93" s="17"/>
      <c r="F93" s="17"/>
      <c r="G93" s="19"/>
      <c r="H93" s="16"/>
      <c r="I93" s="16"/>
      <c r="J93" s="16"/>
      <c r="K93" s="20"/>
      <c r="L93" s="16"/>
      <c r="M93" s="364"/>
      <c r="N93" s="365"/>
      <c r="O93" s="365"/>
      <c r="P93" s="311">
        <f t="shared" si="33"/>
        <v>0</v>
      </c>
      <c r="Q93" s="362"/>
      <c r="R93" s="366"/>
      <c r="S93" s="362"/>
      <c r="T93" s="366"/>
      <c r="U93" s="363"/>
      <c r="V93" s="17"/>
      <c r="W93" s="23" t="str">
        <f>IFERROR(VLOOKUP(V93,Listas!$A$1:$C$14,2,FALSE),"")</f>
        <v/>
      </c>
      <c r="X93" s="23" t="str">
        <f>IFERROR(VLOOKUP(V93,Listas!$A$1:$C$14,3,FALSE),"")</f>
        <v/>
      </c>
      <c r="Y93" s="17"/>
      <c r="Z93" s="17"/>
      <c r="AA93" s="23" t="str">
        <f>IFERROR(VLOOKUP(Z93,Listas!$AD$1:$AF$65,2,FALSE),"")</f>
        <v/>
      </c>
      <c r="AB93" s="23" t="str">
        <f>IFERROR(VLOOKUP(Z93,Listas!$AD$1:$AF$65,3,FALSE),"")</f>
        <v/>
      </c>
      <c r="AC93" s="17"/>
      <c r="AD93" s="17"/>
      <c r="AE93" s="17"/>
      <c r="AF93" s="27"/>
      <c r="AG93" s="19"/>
      <c r="AH93" s="27"/>
      <c r="AI93" s="16"/>
      <c r="AJ93" s="27"/>
      <c r="AK93" s="16"/>
      <c r="AL93" s="28">
        <f t="shared" si="34"/>
        <v>0</v>
      </c>
      <c r="AM93" s="29"/>
      <c r="AN93" s="27"/>
      <c r="AO93" s="30">
        <f t="shared" si="35"/>
        <v>0</v>
      </c>
      <c r="AP93" s="31">
        <f t="shared" si="36"/>
        <v>0</v>
      </c>
      <c r="AQ93" s="27"/>
      <c r="AR93" s="16"/>
      <c r="AS93" s="27"/>
      <c r="AT93" s="16"/>
      <c r="AU93" s="27"/>
      <c r="AV93" s="16"/>
      <c r="AW93" s="27"/>
      <c r="AX93" s="16"/>
      <c r="AY93" s="27"/>
      <c r="AZ93" s="24"/>
      <c r="BA93" s="24"/>
      <c r="BB93" s="24"/>
      <c r="BC93" s="32"/>
      <c r="BD93" s="27"/>
      <c r="BE93" s="24"/>
      <c r="BF93" s="24"/>
      <c r="BG93" s="24"/>
      <c r="BH93" s="16"/>
      <c r="BI93" s="27"/>
      <c r="BJ93" s="24"/>
      <c r="BK93" s="24"/>
      <c r="BL93" s="24"/>
      <c r="BM93" s="16"/>
      <c r="BN93" s="61">
        <f t="shared" si="37"/>
        <v>0</v>
      </c>
      <c r="BO93" s="27"/>
      <c r="BP93" s="24"/>
      <c r="BQ93" s="24"/>
      <c r="BR93" s="16"/>
      <c r="BS93" s="61">
        <f t="shared" si="43"/>
        <v>0</v>
      </c>
      <c r="BT93" s="62"/>
      <c r="BU93" s="69" t="str">
        <f t="shared" ca="1" si="42"/>
        <v/>
      </c>
      <c r="BV93" s="33">
        <f t="shared" ca="1" si="38"/>
        <v>1</v>
      </c>
      <c r="BW93" s="33">
        <v>1</v>
      </c>
      <c r="BX93" s="60" t="str">
        <f t="shared" ca="1" si="39"/>
        <v/>
      </c>
      <c r="BY93" s="34" t="str">
        <f t="shared" si="40"/>
        <v/>
      </c>
      <c r="BZ93" s="21"/>
      <c r="CA93" s="35" t="str">
        <f t="shared" ca="1" si="41"/>
        <v/>
      </c>
      <c r="CB93" s="16"/>
    </row>
    <row r="94" spans="1:80" ht="15.75">
      <c r="A94" s="362"/>
      <c r="B94" s="17"/>
      <c r="C94" s="18"/>
      <c r="D94" s="17"/>
      <c r="E94" s="17"/>
      <c r="F94" s="17"/>
      <c r="G94" s="19"/>
      <c r="H94" s="16"/>
      <c r="I94" s="16"/>
      <c r="J94" s="16"/>
      <c r="K94" s="20"/>
      <c r="L94" s="16"/>
      <c r="M94" s="364"/>
      <c r="N94" s="365"/>
      <c r="O94" s="365"/>
      <c r="P94" s="311">
        <f t="shared" si="33"/>
        <v>0</v>
      </c>
      <c r="Q94" s="362"/>
      <c r="R94" s="366"/>
      <c r="S94" s="362"/>
      <c r="T94" s="366"/>
      <c r="U94" s="363"/>
      <c r="V94" s="17"/>
      <c r="W94" s="23" t="str">
        <f>IFERROR(VLOOKUP(V94,Listas!$A$1:$C$14,2,FALSE),"")</f>
        <v/>
      </c>
      <c r="X94" s="23" t="str">
        <f>IFERROR(VLOOKUP(V94,Listas!$A$1:$C$14,3,FALSE),"")</f>
        <v/>
      </c>
      <c r="Y94" s="17"/>
      <c r="Z94" s="17"/>
      <c r="AA94" s="23" t="str">
        <f>IFERROR(VLOOKUP(Z94,Listas!$AD$1:$AF$65,2,FALSE),"")</f>
        <v/>
      </c>
      <c r="AB94" s="23" t="str">
        <f>IFERROR(VLOOKUP(Z94,Listas!$AD$1:$AF$65,3,FALSE),"")</f>
        <v/>
      </c>
      <c r="AC94" s="17"/>
      <c r="AD94" s="17"/>
      <c r="AE94" s="17"/>
      <c r="AF94" s="27"/>
      <c r="AG94" s="19"/>
      <c r="AH94" s="27"/>
      <c r="AI94" s="16"/>
      <c r="AJ94" s="27"/>
      <c r="AK94" s="16"/>
      <c r="AL94" s="28">
        <f t="shared" si="34"/>
        <v>0</v>
      </c>
      <c r="AM94" s="29"/>
      <c r="AN94" s="27"/>
      <c r="AO94" s="30">
        <f t="shared" si="35"/>
        <v>0</v>
      </c>
      <c r="AP94" s="31">
        <f t="shared" si="36"/>
        <v>0</v>
      </c>
      <c r="AQ94" s="27"/>
      <c r="AR94" s="16"/>
      <c r="AS94" s="27"/>
      <c r="AT94" s="16"/>
      <c r="AU94" s="27"/>
      <c r="AV94" s="16"/>
      <c r="AW94" s="27"/>
      <c r="AX94" s="16"/>
      <c r="AY94" s="27"/>
      <c r="AZ94" s="24"/>
      <c r="BA94" s="24"/>
      <c r="BB94" s="24"/>
      <c r="BC94" s="32"/>
      <c r="BD94" s="27"/>
      <c r="BE94" s="24"/>
      <c r="BF94" s="24"/>
      <c r="BG94" s="24"/>
      <c r="BH94" s="16"/>
      <c r="BI94" s="27"/>
      <c r="BJ94" s="24"/>
      <c r="BK94" s="24"/>
      <c r="BL94" s="24"/>
      <c r="BM94" s="16"/>
      <c r="BN94" s="61">
        <f t="shared" si="37"/>
        <v>0</v>
      </c>
      <c r="BO94" s="27"/>
      <c r="BP94" s="24"/>
      <c r="BQ94" s="24"/>
      <c r="BR94" s="16"/>
      <c r="BS94" s="61">
        <f t="shared" si="43"/>
        <v>0</v>
      </c>
      <c r="BT94" s="62"/>
      <c r="BU94" s="69" t="str">
        <f t="shared" ca="1" si="42"/>
        <v/>
      </c>
      <c r="BV94" s="33">
        <f t="shared" ca="1" si="38"/>
        <v>1</v>
      </c>
      <c r="BW94" s="33">
        <v>1</v>
      </c>
      <c r="BX94" s="60" t="str">
        <f t="shared" ca="1" si="39"/>
        <v/>
      </c>
      <c r="BY94" s="34" t="str">
        <f t="shared" si="40"/>
        <v/>
      </c>
      <c r="BZ94" s="21"/>
      <c r="CA94" s="35" t="str">
        <f t="shared" ca="1" si="41"/>
        <v/>
      </c>
      <c r="CB94" s="16"/>
    </row>
    <row r="95" spans="1:80" ht="15.75">
      <c r="A95" s="362"/>
      <c r="B95" s="17"/>
      <c r="C95" s="18"/>
      <c r="D95" s="17"/>
      <c r="E95" s="17"/>
      <c r="F95" s="17"/>
      <c r="G95" s="19"/>
      <c r="H95" s="16"/>
      <c r="I95" s="16"/>
      <c r="J95" s="16"/>
      <c r="K95" s="20"/>
      <c r="L95" s="16"/>
      <c r="M95" s="364"/>
      <c r="N95" s="365"/>
      <c r="O95" s="365"/>
      <c r="P95" s="311">
        <f t="shared" si="33"/>
        <v>0</v>
      </c>
      <c r="Q95" s="362"/>
      <c r="R95" s="366"/>
      <c r="S95" s="362"/>
      <c r="T95" s="366"/>
      <c r="U95" s="363"/>
      <c r="V95" s="17"/>
      <c r="W95" s="23" t="str">
        <f>IFERROR(VLOOKUP(V95,Listas!$A$1:$C$14,2,FALSE),"")</f>
        <v/>
      </c>
      <c r="X95" s="23" t="str">
        <f>IFERROR(VLOOKUP(V95,Listas!$A$1:$C$14,3,FALSE),"")</f>
        <v/>
      </c>
      <c r="Y95" s="17"/>
      <c r="Z95" s="17"/>
      <c r="AA95" s="23" t="str">
        <f>IFERROR(VLOOKUP(Z95,Listas!$AD$1:$AF$65,2,FALSE),"")</f>
        <v/>
      </c>
      <c r="AB95" s="23" t="str">
        <f>IFERROR(VLOOKUP(Z95,Listas!$AD$1:$AF$65,3,FALSE),"")</f>
        <v/>
      </c>
      <c r="AC95" s="17"/>
      <c r="AD95" s="17"/>
      <c r="AE95" s="17"/>
      <c r="AF95" s="27"/>
      <c r="AG95" s="19"/>
      <c r="AH95" s="27"/>
      <c r="AI95" s="16"/>
      <c r="AJ95" s="27"/>
      <c r="AK95" s="16"/>
      <c r="AL95" s="28">
        <f t="shared" si="34"/>
        <v>0</v>
      </c>
      <c r="AM95" s="29"/>
      <c r="AN95" s="27"/>
      <c r="AO95" s="30">
        <f t="shared" si="35"/>
        <v>0</v>
      </c>
      <c r="AP95" s="31">
        <f t="shared" si="36"/>
        <v>0</v>
      </c>
      <c r="AQ95" s="27"/>
      <c r="AR95" s="16"/>
      <c r="AS95" s="27"/>
      <c r="AT95" s="16"/>
      <c r="AU95" s="27"/>
      <c r="AV95" s="16"/>
      <c r="AW95" s="27"/>
      <c r="AX95" s="16"/>
      <c r="AY95" s="27"/>
      <c r="AZ95" s="24"/>
      <c r="BA95" s="24"/>
      <c r="BB95" s="24"/>
      <c r="BC95" s="32"/>
      <c r="BD95" s="27"/>
      <c r="BE95" s="24"/>
      <c r="BF95" s="24"/>
      <c r="BG95" s="24"/>
      <c r="BH95" s="16"/>
      <c r="BI95" s="27"/>
      <c r="BJ95" s="24"/>
      <c r="BK95" s="24"/>
      <c r="BL95" s="24"/>
      <c r="BM95" s="16"/>
      <c r="BN95" s="61">
        <f t="shared" si="37"/>
        <v>0</v>
      </c>
      <c r="BO95" s="27"/>
      <c r="BP95" s="24"/>
      <c r="BQ95" s="24"/>
      <c r="BR95" s="16"/>
      <c r="BS95" s="61">
        <f t="shared" si="43"/>
        <v>0</v>
      </c>
      <c r="BT95" s="62"/>
      <c r="BU95" s="69" t="str">
        <f t="shared" ca="1" si="42"/>
        <v/>
      </c>
      <c r="BV95" s="33">
        <f t="shared" ca="1" si="38"/>
        <v>1</v>
      </c>
      <c r="BW95" s="33">
        <v>1</v>
      </c>
      <c r="BX95" s="60" t="str">
        <f t="shared" ca="1" si="39"/>
        <v/>
      </c>
      <c r="BY95" s="34" t="str">
        <f t="shared" si="40"/>
        <v/>
      </c>
      <c r="BZ95" s="21"/>
      <c r="CA95" s="35" t="str">
        <f t="shared" ca="1" si="41"/>
        <v/>
      </c>
      <c r="CB95" s="16"/>
    </row>
    <row r="96" spans="1:80" ht="15.75">
      <c r="A96" s="362"/>
      <c r="B96" s="17"/>
      <c r="C96" s="18"/>
      <c r="D96" s="17"/>
      <c r="E96" s="17"/>
      <c r="F96" s="17"/>
      <c r="G96" s="19"/>
      <c r="H96" s="16"/>
      <c r="I96" s="16"/>
      <c r="J96" s="16"/>
      <c r="K96" s="20"/>
      <c r="L96" s="16"/>
      <c r="M96" s="364"/>
      <c r="N96" s="365"/>
      <c r="O96" s="365"/>
      <c r="P96" s="311">
        <f t="shared" si="33"/>
        <v>0</v>
      </c>
      <c r="Q96" s="362"/>
      <c r="R96" s="366"/>
      <c r="S96" s="362"/>
      <c r="T96" s="366"/>
      <c r="U96" s="363"/>
      <c r="V96" s="17"/>
      <c r="W96" s="23" t="str">
        <f>IFERROR(VLOOKUP(V96,Listas!$A$1:$C$14,2,FALSE),"")</f>
        <v/>
      </c>
      <c r="X96" s="23" t="str">
        <f>IFERROR(VLOOKUP(V96,Listas!$A$1:$C$14,3,FALSE),"")</f>
        <v/>
      </c>
      <c r="Y96" s="17"/>
      <c r="Z96" s="17"/>
      <c r="AA96" s="23" t="str">
        <f>IFERROR(VLOOKUP(Z96,Listas!$AD$1:$AF$65,2,FALSE),"")</f>
        <v/>
      </c>
      <c r="AB96" s="23" t="str">
        <f>IFERROR(VLOOKUP(Z96,Listas!$AD$1:$AF$65,3,FALSE),"")</f>
        <v/>
      </c>
      <c r="AC96" s="17"/>
      <c r="AD96" s="17"/>
      <c r="AE96" s="17"/>
      <c r="AF96" s="27"/>
      <c r="AG96" s="19"/>
      <c r="AH96" s="27"/>
      <c r="AI96" s="16"/>
      <c r="AJ96" s="27"/>
      <c r="AK96" s="16"/>
      <c r="AL96" s="28">
        <f t="shared" si="34"/>
        <v>0</v>
      </c>
      <c r="AM96" s="29"/>
      <c r="AN96" s="27"/>
      <c r="AO96" s="30">
        <f t="shared" si="35"/>
        <v>0</v>
      </c>
      <c r="AP96" s="31">
        <f t="shared" si="36"/>
        <v>0</v>
      </c>
      <c r="AQ96" s="27"/>
      <c r="AR96" s="16"/>
      <c r="AS96" s="27"/>
      <c r="AT96" s="16"/>
      <c r="AU96" s="27"/>
      <c r="AV96" s="16"/>
      <c r="AW96" s="27"/>
      <c r="AX96" s="16"/>
      <c r="AY96" s="27"/>
      <c r="AZ96" s="24"/>
      <c r="BA96" s="24"/>
      <c r="BB96" s="24"/>
      <c r="BC96" s="32"/>
      <c r="BD96" s="27"/>
      <c r="BE96" s="24"/>
      <c r="BF96" s="24"/>
      <c r="BG96" s="24"/>
      <c r="BH96" s="16"/>
      <c r="BI96" s="27"/>
      <c r="BJ96" s="24"/>
      <c r="BK96" s="24"/>
      <c r="BL96" s="24"/>
      <c r="BM96" s="16"/>
      <c r="BN96" s="61">
        <f t="shared" si="37"/>
        <v>0</v>
      </c>
      <c r="BO96" s="27"/>
      <c r="BP96" s="24"/>
      <c r="BQ96" s="24"/>
      <c r="BR96" s="16"/>
      <c r="BS96" s="61">
        <f t="shared" si="43"/>
        <v>0</v>
      </c>
      <c r="BT96" s="62"/>
      <c r="BU96" s="69" t="str">
        <f t="shared" ca="1" si="42"/>
        <v/>
      </c>
      <c r="BV96" s="33">
        <f t="shared" ca="1" si="38"/>
        <v>1</v>
      </c>
      <c r="BW96" s="33">
        <v>1</v>
      </c>
      <c r="BX96" s="60" t="str">
        <f t="shared" ca="1" si="39"/>
        <v/>
      </c>
      <c r="BY96" s="34" t="str">
        <f t="shared" si="40"/>
        <v/>
      </c>
      <c r="BZ96" s="21"/>
      <c r="CA96" s="35" t="str">
        <f t="shared" ca="1" si="41"/>
        <v/>
      </c>
      <c r="CB96" s="16"/>
    </row>
    <row r="97" spans="1:80" ht="15.75">
      <c r="A97" s="362"/>
      <c r="B97" s="17"/>
      <c r="C97" s="18"/>
      <c r="D97" s="17"/>
      <c r="E97" s="17"/>
      <c r="F97" s="17"/>
      <c r="G97" s="19"/>
      <c r="H97" s="16"/>
      <c r="I97" s="16"/>
      <c r="J97" s="16"/>
      <c r="K97" s="20"/>
      <c r="L97" s="16"/>
      <c r="M97" s="364"/>
      <c r="N97" s="365"/>
      <c r="O97" s="365"/>
      <c r="P97" s="311">
        <f t="shared" si="33"/>
        <v>0</v>
      </c>
      <c r="Q97" s="362"/>
      <c r="R97" s="366"/>
      <c r="S97" s="362"/>
      <c r="T97" s="366"/>
      <c r="U97" s="363"/>
      <c r="V97" s="17"/>
      <c r="W97" s="23" t="str">
        <f>IFERROR(VLOOKUP(V97,Listas!$A$1:$C$14,2,FALSE),"")</f>
        <v/>
      </c>
      <c r="X97" s="23" t="str">
        <f>IFERROR(VLOOKUP(V97,Listas!$A$1:$C$14,3,FALSE),"")</f>
        <v/>
      </c>
      <c r="Y97" s="17"/>
      <c r="Z97" s="17"/>
      <c r="AA97" s="23" t="str">
        <f>IFERROR(VLOOKUP(Z97,Listas!$AD$1:$AF$65,2,FALSE),"")</f>
        <v/>
      </c>
      <c r="AB97" s="23" t="str">
        <f>IFERROR(VLOOKUP(Z97,Listas!$AD$1:$AF$65,3,FALSE),"")</f>
        <v/>
      </c>
      <c r="AC97" s="17"/>
      <c r="AD97" s="17"/>
      <c r="AE97" s="17"/>
      <c r="AF97" s="27"/>
      <c r="AG97" s="19"/>
      <c r="AH97" s="27"/>
      <c r="AI97" s="16"/>
      <c r="AJ97" s="27"/>
      <c r="AK97" s="16"/>
      <c r="AL97" s="28">
        <f t="shared" si="34"/>
        <v>0</v>
      </c>
      <c r="AM97" s="29"/>
      <c r="AN97" s="27"/>
      <c r="AO97" s="30">
        <f t="shared" si="35"/>
        <v>0</v>
      </c>
      <c r="AP97" s="31">
        <f t="shared" si="36"/>
        <v>0</v>
      </c>
      <c r="AQ97" s="27"/>
      <c r="AR97" s="16"/>
      <c r="AS97" s="27"/>
      <c r="AT97" s="16"/>
      <c r="AU97" s="27"/>
      <c r="AV97" s="16"/>
      <c r="AW97" s="27"/>
      <c r="AX97" s="16"/>
      <c r="AY97" s="27"/>
      <c r="AZ97" s="24"/>
      <c r="BA97" s="24"/>
      <c r="BB97" s="24"/>
      <c r="BC97" s="32"/>
      <c r="BD97" s="27"/>
      <c r="BE97" s="24"/>
      <c r="BF97" s="24"/>
      <c r="BG97" s="24"/>
      <c r="BH97" s="16"/>
      <c r="BI97" s="27"/>
      <c r="BJ97" s="24"/>
      <c r="BK97" s="24"/>
      <c r="BL97" s="24"/>
      <c r="BM97" s="16"/>
      <c r="BN97" s="61">
        <f t="shared" si="37"/>
        <v>0</v>
      </c>
      <c r="BO97" s="27"/>
      <c r="BP97" s="24"/>
      <c r="BQ97" s="24"/>
      <c r="BR97" s="16"/>
      <c r="BS97" s="61">
        <f t="shared" si="43"/>
        <v>0</v>
      </c>
      <c r="BT97" s="62"/>
      <c r="BU97" s="69" t="str">
        <f t="shared" ca="1" si="42"/>
        <v/>
      </c>
      <c r="BV97" s="33">
        <f t="shared" ca="1" si="38"/>
        <v>1</v>
      </c>
      <c r="BW97" s="33">
        <v>1</v>
      </c>
      <c r="BX97" s="60" t="str">
        <f t="shared" ca="1" si="39"/>
        <v/>
      </c>
      <c r="BY97" s="34" t="str">
        <f t="shared" si="40"/>
        <v/>
      </c>
      <c r="BZ97" s="21"/>
      <c r="CA97" s="35" t="str">
        <f t="shared" ca="1" si="41"/>
        <v/>
      </c>
      <c r="CB97" s="16"/>
    </row>
    <row r="98" spans="1:80" ht="15.75">
      <c r="A98" s="362"/>
      <c r="B98" s="17"/>
      <c r="C98" s="18"/>
      <c r="D98" s="17"/>
      <c r="E98" s="17"/>
      <c r="F98" s="17"/>
      <c r="G98" s="19"/>
      <c r="H98" s="16"/>
      <c r="I98" s="16"/>
      <c r="J98" s="16"/>
      <c r="K98" s="20"/>
      <c r="L98" s="16"/>
      <c r="M98" s="364"/>
      <c r="N98" s="365"/>
      <c r="O98" s="365"/>
      <c r="P98" s="311">
        <f t="shared" si="33"/>
        <v>0</v>
      </c>
      <c r="Q98" s="362"/>
      <c r="R98" s="366"/>
      <c r="S98" s="362"/>
      <c r="T98" s="366"/>
      <c r="U98" s="363"/>
      <c r="V98" s="17"/>
      <c r="W98" s="23" t="str">
        <f>IFERROR(VLOOKUP(V98,Listas!$A$1:$C$14,2,FALSE),"")</f>
        <v/>
      </c>
      <c r="X98" s="23" t="str">
        <f>IFERROR(VLOOKUP(V98,Listas!$A$1:$C$14,3,FALSE),"")</f>
        <v/>
      </c>
      <c r="Y98" s="17"/>
      <c r="Z98" s="17"/>
      <c r="AA98" s="23" t="str">
        <f>IFERROR(VLOOKUP(Z98,Listas!$AD$1:$AF$65,2,FALSE),"")</f>
        <v/>
      </c>
      <c r="AB98" s="23" t="str">
        <f>IFERROR(VLOOKUP(Z98,Listas!$AD$1:$AF$65,3,FALSE),"")</f>
        <v/>
      </c>
      <c r="AC98" s="17"/>
      <c r="AD98" s="17"/>
      <c r="AE98" s="17"/>
      <c r="AF98" s="27"/>
      <c r="AG98" s="19"/>
      <c r="AH98" s="27"/>
      <c r="AI98" s="16"/>
      <c r="AJ98" s="27"/>
      <c r="AK98" s="16"/>
      <c r="AL98" s="28">
        <f t="shared" si="34"/>
        <v>0</v>
      </c>
      <c r="AM98" s="29"/>
      <c r="AN98" s="27"/>
      <c r="AO98" s="30">
        <f t="shared" si="35"/>
        <v>0</v>
      </c>
      <c r="AP98" s="31">
        <f t="shared" si="36"/>
        <v>0</v>
      </c>
      <c r="AQ98" s="27"/>
      <c r="AR98" s="16"/>
      <c r="AS98" s="27"/>
      <c r="AT98" s="16"/>
      <c r="AU98" s="27"/>
      <c r="AV98" s="16"/>
      <c r="AW98" s="27"/>
      <c r="AX98" s="16"/>
      <c r="AY98" s="27"/>
      <c r="AZ98" s="24"/>
      <c r="BA98" s="24"/>
      <c r="BB98" s="24"/>
      <c r="BC98" s="32"/>
      <c r="BD98" s="27"/>
      <c r="BE98" s="24"/>
      <c r="BF98" s="24"/>
      <c r="BG98" s="24"/>
      <c r="BH98" s="16"/>
      <c r="BI98" s="27"/>
      <c r="BJ98" s="24"/>
      <c r="BK98" s="24"/>
      <c r="BL98" s="24"/>
      <c r="BM98" s="16"/>
      <c r="BN98" s="61">
        <f t="shared" ref="BN98:BN129" si="44">BP98+BJ98+BE98+AZ98</f>
        <v>0</v>
      </c>
      <c r="BO98" s="27"/>
      <c r="BP98" s="24"/>
      <c r="BQ98" s="24"/>
      <c r="BR98" s="16"/>
      <c r="BS98" s="61">
        <f t="shared" si="43"/>
        <v>0</v>
      </c>
      <c r="BT98" s="62"/>
      <c r="BU98" s="69" t="str">
        <f t="shared" ref="BU98:BU129" ca="1" si="45">IFERROR(IF(((BS98/AO98)*(TODAY()-N98))&gt;BS98,BS98,((BS98/AO98)*(TODAY()-N98))),"")</f>
        <v/>
      </c>
      <c r="BV98" s="33">
        <f t="shared" ca="1" si="38"/>
        <v>1</v>
      </c>
      <c r="BW98" s="33">
        <v>1</v>
      </c>
      <c r="BX98" s="60" t="str">
        <f t="shared" ca="1" si="39"/>
        <v/>
      </c>
      <c r="BY98" s="34" t="str">
        <f t="shared" si="40"/>
        <v/>
      </c>
      <c r="BZ98" s="21"/>
      <c r="CA98" s="35" t="str">
        <f t="shared" ref="CA98:CA129" ca="1" si="46">IF(BZ98&gt;1/1/6,"LIQUIDADO",IF(AP98=0,"",IF(AP98&gt;=TODAY(),"VIGENTE",IF(AP98&lt;TODAY(),"TERMINADO",))))</f>
        <v/>
      </c>
      <c r="CB98" s="16"/>
    </row>
    <row r="99" spans="1:80" ht="15.75">
      <c r="A99" s="362"/>
      <c r="B99" s="17"/>
      <c r="C99" s="18"/>
      <c r="D99" s="17"/>
      <c r="E99" s="17"/>
      <c r="F99" s="17"/>
      <c r="G99" s="19"/>
      <c r="H99" s="16"/>
      <c r="I99" s="16"/>
      <c r="J99" s="16"/>
      <c r="K99" s="20"/>
      <c r="L99" s="16"/>
      <c r="M99" s="364"/>
      <c r="N99" s="365"/>
      <c r="O99" s="365"/>
      <c r="P99" s="311">
        <f t="shared" si="33"/>
        <v>0</v>
      </c>
      <c r="Q99" s="362"/>
      <c r="R99" s="366"/>
      <c r="S99" s="362"/>
      <c r="T99" s="366"/>
      <c r="U99" s="363"/>
      <c r="V99" s="17"/>
      <c r="W99" s="23" t="str">
        <f>IFERROR(VLOOKUP(V99,Listas!$A$1:$C$14,2,FALSE),"")</f>
        <v/>
      </c>
      <c r="X99" s="23" t="str">
        <f>IFERROR(VLOOKUP(V99,Listas!$A$1:$C$14,3,FALSE),"")</f>
        <v/>
      </c>
      <c r="Y99" s="17"/>
      <c r="Z99" s="17"/>
      <c r="AA99" s="23" t="str">
        <f>IFERROR(VLOOKUP(Z99,Listas!$AD$1:$AF$65,2,FALSE),"")</f>
        <v/>
      </c>
      <c r="AB99" s="23" t="str">
        <f>IFERROR(VLOOKUP(Z99,Listas!$AD$1:$AF$65,3,FALSE),"")</f>
        <v/>
      </c>
      <c r="AC99" s="17"/>
      <c r="AD99" s="17"/>
      <c r="AE99" s="17"/>
      <c r="AF99" s="27"/>
      <c r="AG99" s="19"/>
      <c r="AH99" s="27"/>
      <c r="AI99" s="16"/>
      <c r="AJ99" s="27"/>
      <c r="AK99" s="16"/>
      <c r="AL99" s="28">
        <f t="shared" si="34"/>
        <v>0</v>
      </c>
      <c r="AM99" s="29"/>
      <c r="AN99" s="27"/>
      <c r="AO99" s="30">
        <f t="shared" si="35"/>
        <v>0</v>
      </c>
      <c r="AP99" s="31">
        <f t="shared" si="36"/>
        <v>0</v>
      </c>
      <c r="AQ99" s="27"/>
      <c r="AR99" s="16"/>
      <c r="AS99" s="27"/>
      <c r="AT99" s="16"/>
      <c r="AU99" s="27"/>
      <c r="AV99" s="16"/>
      <c r="AW99" s="27"/>
      <c r="AX99" s="16"/>
      <c r="AY99" s="27"/>
      <c r="AZ99" s="24"/>
      <c r="BA99" s="24"/>
      <c r="BB99" s="24"/>
      <c r="BC99" s="32"/>
      <c r="BD99" s="27"/>
      <c r="BE99" s="24"/>
      <c r="BF99" s="24"/>
      <c r="BG99" s="24"/>
      <c r="BH99" s="16"/>
      <c r="BI99" s="27"/>
      <c r="BJ99" s="24"/>
      <c r="BK99" s="24"/>
      <c r="BL99" s="24"/>
      <c r="BM99" s="16"/>
      <c r="BN99" s="61">
        <f t="shared" si="44"/>
        <v>0</v>
      </c>
      <c r="BO99" s="27"/>
      <c r="BP99" s="24"/>
      <c r="BQ99" s="24"/>
      <c r="BR99" s="16"/>
      <c r="BS99" s="61">
        <f t="shared" si="43"/>
        <v>0</v>
      </c>
      <c r="BT99" s="62"/>
      <c r="BU99" s="69" t="str">
        <f t="shared" ca="1" si="45"/>
        <v/>
      </c>
      <c r="BV99" s="33">
        <f t="shared" ca="1" si="38"/>
        <v>1</v>
      </c>
      <c r="BW99" s="33">
        <v>1</v>
      </c>
      <c r="BX99" s="60" t="str">
        <f t="shared" ca="1" si="39"/>
        <v/>
      </c>
      <c r="BY99" s="34" t="str">
        <f t="shared" si="40"/>
        <v/>
      </c>
      <c r="BZ99" s="21"/>
      <c r="CA99" s="35" t="str">
        <f t="shared" ca="1" si="46"/>
        <v/>
      </c>
      <c r="CB99" s="16"/>
    </row>
    <row r="100" spans="1:80" ht="15.75">
      <c r="A100" s="362"/>
      <c r="B100" s="17"/>
      <c r="C100" s="18"/>
      <c r="D100" s="17"/>
      <c r="E100" s="17"/>
      <c r="F100" s="17"/>
      <c r="G100" s="19"/>
      <c r="H100" s="16"/>
      <c r="I100" s="16"/>
      <c r="J100" s="16"/>
      <c r="K100" s="20"/>
      <c r="L100" s="16"/>
      <c r="M100" s="364"/>
      <c r="N100" s="365"/>
      <c r="O100" s="365"/>
      <c r="P100" s="23">
        <f t="shared" si="33"/>
        <v>0</v>
      </c>
      <c r="Q100" s="362"/>
      <c r="R100" s="366"/>
      <c r="S100" s="362"/>
      <c r="T100" s="366"/>
      <c r="U100" s="363"/>
      <c r="V100" s="17"/>
      <c r="W100" s="23" t="str">
        <f>IFERROR(VLOOKUP(V100,Listas!$A$1:$C$14,2,FALSE),"")</f>
        <v/>
      </c>
      <c r="X100" s="23" t="str">
        <f>IFERROR(VLOOKUP(V100,Listas!$A$1:$C$14,3,FALSE),"")</f>
        <v/>
      </c>
      <c r="Y100" s="17"/>
      <c r="Z100" s="17"/>
      <c r="AA100" s="23" t="str">
        <f>IFERROR(VLOOKUP(Z100,Listas!$AD$1:$AF$65,2,FALSE),"")</f>
        <v/>
      </c>
      <c r="AB100" s="23" t="str">
        <f>IFERROR(VLOOKUP(Z100,Listas!$AD$1:$AF$65,3,FALSE),"")</f>
        <v/>
      </c>
      <c r="AC100" s="17"/>
      <c r="AD100" s="17"/>
      <c r="AE100" s="17"/>
      <c r="AF100" s="27"/>
      <c r="AG100" s="19"/>
      <c r="AH100" s="27"/>
      <c r="AI100" s="16"/>
      <c r="AJ100" s="27"/>
      <c r="AK100" s="16"/>
      <c r="AL100" s="28">
        <f t="shared" si="34"/>
        <v>0</v>
      </c>
      <c r="AM100" s="29"/>
      <c r="AN100" s="27"/>
      <c r="AO100" s="30">
        <f t="shared" si="35"/>
        <v>0</v>
      </c>
      <c r="AP100" s="31">
        <f t="shared" si="36"/>
        <v>0</v>
      </c>
      <c r="AQ100" s="27"/>
      <c r="AR100" s="16"/>
      <c r="AS100" s="27"/>
      <c r="AT100" s="16"/>
      <c r="AU100" s="27"/>
      <c r="AV100" s="16"/>
      <c r="AW100" s="27"/>
      <c r="AX100" s="16"/>
      <c r="AY100" s="27"/>
      <c r="AZ100" s="24"/>
      <c r="BA100" s="24"/>
      <c r="BB100" s="24"/>
      <c r="BC100" s="32"/>
      <c r="BD100" s="27"/>
      <c r="BE100" s="24"/>
      <c r="BF100" s="24"/>
      <c r="BG100" s="24"/>
      <c r="BH100" s="16"/>
      <c r="BI100" s="27"/>
      <c r="BJ100" s="24"/>
      <c r="BK100" s="24"/>
      <c r="BL100" s="24"/>
      <c r="BM100" s="16"/>
      <c r="BN100" s="61">
        <f t="shared" si="44"/>
        <v>0</v>
      </c>
      <c r="BO100" s="27"/>
      <c r="BP100" s="24"/>
      <c r="BQ100" s="24"/>
      <c r="BR100" s="16"/>
      <c r="BS100" s="61">
        <f t="shared" si="43"/>
        <v>0</v>
      </c>
      <c r="BT100" s="62"/>
      <c r="BU100" s="69" t="str">
        <f t="shared" ca="1" si="45"/>
        <v/>
      </c>
      <c r="BV100" s="33">
        <f t="shared" ca="1" si="38"/>
        <v>1</v>
      </c>
      <c r="BW100" s="33">
        <v>1</v>
      </c>
      <c r="BX100" s="60" t="str">
        <f t="shared" ca="1" si="39"/>
        <v/>
      </c>
      <c r="BY100" s="34" t="str">
        <f t="shared" si="40"/>
        <v/>
      </c>
      <c r="BZ100" s="21"/>
      <c r="CA100" s="35" t="str">
        <f t="shared" ca="1" si="46"/>
        <v/>
      </c>
      <c r="CB100" s="16"/>
    </row>
    <row r="101" spans="1:80" ht="15.75">
      <c r="A101" s="362"/>
      <c r="B101" s="17"/>
      <c r="C101" s="18"/>
      <c r="D101" s="17"/>
      <c r="E101" s="17"/>
      <c r="F101" s="17"/>
      <c r="G101" s="19"/>
      <c r="H101" s="16"/>
      <c r="I101" s="16"/>
      <c r="J101" s="16"/>
      <c r="K101" s="20"/>
      <c r="L101" s="16"/>
      <c r="M101" s="364"/>
      <c r="N101" s="365"/>
      <c r="O101" s="365"/>
      <c r="P101" s="23">
        <f t="shared" si="33"/>
        <v>0</v>
      </c>
      <c r="Q101" s="362"/>
      <c r="R101" s="366"/>
      <c r="S101" s="362"/>
      <c r="T101" s="366"/>
      <c r="U101" s="363"/>
      <c r="V101" s="17"/>
      <c r="W101" s="23" t="str">
        <f>IFERROR(VLOOKUP(V101,Listas!$A$1:$C$14,2,FALSE),"")</f>
        <v/>
      </c>
      <c r="X101" s="23" t="str">
        <f>IFERROR(VLOOKUP(V101,Listas!$A$1:$C$14,3,FALSE),"")</f>
        <v/>
      </c>
      <c r="Y101" s="17"/>
      <c r="Z101" s="17"/>
      <c r="AA101" s="23" t="str">
        <f>IFERROR(VLOOKUP(Z101,Listas!$AD$1:$AF$65,2,FALSE),"")</f>
        <v/>
      </c>
      <c r="AB101" s="23" t="str">
        <f>IFERROR(VLOOKUP(Z101,Listas!$AD$1:$AF$65,3,FALSE),"")</f>
        <v/>
      </c>
      <c r="AC101" s="17"/>
      <c r="AD101" s="17"/>
      <c r="AE101" s="17"/>
      <c r="AF101" s="27"/>
      <c r="AG101" s="19"/>
      <c r="AH101" s="27"/>
      <c r="AI101" s="16"/>
      <c r="AJ101" s="27"/>
      <c r="AK101" s="16"/>
      <c r="AL101" s="28">
        <f t="shared" si="34"/>
        <v>0</v>
      </c>
      <c r="AM101" s="29"/>
      <c r="AN101" s="27"/>
      <c r="AO101" s="30">
        <f t="shared" si="35"/>
        <v>0</v>
      </c>
      <c r="AP101" s="31">
        <f t="shared" si="36"/>
        <v>0</v>
      </c>
      <c r="AQ101" s="27"/>
      <c r="AR101" s="16"/>
      <c r="AS101" s="27"/>
      <c r="AT101" s="16"/>
      <c r="AU101" s="27"/>
      <c r="AV101" s="16"/>
      <c r="AW101" s="27"/>
      <c r="AX101" s="16"/>
      <c r="AY101" s="27"/>
      <c r="AZ101" s="24"/>
      <c r="BA101" s="24"/>
      <c r="BB101" s="24"/>
      <c r="BC101" s="32"/>
      <c r="BD101" s="27"/>
      <c r="BE101" s="24"/>
      <c r="BF101" s="24"/>
      <c r="BG101" s="24"/>
      <c r="BH101" s="16"/>
      <c r="BI101" s="27"/>
      <c r="BJ101" s="24"/>
      <c r="BK101" s="24"/>
      <c r="BL101" s="24"/>
      <c r="BM101" s="16"/>
      <c r="BN101" s="61">
        <f t="shared" si="44"/>
        <v>0</v>
      </c>
      <c r="BO101" s="27"/>
      <c r="BP101" s="24"/>
      <c r="BQ101" s="24"/>
      <c r="BR101" s="16"/>
      <c r="BS101" s="61">
        <f t="shared" si="43"/>
        <v>0</v>
      </c>
      <c r="BT101" s="62"/>
      <c r="BU101" s="69" t="str">
        <f t="shared" ca="1" si="45"/>
        <v/>
      </c>
      <c r="BV101" s="33">
        <f t="shared" ca="1" si="38"/>
        <v>1</v>
      </c>
      <c r="BW101" s="33">
        <v>1</v>
      </c>
      <c r="BX101" s="60" t="str">
        <f t="shared" ca="1" si="39"/>
        <v/>
      </c>
      <c r="BY101" s="34" t="str">
        <f t="shared" si="40"/>
        <v/>
      </c>
      <c r="BZ101" s="21"/>
      <c r="CA101" s="35" t="str">
        <f t="shared" ca="1" si="46"/>
        <v/>
      </c>
      <c r="CB101" s="16"/>
    </row>
    <row r="102" spans="1:80" ht="15.75">
      <c r="A102" s="362"/>
      <c r="B102" s="17"/>
      <c r="C102" s="18"/>
      <c r="D102" s="17"/>
      <c r="E102" s="17"/>
      <c r="F102" s="17"/>
      <c r="G102" s="19"/>
      <c r="H102" s="16"/>
      <c r="I102" s="16"/>
      <c r="J102" s="16"/>
      <c r="K102" s="20"/>
      <c r="L102" s="16"/>
      <c r="M102" s="364"/>
      <c r="N102" s="365"/>
      <c r="O102" s="365"/>
      <c r="P102" s="23">
        <f t="shared" si="33"/>
        <v>0</v>
      </c>
      <c r="Q102" s="362"/>
      <c r="R102" s="366"/>
      <c r="S102" s="362"/>
      <c r="T102" s="366"/>
      <c r="U102" s="363"/>
      <c r="V102" s="17"/>
      <c r="W102" s="23" t="str">
        <f>IFERROR(VLOOKUP(V102,Listas!$A$1:$C$14,2,FALSE),"")</f>
        <v/>
      </c>
      <c r="X102" s="23" t="str">
        <f>IFERROR(VLOOKUP(V102,Listas!$A$1:$C$14,3,FALSE),"")</f>
        <v/>
      </c>
      <c r="Y102" s="17"/>
      <c r="Z102" s="17"/>
      <c r="AA102" s="23" t="str">
        <f>IFERROR(VLOOKUP(Z102,Listas!$AD$1:$AF$65,2,FALSE),"")</f>
        <v/>
      </c>
      <c r="AB102" s="23" t="str">
        <f>IFERROR(VLOOKUP(Z102,Listas!$AD$1:$AF$65,3,FALSE),"")</f>
        <v/>
      </c>
      <c r="AC102" s="17"/>
      <c r="AD102" s="17"/>
      <c r="AE102" s="17"/>
      <c r="AF102" s="27"/>
      <c r="AG102" s="19"/>
      <c r="AH102" s="27"/>
      <c r="AI102" s="16"/>
      <c r="AJ102" s="27"/>
      <c r="AK102" s="16"/>
      <c r="AL102" s="28">
        <f t="shared" si="34"/>
        <v>0</v>
      </c>
      <c r="AM102" s="29"/>
      <c r="AN102" s="27"/>
      <c r="AO102" s="30">
        <f t="shared" si="35"/>
        <v>0</v>
      </c>
      <c r="AP102" s="31">
        <f t="shared" si="36"/>
        <v>0</v>
      </c>
      <c r="AQ102" s="27"/>
      <c r="AR102" s="16"/>
      <c r="AS102" s="27"/>
      <c r="AT102" s="16"/>
      <c r="AU102" s="27"/>
      <c r="AV102" s="16"/>
      <c r="AW102" s="27"/>
      <c r="AX102" s="16"/>
      <c r="AY102" s="27"/>
      <c r="AZ102" s="24"/>
      <c r="BA102" s="24"/>
      <c r="BB102" s="24"/>
      <c r="BC102" s="32"/>
      <c r="BD102" s="27"/>
      <c r="BE102" s="24"/>
      <c r="BF102" s="24"/>
      <c r="BG102" s="24"/>
      <c r="BH102" s="16"/>
      <c r="BI102" s="27"/>
      <c r="BJ102" s="24"/>
      <c r="BK102" s="24"/>
      <c r="BL102" s="24"/>
      <c r="BM102" s="16"/>
      <c r="BN102" s="61">
        <f t="shared" si="44"/>
        <v>0</v>
      </c>
      <c r="BO102" s="27"/>
      <c r="BP102" s="24"/>
      <c r="BQ102" s="24"/>
      <c r="BR102" s="16"/>
      <c r="BS102" s="61">
        <f t="shared" si="43"/>
        <v>0</v>
      </c>
      <c r="BT102" s="62"/>
      <c r="BU102" s="69" t="str">
        <f t="shared" ca="1" si="45"/>
        <v/>
      </c>
      <c r="BV102" s="33">
        <f t="shared" ca="1" si="38"/>
        <v>1</v>
      </c>
      <c r="BW102" s="33">
        <v>1</v>
      </c>
      <c r="BX102" s="60" t="str">
        <f t="shared" ca="1" si="39"/>
        <v/>
      </c>
      <c r="BY102" s="34" t="str">
        <f t="shared" si="40"/>
        <v/>
      </c>
      <c r="BZ102" s="21"/>
      <c r="CA102" s="35" t="str">
        <f t="shared" ca="1" si="46"/>
        <v/>
      </c>
      <c r="CB102" s="16"/>
    </row>
    <row r="103" spans="1:80" ht="15.75">
      <c r="A103" s="362"/>
      <c r="B103" s="17"/>
      <c r="C103" s="18"/>
      <c r="D103" s="17"/>
      <c r="E103" s="17"/>
      <c r="F103" s="17"/>
      <c r="G103" s="19"/>
      <c r="H103" s="16"/>
      <c r="I103" s="16"/>
      <c r="J103" s="16"/>
      <c r="K103" s="20"/>
      <c r="L103" s="16"/>
      <c r="M103" s="364"/>
      <c r="N103" s="365"/>
      <c r="O103" s="365"/>
      <c r="P103" s="23">
        <f t="shared" si="33"/>
        <v>0</v>
      </c>
      <c r="Q103" s="362"/>
      <c r="R103" s="366"/>
      <c r="S103" s="362"/>
      <c r="T103" s="366"/>
      <c r="U103" s="363"/>
      <c r="V103" s="17"/>
      <c r="W103" s="23" t="str">
        <f>IFERROR(VLOOKUP(V103,Listas!$A$1:$C$14,2,FALSE),"")</f>
        <v/>
      </c>
      <c r="X103" s="23" t="str">
        <f>IFERROR(VLOOKUP(V103,Listas!$A$1:$C$14,3,FALSE),"")</f>
        <v/>
      </c>
      <c r="Y103" s="17"/>
      <c r="Z103" s="17"/>
      <c r="AA103" s="23" t="str">
        <f>IFERROR(VLOOKUP(Z103,Listas!$AD$1:$AF$65,2,FALSE),"")</f>
        <v/>
      </c>
      <c r="AB103" s="23" t="str">
        <f>IFERROR(VLOOKUP(Z103,Listas!$AD$1:$AF$65,3,FALSE),"")</f>
        <v/>
      </c>
      <c r="AC103" s="17"/>
      <c r="AD103" s="17"/>
      <c r="AE103" s="17"/>
      <c r="AF103" s="27"/>
      <c r="AG103" s="19"/>
      <c r="AH103" s="27"/>
      <c r="AI103" s="16"/>
      <c r="AJ103" s="27"/>
      <c r="AK103" s="16"/>
      <c r="AL103" s="28">
        <f t="shared" si="34"/>
        <v>0</v>
      </c>
      <c r="AM103" s="29"/>
      <c r="AN103" s="27"/>
      <c r="AO103" s="30">
        <f t="shared" si="35"/>
        <v>0</v>
      </c>
      <c r="AP103" s="31">
        <f t="shared" si="36"/>
        <v>0</v>
      </c>
      <c r="AQ103" s="27"/>
      <c r="AR103" s="16"/>
      <c r="AS103" s="27"/>
      <c r="AT103" s="16"/>
      <c r="AU103" s="27"/>
      <c r="AV103" s="16"/>
      <c r="AW103" s="27"/>
      <c r="AX103" s="16"/>
      <c r="AY103" s="27"/>
      <c r="AZ103" s="24"/>
      <c r="BA103" s="24"/>
      <c r="BB103" s="24"/>
      <c r="BC103" s="32"/>
      <c r="BD103" s="27"/>
      <c r="BE103" s="24"/>
      <c r="BF103" s="24"/>
      <c r="BG103" s="24"/>
      <c r="BH103" s="16"/>
      <c r="BI103" s="27"/>
      <c r="BJ103" s="24"/>
      <c r="BK103" s="24"/>
      <c r="BL103" s="24"/>
      <c r="BM103" s="16"/>
      <c r="BN103" s="61">
        <f t="shared" si="44"/>
        <v>0</v>
      </c>
      <c r="BO103" s="27"/>
      <c r="BP103" s="24"/>
      <c r="BQ103" s="24"/>
      <c r="BR103" s="16"/>
      <c r="BS103" s="61">
        <f t="shared" si="43"/>
        <v>0</v>
      </c>
      <c r="BT103" s="62"/>
      <c r="BU103" s="69" t="str">
        <f t="shared" ca="1" si="45"/>
        <v/>
      </c>
      <c r="BV103" s="33">
        <f t="shared" ca="1" si="38"/>
        <v>1</v>
      </c>
      <c r="BW103" s="33">
        <v>1</v>
      </c>
      <c r="BX103" s="60" t="str">
        <f t="shared" ca="1" si="39"/>
        <v/>
      </c>
      <c r="BY103" s="34" t="str">
        <f t="shared" si="40"/>
        <v/>
      </c>
      <c r="BZ103" s="21"/>
      <c r="CA103" s="35" t="str">
        <f t="shared" ca="1" si="46"/>
        <v/>
      </c>
      <c r="CB103" s="16"/>
    </row>
    <row r="104" spans="1:80" ht="15.75">
      <c r="A104" s="362"/>
      <c r="B104" s="17"/>
      <c r="C104" s="18"/>
      <c r="D104" s="17"/>
      <c r="E104" s="17"/>
      <c r="F104" s="17"/>
      <c r="G104" s="19"/>
      <c r="H104" s="16"/>
      <c r="I104" s="16"/>
      <c r="J104" s="16"/>
      <c r="K104" s="20"/>
      <c r="L104" s="16"/>
      <c r="M104" s="364"/>
      <c r="N104" s="365"/>
      <c r="O104" s="365"/>
      <c r="P104" s="23">
        <f t="shared" si="33"/>
        <v>0</v>
      </c>
      <c r="Q104" s="362"/>
      <c r="R104" s="366"/>
      <c r="S104" s="362"/>
      <c r="T104" s="366"/>
      <c r="U104" s="363"/>
      <c r="V104" s="17"/>
      <c r="W104" s="23" t="str">
        <f>IFERROR(VLOOKUP(V104,Listas!$A$1:$C$14,2,FALSE),"")</f>
        <v/>
      </c>
      <c r="X104" s="23" t="str">
        <f>IFERROR(VLOOKUP(V104,Listas!$A$1:$C$14,3,FALSE),"")</f>
        <v/>
      </c>
      <c r="Y104" s="17"/>
      <c r="Z104" s="17"/>
      <c r="AA104" s="23" t="str">
        <f>IFERROR(VLOOKUP(Z104,Listas!$AD$1:$AF$65,2,FALSE),"")</f>
        <v/>
      </c>
      <c r="AB104" s="23" t="str">
        <f>IFERROR(VLOOKUP(Z104,Listas!$AD$1:$AF$65,3,FALSE),"")</f>
        <v/>
      </c>
      <c r="AC104" s="17"/>
      <c r="AD104" s="17"/>
      <c r="AE104" s="17"/>
      <c r="AF104" s="27"/>
      <c r="AG104" s="19"/>
      <c r="AH104" s="27"/>
      <c r="AI104" s="16"/>
      <c r="AJ104" s="27"/>
      <c r="AK104" s="16"/>
      <c r="AL104" s="28">
        <f t="shared" si="34"/>
        <v>0</v>
      </c>
      <c r="AM104" s="29"/>
      <c r="AN104" s="27"/>
      <c r="AO104" s="30">
        <f t="shared" si="35"/>
        <v>0</v>
      </c>
      <c r="AP104" s="31">
        <f t="shared" si="36"/>
        <v>0</v>
      </c>
      <c r="AQ104" s="27"/>
      <c r="AR104" s="16"/>
      <c r="AS104" s="27"/>
      <c r="AT104" s="16"/>
      <c r="AU104" s="27"/>
      <c r="AV104" s="16"/>
      <c r="AW104" s="27"/>
      <c r="AX104" s="16"/>
      <c r="AY104" s="27"/>
      <c r="AZ104" s="24"/>
      <c r="BA104" s="24"/>
      <c r="BB104" s="24"/>
      <c r="BC104" s="32"/>
      <c r="BD104" s="27"/>
      <c r="BE104" s="24"/>
      <c r="BF104" s="24"/>
      <c r="BG104" s="24"/>
      <c r="BH104" s="16"/>
      <c r="BI104" s="27"/>
      <c r="BJ104" s="24"/>
      <c r="BK104" s="24"/>
      <c r="BL104" s="24"/>
      <c r="BM104" s="16"/>
      <c r="BN104" s="61">
        <f t="shared" si="44"/>
        <v>0</v>
      </c>
      <c r="BO104" s="27"/>
      <c r="BP104" s="24"/>
      <c r="BQ104" s="24"/>
      <c r="BR104" s="16"/>
      <c r="BS104" s="61">
        <f t="shared" si="43"/>
        <v>0</v>
      </c>
      <c r="BT104" s="62"/>
      <c r="BU104" s="69" t="str">
        <f t="shared" ca="1" si="45"/>
        <v/>
      </c>
      <c r="BV104" s="33">
        <f t="shared" ca="1" si="38"/>
        <v>1</v>
      </c>
      <c r="BW104" s="33">
        <v>1</v>
      </c>
      <c r="BX104" s="60" t="str">
        <f t="shared" ca="1" si="39"/>
        <v/>
      </c>
      <c r="BY104" s="34" t="str">
        <f t="shared" si="40"/>
        <v/>
      </c>
      <c r="BZ104" s="21"/>
      <c r="CA104" s="35" t="str">
        <f t="shared" ca="1" si="46"/>
        <v/>
      </c>
      <c r="CB104" s="16"/>
    </row>
    <row r="105" spans="1:80" ht="15.75">
      <c r="A105" s="362"/>
      <c r="B105" s="17"/>
      <c r="C105" s="18"/>
      <c r="D105" s="17"/>
      <c r="E105" s="17"/>
      <c r="F105" s="17"/>
      <c r="G105" s="19"/>
      <c r="H105" s="16"/>
      <c r="I105" s="16"/>
      <c r="J105" s="16"/>
      <c r="K105" s="20"/>
      <c r="L105" s="16"/>
      <c r="M105" s="364"/>
      <c r="N105" s="365"/>
      <c r="O105" s="365"/>
      <c r="P105" s="23">
        <f t="shared" si="33"/>
        <v>0</v>
      </c>
      <c r="Q105" s="362"/>
      <c r="R105" s="366"/>
      <c r="S105" s="362"/>
      <c r="T105" s="366"/>
      <c r="U105" s="363"/>
      <c r="V105" s="17"/>
      <c r="W105" s="23" t="str">
        <f>IFERROR(VLOOKUP(V105,Listas!$A$1:$C$14,2,FALSE),"")</f>
        <v/>
      </c>
      <c r="X105" s="23" t="str">
        <f>IFERROR(VLOOKUP(V105,Listas!$A$1:$C$14,3,FALSE),"")</f>
        <v/>
      </c>
      <c r="Y105" s="17"/>
      <c r="Z105" s="17"/>
      <c r="AA105" s="23" t="str">
        <f>IFERROR(VLOOKUP(Z105,Listas!$AD$1:$AF$65,2,FALSE),"")</f>
        <v/>
      </c>
      <c r="AB105" s="23" t="str">
        <f>IFERROR(VLOOKUP(Z105,Listas!$AD$1:$AF$65,3,FALSE),"")</f>
        <v/>
      </c>
      <c r="AC105" s="17"/>
      <c r="AD105" s="17"/>
      <c r="AE105" s="17"/>
      <c r="AF105" s="27"/>
      <c r="AG105" s="19"/>
      <c r="AH105" s="27"/>
      <c r="AI105" s="16"/>
      <c r="AJ105" s="27"/>
      <c r="AK105" s="16"/>
      <c r="AL105" s="28">
        <f t="shared" si="34"/>
        <v>0</v>
      </c>
      <c r="AM105" s="29"/>
      <c r="AN105" s="27"/>
      <c r="AO105" s="30">
        <f t="shared" si="35"/>
        <v>0</v>
      </c>
      <c r="AP105" s="31">
        <f t="shared" si="36"/>
        <v>0</v>
      </c>
      <c r="AQ105" s="27"/>
      <c r="AR105" s="16"/>
      <c r="AS105" s="27"/>
      <c r="AT105" s="16"/>
      <c r="AU105" s="27"/>
      <c r="AV105" s="16"/>
      <c r="AW105" s="27"/>
      <c r="AX105" s="16"/>
      <c r="AY105" s="27"/>
      <c r="AZ105" s="24"/>
      <c r="BA105" s="24"/>
      <c r="BB105" s="24"/>
      <c r="BC105" s="32"/>
      <c r="BD105" s="27"/>
      <c r="BE105" s="24"/>
      <c r="BF105" s="24"/>
      <c r="BG105" s="24"/>
      <c r="BH105" s="16"/>
      <c r="BI105" s="27"/>
      <c r="BJ105" s="24"/>
      <c r="BK105" s="24"/>
      <c r="BL105" s="24"/>
      <c r="BM105" s="16"/>
      <c r="BN105" s="61">
        <f t="shared" si="44"/>
        <v>0</v>
      </c>
      <c r="BO105" s="27"/>
      <c r="BP105" s="24"/>
      <c r="BQ105" s="24"/>
      <c r="BR105" s="16"/>
      <c r="BS105" s="61">
        <f t="shared" si="43"/>
        <v>0</v>
      </c>
      <c r="BT105" s="62"/>
      <c r="BU105" s="69" t="str">
        <f t="shared" ca="1" si="45"/>
        <v/>
      </c>
      <c r="BV105" s="33">
        <f t="shared" ca="1" si="38"/>
        <v>1</v>
      </c>
      <c r="BW105" s="33">
        <v>1</v>
      </c>
      <c r="BX105" s="60" t="str">
        <f t="shared" ca="1" si="39"/>
        <v/>
      </c>
      <c r="BY105" s="34" t="str">
        <f t="shared" si="40"/>
        <v/>
      </c>
      <c r="BZ105" s="21"/>
      <c r="CA105" s="35" t="str">
        <f t="shared" ca="1" si="46"/>
        <v/>
      </c>
      <c r="CB105" s="16"/>
    </row>
    <row r="106" spans="1:80" ht="15.75">
      <c r="A106" s="362"/>
      <c r="B106" s="17"/>
      <c r="C106" s="18"/>
      <c r="D106" s="17"/>
      <c r="E106" s="17"/>
      <c r="F106" s="17"/>
      <c r="G106" s="19"/>
      <c r="H106" s="16"/>
      <c r="I106" s="16"/>
      <c r="J106" s="16"/>
      <c r="K106" s="20"/>
      <c r="L106" s="16"/>
      <c r="M106" s="364"/>
      <c r="N106" s="365"/>
      <c r="O106" s="365"/>
      <c r="P106" s="23">
        <f t="shared" si="33"/>
        <v>0</v>
      </c>
      <c r="Q106" s="362"/>
      <c r="R106" s="366"/>
      <c r="S106" s="362"/>
      <c r="T106" s="366"/>
      <c r="U106" s="363"/>
      <c r="V106" s="17"/>
      <c r="W106" s="23" t="str">
        <f>IFERROR(VLOOKUP(V106,Listas!$A$1:$C$14,2,FALSE),"")</f>
        <v/>
      </c>
      <c r="X106" s="23" t="str">
        <f>IFERROR(VLOOKUP(V106,Listas!$A$1:$C$14,3,FALSE),"")</f>
        <v/>
      </c>
      <c r="Y106" s="17"/>
      <c r="Z106" s="17"/>
      <c r="AA106" s="23" t="str">
        <f>IFERROR(VLOOKUP(Z106,Listas!$AD$1:$AF$65,2,FALSE),"")</f>
        <v/>
      </c>
      <c r="AB106" s="23" t="str">
        <f>IFERROR(VLOOKUP(Z106,Listas!$AD$1:$AF$65,3,FALSE),"")</f>
        <v/>
      </c>
      <c r="AC106" s="17"/>
      <c r="AD106" s="17"/>
      <c r="AE106" s="17"/>
      <c r="AF106" s="27"/>
      <c r="AG106" s="19"/>
      <c r="AH106" s="27"/>
      <c r="AI106" s="16"/>
      <c r="AJ106" s="27"/>
      <c r="AK106" s="16"/>
      <c r="AL106" s="28">
        <f t="shared" si="34"/>
        <v>0</v>
      </c>
      <c r="AM106" s="29"/>
      <c r="AN106" s="27"/>
      <c r="AO106" s="30">
        <f t="shared" si="35"/>
        <v>0</v>
      </c>
      <c r="AP106" s="31">
        <f t="shared" si="36"/>
        <v>0</v>
      </c>
      <c r="AQ106" s="27"/>
      <c r="AR106" s="16"/>
      <c r="AS106" s="27"/>
      <c r="AT106" s="16"/>
      <c r="AU106" s="27"/>
      <c r="AV106" s="16"/>
      <c r="AW106" s="27"/>
      <c r="AX106" s="16"/>
      <c r="AY106" s="27"/>
      <c r="AZ106" s="24"/>
      <c r="BA106" s="24"/>
      <c r="BB106" s="24"/>
      <c r="BC106" s="32"/>
      <c r="BD106" s="27"/>
      <c r="BE106" s="24"/>
      <c r="BF106" s="24"/>
      <c r="BG106" s="24"/>
      <c r="BH106" s="16"/>
      <c r="BI106" s="27"/>
      <c r="BJ106" s="24"/>
      <c r="BK106" s="24"/>
      <c r="BL106" s="24"/>
      <c r="BM106" s="16"/>
      <c r="BN106" s="61">
        <f t="shared" si="44"/>
        <v>0</v>
      </c>
      <c r="BO106" s="27"/>
      <c r="BP106" s="24"/>
      <c r="BQ106" s="24"/>
      <c r="BR106" s="16"/>
      <c r="BS106" s="61">
        <f t="shared" si="43"/>
        <v>0</v>
      </c>
      <c r="BT106" s="62"/>
      <c r="BU106" s="69" t="str">
        <f t="shared" ca="1" si="45"/>
        <v/>
      </c>
      <c r="BV106" s="33">
        <f t="shared" ca="1" si="38"/>
        <v>1</v>
      </c>
      <c r="BW106" s="33">
        <v>1</v>
      </c>
      <c r="BX106" s="60" t="str">
        <f t="shared" ca="1" si="39"/>
        <v/>
      </c>
      <c r="BY106" s="34" t="str">
        <f t="shared" si="40"/>
        <v/>
      </c>
      <c r="BZ106" s="21"/>
      <c r="CA106" s="35" t="str">
        <f t="shared" ca="1" si="46"/>
        <v/>
      </c>
      <c r="CB106" s="16"/>
    </row>
    <row r="107" spans="1:80" ht="15.75">
      <c r="A107" s="362"/>
      <c r="B107" s="17"/>
      <c r="C107" s="18"/>
      <c r="D107" s="17"/>
      <c r="E107" s="17"/>
      <c r="F107" s="17"/>
      <c r="G107" s="19"/>
      <c r="H107" s="16"/>
      <c r="I107" s="16"/>
      <c r="J107" s="16"/>
      <c r="K107" s="20"/>
      <c r="L107" s="16"/>
      <c r="M107" s="364"/>
      <c r="N107" s="365"/>
      <c r="O107" s="365"/>
      <c r="P107" s="23">
        <f t="shared" si="33"/>
        <v>0</v>
      </c>
      <c r="Q107" s="362"/>
      <c r="R107" s="366"/>
      <c r="S107" s="362"/>
      <c r="T107" s="366"/>
      <c r="U107" s="363"/>
      <c r="V107" s="17"/>
      <c r="W107" s="23" t="str">
        <f>IFERROR(VLOOKUP(V107,Listas!$A$1:$C$14,2,FALSE),"")</f>
        <v/>
      </c>
      <c r="X107" s="23" t="str">
        <f>IFERROR(VLOOKUP(V107,Listas!$A$1:$C$14,3,FALSE),"")</f>
        <v/>
      </c>
      <c r="Y107" s="17"/>
      <c r="Z107" s="17"/>
      <c r="AA107" s="23" t="str">
        <f>IFERROR(VLOOKUP(Z107,Listas!$AD$1:$AF$65,2,FALSE),"")</f>
        <v/>
      </c>
      <c r="AB107" s="23" t="str">
        <f>IFERROR(VLOOKUP(Z107,Listas!$AD$1:$AF$65,3,FALSE),"")</f>
        <v/>
      </c>
      <c r="AC107" s="17"/>
      <c r="AD107" s="17"/>
      <c r="AE107" s="17"/>
      <c r="AF107" s="27"/>
      <c r="AG107" s="19"/>
      <c r="AH107" s="27"/>
      <c r="AI107" s="16"/>
      <c r="AJ107" s="27"/>
      <c r="AK107" s="16"/>
      <c r="AL107" s="28">
        <f t="shared" si="34"/>
        <v>0</v>
      </c>
      <c r="AM107" s="29"/>
      <c r="AN107" s="27"/>
      <c r="AO107" s="30">
        <f t="shared" si="35"/>
        <v>0</v>
      </c>
      <c r="AP107" s="31">
        <f t="shared" si="36"/>
        <v>0</v>
      </c>
      <c r="AQ107" s="27"/>
      <c r="AR107" s="16"/>
      <c r="AS107" s="27"/>
      <c r="AT107" s="16"/>
      <c r="AU107" s="27"/>
      <c r="AV107" s="16"/>
      <c r="AW107" s="27"/>
      <c r="AX107" s="16"/>
      <c r="AY107" s="27"/>
      <c r="AZ107" s="24"/>
      <c r="BA107" s="24"/>
      <c r="BB107" s="24"/>
      <c r="BC107" s="32"/>
      <c r="BD107" s="27"/>
      <c r="BE107" s="24"/>
      <c r="BF107" s="24"/>
      <c r="BG107" s="24"/>
      <c r="BH107" s="16"/>
      <c r="BI107" s="27"/>
      <c r="BJ107" s="24"/>
      <c r="BK107" s="24"/>
      <c r="BL107" s="24"/>
      <c r="BM107" s="16"/>
      <c r="BN107" s="61">
        <f t="shared" si="44"/>
        <v>0</v>
      </c>
      <c r="BO107" s="27"/>
      <c r="BP107" s="24"/>
      <c r="BQ107" s="24"/>
      <c r="BR107" s="16"/>
      <c r="BS107" s="61">
        <f t="shared" si="43"/>
        <v>0</v>
      </c>
      <c r="BT107" s="62"/>
      <c r="BU107" s="69" t="str">
        <f t="shared" ca="1" si="45"/>
        <v/>
      </c>
      <c r="BV107" s="33">
        <f t="shared" ca="1" si="38"/>
        <v>1</v>
      </c>
      <c r="BW107" s="33">
        <v>1</v>
      </c>
      <c r="BX107" s="60" t="str">
        <f t="shared" ca="1" si="39"/>
        <v/>
      </c>
      <c r="BY107" s="34" t="str">
        <f t="shared" si="40"/>
        <v/>
      </c>
      <c r="BZ107" s="21"/>
      <c r="CA107" s="35" t="str">
        <f t="shared" ca="1" si="46"/>
        <v/>
      </c>
      <c r="CB107" s="16"/>
    </row>
    <row r="108" spans="1:80" ht="15.75">
      <c r="A108" s="362"/>
      <c r="B108" s="17"/>
      <c r="C108" s="18"/>
      <c r="D108" s="17"/>
      <c r="E108" s="17"/>
      <c r="F108" s="17"/>
      <c r="G108" s="19"/>
      <c r="H108" s="16"/>
      <c r="I108" s="16"/>
      <c r="J108" s="16"/>
      <c r="K108" s="20"/>
      <c r="L108" s="16"/>
      <c r="M108" s="364"/>
      <c r="N108" s="365"/>
      <c r="O108" s="365"/>
      <c r="P108" s="23">
        <f t="shared" si="33"/>
        <v>0</v>
      </c>
      <c r="Q108" s="362"/>
      <c r="R108" s="366"/>
      <c r="S108" s="362"/>
      <c r="T108" s="366"/>
      <c r="U108" s="363"/>
      <c r="V108" s="17"/>
      <c r="W108" s="23" t="str">
        <f>IFERROR(VLOOKUP(V108,Listas!$A$1:$C$14,2,FALSE),"")</f>
        <v/>
      </c>
      <c r="X108" s="23" t="str">
        <f>IFERROR(VLOOKUP(V108,Listas!$A$1:$C$14,3,FALSE),"")</f>
        <v/>
      </c>
      <c r="Y108" s="17"/>
      <c r="Z108" s="17"/>
      <c r="AA108" s="23" t="str">
        <f>IFERROR(VLOOKUP(Z108,Listas!$AD$1:$AF$65,2,FALSE),"")</f>
        <v/>
      </c>
      <c r="AB108" s="23" t="str">
        <f>IFERROR(VLOOKUP(Z108,Listas!$AD$1:$AF$65,3,FALSE),"")</f>
        <v/>
      </c>
      <c r="AC108" s="17"/>
      <c r="AD108" s="17"/>
      <c r="AE108" s="17"/>
      <c r="AF108" s="27"/>
      <c r="AG108" s="19"/>
      <c r="AH108" s="27"/>
      <c r="AI108" s="16"/>
      <c r="AJ108" s="27"/>
      <c r="AK108" s="16"/>
      <c r="AL108" s="28">
        <f t="shared" si="34"/>
        <v>0</v>
      </c>
      <c r="AM108" s="29"/>
      <c r="AN108" s="27"/>
      <c r="AO108" s="30">
        <f t="shared" si="35"/>
        <v>0</v>
      </c>
      <c r="AP108" s="31">
        <f t="shared" si="36"/>
        <v>0</v>
      </c>
      <c r="AQ108" s="27"/>
      <c r="AR108" s="16"/>
      <c r="AS108" s="27"/>
      <c r="AT108" s="16"/>
      <c r="AU108" s="27"/>
      <c r="AV108" s="16"/>
      <c r="AW108" s="27"/>
      <c r="AX108" s="16"/>
      <c r="AY108" s="27"/>
      <c r="AZ108" s="24"/>
      <c r="BA108" s="24"/>
      <c r="BB108" s="24"/>
      <c r="BC108" s="32"/>
      <c r="BD108" s="27"/>
      <c r="BE108" s="24"/>
      <c r="BF108" s="24"/>
      <c r="BG108" s="24"/>
      <c r="BH108" s="16"/>
      <c r="BI108" s="27"/>
      <c r="BJ108" s="24"/>
      <c r="BK108" s="24"/>
      <c r="BL108" s="24"/>
      <c r="BM108" s="16"/>
      <c r="BN108" s="61">
        <f t="shared" si="44"/>
        <v>0</v>
      </c>
      <c r="BO108" s="27"/>
      <c r="BP108" s="24"/>
      <c r="BQ108" s="24"/>
      <c r="BR108" s="16"/>
      <c r="BS108" s="61">
        <f t="shared" si="43"/>
        <v>0</v>
      </c>
      <c r="BT108" s="62"/>
      <c r="BU108" s="69" t="str">
        <f t="shared" ca="1" si="45"/>
        <v/>
      </c>
      <c r="BV108" s="33">
        <f t="shared" ca="1" si="38"/>
        <v>1</v>
      </c>
      <c r="BW108" s="33">
        <v>1</v>
      </c>
      <c r="BX108" s="60" t="str">
        <f t="shared" ca="1" si="39"/>
        <v/>
      </c>
      <c r="BY108" s="34" t="str">
        <f t="shared" si="40"/>
        <v/>
      </c>
      <c r="BZ108" s="21"/>
      <c r="CA108" s="35" t="str">
        <f t="shared" ca="1" si="46"/>
        <v/>
      </c>
      <c r="CB108" s="16"/>
    </row>
    <row r="109" spans="1:80" ht="15.75">
      <c r="A109" s="362"/>
      <c r="B109" s="17"/>
      <c r="C109" s="18"/>
      <c r="D109" s="17"/>
      <c r="E109" s="17"/>
      <c r="F109" s="17"/>
      <c r="G109" s="19"/>
      <c r="H109" s="16"/>
      <c r="I109" s="16"/>
      <c r="J109" s="16"/>
      <c r="K109" s="20"/>
      <c r="L109" s="16"/>
      <c r="M109" s="364"/>
      <c r="N109" s="365"/>
      <c r="O109" s="365"/>
      <c r="P109" s="23">
        <f t="shared" si="33"/>
        <v>0</v>
      </c>
      <c r="Q109" s="362"/>
      <c r="R109" s="366"/>
      <c r="S109" s="362"/>
      <c r="T109" s="366"/>
      <c r="U109" s="363"/>
      <c r="V109" s="17"/>
      <c r="W109" s="23" t="str">
        <f>IFERROR(VLOOKUP(V109,Listas!$A$1:$C$14,2,FALSE),"")</f>
        <v/>
      </c>
      <c r="X109" s="23" t="str">
        <f>IFERROR(VLOOKUP(V109,Listas!$A$1:$C$14,3,FALSE),"")</f>
        <v/>
      </c>
      <c r="Y109" s="17"/>
      <c r="Z109" s="17"/>
      <c r="AA109" s="23" t="str">
        <f>IFERROR(VLOOKUP(Z109,Listas!$AD$1:$AF$65,2,FALSE),"")</f>
        <v/>
      </c>
      <c r="AB109" s="23" t="str">
        <f>IFERROR(VLOOKUP(Z109,Listas!$AD$1:$AF$65,3,FALSE),"")</f>
        <v/>
      </c>
      <c r="AC109" s="17"/>
      <c r="AD109" s="17"/>
      <c r="AE109" s="17"/>
      <c r="AF109" s="27"/>
      <c r="AG109" s="19"/>
      <c r="AH109" s="27"/>
      <c r="AI109" s="16"/>
      <c r="AJ109" s="27"/>
      <c r="AK109" s="16"/>
      <c r="AL109" s="28">
        <f t="shared" si="34"/>
        <v>0</v>
      </c>
      <c r="AM109" s="29"/>
      <c r="AN109" s="27"/>
      <c r="AO109" s="30">
        <f t="shared" si="35"/>
        <v>0</v>
      </c>
      <c r="AP109" s="31">
        <f t="shared" si="36"/>
        <v>0</v>
      </c>
      <c r="AQ109" s="27"/>
      <c r="AR109" s="16"/>
      <c r="AS109" s="27"/>
      <c r="AT109" s="16"/>
      <c r="AU109" s="27"/>
      <c r="AV109" s="16"/>
      <c r="AW109" s="27"/>
      <c r="AX109" s="16"/>
      <c r="AY109" s="27"/>
      <c r="AZ109" s="24"/>
      <c r="BA109" s="24"/>
      <c r="BB109" s="24"/>
      <c r="BC109" s="32"/>
      <c r="BD109" s="27"/>
      <c r="BE109" s="24"/>
      <c r="BF109" s="24"/>
      <c r="BG109" s="24"/>
      <c r="BH109" s="16"/>
      <c r="BI109" s="27"/>
      <c r="BJ109" s="24"/>
      <c r="BK109" s="24"/>
      <c r="BL109" s="24"/>
      <c r="BM109" s="16"/>
      <c r="BN109" s="61">
        <f t="shared" si="44"/>
        <v>0</v>
      </c>
      <c r="BO109" s="27"/>
      <c r="BP109" s="24"/>
      <c r="BQ109" s="24"/>
      <c r="BR109" s="16"/>
      <c r="BS109" s="61">
        <f t="shared" si="43"/>
        <v>0</v>
      </c>
      <c r="BT109" s="62"/>
      <c r="BU109" s="69" t="str">
        <f t="shared" ca="1" si="45"/>
        <v/>
      </c>
      <c r="BV109" s="33">
        <f t="shared" ca="1" si="38"/>
        <v>1</v>
      </c>
      <c r="BW109" s="33">
        <v>1</v>
      </c>
      <c r="BX109" s="60" t="str">
        <f t="shared" ca="1" si="39"/>
        <v/>
      </c>
      <c r="BY109" s="34" t="str">
        <f t="shared" si="40"/>
        <v/>
      </c>
      <c r="BZ109" s="21"/>
      <c r="CA109" s="35" t="str">
        <f t="shared" ca="1" si="46"/>
        <v/>
      </c>
      <c r="CB109" s="16"/>
    </row>
    <row r="110" spans="1:80" ht="15.75">
      <c r="A110" s="362"/>
      <c r="B110" s="17"/>
      <c r="C110" s="18"/>
      <c r="D110" s="17"/>
      <c r="E110" s="17"/>
      <c r="F110" s="17"/>
      <c r="G110" s="19"/>
      <c r="H110" s="16"/>
      <c r="I110" s="16"/>
      <c r="J110" s="16"/>
      <c r="K110" s="20"/>
      <c r="L110" s="16"/>
      <c r="M110" s="364"/>
      <c r="N110" s="365"/>
      <c r="O110" s="365"/>
      <c r="P110" s="23">
        <f t="shared" si="33"/>
        <v>0</v>
      </c>
      <c r="Q110" s="362"/>
      <c r="R110" s="366"/>
      <c r="S110" s="362"/>
      <c r="T110" s="366"/>
      <c r="U110" s="363"/>
      <c r="V110" s="17"/>
      <c r="W110" s="23" t="str">
        <f>IFERROR(VLOOKUP(V110,Listas!$A$1:$C$14,2,FALSE),"")</f>
        <v/>
      </c>
      <c r="X110" s="23" t="str">
        <f>IFERROR(VLOOKUP(V110,Listas!$A$1:$C$14,3,FALSE),"")</f>
        <v/>
      </c>
      <c r="Y110" s="17"/>
      <c r="Z110" s="17"/>
      <c r="AA110" s="23" t="str">
        <f>IFERROR(VLOOKUP(Z110,Listas!$AD$1:$AF$65,2,FALSE),"")</f>
        <v/>
      </c>
      <c r="AB110" s="23" t="str">
        <f>IFERROR(VLOOKUP(Z110,Listas!$AD$1:$AF$65,3,FALSE),"")</f>
        <v/>
      </c>
      <c r="AC110" s="17"/>
      <c r="AD110" s="17"/>
      <c r="AE110" s="17"/>
      <c r="AF110" s="27"/>
      <c r="AG110" s="19"/>
      <c r="AH110" s="27"/>
      <c r="AI110" s="16"/>
      <c r="AJ110" s="27"/>
      <c r="AK110" s="16"/>
      <c r="AL110" s="28">
        <f t="shared" si="34"/>
        <v>0</v>
      </c>
      <c r="AM110" s="29"/>
      <c r="AN110" s="27"/>
      <c r="AO110" s="30">
        <f t="shared" si="35"/>
        <v>0</v>
      </c>
      <c r="AP110" s="31">
        <f t="shared" si="36"/>
        <v>0</v>
      </c>
      <c r="AQ110" s="27"/>
      <c r="AR110" s="16"/>
      <c r="AS110" s="27"/>
      <c r="AT110" s="16"/>
      <c r="AU110" s="27"/>
      <c r="AV110" s="16"/>
      <c r="AW110" s="27"/>
      <c r="AX110" s="16"/>
      <c r="AY110" s="27"/>
      <c r="AZ110" s="24"/>
      <c r="BA110" s="24"/>
      <c r="BB110" s="24"/>
      <c r="BC110" s="32"/>
      <c r="BD110" s="27"/>
      <c r="BE110" s="24"/>
      <c r="BF110" s="24"/>
      <c r="BG110" s="24"/>
      <c r="BH110" s="16"/>
      <c r="BI110" s="27"/>
      <c r="BJ110" s="24"/>
      <c r="BK110" s="24"/>
      <c r="BL110" s="24"/>
      <c r="BM110" s="16"/>
      <c r="BN110" s="61">
        <f t="shared" si="44"/>
        <v>0</v>
      </c>
      <c r="BO110" s="27"/>
      <c r="BP110" s="24"/>
      <c r="BQ110" s="24"/>
      <c r="BR110" s="16"/>
      <c r="BS110" s="61">
        <f t="shared" si="43"/>
        <v>0</v>
      </c>
      <c r="BT110" s="62"/>
      <c r="BU110" s="69" t="str">
        <f t="shared" ca="1" si="45"/>
        <v/>
      </c>
      <c r="BV110" s="33">
        <f t="shared" ca="1" si="38"/>
        <v>1</v>
      </c>
      <c r="BW110" s="33">
        <v>1</v>
      </c>
      <c r="BX110" s="60" t="str">
        <f t="shared" ca="1" si="39"/>
        <v/>
      </c>
      <c r="BY110" s="34" t="str">
        <f t="shared" si="40"/>
        <v/>
      </c>
      <c r="BZ110" s="21"/>
      <c r="CA110" s="35" t="str">
        <f t="shared" ca="1" si="46"/>
        <v/>
      </c>
      <c r="CB110" s="16"/>
    </row>
    <row r="111" spans="1:80" ht="15.75">
      <c r="A111" s="362"/>
      <c r="B111" s="17"/>
      <c r="C111" s="18"/>
      <c r="D111" s="17"/>
      <c r="E111" s="17"/>
      <c r="F111" s="17"/>
      <c r="G111" s="19"/>
      <c r="H111" s="16"/>
      <c r="I111" s="16"/>
      <c r="J111" s="16"/>
      <c r="K111" s="20"/>
      <c r="L111" s="16"/>
      <c r="M111" s="364"/>
      <c r="N111" s="365"/>
      <c r="O111" s="365"/>
      <c r="P111" s="23">
        <f t="shared" si="33"/>
        <v>0</v>
      </c>
      <c r="Q111" s="362"/>
      <c r="R111" s="366"/>
      <c r="S111" s="362"/>
      <c r="T111" s="366"/>
      <c r="U111" s="363"/>
      <c r="V111" s="17"/>
      <c r="W111" s="23" t="str">
        <f>IFERROR(VLOOKUP(V111,Listas!$A$1:$C$14,2,FALSE),"")</f>
        <v/>
      </c>
      <c r="X111" s="23" t="str">
        <f>IFERROR(VLOOKUP(V111,Listas!$A$1:$C$14,3,FALSE),"")</f>
        <v/>
      </c>
      <c r="Y111" s="17"/>
      <c r="Z111" s="17"/>
      <c r="AA111" s="23" t="str">
        <f>IFERROR(VLOOKUP(Z111,Listas!$AD$1:$AF$65,2,FALSE),"")</f>
        <v/>
      </c>
      <c r="AB111" s="23" t="str">
        <f>IFERROR(VLOOKUP(Z111,Listas!$AD$1:$AF$65,3,FALSE),"")</f>
        <v/>
      </c>
      <c r="AC111" s="17"/>
      <c r="AD111" s="17"/>
      <c r="AE111" s="17"/>
      <c r="AF111" s="27"/>
      <c r="AG111" s="19"/>
      <c r="AH111" s="27"/>
      <c r="AI111" s="16"/>
      <c r="AJ111" s="27"/>
      <c r="AK111" s="16"/>
      <c r="AL111" s="28">
        <f t="shared" si="34"/>
        <v>0</v>
      </c>
      <c r="AM111" s="29"/>
      <c r="AN111" s="27"/>
      <c r="AO111" s="30">
        <f t="shared" si="35"/>
        <v>0</v>
      </c>
      <c r="AP111" s="31">
        <f t="shared" si="36"/>
        <v>0</v>
      </c>
      <c r="AQ111" s="27"/>
      <c r="AR111" s="16"/>
      <c r="AS111" s="27"/>
      <c r="AT111" s="16"/>
      <c r="AU111" s="27"/>
      <c r="AV111" s="16"/>
      <c r="AW111" s="27"/>
      <c r="AX111" s="16"/>
      <c r="AY111" s="27"/>
      <c r="AZ111" s="24"/>
      <c r="BA111" s="24"/>
      <c r="BB111" s="24"/>
      <c r="BC111" s="32"/>
      <c r="BD111" s="27"/>
      <c r="BE111" s="24"/>
      <c r="BF111" s="24"/>
      <c r="BG111" s="24"/>
      <c r="BH111" s="16"/>
      <c r="BI111" s="27"/>
      <c r="BJ111" s="24"/>
      <c r="BK111" s="24"/>
      <c r="BL111" s="24"/>
      <c r="BM111" s="16"/>
      <c r="BN111" s="61">
        <f t="shared" si="44"/>
        <v>0</v>
      </c>
      <c r="BO111" s="27"/>
      <c r="BP111" s="24"/>
      <c r="BQ111" s="24"/>
      <c r="BR111" s="16"/>
      <c r="BS111" s="61">
        <f t="shared" si="43"/>
        <v>0</v>
      </c>
      <c r="BT111" s="62"/>
      <c r="BU111" s="69" t="str">
        <f t="shared" ca="1" si="45"/>
        <v/>
      </c>
      <c r="BV111" s="33">
        <f t="shared" ca="1" si="38"/>
        <v>1</v>
      </c>
      <c r="BW111" s="33">
        <v>1</v>
      </c>
      <c r="BX111" s="60" t="str">
        <f t="shared" ca="1" si="39"/>
        <v/>
      </c>
      <c r="BY111" s="34" t="str">
        <f t="shared" si="40"/>
        <v/>
      </c>
      <c r="BZ111" s="21"/>
      <c r="CA111" s="35" t="str">
        <f t="shared" ca="1" si="46"/>
        <v/>
      </c>
      <c r="CB111" s="16"/>
    </row>
    <row r="112" spans="1:80" ht="15.75">
      <c r="A112" s="362"/>
      <c r="B112" s="17"/>
      <c r="C112" s="18"/>
      <c r="D112" s="17"/>
      <c r="E112" s="17"/>
      <c r="F112" s="17"/>
      <c r="G112" s="19"/>
      <c r="H112" s="16"/>
      <c r="I112" s="16"/>
      <c r="J112" s="16"/>
      <c r="K112" s="20"/>
      <c r="L112" s="16"/>
      <c r="M112" s="364"/>
      <c r="N112" s="365"/>
      <c r="O112" s="365"/>
      <c r="P112" s="23">
        <f t="shared" si="33"/>
        <v>0</v>
      </c>
      <c r="Q112" s="362"/>
      <c r="R112" s="366"/>
      <c r="S112" s="362"/>
      <c r="T112" s="366"/>
      <c r="U112" s="363"/>
      <c r="V112" s="17"/>
      <c r="W112" s="23" t="str">
        <f>IFERROR(VLOOKUP(V112,Listas!$A$1:$C$14,2,FALSE),"")</f>
        <v/>
      </c>
      <c r="X112" s="23" t="str">
        <f>IFERROR(VLOOKUP(V112,Listas!$A$1:$C$14,3,FALSE),"")</f>
        <v/>
      </c>
      <c r="Y112" s="17"/>
      <c r="Z112" s="17"/>
      <c r="AA112" s="23" t="str">
        <f>IFERROR(VLOOKUP(Z112,Listas!$AD$1:$AF$65,2,FALSE),"")</f>
        <v/>
      </c>
      <c r="AB112" s="23" t="str">
        <f>IFERROR(VLOOKUP(Z112,Listas!$AD$1:$AF$65,3,FALSE),"")</f>
        <v/>
      </c>
      <c r="AC112" s="17"/>
      <c r="AD112" s="17"/>
      <c r="AE112" s="17"/>
      <c r="AF112" s="27"/>
      <c r="AG112" s="19"/>
      <c r="AH112" s="27"/>
      <c r="AI112" s="16"/>
      <c r="AJ112" s="27"/>
      <c r="AK112" s="16"/>
      <c r="AL112" s="28">
        <f t="shared" si="34"/>
        <v>0</v>
      </c>
      <c r="AM112" s="29"/>
      <c r="AN112" s="27"/>
      <c r="AO112" s="30">
        <f t="shared" si="35"/>
        <v>0</v>
      </c>
      <c r="AP112" s="31">
        <f t="shared" si="36"/>
        <v>0</v>
      </c>
      <c r="AQ112" s="27"/>
      <c r="AR112" s="16"/>
      <c r="AS112" s="27"/>
      <c r="AT112" s="16"/>
      <c r="AU112" s="27"/>
      <c r="AV112" s="16"/>
      <c r="AW112" s="27"/>
      <c r="AX112" s="16"/>
      <c r="AY112" s="27"/>
      <c r="AZ112" s="24"/>
      <c r="BA112" s="24"/>
      <c r="BB112" s="24"/>
      <c r="BC112" s="32"/>
      <c r="BD112" s="27"/>
      <c r="BE112" s="24"/>
      <c r="BF112" s="24"/>
      <c r="BG112" s="24"/>
      <c r="BH112" s="16"/>
      <c r="BI112" s="27"/>
      <c r="BJ112" s="24"/>
      <c r="BK112" s="24"/>
      <c r="BL112" s="24"/>
      <c r="BM112" s="16"/>
      <c r="BN112" s="61">
        <f t="shared" si="44"/>
        <v>0</v>
      </c>
      <c r="BO112" s="27"/>
      <c r="BP112" s="24"/>
      <c r="BQ112" s="24"/>
      <c r="BR112" s="16"/>
      <c r="BS112" s="61">
        <f t="shared" ref="BS112:BS143" si="47">IF(U112=0,(T112+BN112),IF(U112&gt;0,(U112+BN112)))</f>
        <v>0</v>
      </c>
      <c r="BT112" s="62"/>
      <c r="BU112" s="69" t="str">
        <f t="shared" ca="1" si="45"/>
        <v/>
      </c>
      <c r="BV112" s="33">
        <f t="shared" ca="1" si="38"/>
        <v>1</v>
      </c>
      <c r="BW112" s="33">
        <v>1</v>
      </c>
      <c r="BX112" s="60" t="str">
        <f t="shared" ca="1" si="39"/>
        <v/>
      </c>
      <c r="BY112" s="34" t="str">
        <f t="shared" si="40"/>
        <v/>
      </c>
      <c r="BZ112" s="21"/>
      <c r="CA112" s="35" t="str">
        <f t="shared" ca="1" si="46"/>
        <v/>
      </c>
      <c r="CB112" s="16"/>
    </row>
    <row r="113" spans="1:80" ht="15.75">
      <c r="A113" s="362"/>
      <c r="B113" s="17"/>
      <c r="C113" s="18"/>
      <c r="D113" s="17"/>
      <c r="E113" s="17"/>
      <c r="F113" s="17"/>
      <c r="G113" s="19"/>
      <c r="H113" s="16"/>
      <c r="I113" s="16"/>
      <c r="J113" s="16"/>
      <c r="K113" s="20"/>
      <c r="L113" s="16"/>
      <c r="M113" s="364"/>
      <c r="N113" s="365"/>
      <c r="O113" s="365"/>
      <c r="P113" s="23">
        <f t="shared" si="33"/>
        <v>0</v>
      </c>
      <c r="Q113" s="362"/>
      <c r="R113" s="366"/>
      <c r="S113" s="362"/>
      <c r="T113" s="366"/>
      <c r="U113" s="363"/>
      <c r="V113" s="17"/>
      <c r="W113" s="23" t="str">
        <f>IFERROR(VLOOKUP(V113,Listas!$A$1:$C$14,2,FALSE),"")</f>
        <v/>
      </c>
      <c r="X113" s="23" t="str">
        <f>IFERROR(VLOOKUP(V113,Listas!$A$1:$C$14,3,FALSE),"")</f>
        <v/>
      </c>
      <c r="Y113" s="17"/>
      <c r="Z113" s="17"/>
      <c r="AA113" s="23" t="str">
        <f>IFERROR(VLOOKUP(Z113,Listas!$AD$1:$AF$65,2,FALSE),"")</f>
        <v/>
      </c>
      <c r="AB113" s="23" t="str">
        <f>IFERROR(VLOOKUP(Z113,Listas!$AD$1:$AF$65,3,FALSE),"")</f>
        <v/>
      </c>
      <c r="AC113" s="17"/>
      <c r="AD113" s="17"/>
      <c r="AE113" s="17"/>
      <c r="AF113" s="27"/>
      <c r="AG113" s="19"/>
      <c r="AH113" s="27"/>
      <c r="AI113" s="16"/>
      <c r="AJ113" s="27"/>
      <c r="AK113" s="16"/>
      <c r="AL113" s="28">
        <f t="shared" si="34"/>
        <v>0</v>
      </c>
      <c r="AM113" s="29"/>
      <c r="AN113" s="27"/>
      <c r="AO113" s="30">
        <f t="shared" si="35"/>
        <v>0</v>
      </c>
      <c r="AP113" s="31">
        <f t="shared" si="36"/>
        <v>0</v>
      </c>
      <c r="AQ113" s="27"/>
      <c r="AR113" s="16"/>
      <c r="AS113" s="27"/>
      <c r="AT113" s="16"/>
      <c r="AU113" s="27"/>
      <c r="AV113" s="16"/>
      <c r="AW113" s="27"/>
      <c r="AX113" s="16"/>
      <c r="AY113" s="27"/>
      <c r="AZ113" s="24"/>
      <c r="BA113" s="24"/>
      <c r="BB113" s="24"/>
      <c r="BC113" s="32"/>
      <c r="BD113" s="27"/>
      <c r="BE113" s="24"/>
      <c r="BF113" s="24"/>
      <c r="BG113" s="24"/>
      <c r="BH113" s="16"/>
      <c r="BI113" s="27"/>
      <c r="BJ113" s="24"/>
      <c r="BK113" s="24"/>
      <c r="BL113" s="24"/>
      <c r="BM113" s="16"/>
      <c r="BN113" s="61">
        <f t="shared" si="44"/>
        <v>0</v>
      </c>
      <c r="BO113" s="27"/>
      <c r="BP113" s="24"/>
      <c r="BQ113" s="24"/>
      <c r="BR113" s="16"/>
      <c r="BS113" s="61">
        <f t="shared" si="47"/>
        <v>0</v>
      </c>
      <c r="BT113" s="62"/>
      <c r="BU113" s="69" t="str">
        <f t="shared" ca="1" si="45"/>
        <v/>
      </c>
      <c r="BV113" s="33">
        <f t="shared" ca="1" si="38"/>
        <v>1</v>
      </c>
      <c r="BW113" s="33">
        <v>1</v>
      </c>
      <c r="BX113" s="60" t="str">
        <f t="shared" ca="1" si="39"/>
        <v/>
      </c>
      <c r="BY113" s="34" t="str">
        <f t="shared" si="40"/>
        <v/>
      </c>
      <c r="BZ113" s="21"/>
      <c r="CA113" s="35" t="str">
        <f t="shared" ca="1" si="46"/>
        <v/>
      </c>
      <c r="CB113" s="16"/>
    </row>
    <row r="114" spans="1:80" ht="15.75">
      <c r="A114" s="362"/>
      <c r="B114" s="17"/>
      <c r="C114" s="18"/>
      <c r="D114" s="17"/>
      <c r="E114" s="17"/>
      <c r="F114" s="17"/>
      <c r="G114" s="19"/>
      <c r="H114" s="16"/>
      <c r="I114" s="16"/>
      <c r="J114" s="16"/>
      <c r="K114" s="20"/>
      <c r="L114" s="16"/>
      <c r="M114" s="364"/>
      <c r="N114" s="365"/>
      <c r="O114" s="365"/>
      <c r="P114" s="23">
        <f t="shared" si="33"/>
        <v>0</v>
      </c>
      <c r="Q114" s="362"/>
      <c r="R114" s="366"/>
      <c r="S114" s="362"/>
      <c r="T114" s="366"/>
      <c r="U114" s="363"/>
      <c r="V114" s="17"/>
      <c r="W114" s="23" t="str">
        <f>IFERROR(VLOOKUP(V114,Listas!$A$1:$C$14,2,FALSE),"")</f>
        <v/>
      </c>
      <c r="X114" s="23" t="str">
        <f>IFERROR(VLOOKUP(V114,Listas!$A$1:$C$14,3,FALSE),"")</f>
        <v/>
      </c>
      <c r="Y114" s="17"/>
      <c r="Z114" s="17"/>
      <c r="AA114" s="23" t="str">
        <f>IFERROR(VLOOKUP(Z114,Listas!$AD$1:$AF$65,2,FALSE),"")</f>
        <v/>
      </c>
      <c r="AB114" s="23" t="str">
        <f>IFERROR(VLOOKUP(Z114,Listas!$AD$1:$AF$65,3,FALSE),"")</f>
        <v/>
      </c>
      <c r="AC114" s="17"/>
      <c r="AD114" s="17"/>
      <c r="AE114" s="17"/>
      <c r="AF114" s="27"/>
      <c r="AG114" s="19"/>
      <c r="AH114" s="27"/>
      <c r="AI114" s="16"/>
      <c r="AJ114" s="27"/>
      <c r="AK114" s="16"/>
      <c r="AL114" s="28">
        <f t="shared" si="34"/>
        <v>0</v>
      </c>
      <c r="AM114" s="29"/>
      <c r="AN114" s="27"/>
      <c r="AO114" s="30">
        <f t="shared" si="35"/>
        <v>0</v>
      </c>
      <c r="AP114" s="31">
        <f t="shared" si="36"/>
        <v>0</v>
      </c>
      <c r="AQ114" s="27"/>
      <c r="AR114" s="16"/>
      <c r="AS114" s="27"/>
      <c r="AT114" s="16"/>
      <c r="AU114" s="27"/>
      <c r="AV114" s="16"/>
      <c r="AW114" s="27"/>
      <c r="AX114" s="16"/>
      <c r="AY114" s="27"/>
      <c r="AZ114" s="24"/>
      <c r="BA114" s="24"/>
      <c r="BB114" s="24"/>
      <c r="BC114" s="32"/>
      <c r="BD114" s="27"/>
      <c r="BE114" s="24"/>
      <c r="BF114" s="24"/>
      <c r="BG114" s="24"/>
      <c r="BH114" s="16"/>
      <c r="BI114" s="27"/>
      <c r="BJ114" s="24"/>
      <c r="BK114" s="24"/>
      <c r="BL114" s="24"/>
      <c r="BM114" s="16"/>
      <c r="BN114" s="61">
        <f t="shared" si="44"/>
        <v>0</v>
      </c>
      <c r="BO114" s="27"/>
      <c r="BP114" s="24"/>
      <c r="BQ114" s="24"/>
      <c r="BR114" s="16"/>
      <c r="BS114" s="61">
        <f t="shared" si="47"/>
        <v>0</v>
      </c>
      <c r="BT114" s="62"/>
      <c r="BU114" s="69" t="str">
        <f t="shared" ca="1" si="45"/>
        <v/>
      </c>
      <c r="BV114" s="33">
        <f t="shared" ca="1" si="38"/>
        <v>1</v>
      </c>
      <c r="BW114" s="33">
        <v>1</v>
      </c>
      <c r="BX114" s="60" t="str">
        <f t="shared" ca="1" si="39"/>
        <v/>
      </c>
      <c r="BY114" s="34" t="str">
        <f t="shared" si="40"/>
        <v/>
      </c>
      <c r="BZ114" s="21"/>
      <c r="CA114" s="35" t="str">
        <f t="shared" ca="1" si="46"/>
        <v/>
      </c>
      <c r="CB114" s="16"/>
    </row>
    <row r="115" spans="1:80" ht="15.75">
      <c r="A115" s="362"/>
      <c r="B115" s="17"/>
      <c r="C115" s="18"/>
      <c r="D115" s="17"/>
      <c r="E115" s="17"/>
      <c r="F115" s="17"/>
      <c r="G115" s="19"/>
      <c r="H115" s="16"/>
      <c r="I115" s="16"/>
      <c r="J115" s="16"/>
      <c r="K115" s="20"/>
      <c r="L115" s="16"/>
      <c r="M115" s="364"/>
      <c r="N115" s="365"/>
      <c r="O115" s="365"/>
      <c r="P115" s="23">
        <f t="shared" si="33"/>
        <v>0</v>
      </c>
      <c r="Q115" s="362"/>
      <c r="R115" s="366"/>
      <c r="S115" s="362"/>
      <c r="T115" s="366"/>
      <c r="U115" s="363"/>
      <c r="V115" s="17"/>
      <c r="W115" s="23" t="str">
        <f>IFERROR(VLOOKUP(V115,Listas!$A$1:$C$14,2,FALSE),"")</f>
        <v/>
      </c>
      <c r="X115" s="23" t="str">
        <f>IFERROR(VLOOKUP(V115,Listas!$A$1:$C$14,3,FALSE),"")</f>
        <v/>
      </c>
      <c r="Y115" s="17"/>
      <c r="Z115" s="17"/>
      <c r="AA115" s="23" t="str">
        <f>IFERROR(VLOOKUP(Z115,Listas!$AD$1:$AF$65,2,FALSE),"")</f>
        <v/>
      </c>
      <c r="AB115" s="23" t="str">
        <f>IFERROR(VLOOKUP(Z115,Listas!$AD$1:$AF$65,3,FALSE),"")</f>
        <v/>
      </c>
      <c r="AC115" s="17"/>
      <c r="AD115" s="17"/>
      <c r="AE115" s="17"/>
      <c r="AF115" s="27"/>
      <c r="AG115" s="19"/>
      <c r="AH115" s="27"/>
      <c r="AI115" s="16"/>
      <c r="AJ115" s="27"/>
      <c r="AK115" s="16"/>
      <c r="AL115" s="28">
        <f t="shared" si="34"/>
        <v>0</v>
      </c>
      <c r="AM115" s="29"/>
      <c r="AN115" s="27"/>
      <c r="AO115" s="30">
        <f t="shared" si="35"/>
        <v>0</v>
      </c>
      <c r="AP115" s="31">
        <f t="shared" si="36"/>
        <v>0</v>
      </c>
      <c r="AQ115" s="27"/>
      <c r="AR115" s="16"/>
      <c r="AS115" s="27"/>
      <c r="AT115" s="16"/>
      <c r="AU115" s="27"/>
      <c r="AV115" s="16"/>
      <c r="AW115" s="27"/>
      <c r="AX115" s="16"/>
      <c r="AY115" s="27"/>
      <c r="AZ115" s="24"/>
      <c r="BA115" s="24"/>
      <c r="BB115" s="24"/>
      <c r="BC115" s="32"/>
      <c r="BD115" s="27"/>
      <c r="BE115" s="24"/>
      <c r="BF115" s="24"/>
      <c r="BG115" s="24"/>
      <c r="BH115" s="16"/>
      <c r="BI115" s="27"/>
      <c r="BJ115" s="24"/>
      <c r="BK115" s="24"/>
      <c r="BL115" s="24"/>
      <c r="BM115" s="16"/>
      <c r="BN115" s="61">
        <f t="shared" si="44"/>
        <v>0</v>
      </c>
      <c r="BO115" s="27"/>
      <c r="BP115" s="24"/>
      <c r="BQ115" s="24"/>
      <c r="BR115" s="16"/>
      <c r="BS115" s="61">
        <f t="shared" si="47"/>
        <v>0</v>
      </c>
      <c r="BT115" s="62"/>
      <c r="BU115" s="69" t="str">
        <f t="shared" ca="1" si="45"/>
        <v/>
      </c>
      <c r="BV115" s="33">
        <f t="shared" ca="1" si="38"/>
        <v>1</v>
      </c>
      <c r="BW115" s="33">
        <v>1</v>
      </c>
      <c r="BX115" s="60" t="str">
        <f t="shared" ca="1" si="39"/>
        <v/>
      </c>
      <c r="BY115" s="34" t="str">
        <f t="shared" si="40"/>
        <v/>
      </c>
      <c r="BZ115" s="21"/>
      <c r="CA115" s="35" t="str">
        <f t="shared" ca="1" si="46"/>
        <v/>
      </c>
      <c r="CB115" s="16"/>
    </row>
    <row r="116" spans="1:80" ht="15.75">
      <c r="A116" s="362"/>
      <c r="B116" s="17"/>
      <c r="C116" s="18"/>
      <c r="D116" s="17"/>
      <c r="E116" s="17"/>
      <c r="F116" s="17"/>
      <c r="G116" s="19"/>
      <c r="H116" s="16"/>
      <c r="I116" s="16"/>
      <c r="J116" s="16"/>
      <c r="K116" s="20"/>
      <c r="L116" s="16"/>
      <c r="M116" s="364"/>
      <c r="N116" s="365"/>
      <c r="O116" s="365"/>
      <c r="P116" s="23">
        <f t="shared" si="33"/>
        <v>0</v>
      </c>
      <c r="Q116" s="362"/>
      <c r="R116" s="366"/>
      <c r="S116" s="362"/>
      <c r="T116" s="366"/>
      <c r="U116" s="363"/>
      <c r="V116" s="17"/>
      <c r="W116" s="23" t="str">
        <f>IFERROR(VLOOKUP(V116,Listas!$A$1:$C$14,2,FALSE),"")</f>
        <v/>
      </c>
      <c r="X116" s="23" t="str">
        <f>IFERROR(VLOOKUP(V116,Listas!$A$1:$C$14,3,FALSE),"")</f>
        <v/>
      </c>
      <c r="Y116" s="17"/>
      <c r="Z116" s="17"/>
      <c r="AA116" s="23" t="str">
        <f>IFERROR(VLOOKUP(Z116,Listas!$AD$1:$AF$65,2,FALSE),"")</f>
        <v/>
      </c>
      <c r="AB116" s="23" t="str">
        <f>IFERROR(VLOOKUP(Z116,Listas!$AD$1:$AF$65,3,FALSE),"")</f>
        <v/>
      </c>
      <c r="AC116" s="17"/>
      <c r="AD116" s="17"/>
      <c r="AE116" s="17"/>
      <c r="AF116" s="27"/>
      <c r="AG116" s="19"/>
      <c r="AH116" s="27"/>
      <c r="AI116" s="16"/>
      <c r="AJ116" s="27"/>
      <c r="AK116" s="16"/>
      <c r="AL116" s="28">
        <f t="shared" si="34"/>
        <v>0</v>
      </c>
      <c r="AM116" s="29"/>
      <c r="AN116" s="27"/>
      <c r="AO116" s="30">
        <f t="shared" si="35"/>
        <v>0</v>
      </c>
      <c r="AP116" s="31">
        <f t="shared" si="36"/>
        <v>0</v>
      </c>
      <c r="AQ116" s="27"/>
      <c r="AR116" s="16"/>
      <c r="AS116" s="27"/>
      <c r="AT116" s="16"/>
      <c r="AU116" s="27"/>
      <c r="AV116" s="16"/>
      <c r="AW116" s="27"/>
      <c r="AX116" s="16"/>
      <c r="AY116" s="27"/>
      <c r="AZ116" s="24"/>
      <c r="BA116" s="24"/>
      <c r="BB116" s="24"/>
      <c r="BC116" s="32"/>
      <c r="BD116" s="27"/>
      <c r="BE116" s="24"/>
      <c r="BF116" s="24"/>
      <c r="BG116" s="24"/>
      <c r="BH116" s="16"/>
      <c r="BI116" s="27"/>
      <c r="BJ116" s="24"/>
      <c r="BK116" s="24"/>
      <c r="BL116" s="24"/>
      <c r="BM116" s="16"/>
      <c r="BN116" s="61">
        <f t="shared" si="44"/>
        <v>0</v>
      </c>
      <c r="BO116" s="27"/>
      <c r="BP116" s="24"/>
      <c r="BQ116" s="24"/>
      <c r="BR116" s="16"/>
      <c r="BS116" s="61">
        <f t="shared" si="47"/>
        <v>0</v>
      </c>
      <c r="BT116" s="62"/>
      <c r="BU116" s="69" t="str">
        <f t="shared" ca="1" si="45"/>
        <v/>
      </c>
      <c r="BV116" s="33">
        <f t="shared" ca="1" si="38"/>
        <v>1</v>
      </c>
      <c r="BW116" s="33">
        <v>1</v>
      </c>
      <c r="BX116" s="60" t="str">
        <f t="shared" ca="1" si="39"/>
        <v/>
      </c>
      <c r="BY116" s="34" t="str">
        <f t="shared" si="40"/>
        <v/>
      </c>
      <c r="BZ116" s="21"/>
      <c r="CA116" s="35" t="str">
        <f t="shared" ca="1" si="46"/>
        <v/>
      </c>
      <c r="CB116" s="16"/>
    </row>
    <row r="117" spans="1:80" ht="15.75">
      <c r="A117" s="362"/>
      <c r="B117" s="17"/>
      <c r="C117" s="18"/>
      <c r="D117" s="17"/>
      <c r="E117" s="17"/>
      <c r="F117" s="17"/>
      <c r="G117" s="19"/>
      <c r="H117" s="16"/>
      <c r="I117" s="16"/>
      <c r="J117" s="16"/>
      <c r="K117" s="20"/>
      <c r="L117" s="16"/>
      <c r="M117" s="364"/>
      <c r="N117" s="365"/>
      <c r="O117" s="365"/>
      <c r="P117" s="23">
        <f t="shared" si="33"/>
        <v>0</v>
      </c>
      <c r="Q117" s="362"/>
      <c r="R117" s="366"/>
      <c r="S117" s="362"/>
      <c r="T117" s="366"/>
      <c r="U117" s="363"/>
      <c r="V117" s="17"/>
      <c r="W117" s="23" t="str">
        <f>IFERROR(VLOOKUP(V117,Listas!$A$1:$C$14,2,FALSE),"")</f>
        <v/>
      </c>
      <c r="X117" s="23" t="str">
        <f>IFERROR(VLOOKUP(V117,Listas!$A$1:$C$14,3,FALSE),"")</f>
        <v/>
      </c>
      <c r="Y117" s="17"/>
      <c r="Z117" s="17"/>
      <c r="AA117" s="23" t="str">
        <f>IFERROR(VLOOKUP(Z117,Listas!$AD$1:$AF$65,2,FALSE),"")</f>
        <v/>
      </c>
      <c r="AB117" s="23" t="str">
        <f>IFERROR(VLOOKUP(Z117,Listas!$AD$1:$AF$65,3,FALSE),"")</f>
        <v/>
      </c>
      <c r="AC117" s="17"/>
      <c r="AD117" s="17"/>
      <c r="AE117" s="17"/>
      <c r="AF117" s="27"/>
      <c r="AG117" s="19"/>
      <c r="AH117" s="27"/>
      <c r="AI117" s="16"/>
      <c r="AJ117" s="27"/>
      <c r="AK117" s="16"/>
      <c r="AL117" s="28">
        <f t="shared" si="34"/>
        <v>0</v>
      </c>
      <c r="AM117" s="29"/>
      <c r="AN117" s="27"/>
      <c r="AO117" s="30">
        <f t="shared" si="35"/>
        <v>0</v>
      </c>
      <c r="AP117" s="31">
        <f t="shared" si="36"/>
        <v>0</v>
      </c>
      <c r="AQ117" s="27"/>
      <c r="AR117" s="16"/>
      <c r="AS117" s="27"/>
      <c r="AT117" s="16"/>
      <c r="AU117" s="27"/>
      <c r="AV117" s="16"/>
      <c r="AW117" s="27"/>
      <c r="AX117" s="16"/>
      <c r="AY117" s="27"/>
      <c r="AZ117" s="24"/>
      <c r="BA117" s="24"/>
      <c r="BB117" s="24"/>
      <c r="BC117" s="32"/>
      <c r="BD117" s="27"/>
      <c r="BE117" s="24"/>
      <c r="BF117" s="24"/>
      <c r="BG117" s="24"/>
      <c r="BH117" s="16"/>
      <c r="BI117" s="27"/>
      <c r="BJ117" s="24"/>
      <c r="BK117" s="24"/>
      <c r="BL117" s="24"/>
      <c r="BM117" s="16"/>
      <c r="BN117" s="61">
        <f t="shared" si="44"/>
        <v>0</v>
      </c>
      <c r="BO117" s="27"/>
      <c r="BP117" s="24"/>
      <c r="BQ117" s="24"/>
      <c r="BR117" s="16"/>
      <c r="BS117" s="61">
        <f t="shared" si="47"/>
        <v>0</v>
      </c>
      <c r="BT117" s="62"/>
      <c r="BU117" s="69" t="str">
        <f t="shared" ca="1" si="45"/>
        <v/>
      </c>
      <c r="BV117" s="33">
        <f t="shared" ca="1" si="38"/>
        <v>1</v>
      </c>
      <c r="BW117" s="33">
        <v>1</v>
      </c>
      <c r="BX117" s="60" t="str">
        <f t="shared" ca="1" si="39"/>
        <v/>
      </c>
      <c r="BY117" s="34" t="str">
        <f t="shared" si="40"/>
        <v/>
      </c>
      <c r="BZ117" s="21"/>
      <c r="CA117" s="35" t="str">
        <f t="shared" ca="1" si="46"/>
        <v/>
      </c>
      <c r="CB117" s="16"/>
    </row>
    <row r="118" spans="1:80" ht="15.75">
      <c r="A118" s="362"/>
      <c r="B118" s="17"/>
      <c r="C118" s="18"/>
      <c r="D118" s="17"/>
      <c r="E118" s="17"/>
      <c r="F118" s="17"/>
      <c r="G118" s="19"/>
      <c r="H118" s="16"/>
      <c r="I118" s="16"/>
      <c r="J118" s="16"/>
      <c r="K118" s="20"/>
      <c r="L118" s="16"/>
      <c r="M118" s="364"/>
      <c r="N118" s="365"/>
      <c r="O118" s="365"/>
      <c r="P118" s="23">
        <f t="shared" si="33"/>
        <v>0</v>
      </c>
      <c r="Q118" s="362"/>
      <c r="R118" s="366"/>
      <c r="S118" s="362"/>
      <c r="T118" s="366"/>
      <c r="U118" s="363"/>
      <c r="V118" s="17"/>
      <c r="W118" s="23" t="str">
        <f>IFERROR(VLOOKUP(V118,Listas!$A$1:$C$14,2,FALSE),"")</f>
        <v/>
      </c>
      <c r="X118" s="23" t="str">
        <f>IFERROR(VLOOKUP(V118,Listas!$A$1:$C$14,3,FALSE),"")</f>
        <v/>
      </c>
      <c r="Y118" s="17"/>
      <c r="Z118" s="17"/>
      <c r="AA118" s="23" t="str">
        <f>IFERROR(VLOOKUP(Z118,Listas!$AD$1:$AF$65,2,FALSE),"")</f>
        <v/>
      </c>
      <c r="AB118" s="23" t="str">
        <f>IFERROR(VLOOKUP(Z118,Listas!$AD$1:$AF$65,3,FALSE),"")</f>
        <v/>
      </c>
      <c r="AC118" s="17"/>
      <c r="AD118" s="17"/>
      <c r="AE118" s="17"/>
      <c r="AF118" s="27"/>
      <c r="AG118" s="19"/>
      <c r="AH118" s="27"/>
      <c r="AI118" s="16"/>
      <c r="AJ118" s="27"/>
      <c r="AK118" s="16"/>
      <c r="AL118" s="28">
        <f t="shared" si="34"/>
        <v>0</v>
      </c>
      <c r="AM118" s="29"/>
      <c r="AN118" s="27"/>
      <c r="AO118" s="30">
        <f t="shared" si="35"/>
        <v>0</v>
      </c>
      <c r="AP118" s="31">
        <f t="shared" si="36"/>
        <v>0</v>
      </c>
      <c r="AQ118" s="27"/>
      <c r="AR118" s="16"/>
      <c r="AS118" s="27"/>
      <c r="AT118" s="16"/>
      <c r="AU118" s="27"/>
      <c r="AV118" s="16"/>
      <c r="AW118" s="27"/>
      <c r="AX118" s="16"/>
      <c r="AY118" s="27"/>
      <c r="AZ118" s="24"/>
      <c r="BA118" s="24"/>
      <c r="BB118" s="24"/>
      <c r="BC118" s="32"/>
      <c r="BD118" s="27"/>
      <c r="BE118" s="24"/>
      <c r="BF118" s="24"/>
      <c r="BG118" s="24"/>
      <c r="BH118" s="16"/>
      <c r="BI118" s="27"/>
      <c r="BJ118" s="24"/>
      <c r="BK118" s="24"/>
      <c r="BL118" s="24"/>
      <c r="BM118" s="16"/>
      <c r="BN118" s="61">
        <f t="shared" si="44"/>
        <v>0</v>
      </c>
      <c r="BO118" s="27"/>
      <c r="BP118" s="24"/>
      <c r="BQ118" s="24"/>
      <c r="BR118" s="16"/>
      <c r="BS118" s="61">
        <f t="shared" si="47"/>
        <v>0</v>
      </c>
      <c r="BT118" s="62"/>
      <c r="BU118" s="69" t="str">
        <f t="shared" ca="1" si="45"/>
        <v/>
      </c>
      <c r="BV118" s="33">
        <f t="shared" ca="1" si="38"/>
        <v>1</v>
      </c>
      <c r="BW118" s="33">
        <v>1</v>
      </c>
      <c r="BX118" s="60" t="str">
        <f t="shared" ca="1" si="39"/>
        <v/>
      </c>
      <c r="BY118" s="34" t="str">
        <f t="shared" si="40"/>
        <v/>
      </c>
      <c r="BZ118" s="21"/>
      <c r="CA118" s="35" t="str">
        <f t="shared" ca="1" si="46"/>
        <v/>
      </c>
      <c r="CB118" s="16"/>
    </row>
    <row r="119" spans="1:80" ht="15.75">
      <c r="A119" s="362"/>
      <c r="B119" s="17"/>
      <c r="C119" s="18"/>
      <c r="D119" s="17"/>
      <c r="E119" s="17"/>
      <c r="F119" s="17"/>
      <c r="G119" s="19"/>
      <c r="H119" s="16"/>
      <c r="I119" s="16"/>
      <c r="J119" s="16"/>
      <c r="K119" s="20"/>
      <c r="L119" s="16"/>
      <c r="M119" s="364"/>
      <c r="N119" s="365"/>
      <c r="O119" s="365"/>
      <c r="P119" s="23">
        <f t="shared" si="33"/>
        <v>0</v>
      </c>
      <c r="Q119" s="362"/>
      <c r="R119" s="366"/>
      <c r="S119" s="362"/>
      <c r="T119" s="366"/>
      <c r="U119" s="363"/>
      <c r="V119" s="17"/>
      <c r="W119" s="23" t="str">
        <f>IFERROR(VLOOKUP(V119,Listas!$A$1:$C$14,2,FALSE),"")</f>
        <v/>
      </c>
      <c r="X119" s="23" t="str">
        <f>IFERROR(VLOOKUP(V119,Listas!$A$1:$C$14,3,FALSE),"")</f>
        <v/>
      </c>
      <c r="Y119" s="17"/>
      <c r="Z119" s="17"/>
      <c r="AA119" s="23" t="str">
        <f>IFERROR(VLOOKUP(Z119,Listas!$AD$1:$AF$65,2,FALSE),"")</f>
        <v/>
      </c>
      <c r="AB119" s="23" t="str">
        <f>IFERROR(VLOOKUP(Z119,Listas!$AD$1:$AF$65,3,FALSE),"")</f>
        <v/>
      </c>
      <c r="AC119" s="17"/>
      <c r="AD119" s="17"/>
      <c r="AE119" s="17"/>
      <c r="AF119" s="27"/>
      <c r="AG119" s="19"/>
      <c r="AH119" s="27"/>
      <c r="AI119" s="16"/>
      <c r="AJ119" s="27"/>
      <c r="AK119" s="16"/>
      <c r="AL119" s="28">
        <f t="shared" si="34"/>
        <v>0</v>
      </c>
      <c r="AM119" s="29"/>
      <c r="AN119" s="27"/>
      <c r="AO119" s="30">
        <f t="shared" si="35"/>
        <v>0</v>
      </c>
      <c r="AP119" s="31">
        <f t="shared" si="36"/>
        <v>0</v>
      </c>
      <c r="AQ119" s="27"/>
      <c r="AR119" s="16"/>
      <c r="AS119" s="27"/>
      <c r="AT119" s="16"/>
      <c r="AU119" s="27"/>
      <c r="AV119" s="16"/>
      <c r="AW119" s="27"/>
      <c r="AX119" s="16"/>
      <c r="AY119" s="27"/>
      <c r="AZ119" s="24"/>
      <c r="BA119" s="24"/>
      <c r="BB119" s="24"/>
      <c r="BC119" s="32"/>
      <c r="BD119" s="27"/>
      <c r="BE119" s="24"/>
      <c r="BF119" s="24"/>
      <c r="BG119" s="24"/>
      <c r="BH119" s="16"/>
      <c r="BI119" s="27"/>
      <c r="BJ119" s="24"/>
      <c r="BK119" s="24"/>
      <c r="BL119" s="24"/>
      <c r="BM119" s="16"/>
      <c r="BN119" s="61">
        <f t="shared" si="44"/>
        <v>0</v>
      </c>
      <c r="BO119" s="27"/>
      <c r="BP119" s="24"/>
      <c r="BQ119" s="24"/>
      <c r="BR119" s="16"/>
      <c r="BS119" s="61">
        <f t="shared" si="47"/>
        <v>0</v>
      </c>
      <c r="BT119" s="62"/>
      <c r="BU119" s="69" t="str">
        <f t="shared" ca="1" si="45"/>
        <v/>
      </c>
      <c r="BV119" s="33">
        <f t="shared" ca="1" si="38"/>
        <v>1</v>
      </c>
      <c r="BW119" s="33">
        <v>1</v>
      </c>
      <c r="BX119" s="60" t="str">
        <f t="shared" ca="1" si="39"/>
        <v/>
      </c>
      <c r="BY119" s="34" t="str">
        <f t="shared" si="40"/>
        <v/>
      </c>
      <c r="BZ119" s="21"/>
      <c r="CA119" s="35" t="str">
        <f t="shared" ca="1" si="46"/>
        <v/>
      </c>
      <c r="CB119" s="16"/>
    </row>
    <row r="120" spans="1:80" ht="15.75">
      <c r="A120" s="362"/>
      <c r="B120" s="17"/>
      <c r="C120" s="18"/>
      <c r="D120" s="17"/>
      <c r="E120" s="17"/>
      <c r="F120" s="17"/>
      <c r="G120" s="19"/>
      <c r="H120" s="16"/>
      <c r="I120" s="16"/>
      <c r="J120" s="16"/>
      <c r="K120" s="20"/>
      <c r="L120" s="16"/>
      <c r="M120" s="364"/>
      <c r="N120" s="365"/>
      <c r="O120" s="365"/>
      <c r="P120" s="23">
        <f t="shared" si="33"/>
        <v>0</v>
      </c>
      <c r="Q120" s="362"/>
      <c r="R120" s="366"/>
      <c r="S120" s="362"/>
      <c r="T120" s="366"/>
      <c r="U120" s="363"/>
      <c r="V120" s="17"/>
      <c r="W120" s="23" t="str">
        <f>IFERROR(VLOOKUP(V120,Listas!$A$1:$C$14,2,FALSE),"")</f>
        <v/>
      </c>
      <c r="X120" s="23" t="str">
        <f>IFERROR(VLOOKUP(V120,Listas!$A$1:$C$14,3,FALSE),"")</f>
        <v/>
      </c>
      <c r="Y120" s="17"/>
      <c r="Z120" s="17"/>
      <c r="AA120" s="23" t="str">
        <f>IFERROR(VLOOKUP(Z120,Listas!$AD$1:$AF$65,2,FALSE),"")</f>
        <v/>
      </c>
      <c r="AB120" s="23" t="str">
        <f>IFERROR(VLOOKUP(Z120,Listas!$AD$1:$AF$65,3,FALSE),"")</f>
        <v/>
      </c>
      <c r="AC120" s="17"/>
      <c r="AD120" s="17"/>
      <c r="AE120" s="17"/>
      <c r="AF120" s="27"/>
      <c r="AG120" s="19"/>
      <c r="AH120" s="27"/>
      <c r="AI120" s="16"/>
      <c r="AJ120" s="27"/>
      <c r="AK120" s="16"/>
      <c r="AL120" s="28">
        <f t="shared" si="34"/>
        <v>0</v>
      </c>
      <c r="AM120" s="29"/>
      <c r="AN120" s="27"/>
      <c r="AO120" s="30">
        <f t="shared" si="35"/>
        <v>0</v>
      </c>
      <c r="AP120" s="31">
        <f t="shared" si="36"/>
        <v>0</v>
      </c>
      <c r="AQ120" s="27"/>
      <c r="AR120" s="16"/>
      <c r="AS120" s="27"/>
      <c r="AT120" s="16"/>
      <c r="AU120" s="27"/>
      <c r="AV120" s="16"/>
      <c r="AW120" s="27"/>
      <c r="AX120" s="16"/>
      <c r="AY120" s="27"/>
      <c r="AZ120" s="24"/>
      <c r="BA120" s="24"/>
      <c r="BB120" s="24"/>
      <c r="BC120" s="32"/>
      <c r="BD120" s="27"/>
      <c r="BE120" s="24"/>
      <c r="BF120" s="24"/>
      <c r="BG120" s="24"/>
      <c r="BH120" s="16"/>
      <c r="BI120" s="27"/>
      <c r="BJ120" s="24"/>
      <c r="BK120" s="24"/>
      <c r="BL120" s="24"/>
      <c r="BM120" s="16"/>
      <c r="BN120" s="61">
        <f t="shared" si="44"/>
        <v>0</v>
      </c>
      <c r="BO120" s="27"/>
      <c r="BP120" s="24"/>
      <c r="BQ120" s="24"/>
      <c r="BR120" s="16"/>
      <c r="BS120" s="61">
        <f t="shared" si="47"/>
        <v>0</v>
      </c>
      <c r="BT120" s="62"/>
      <c r="BU120" s="69" t="str">
        <f t="shared" ca="1" si="45"/>
        <v/>
      </c>
      <c r="BV120" s="33">
        <f t="shared" ca="1" si="38"/>
        <v>1</v>
      </c>
      <c r="BW120" s="33">
        <v>1</v>
      </c>
      <c r="BX120" s="60" t="str">
        <f t="shared" ca="1" si="39"/>
        <v/>
      </c>
      <c r="BY120" s="34" t="str">
        <f t="shared" si="40"/>
        <v/>
      </c>
      <c r="BZ120" s="21"/>
      <c r="CA120" s="35" t="str">
        <f t="shared" ca="1" si="46"/>
        <v/>
      </c>
      <c r="CB120" s="16"/>
    </row>
    <row r="121" spans="1:80" ht="15.75">
      <c r="A121" s="362"/>
      <c r="B121" s="17"/>
      <c r="C121" s="18"/>
      <c r="D121" s="17"/>
      <c r="E121" s="17"/>
      <c r="F121" s="17"/>
      <c r="G121" s="19"/>
      <c r="H121" s="16"/>
      <c r="I121" s="16"/>
      <c r="J121" s="16"/>
      <c r="K121" s="20"/>
      <c r="L121" s="16"/>
      <c r="M121" s="364"/>
      <c r="N121" s="365"/>
      <c r="O121" s="365"/>
      <c r="P121" s="23">
        <f t="shared" si="33"/>
        <v>0</v>
      </c>
      <c r="Q121" s="362"/>
      <c r="R121" s="366"/>
      <c r="S121" s="362"/>
      <c r="T121" s="366"/>
      <c r="U121" s="363"/>
      <c r="V121" s="17"/>
      <c r="W121" s="23" t="str">
        <f>IFERROR(VLOOKUP(V121,Listas!$A$1:$C$14,2,FALSE),"")</f>
        <v/>
      </c>
      <c r="X121" s="23" t="str">
        <f>IFERROR(VLOOKUP(V121,Listas!$A$1:$C$14,3,FALSE),"")</f>
        <v/>
      </c>
      <c r="Y121" s="17"/>
      <c r="Z121" s="17"/>
      <c r="AA121" s="23" t="str">
        <f>IFERROR(VLOOKUP(Z121,Listas!$AD$1:$AF$65,2,FALSE),"")</f>
        <v/>
      </c>
      <c r="AB121" s="23" t="str">
        <f>IFERROR(VLOOKUP(Z121,Listas!$AD$1:$AF$65,3,FALSE),"")</f>
        <v/>
      </c>
      <c r="AC121" s="17"/>
      <c r="AD121" s="17"/>
      <c r="AE121" s="17"/>
      <c r="AF121" s="27"/>
      <c r="AG121" s="19"/>
      <c r="AH121" s="27"/>
      <c r="AI121" s="16"/>
      <c r="AJ121" s="27"/>
      <c r="AK121" s="16"/>
      <c r="AL121" s="28">
        <f t="shared" si="34"/>
        <v>0</v>
      </c>
      <c r="AM121" s="29"/>
      <c r="AN121" s="27"/>
      <c r="AO121" s="30">
        <f t="shared" si="35"/>
        <v>0</v>
      </c>
      <c r="AP121" s="31">
        <f t="shared" si="36"/>
        <v>0</v>
      </c>
      <c r="AQ121" s="27"/>
      <c r="AR121" s="16"/>
      <c r="AS121" s="27"/>
      <c r="AT121" s="16"/>
      <c r="AU121" s="27"/>
      <c r="AV121" s="16"/>
      <c r="AW121" s="27"/>
      <c r="AX121" s="16"/>
      <c r="AY121" s="27"/>
      <c r="AZ121" s="24"/>
      <c r="BA121" s="24"/>
      <c r="BB121" s="24"/>
      <c r="BC121" s="32"/>
      <c r="BD121" s="27"/>
      <c r="BE121" s="24"/>
      <c r="BF121" s="24"/>
      <c r="BG121" s="24"/>
      <c r="BH121" s="16"/>
      <c r="BI121" s="27"/>
      <c r="BJ121" s="24"/>
      <c r="BK121" s="24"/>
      <c r="BL121" s="24"/>
      <c r="BM121" s="16"/>
      <c r="BN121" s="61">
        <f t="shared" si="44"/>
        <v>0</v>
      </c>
      <c r="BO121" s="27"/>
      <c r="BP121" s="24"/>
      <c r="BQ121" s="24"/>
      <c r="BR121" s="16"/>
      <c r="BS121" s="61">
        <f t="shared" si="47"/>
        <v>0</v>
      </c>
      <c r="BT121" s="62"/>
      <c r="BU121" s="69" t="str">
        <f t="shared" ca="1" si="45"/>
        <v/>
      </c>
      <c r="BV121" s="33">
        <f t="shared" ca="1" si="38"/>
        <v>1</v>
      </c>
      <c r="BW121" s="33">
        <v>1</v>
      </c>
      <c r="BX121" s="60" t="str">
        <f t="shared" ca="1" si="39"/>
        <v/>
      </c>
      <c r="BY121" s="34" t="str">
        <f t="shared" si="40"/>
        <v/>
      </c>
      <c r="BZ121" s="21"/>
      <c r="CA121" s="35" t="str">
        <f t="shared" ca="1" si="46"/>
        <v/>
      </c>
      <c r="CB121" s="16"/>
    </row>
    <row r="122" spans="1:80" ht="15.75">
      <c r="A122" s="362"/>
      <c r="B122" s="17"/>
      <c r="C122" s="18"/>
      <c r="D122" s="17"/>
      <c r="E122" s="17"/>
      <c r="F122" s="17"/>
      <c r="G122" s="19"/>
      <c r="H122" s="16"/>
      <c r="I122" s="16"/>
      <c r="J122" s="16"/>
      <c r="K122" s="20"/>
      <c r="L122" s="16"/>
      <c r="M122" s="364"/>
      <c r="N122" s="365"/>
      <c r="O122" s="365"/>
      <c r="P122" s="23">
        <f t="shared" si="33"/>
        <v>0</v>
      </c>
      <c r="Q122" s="362"/>
      <c r="R122" s="366"/>
      <c r="S122" s="362"/>
      <c r="T122" s="366"/>
      <c r="U122" s="363"/>
      <c r="V122" s="17"/>
      <c r="W122" s="23" t="str">
        <f>IFERROR(VLOOKUP(V122,Listas!$A$1:$C$14,2,FALSE),"")</f>
        <v/>
      </c>
      <c r="X122" s="23" t="str">
        <f>IFERROR(VLOOKUP(V122,Listas!$A$1:$C$14,3,FALSE),"")</f>
        <v/>
      </c>
      <c r="Y122" s="17"/>
      <c r="Z122" s="17"/>
      <c r="AA122" s="23" t="str">
        <f>IFERROR(VLOOKUP(Z122,Listas!$AD$1:$AF$65,2,FALSE),"")</f>
        <v/>
      </c>
      <c r="AB122" s="23" t="str">
        <f>IFERROR(VLOOKUP(Z122,Listas!$AD$1:$AF$65,3,FALSE),"")</f>
        <v/>
      </c>
      <c r="AC122" s="17"/>
      <c r="AD122" s="17"/>
      <c r="AE122" s="17"/>
      <c r="AF122" s="27"/>
      <c r="AG122" s="19"/>
      <c r="AH122" s="27"/>
      <c r="AI122" s="16"/>
      <c r="AJ122" s="27"/>
      <c r="AK122" s="16"/>
      <c r="AL122" s="28">
        <f t="shared" si="34"/>
        <v>0</v>
      </c>
      <c r="AM122" s="29"/>
      <c r="AN122" s="27"/>
      <c r="AO122" s="30">
        <f t="shared" si="35"/>
        <v>0</v>
      </c>
      <c r="AP122" s="31">
        <f t="shared" si="36"/>
        <v>0</v>
      </c>
      <c r="AQ122" s="27"/>
      <c r="AR122" s="16"/>
      <c r="AS122" s="27"/>
      <c r="AT122" s="16"/>
      <c r="AU122" s="27"/>
      <c r="AV122" s="16"/>
      <c r="AW122" s="27"/>
      <c r="AX122" s="16"/>
      <c r="AY122" s="27"/>
      <c r="AZ122" s="24"/>
      <c r="BA122" s="24"/>
      <c r="BB122" s="24"/>
      <c r="BC122" s="32"/>
      <c r="BD122" s="27"/>
      <c r="BE122" s="24"/>
      <c r="BF122" s="24"/>
      <c r="BG122" s="24"/>
      <c r="BH122" s="16"/>
      <c r="BI122" s="27"/>
      <c r="BJ122" s="24"/>
      <c r="BK122" s="24"/>
      <c r="BL122" s="24"/>
      <c r="BM122" s="16"/>
      <c r="BN122" s="61">
        <f t="shared" si="44"/>
        <v>0</v>
      </c>
      <c r="BO122" s="27"/>
      <c r="BP122" s="24"/>
      <c r="BQ122" s="24"/>
      <c r="BR122" s="16"/>
      <c r="BS122" s="61">
        <f t="shared" si="47"/>
        <v>0</v>
      </c>
      <c r="BT122" s="62"/>
      <c r="BU122" s="69" t="str">
        <f t="shared" ca="1" si="45"/>
        <v/>
      </c>
      <c r="BV122" s="33">
        <f t="shared" ca="1" si="38"/>
        <v>1</v>
      </c>
      <c r="BW122" s="33">
        <v>1</v>
      </c>
      <c r="BX122" s="60" t="str">
        <f t="shared" ca="1" si="39"/>
        <v/>
      </c>
      <c r="BY122" s="34" t="str">
        <f t="shared" si="40"/>
        <v/>
      </c>
      <c r="BZ122" s="21"/>
      <c r="CA122" s="35" t="str">
        <f t="shared" ca="1" si="46"/>
        <v/>
      </c>
      <c r="CB122" s="16"/>
    </row>
    <row r="123" spans="1:80" ht="15.75">
      <c r="A123" s="362"/>
      <c r="B123" s="17"/>
      <c r="C123" s="18"/>
      <c r="D123" s="17"/>
      <c r="E123" s="17"/>
      <c r="F123" s="17"/>
      <c r="G123" s="19"/>
      <c r="H123" s="16"/>
      <c r="I123" s="16"/>
      <c r="J123" s="16"/>
      <c r="K123" s="20"/>
      <c r="L123" s="16"/>
      <c r="M123" s="364"/>
      <c r="N123" s="365"/>
      <c r="O123" s="365"/>
      <c r="P123" s="23">
        <f t="shared" si="33"/>
        <v>0</v>
      </c>
      <c r="Q123" s="362"/>
      <c r="R123" s="366"/>
      <c r="S123" s="362"/>
      <c r="T123" s="366"/>
      <c r="U123" s="363"/>
      <c r="V123" s="17"/>
      <c r="W123" s="23" t="str">
        <f>IFERROR(VLOOKUP(V123,Listas!$A$1:$C$14,2,FALSE),"")</f>
        <v/>
      </c>
      <c r="X123" s="23" t="str">
        <f>IFERROR(VLOOKUP(V123,Listas!$A$1:$C$14,3,FALSE),"")</f>
        <v/>
      </c>
      <c r="Y123" s="17"/>
      <c r="Z123" s="17"/>
      <c r="AA123" s="23" t="str">
        <f>IFERROR(VLOOKUP(Z123,Listas!$AD$1:$AF$65,2,FALSE),"")</f>
        <v/>
      </c>
      <c r="AB123" s="23" t="str">
        <f>IFERROR(VLOOKUP(Z123,Listas!$AD$1:$AF$65,3,FALSE),"")</f>
        <v/>
      </c>
      <c r="AC123" s="17"/>
      <c r="AD123" s="17"/>
      <c r="AE123" s="17"/>
      <c r="AF123" s="27"/>
      <c r="AG123" s="19"/>
      <c r="AH123" s="27"/>
      <c r="AI123" s="16"/>
      <c r="AJ123" s="27"/>
      <c r="AK123" s="16"/>
      <c r="AL123" s="28">
        <f t="shared" si="34"/>
        <v>0</v>
      </c>
      <c r="AM123" s="29"/>
      <c r="AN123" s="27"/>
      <c r="AO123" s="30">
        <f t="shared" si="35"/>
        <v>0</v>
      </c>
      <c r="AP123" s="31">
        <f t="shared" si="36"/>
        <v>0</v>
      </c>
      <c r="AQ123" s="27"/>
      <c r="AR123" s="16"/>
      <c r="AS123" s="27"/>
      <c r="AT123" s="16"/>
      <c r="AU123" s="27"/>
      <c r="AV123" s="16"/>
      <c r="AW123" s="27"/>
      <c r="AX123" s="16"/>
      <c r="AY123" s="27"/>
      <c r="AZ123" s="24"/>
      <c r="BA123" s="24"/>
      <c r="BB123" s="24"/>
      <c r="BC123" s="32"/>
      <c r="BD123" s="27"/>
      <c r="BE123" s="24"/>
      <c r="BF123" s="24"/>
      <c r="BG123" s="24"/>
      <c r="BH123" s="16"/>
      <c r="BI123" s="27"/>
      <c r="BJ123" s="24"/>
      <c r="BK123" s="24"/>
      <c r="BL123" s="24"/>
      <c r="BM123" s="16"/>
      <c r="BN123" s="61">
        <f t="shared" si="44"/>
        <v>0</v>
      </c>
      <c r="BO123" s="27"/>
      <c r="BP123" s="24"/>
      <c r="BQ123" s="24"/>
      <c r="BR123" s="16"/>
      <c r="BS123" s="61">
        <f t="shared" si="47"/>
        <v>0</v>
      </c>
      <c r="BT123" s="62"/>
      <c r="BU123" s="69" t="str">
        <f t="shared" ca="1" si="45"/>
        <v/>
      </c>
      <c r="BV123" s="33">
        <f t="shared" ca="1" si="38"/>
        <v>1</v>
      </c>
      <c r="BW123" s="33">
        <v>1</v>
      </c>
      <c r="BX123" s="60" t="str">
        <f t="shared" ca="1" si="39"/>
        <v/>
      </c>
      <c r="BY123" s="34" t="str">
        <f t="shared" si="40"/>
        <v/>
      </c>
      <c r="BZ123" s="21"/>
      <c r="CA123" s="35" t="str">
        <f t="shared" ca="1" si="46"/>
        <v/>
      </c>
      <c r="CB123" s="16"/>
    </row>
    <row r="124" spans="1:80" ht="15.75">
      <c r="A124" s="362"/>
      <c r="B124" s="17"/>
      <c r="C124" s="18"/>
      <c r="D124" s="17"/>
      <c r="E124" s="17"/>
      <c r="F124" s="17"/>
      <c r="G124" s="19"/>
      <c r="H124" s="16"/>
      <c r="I124" s="16"/>
      <c r="J124" s="16"/>
      <c r="K124" s="20"/>
      <c r="L124" s="16"/>
      <c r="M124" s="364"/>
      <c r="N124" s="365"/>
      <c r="O124" s="365"/>
      <c r="P124" s="23">
        <f t="shared" si="33"/>
        <v>0</v>
      </c>
      <c r="Q124" s="362"/>
      <c r="R124" s="366"/>
      <c r="S124" s="362"/>
      <c r="T124" s="366"/>
      <c r="U124" s="363"/>
      <c r="V124" s="17"/>
      <c r="W124" s="23" t="str">
        <f>IFERROR(VLOOKUP(V124,Listas!$A$1:$C$14,2,FALSE),"")</f>
        <v/>
      </c>
      <c r="X124" s="23" t="str">
        <f>IFERROR(VLOOKUP(V124,Listas!$A$1:$C$14,3,FALSE),"")</f>
        <v/>
      </c>
      <c r="Y124" s="17"/>
      <c r="Z124" s="17"/>
      <c r="AA124" s="23" t="str">
        <f>IFERROR(VLOOKUP(Z124,Listas!$AD$1:$AF$65,2,FALSE),"")</f>
        <v/>
      </c>
      <c r="AB124" s="23" t="str">
        <f>IFERROR(VLOOKUP(Z124,Listas!$AD$1:$AF$65,3,FALSE),"")</f>
        <v/>
      </c>
      <c r="AC124" s="17"/>
      <c r="AD124" s="17"/>
      <c r="AE124" s="17"/>
      <c r="AF124" s="27"/>
      <c r="AG124" s="19"/>
      <c r="AH124" s="27"/>
      <c r="AI124" s="16"/>
      <c r="AJ124" s="27"/>
      <c r="AK124" s="16"/>
      <c r="AL124" s="28">
        <f t="shared" si="34"/>
        <v>0</v>
      </c>
      <c r="AM124" s="29"/>
      <c r="AN124" s="27"/>
      <c r="AO124" s="30">
        <f t="shared" si="35"/>
        <v>0</v>
      </c>
      <c r="AP124" s="31">
        <f t="shared" si="36"/>
        <v>0</v>
      </c>
      <c r="AQ124" s="27"/>
      <c r="AR124" s="16"/>
      <c r="AS124" s="27"/>
      <c r="AT124" s="16"/>
      <c r="AU124" s="27"/>
      <c r="AV124" s="16"/>
      <c r="AW124" s="27"/>
      <c r="AX124" s="16"/>
      <c r="AY124" s="27"/>
      <c r="AZ124" s="24"/>
      <c r="BA124" s="24"/>
      <c r="BB124" s="24"/>
      <c r="BC124" s="32"/>
      <c r="BD124" s="27"/>
      <c r="BE124" s="24"/>
      <c r="BF124" s="24"/>
      <c r="BG124" s="24"/>
      <c r="BH124" s="16"/>
      <c r="BI124" s="27"/>
      <c r="BJ124" s="24"/>
      <c r="BK124" s="24"/>
      <c r="BL124" s="24"/>
      <c r="BM124" s="16"/>
      <c r="BN124" s="61">
        <f t="shared" si="44"/>
        <v>0</v>
      </c>
      <c r="BO124" s="27"/>
      <c r="BP124" s="24"/>
      <c r="BQ124" s="24"/>
      <c r="BR124" s="16"/>
      <c r="BS124" s="61">
        <f t="shared" si="47"/>
        <v>0</v>
      </c>
      <c r="BT124" s="62"/>
      <c r="BU124" s="69" t="str">
        <f t="shared" ca="1" si="45"/>
        <v/>
      </c>
      <c r="BV124" s="33">
        <f t="shared" ca="1" si="38"/>
        <v>1</v>
      </c>
      <c r="BW124" s="33">
        <v>1</v>
      </c>
      <c r="BX124" s="60" t="str">
        <f t="shared" ca="1" si="39"/>
        <v/>
      </c>
      <c r="BY124" s="34" t="str">
        <f t="shared" si="40"/>
        <v/>
      </c>
      <c r="BZ124" s="21"/>
      <c r="CA124" s="35" t="str">
        <f t="shared" ca="1" si="46"/>
        <v/>
      </c>
      <c r="CB124" s="16"/>
    </row>
    <row r="125" spans="1:80" ht="15.75">
      <c r="A125" s="362"/>
      <c r="B125" s="17"/>
      <c r="C125" s="18"/>
      <c r="D125" s="17"/>
      <c r="E125" s="17"/>
      <c r="F125" s="17"/>
      <c r="G125" s="19"/>
      <c r="H125" s="16"/>
      <c r="I125" s="16"/>
      <c r="J125" s="16"/>
      <c r="K125" s="20"/>
      <c r="L125" s="16"/>
      <c r="M125" s="364"/>
      <c r="N125" s="365"/>
      <c r="O125" s="365"/>
      <c r="P125" s="23">
        <f t="shared" si="33"/>
        <v>0</v>
      </c>
      <c r="Q125" s="362"/>
      <c r="R125" s="366"/>
      <c r="S125" s="362"/>
      <c r="T125" s="366"/>
      <c r="U125" s="363"/>
      <c r="V125" s="17"/>
      <c r="W125" s="23" t="str">
        <f>IFERROR(VLOOKUP(V125,Listas!$A$1:$C$14,2,FALSE),"")</f>
        <v/>
      </c>
      <c r="X125" s="23" t="str">
        <f>IFERROR(VLOOKUP(V125,Listas!$A$1:$C$14,3,FALSE),"")</f>
        <v/>
      </c>
      <c r="Y125" s="17"/>
      <c r="Z125" s="17"/>
      <c r="AA125" s="23" t="str">
        <f>IFERROR(VLOOKUP(Z125,Listas!$AD$1:$AF$65,2,FALSE),"")</f>
        <v/>
      </c>
      <c r="AB125" s="23" t="str">
        <f>IFERROR(VLOOKUP(Z125,Listas!$AD$1:$AF$65,3,FALSE),"")</f>
        <v/>
      </c>
      <c r="AC125" s="17"/>
      <c r="AD125" s="17"/>
      <c r="AE125" s="17"/>
      <c r="AF125" s="27"/>
      <c r="AG125" s="19"/>
      <c r="AH125" s="27"/>
      <c r="AI125" s="16"/>
      <c r="AJ125" s="27"/>
      <c r="AK125" s="16"/>
      <c r="AL125" s="28">
        <f t="shared" si="34"/>
        <v>0</v>
      </c>
      <c r="AM125" s="29"/>
      <c r="AN125" s="27"/>
      <c r="AO125" s="30">
        <f t="shared" si="35"/>
        <v>0</v>
      </c>
      <c r="AP125" s="31">
        <f t="shared" si="36"/>
        <v>0</v>
      </c>
      <c r="AQ125" s="27"/>
      <c r="AR125" s="16"/>
      <c r="AS125" s="27"/>
      <c r="AT125" s="16"/>
      <c r="AU125" s="27"/>
      <c r="AV125" s="16"/>
      <c r="AW125" s="27"/>
      <c r="AX125" s="16"/>
      <c r="AY125" s="27"/>
      <c r="AZ125" s="24"/>
      <c r="BA125" s="24"/>
      <c r="BB125" s="24"/>
      <c r="BC125" s="32"/>
      <c r="BD125" s="27"/>
      <c r="BE125" s="24"/>
      <c r="BF125" s="24"/>
      <c r="BG125" s="24"/>
      <c r="BH125" s="16"/>
      <c r="BI125" s="27"/>
      <c r="BJ125" s="24"/>
      <c r="BK125" s="24"/>
      <c r="BL125" s="24"/>
      <c r="BM125" s="16"/>
      <c r="BN125" s="61">
        <f t="shared" si="44"/>
        <v>0</v>
      </c>
      <c r="BO125" s="27"/>
      <c r="BP125" s="24"/>
      <c r="BQ125" s="24"/>
      <c r="BR125" s="16"/>
      <c r="BS125" s="61">
        <f t="shared" si="47"/>
        <v>0</v>
      </c>
      <c r="BT125" s="62"/>
      <c r="BU125" s="69" t="str">
        <f t="shared" ca="1" si="45"/>
        <v/>
      </c>
      <c r="BV125" s="33">
        <f t="shared" ca="1" si="38"/>
        <v>1</v>
      </c>
      <c r="BW125" s="33">
        <v>1</v>
      </c>
      <c r="BX125" s="60" t="str">
        <f t="shared" ca="1" si="39"/>
        <v/>
      </c>
      <c r="BY125" s="34" t="str">
        <f t="shared" si="40"/>
        <v/>
      </c>
      <c r="BZ125" s="21"/>
      <c r="CA125" s="35" t="str">
        <f t="shared" ca="1" si="46"/>
        <v/>
      </c>
      <c r="CB125" s="16"/>
    </row>
    <row r="126" spans="1:80" ht="15.75">
      <c r="A126" s="362"/>
      <c r="B126" s="17"/>
      <c r="C126" s="18"/>
      <c r="D126" s="17"/>
      <c r="E126" s="17"/>
      <c r="F126" s="17"/>
      <c r="G126" s="19"/>
      <c r="H126" s="16"/>
      <c r="I126" s="16"/>
      <c r="J126" s="16"/>
      <c r="K126" s="20"/>
      <c r="L126" s="16"/>
      <c r="M126" s="364"/>
      <c r="N126" s="365"/>
      <c r="O126" s="365"/>
      <c r="P126" s="23">
        <f t="shared" si="33"/>
        <v>0</v>
      </c>
      <c r="Q126" s="362"/>
      <c r="R126" s="366"/>
      <c r="S126" s="362"/>
      <c r="T126" s="366"/>
      <c r="U126" s="363"/>
      <c r="V126" s="17"/>
      <c r="W126" s="23" t="str">
        <f>IFERROR(VLOOKUP(V126,Listas!$A$1:$C$14,2,FALSE),"")</f>
        <v/>
      </c>
      <c r="X126" s="23" t="str">
        <f>IFERROR(VLOOKUP(V126,Listas!$A$1:$C$14,3,FALSE),"")</f>
        <v/>
      </c>
      <c r="Y126" s="17"/>
      <c r="Z126" s="17"/>
      <c r="AA126" s="23" t="str">
        <f>IFERROR(VLOOKUP(Z126,Listas!$AD$1:$AF$65,2,FALSE),"")</f>
        <v/>
      </c>
      <c r="AB126" s="23" t="str">
        <f>IFERROR(VLOOKUP(Z126,Listas!$AD$1:$AF$65,3,FALSE),"")</f>
        <v/>
      </c>
      <c r="AC126" s="17"/>
      <c r="AD126" s="17"/>
      <c r="AE126" s="17"/>
      <c r="AF126" s="27"/>
      <c r="AG126" s="19"/>
      <c r="AH126" s="27"/>
      <c r="AI126" s="16"/>
      <c r="AJ126" s="27"/>
      <c r="AK126" s="16"/>
      <c r="AL126" s="28">
        <f t="shared" si="34"/>
        <v>0</v>
      </c>
      <c r="AM126" s="29"/>
      <c r="AN126" s="27"/>
      <c r="AO126" s="30">
        <f t="shared" si="35"/>
        <v>0</v>
      </c>
      <c r="AP126" s="31">
        <f t="shared" si="36"/>
        <v>0</v>
      </c>
      <c r="AQ126" s="27"/>
      <c r="AR126" s="16"/>
      <c r="AS126" s="27"/>
      <c r="AT126" s="16"/>
      <c r="AU126" s="27"/>
      <c r="AV126" s="16"/>
      <c r="AW126" s="27"/>
      <c r="AX126" s="16"/>
      <c r="AY126" s="27"/>
      <c r="AZ126" s="24"/>
      <c r="BA126" s="24"/>
      <c r="BB126" s="24"/>
      <c r="BC126" s="32"/>
      <c r="BD126" s="27"/>
      <c r="BE126" s="24"/>
      <c r="BF126" s="24"/>
      <c r="BG126" s="24"/>
      <c r="BH126" s="16"/>
      <c r="BI126" s="27"/>
      <c r="BJ126" s="24"/>
      <c r="BK126" s="24"/>
      <c r="BL126" s="24"/>
      <c r="BM126" s="16"/>
      <c r="BN126" s="61">
        <f t="shared" si="44"/>
        <v>0</v>
      </c>
      <c r="BO126" s="27"/>
      <c r="BP126" s="24"/>
      <c r="BQ126" s="24"/>
      <c r="BR126" s="16"/>
      <c r="BS126" s="61">
        <f t="shared" si="47"/>
        <v>0</v>
      </c>
      <c r="BT126" s="62"/>
      <c r="BU126" s="69" t="str">
        <f t="shared" ca="1" si="45"/>
        <v/>
      </c>
      <c r="BV126" s="33">
        <f t="shared" ca="1" si="38"/>
        <v>1</v>
      </c>
      <c r="BW126" s="33">
        <v>1</v>
      </c>
      <c r="BX126" s="60" t="str">
        <f t="shared" ca="1" si="39"/>
        <v/>
      </c>
      <c r="BY126" s="34" t="str">
        <f t="shared" si="40"/>
        <v/>
      </c>
      <c r="BZ126" s="21"/>
      <c r="CA126" s="35" t="str">
        <f t="shared" ca="1" si="46"/>
        <v/>
      </c>
      <c r="CB126" s="16"/>
    </row>
    <row r="127" spans="1:80" ht="15.75">
      <c r="A127" s="362"/>
      <c r="B127" s="17"/>
      <c r="C127" s="18"/>
      <c r="D127" s="17"/>
      <c r="E127" s="17"/>
      <c r="F127" s="17"/>
      <c r="G127" s="19"/>
      <c r="H127" s="16"/>
      <c r="I127" s="16"/>
      <c r="J127" s="16"/>
      <c r="K127" s="20"/>
      <c r="L127" s="16"/>
      <c r="M127" s="364"/>
      <c r="N127" s="365"/>
      <c r="O127" s="365"/>
      <c r="P127" s="23">
        <f t="shared" si="33"/>
        <v>0</v>
      </c>
      <c r="Q127" s="362"/>
      <c r="R127" s="366"/>
      <c r="S127" s="362"/>
      <c r="T127" s="366"/>
      <c r="U127" s="363"/>
      <c r="V127" s="17"/>
      <c r="W127" s="23" t="str">
        <f>IFERROR(VLOOKUP(V127,Listas!$A$1:$C$14,2,FALSE),"")</f>
        <v/>
      </c>
      <c r="X127" s="23" t="str">
        <f>IFERROR(VLOOKUP(V127,Listas!$A$1:$C$14,3,FALSE),"")</f>
        <v/>
      </c>
      <c r="Y127" s="17"/>
      <c r="Z127" s="17"/>
      <c r="AA127" s="23" t="str">
        <f>IFERROR(VLOOKUP(Z127,Listas!$AD$1:$AF$65,2,FALSE),"")</f>
        <v/>
      </c>
      <c r="AB127" s="23" t="str">
        <f>IFERROR(VLOOKUP(Z127,Listas!$AD$1:$AF$65,3,FALSE),"")</f>
        <v/>
      </c>
      <c r="AC127" s="17"/>
      <c r="AD127" s="17"/>
      <c r="AE127" s="17"/>
      <c r="AF127" s="27"/>
      <c r="AG127" s="19"/>
      <c r="AH127" s="27"/>
      <c r="AI127" s="16"/>
      <c r="AJ127" s="27"/>
      <c r="AK127" s="16"/>
      <c r="AL127" s="28">
        <f t="shared" si="34"/>
        <v>0</v>
      </c>
      <c r="AM127" s="29"/>
      <c r="AN127" s="27"/>
      <c r="AO127" s="30">
        <f t="shared" si="35"/>
        <v>0</v>
      </c>
      <c r="AP127" s="31">
        <f t="shared" si="36"/>
        <v>0</v>
      </c>
      <c r="AQ127" s="27"/>
      <c r="AR127" s="16"/>
      <c r="AS127" s="27"/>
      <c r="AT127" s="16"/>
      <c r="AU127" s="27"/>
      <c r="AV127" s="16"/>
      <c r="AW127" s="27"/>
      <c r="AX127" s="16"/>
      <c r="AY127" s="27"/>
      <c r="AZ127" s="24"/>
      <c r="BA127" s="24"/>
      <c r="BB127" s="24"/>
      <c r="BC127" s="32"/>
      <c r="BD127" s="27"/>
      <c r="BE127" s="24"/>
      <c r="BF127" s="24"/>
      <c r="BG127" s="24"/>
      <c r="BH127" s="16"/>
      <c r="BI127" s="27"/>
      <c r="BJ127" s="24"/>
      <c r="BK127" s="24"/>
      <c r="BL127" s="24"/>
      <c r="BM127" s="16"/>
      <c r="BN127" s="61">
        <f t="shared" si="44"/>
        <v>0</v>
      </c>
      <c r="BO127" s="27"/>
      <c r="BP127" s="24"/>
      <c r="BQ127" s="24"/>
      <c r="BR127" s="16"/>
      <c r="BS127" s="61">
        <f t="shared" si="47"/>
        <v>0</v>
      </c>
      <c r="BT127" s="62"/>
      <c r="BU127" s="69" t="str">
        <f t="shared" ca="1" si="45"/>
        <v/>
      </c>
      <c r="BV127" s="33">
        <f t="shared" ca="1" si="38"/>
        <v>1</v>
      </c>
      <c r="BW127" s="33">
        <v>1</v>
      </c>
      <c r="BX127" s="60" t="str">
        <f t="shared" ca="1" si="39"/>
        <v/>
      </c>
      <c r="BY127" s="34" t="str">
        <f t="shared" si="40"/>
        <v/>
      </c>
      <c r="BZ127" s="21"/>
      <c r="CA127" s="35" t="str">
        <f t="shared" ca="1" si="46"/>
        <v/>
      </c>
      <c r="CB127" s="16"/>
    </row>
    <row r="128" spans="1:80" ht="15.75">
      <c r="A128" s="362"/>
      <c r="B128" s="17"/>
      <c r="C128" s="18"/>
      <c r="D128" s="17"/>
      <c r="E128" s="17"/>
      <c r="F128" s="17"/>
      <c r="G128" s="19"/>
      <c r="H128" s="16"/>
      <c r="I128" s="16"/>
      <c r="J128" s="16"/>
      <c r="K128" s="20"/>
      <c r="L128" s="16"/>
      <c r="M128" s="364"/>
      <c r="N128" s="365"/>
      <c r="O128" s="365"/>
      <c r="P128" s="23">
        <f t="shared" si="33"/>
        <v>0</v>
      </c>
      <c r="Q128" s="362"/>
      <c r="R128" s="366"/>
      <c r="S128" s="362"/>
      <c r="T128" s="366"/>
      <c r="U128" s="363"/>
      <c r="V128" s="17"/>
      <c r="W128" s="23" t="str">
        <f>IFERROR(VLOOKUP(V128,Listas!$A$1:$C$14,2,FALSE),"")</f>
        <v/>
      </c>
      <c r="X128" s="23" t="str">
        <f>IFERROR(VLOOKUP(V128,Listas!$A$1:$C$14,3,FALSE),"")</f>
        <v/>
      </c>
      <c r="Y128" s="17"/>
      <c r="Z128" s="17"/>
      <c r="AA128" s="23" t="str">
        <f>IFERROR(VLOOKUP(Z128,Listas!$AD$1:$AF$65,2,FALSE),"")</f>
        <v/>
      </c>
      <c r="AB128" s="23" t="str">
        <f>IFERROR(VLOOKUP(Z128,Listas!$AD$1:$AF$65,3,FALSE),"")</f>
        <v/>
      </c>
      <c r="AC128" s="17"/>
      <c r="AD128" s="17"/>
      <c r="AE128" s="17"/>
      <c r="AF128" s="27"/>
      <c r="AG128" s="19"/>
      <c r="AH128" s="27"/>
      <c r="AI128" s="16"/>
      <c r="AJ128" s="27"/>
      <c r="AK128" s="16"/>
      <c r="AL128" s="28">
        <f t="shared" si="34"/>
        <v>0</v>
      </c>
      <c r="AM128" s="29"/>
      <c r="AN128" s="27"/>
      <c r="AO128" s="30">
        <f t="shared" si="35"/>
        <v>0</v>
      </c>
      <c r="AP128" s="31">
        <f t="shared" si="36"/>
        <v>0</v>
      </c>
      <c r="AQ128" s="27"/>
      <c r="AR128" s="16"/>
      <c r="AS128" s="27"/>
      <c r="AT128" s="16"/>
      <c r="AU128" s="27"/>
      <c r="AV128" s="16"/>
      <c r="AW128" s="27"/>
      <c r="AX128" s="16"/>
      <c r="AY128" s="27"/>
      <c r="AZ128" s="24"/>
      <c r="BA128" s="24"/>
      <c r="BB128" s="24"/>
      <c r="BC128" s="32"/>
      <c r="BD128" s="27"/>
      <c r="BE128" s="24"/>
      <c r="BF128" s="24"/>
      <c r="BG128" s="24"/>
      <c r="BH128" s="16"/>
      <c r="BI128" s="27"/>
      <c r="BJ128" s="24"/>
      <c r="BK128" s="24"/>
      <c r="BL128" s="24"/>
      <c r="BM128" s="16"/>
      <c r="BN128" s="61">
        <f t="shared" si="44"/>
        <v>0</v>
      </c>
      <c r="BO128" s="27"/>
      <c r="BP128" s="24"/>
      <c r="BQ128" s="24"/>
      <c r="BR128" s="16"/>
      <c r="BS128" s="61">
        <f t="shared" si="47"/>
        <v>0</v>
      </c>
      <c r="BT128" s="62"/>
      <c r="BU128" s="69" t="str">
        <f t="shared" ca="1" si="45"/>
        <v/>
      </c>
      <c r="BV128" s="33">
        <f t="shared" ca="1" si="38"/>
        <v>1</v>
      </c>
      <c r="BW128" s="33">
        <v>1</v>
      </c>
      <c r="BX128" s="60" t="str">
        <f t="shared" ca="1" si="39"/>
        <v/>
      </c>
      <c r="BY128" s="34" t="str">
        <f t="shared" si="40"/>
        <v/>
      </c>
      <c r="BZ128" s="21"/>
      <c r="CA128" s="35" t="str">
        <f t="shared" ca="1" si="46"/>
        <v/>
      </c>
      <c r="CB128" s="16"/>
    </row>
    <row r="129" spans="1:80" ht="15.75">
      <c r="A129" s="362"/>
      <c r="B129" s="17"/>
      <c r="C129" s="18"/>
      <c r="D129" s="17"/>
      <c r="E129" s="17"/>
      <c r="F129" s="17"/>
      <c r="G129" s="19"/>
      <c r="H129" s="16"/>
      <c r="I129" s="16"/>
      <c r="J129" s="16"/>
      <c r="K129" s="20"/>
      <c r="L129" s="16"/>
      <c r="M129" s="364"/>
      <c r="N129" s="365"/>
      <c r="O129" s="365"/>
      <c r="P129" s="23">
        <f t="shared" si="33"/>
        <v>0</v>
      </c>
      <c r="Q129" s="362"/>
      <c r="R129" s="366"/>
      <c r="S129" s="362"/>
      <c r="T129" s="366"/>
      <c r="U129" s="363"/>
      <c r="V129" s="17"/>
      <c r="W129" s="23" t="str">
        <f>IFERROR(VLOOKUP(V129,Listas!$A$1:$C$14,2,FALSE),"")</f>
        <v/>
      </c>
      <c r="X129" s="23" t="str">
        <f>IFERROR(VLOOKUP(V129,Listas!$A$1:$C$14,3,FALSE),"")</f>
        <v/>
      </c>
      <c r="Y129" s="17"/>
      <c r="Z129" s="17"/>
      <c r="AA129" s="23" t="str">
        <f>IFERROR(VLOOKUP(Z129,Listas!$AD$1:$AF$65,2,FALSE),"")</f>
        <v/>
      </c>
      <c r="AB129" s="23" t="str">
        <f>IFERROR(VLOOKUP(Z129,Listas!$AD$1:$AF$65,3,FALSE),"")</f>
        <v/>
      </c>
      <c r="AC129" s="17"/>
      <c r="AD129" s="17"/>
      <c r="AE129" s="17"/>
      <c r="AF129" s="27"/>
      <c r="AG129" s="19"/>
      <c r="AH129" s="27"/>
      <c r="AI129" s="16"/>
      <c r="AJ129" s="27"/>
      <c r="AK129" s="16"/>
      <c r="AL129" s="28">
        <f t="shared" si="34"/>
        <v>0</v>
      </c>
      <c r="AM129" s="29"/>
      <c r="AN129" s="27"/>
      <c r="AO129" s="30">
        <f t="shared" si="35"/>
        <v>0</v>
      </c>
      <c r="AP129" s="31">
        <f t="shared" si="36"/>
        <v>0</v>
      </c>
      <c r="AQ129" s="27"/>
      <c r="AR129" s="16"/>
      <c r="AS129" s="27"/>
      <c r="AT129" s="16"/>
      <c r="AU129" s="27"/>
      <c r="AV129" s="16"/>
      <c r="AW129" s="27"/>
      <c r="AX129" s="16"/>
      <c r="AY129" s="27"/>
      <c r="AZ129" s="24"/>
      <c r="BA129" s="24"/>
      <c r="BB129" s="24"/>
      <c r="BC129" s="32"/>
      <c r="BD129" s="27"/>
      <c r="BE129" s="24"/>
      <c r="BF129" s="24"/>
      <c r="BG129" s="24"/>
      <c r="BH129" s="16"/>
      <c r="BI129" s="27"/>
      <c r="BJ129" s="24"/>
      <c r="BK129" s="24"/>
      <c r="BL129" s="24"/>
      <c r="BM129" s="16"/>
      <c r="BN129" s="61">
        <f t="shared" si="44"/>
        <v>0</v>
      </c>
      <c r="BO129" s="27"/>
      <c r="BP129" s="24"/>
      <c r="BQ129" s="24"/>
      <c r="BR129" s="16"/>
      <c r="BS129" s="61">
        <f t="shared" si="47"/>
        <v>0</v>
      </c>
      <c r="BT129" s="62"/>
      <c r="BU129" s="69" t="str">
        <f t="shared" ca="1" si="45"/>
        <v/>
      </c>
      <c r="BV129" s="33">
        <f t="shared" ca="1" si="38"/>
        <v>1</v>
      </c>
      <c r="BW129" s="33">
        <v>1</v>
      </c>
      <c r="BX129" s="60" t="str">
        <f t="shared" ca="1" si="39"/>
        <v/>
      </c>
      <c r="BY129" s="34" t="str">
        <f t="shared" si="40"/>
        <v/>
      </c>
      <c r="BZ129" s="21"/>
      <c r="CA129" s="35" t="str">
        <f t="shared" ca="1" si="46"/>
        <v/>
      </c>
      <c r="CB129" s="16"/>
    </row>
    <row r="130" spans="1:80" ht="15.75">
      <c r="A130" s="362"/>
      <c r="B130" s="17"/>
      <c r="C130" s="18"/>
      <c r="D130" s="17"/>
      <c r="E130" s="17"/>
      <c r="F130" s="17"/>
      <c r="G130" s="19"/>
      <c r="H130" s="16"/>
      <c r="I130" s="16"/>
      <c r="J130" s="16"/>
      <c r="K130" s="20"/>
      <c r="L130" s="16"/>
      <c r="M130" s="364"/>
      <c r="N130" s="365"/>
      <c r="O130" s="365"/>
      <c r="P130" s="23">
        <f t="shared" ref="P130:P193" si="48">O130-N130</f>
        <v>0</v>
      </c>
      <c r="Q130" s="362"/>
      <c r="R130" s="366"/>
      <c r="S130" s="362"/>
      <c r="T130" s="366"/>
      <c r="U130" s="363"/>
      <c r="V130" s="17"/>
      <c r="W130" s="23" t="str">
        <f>IFERROR(VLOOKUP(V130,Listas!$A$1:$C$14,2,FALSE),"")</f>
        <v/>
      </c>
      <c r="X130" s="23" t="str">
        <f>IFERROR(VLOOKUP(V130,Listas!$A$1:$C$14,3,FALSE),"")</f>
        <v/>
      </c>
      <c r="Y130" s="17"/>
      <c r="Z130" s="17"/>
      <c r="AA130" s="23" t="str">
        <f>IFERROR(VLOOKUP(Z130,Listas!$AD$1:$AF$65,2,FALSE),"")</f>
        <v/>
      </c>
      <c r="AB130" s="23" t="str">
        <f>IFERROR(VLOOKUP(Z130,Listas!$AD$1:$AF$65,3,FALSE),"")</f>
        <v/>
      </c>
      <c r="AC130" s="17"/>
      <c r="AD130" s="17"/>
      <c r="AE130" s="17"/>
      <c r="AF130" s="27"/>
      <c r="AG130" s="19"/>
      <c r="AH130" s="27"/>
      <c r="AI130" s="16"/>
      <c r="AJ130" s="27"/>
      <c r="AK130" s="16"/>
      <c r="AL130" s="28">
        <f t="shared" ref="AL130:AL193" si="49">AG130+AI130+AK130</f>
        <v>0</v>
      </c>
      <c r="AM130" s="29"/>
      <c r="AN130" s="27"/>
      <c r="AO130" s="30">
        <f t="shared" ref="AO130:AO193" si="50">(P130+AL130)-AM130</f>
        <v>0</v>
      </c>
      <c r="AP130" s="31">
        <f t="shared" ref="AP130:AP193" si="51">IF(AN130="",O130+AL130,AN130)</f>
        <v>0</v>
      </c>
      <c r="AQ130" s="27"/>
      <c r="AR130" s="16"/>
      <c r="AS130" s="27"/>
      <c r="AT130" s="16"/>
      <c r="AU130" s="27"/>
      <c r="AV130" s="16"/>
      <c r="AW130" s="27"/>
      <c r="AX130" s="16"/>
      <c r="AY130" s="27"/>
      <c r="AZ130" s="24"/>
      <c r="BA130" s="24"/>
      <c r="BB130" s="24"/>
      <c r="BC130" s="32"/>
      <c r="BD130" s="27"/>
      <c r="BE130" s="24"/>
      <c r="BF130" s="24"/>
      <c r="BG130" s="24"/>
      <c r="BH130" s="16"/>
      <c r="BI130" s="27"/>
      <c r="BJ130" s="24"/>
      <c r="BK130" s="24"/>
      <c r="BL130" s="24"/>
      <c r="BM130" s="16"/>
      <c r="BN130" s="61">
        <f t="shared" ref="BN130:BN161" si="52">BP130+BJ130+BE130+AZ130</f>
        <v>0</v>
      </c>
      <c r="BO130" s="27"/>
      <c r="BP130" s="24"/>
      <c r="BQ130" s="24"/>
      <c r="BR130" s="16"/>
      <c r="BS130" s="61">
        <f t="shared" si="47"/>
        <v>0</v>
      </c>
      <c r="BT130" s="62"/>
      <c r="BU130" s="69" t="str">
        <f t="shared" ref="BU130:BU161" ca="1" si="53">IFERROR(IF(((BS130/AO130)*(TODAY()-N130))&gt;BS130,BS130,((BS130/AO130)*(TODAY()-N130))),"")</f>
        <v/>
      </c>
      <c r="BV130" s="33">
        <f t="shared" ref="BV130:BV193" ca="1" si="54">IF(TODAY()&gt;AP130,1,+(DAYS360(N130,TODAY())/DAYS360(N130,AP130)))</f>
        <v>1</v>
      </c>
      <c r="BW130" s="33">
        <v>1</v>
      </c>
      <c r="BX130" s="60" t="str">
        <f t="shared" ref="BX130:BX193" ca="1" si="55">IFERROR(IF(((BU130/BS130)*100)&gt;100,100,((BU130/BS130)*100)),"")</f>
        <v/>
      </c>
      <c r="BY130" s="34" t="str">
        <f t="shared" ref="BY130:BY193" si="56">IFERROR((BT130/BS130)*100,"")</f>
        <v/>
      </c>
      <c r="BZ130" s="21"/>
      <c r="CA130" s="35" t="str">
        <f t="shared" ref="CA130:CA161" ca="1" si="57">IF(BZ130&gt;1/1/6,"LIQUIDADO",IF(AP130=0,"",IF(AP130&gt;=TODAY(),"VIGENTE",IF(AP130&lt;TODAY(),"TERMINADO",))))</f>
        <v/>
      </c>
      <c r="CB130" s="16"/>
    </row>
    <row r="131" spans="1:80" ht="15.75">
      <c r="A131" s="362"/>
      <c r="B131" s="17"/>
      <c r="C131" s="18"/>
      <c r="D131" s="17"/>
      <c r="E131" s="17"/>
      <c r="F131" s="17"/>
      <c r="G131" s="19"/>
      <c r="H131" s="16"/>
      <c r="I131" s="16"/>
      <c r="J131" s="16"/>
      <c r="K131" s="20"/>
      <c r="L131" s="16"/>
      <c r="M131" s="364"/>
      <c r="N131" s="365"/>
      <c r="O131" s="365"/>
      <c r="P131" s="23">
        <f t="shared" si="48"/>
        <v>0</v>
      </c>
      <c r="Q131" s="362"/>
      <c r="R131" s="366"/>
      <c r="S131" s="362"/>
      <c r="T131" s="366"/>
      <c r="U131" s="363"/>
      <c r="V131" s="17"/>
      <c r="W131" s="23" t="str">
        <f>IFERROR(VLOOKUP(V131,Listas!$A$1:$C$14,2,FALSE),"")</f>
        <v/>
      </c>
      <c r="X131" s="23" t="str">
        <f>IFERROR(VLOOKUP(V131,Listas!$A$1:$C$14,3,FALSE),"")</f>
        <v/>
      </c>
      <c r="Y131" s="17"/>
      <c r="Z131" s="17"/>
      <c r="AA131" s="23" t="str">
        <f>IFERROR(VLOOKUP(Z131,Listas!$AD$1:$AF$65,2,FALSE),"")</f>
        <v/>
      </c>
      <c r="AB131" s="23" t="str">
        <f>IFERROR(VLOOKUP(Z131,Listas!$AD$1:$AF$65,3,FALSE),"")</f>
        <v/>
      </c>
      <c r="AC131" s="17"/>
      <c r="AD131" s="17"/>
      <c r="AE131" s="17"/>
      <c r="AF131" s="27"/>
      <c r="AG131" s="19"/>
      <c r="AH131" s="27"/>
      <c r="AI131" s="16"/>
      <c r="AJ131" s="27"/>
      <c r="AK131" s="16"/>
      <c r="AL131" s="28">
        <f t="shared" si="49"/>
        <v>0</v>
      </c>
      <c r="AM131" s="29"/>
      <c r="AN131" s="27"/>
      <c r="AO131" s="30">
        <f t="shared" si="50"/>
        <v>0</v>
      </c>
      <c r="AP131" s="31">
        <f t="shared" si="51"/>
        <v>0</v>
      </c>
      <c r="AQ131" s="27"/>
      <c r="AR131" s="16"/>
      <c r="AS131" s="27"/>
      <c r="AT131" s="16"/>
      <c r="AU131" s="27"/>
      <c r="AV131" s="16"/>
      <c r="AW131" s="27"/>
      <c r="AX131" s="16"/>
      <c r="AY131" s="27"/>
      <c r="AZ131" s="24"/>
      <c r="BA131" s="24"/>
      <c r="BB131" s="24"/>
      <c r="BC131" s="32"/>
      <c r="BD131" s="27"/>
      <c r="BE131" s="24"/>
      <c r="BF131" s="24"/>
      <c r="BG131" s="24"/>
      <c r="BH131" s="16"/>
      <c r="BI131" s="27"/>
      <c r="BJ131" s="24"/>
      <c r="BK131" s="24"/>
      <c r="BL131" s="24"/>
      <c r="BM131" s="16"/>
      <c r="BN131" s="61">
        <f t="shared" si="52"/>
        <v>0</v>
      </c>
      <c r="BO131" s="27"/>
      <c r="BP131" s="24"/>
      <c r="BQ131" s="24"/>
      <c r="BR131" s="16"/>
      <c r="BS131" s="61">
        <f t="shared" si="47"/>
        <v>0</v>
      </c>
      <c r="BT131" s="62"/>
      <c r="BU131" s="69" t="str">
        <f t="shared" ca="1" si="53"/>
        <v/>
      </c>
      <c r="BV131" s="33">
        <f t="shared" ca="1" si="54"/>
        <v>1</v>
      </c>
      <c r="BW131" s="33">
        <v>1</v>
      </c>
      <c r="BX131" s="60" t="str">
        <f t="shared" ca="1" si="55"/>
        <v/>
      </c>
      <c r="BY131" s="34" t="str">
        <f t="shared" si="56"/>
        <v/>
      </c>
      <c r="BZ131" s="21"/>
      <c r="CA131" s="35" t="str">
        <f t="shared" ca="1" si="57"/>
        <v/>
      </c>
      <c r="CB131" s="16"/>
    </row>
    <row r="132" spans="1:80" ht="15.75">
      <c r="A132" s="362"/>
      <c r="B132" s="17"/>
      <c r="C132" s="18"/>
      <c r="D132" s="17"/>
      <c r="E132" s="17"/>
      <c r="F132" s="17"/>
      <c r="G132" s="19"/>
      <c r="H132" s="16"/>
      <c r="I132" s="16"/>
      <c r="J132" s="16"/>
      <c r="K132" s="20"/>
      <c r="L132" s="16"/>
      <c r="M132" s="364"/>
      <c r="N132" s="365"/>
      <c r="O132" s="365"/>
      <c r="P132" s="23">
        <f t="shared" si="48"/>
        <v>0</v>
      </c>
      <c r="Q132" s="362"/>
      <c r="R132" s="366"/>
      <c r="S132" s="362"/>
      <c r="T132" s="366"/>
      <c r="U132" s="363"/>
      <c r="V132" s="17"/>
      <c r="W132" s="23" t="str">
        <f>IFERROR(VLOOKUP(V132,Listas!$A$1:$C$14,2,FALSE),"")</f>
        <v/>
      </c>
      <c r="X132" s="23" t="str">
        <f>IFERROR(VLOOKUP(V132,Listas!$A$1:$C$14,3,FALSE),"")</f>
        <v/>
      </c>
      <c r="Y132" s="17"/>
      <c r="Z132" s="17"/>
      <c r="AA132" s="23" t="str">
        <f>IFERROR(VLOOKUP(Z132,Listas!$AD$1:$AF$65,2,FALSE),"")</f>
        <v/>
      </c>
      <c r="AB132" s="23" t="str">
        <f>IFERROR(VLOOKUP(Z132,Listas!$AD$1:$AF$65,3,FALSE),"")</f>
        <v/>
      </c>
      <c r="AC132" s="17"/>
      <c r="AD132" s="17"/>
      <c r="AE132" s="17"/>
      <c r="AF132" s="27"/>
      <c r="AG132" s="19"/>
      <c r="AH132" s="27"/>
      <c r="AI132" s="16"/>
      <c r="AJ132" s="27"/>
      <c r="AK132" s="16"/>
      <c r="AL132" s="28">
        <f t="shared" si="49"/>
        <v>0</v>
      </c>
      <c r="AM132" s="29"/>
      <c r="AN132" s="27"/>
      <c r="AO132" s="30">
        <f t="shared" si="50"/>
        <v>0</v>
      </c>
      <c r="AP132" s="31">
        <f t="shared" si="51"/>
        <v>0</v>
      </c>
      <c r="AQ132" s="27"/>
      <c r="AR132" s="16"/>
      <c r="AS132" s="27"/>
      <c r="AT132" s="16"/>
      <c r="AU132" s="27"/>
      <c r="AV132" s="16"/>
      <c r="AW132" s="27"/>
      <c r="AX132" s="16"/>
      <c r="AY132" s="27"/>
      <c r="AZ132" s="24"/>
      <c r="BA132" s="24"/>
      <c r="BB132" s="24"/>
      <c r="BC132" s="32"/>
      <c r="BD132" s="27"/>
      <c r="BE132" s="24"/>
      <c r="BF132" s="24"/>
      <c r="BG132" s="24"/>
      <c r="BH132" s="16"/>
      <c r="BI132" s="27"/>
      <c r="BJ132" s="24"/>
      <c r="BK132" s="24"/>
      <c r="BL132" s="24"/>
      <c r="BM132" s="16"/>
      <c r="BN132" s="61">
        <f t="shared" si="52"/>
        <v>0</v>
      </c>
      <c r="BO132" s="27"/>
      <c r="BP132" s="24"/>
      <c r="BQ132" s="24"/>
      <c r="BR132" s="16"/>
      <c r="BS132" s="61">
        <f t="shared" si="47"/>
        <v>0</v>
      </c>
      <c r="BT132" s="62"/>
      <c r="BU132" s="69" t="str">
        <f t="shared" ca="1" si="53"/>
        <v/>
      </c>
      <c r="BV132" s="33">
        <f t="shared" ca="1" si="54"/>
        <v>1</v>
      </c>
      <c r="BW132" s="33">
        <v>1</v>
      </c>
      <c r="BX132" s="60" t="str">
        <f t="shared" ca="1" si="55"/>
        <v/>
      </c>
      <c r="BY132" s="34" t="str">
        <f t="shared" si="56"/>
        <v/>
      </c>
      <c r="BZ132" s="21"/>
      <c r="CA132" s="35" t="str">
        <f t="shared" ca="1" si="57"/>
        <v/>
      </c>
      <c r="CB132" s="16"/>
    </row>
    <row r="133" spans="1:80" ht="15.75">
      <c r="A133" s="362"/>
      <c r="B133" s="17"/>
      <c r="C133" s="18"/>
      <c r="D133" s="17"/>
      <c r="E133" s="17"/>
      <c r="F133" s="17"/>
      <c r="G133" s="19"/>
      <c r="H133" s="16"/>
      <c r="I133" s="16"/>
      <c r="J133" s="16"/>
      <c r="K133" s="20"/>
      <c r="L133" s="16"/>
      <c r="M133" s="364"/>
      <c r="N133" s="365"/>
      <c r="O133" s="365"/>
      <c r="P133" s="23">
        <f t="shared" si="48"/>
        <v>0</v>
      </c>
      <c r="Q133" s="362"/>
      <c r="R133" s="366"/>
      <c r="S133" s="362"/>
      <c r="T133" s="366"/>
      <c r="U133" s="363"/>
      <c r="V133" s="17"/>
      <c r="W133" s="23" t="str">
        <f>IFERROR(VLOOKUP(V133,Listas!$A$1:$C$14,2,FALSE),"")</f>
        <v/>
      </c>
      <c r="X133" s="23" t="str">
        <f>IFERROR(VLOOKUP(V133,Listas!$A$1:$C$14,3,FALSE),"")</f>
        <v/>
      </c>
      <c r="Y133" s="17"/>
      <c r="Z133" s="17"/>
      <c r="AA133" s="23" t="str">
        <f>IFERROR(VLOOKUP(Z133,Listas!$AD$1:$AF$65,2,FALSE),"")</f>
        <v/>
      </c>
      <c r="AB133" s="23" t="str">
        <f>IFERROR(VLOOKUP(Z133,Listas!$AD$1:$AF$65,3,FALSE),"")</f>
        <v/>
      </c>
      <c r="AC133" s="17"/>
      <c r="AD133" s="17"/>
      <c r="AE133" s="17"/>
      <c r="AF133" s="27"/>
      <c r="AG133" s="19"/>
      <c r="AH133" s="27"/>
      <c r="AI133" s="16"/>
      <c r="AJ133" s="27"/>
      <c r="AK133" s="16"/>
      <c r="AL133" s="28">
        <f t="shared" si="49"/>
        <v>0</v>
      </c>
      <c r="AM133" s="29"/>
      <c r="AN133" s="27"/>
      <c r="AO133" s="30">
        <f t="shared" si="50"/>
        <v>0</v>
      </c>
      <c r="AP133" s="31">
        <f t="shared" si="51"/>
        <v>0</v>
      </c>
      <c r="AQ133" s="27"/>
      <c r="AR133" s="16"/>
      <c r="AS133" s="27"/>
      <c r="AT133" s="16"/>
      <c r="AU133" s="27"/>
      <c r="AV133" s="16"/>
      <c r="AW133" s="27"/>
      <c r="AX133" s="16"/>
      <c r="AY133" s="27"/>
      <c r="AZ133" s="24"/>
      <c r="BA133" s="24"/>
      <c r="BB133" s="24"/>
      <c r="BC133" s="32"/>
      <c r="BD133" s="27"/>
      <c r="BE133" s="24"/>
      <c r="BF133" s="24"/>
      <c r="BG133" s="24"/>
      <c r="BH133" s="16"/>
      <c r="BI133" s="27"/>
      <c r="BJ133" s="24"/>
      <c r="BK133" s="24"/>
      <c r="BL133" s="24"/>
      <c r="BM133" s="16"/>
      <c r="BN133" s="61">
        <f t="shared" si="52"/>
        <v>0</v>
      </c>
      <c r="BO133" s="27"/>
      <c r="BP133" s="24"/>
      <c r="BQ133" s="24"/>
      <c r="BR133" s="16"/>
      <c r="BS133" s="61">
        <f t="shared" si="47"/>
        <v>0</v>
      </c>
      <c r="BT133" s="62"/>
      <c r="BU133" s="69" t="str">
        <f t="shared" ca="1" si="53"/>
        <v/>
      </c>
      <c r="BV133" s="33">
        <f t="shared" ca="1" si="54"/>
        <v>1</v>
      </c>
      <c r="BW133" s="33">
        <v>1</v>
      </c>
      <c r="BX133" s="60" t="str">
        <f t="shared" ca="1" si="55"/>
        <v/>
      </c>
      <c r="BY133" s="34" t="str">
        <f t="shared" si="56"/>
        <v/>
      </c>
      <c r="BZ133" s="21"/>
      <c r="CA133" s="35" t="str">
        <f t="shared" ca="1" si="57"/>
        <v/>
      </c>
      <c r="CB133" s="16"/>
    </row>
    <row r="134" spans="1:80" ht="15.75">
      <c r="A134" s="362"/>
      <c r="B134" s="17"/>
      <c r="C134" s="18"/>
      <c r="D134" s="17"/>
      <c r="E134" s="17"/>
      <c r="F134" s="17"/>
      <c r="G134" s="19"/>
      <c r="H134" s="16"/>
      <c r="I134" s="16"/>
      <c r="J134" s="16"/>
      <c r="K134" s="20"/>
      <c r="L134" s="16"/>
      <c r="M134" s="364"/>
      <c r="N134" s="365"/>
      <c r="O134" s="365"/>
      <c r="P134" s="23">
        <f t="shared" si="48"/>
        <v>0</v>
      </c>
      <c r="Q134" s="362"/>
      <c r="R134" s="366"/>
      <c r="S134" s="362"/>
      <c r="T134" s="366"/>
      <c r="U134" s="363"/>
      <c r="V134" s="17"/>
      <c r="W134" s="23" t="str">
        <f>IFERROR(VLOOKUP(V134,Listas!$A$1:$C$14,2,FALSE),"")</f>
        <v/>
      </c>
      <c r="X134" s="23" t="str">
        <f>IFERROR(VLOOKUP(V134,Listas!$A$1:$C$14,3,FALSE),"")</f>
        <v/>
      </c>
      <c r="Y134" s="17"/>
      <c r="Z134" s="17"/>
      <c r="AA134" s="23" t="str">
        <f>IFERROR(VLOOKUP(Z134,Listas!$AD$1:$AF$65,2,FALSE),"")</f>
        <v/>
      </c>
      <c r="AB134" s="23" t="str">
        <f>IFERROR(VLOOKUP(Z134,Listas!$AD$1:$AF$65,3,FALSE),"")</f>
        <v/>
      </c>
      <c r="AC134" s="17"/>
      <c r="AD134" s="17"/>
      <c r="AE134" s="17"/>
      <c r="AF134" s="27"/>
      <c r="AG134" s="19"/>
      <c r="AH134" s="27"/>
      <c r="AI134" s="16"/>
      <c r="AJ134" s="27"/>
      <c r="AK134" s="16"/>
      <c r="AL134" s="28">
        <f t="shared" si="49"/>
        <v>0</v>
      </c>
      <c r="AM134" s="29"/>
      <c r="AN134" s="27"/>
      <c r="AO134" s="30">
        <f t="shared" si="50"/>
        <v>0</v>
      </c>
      <c r="AP134" s="31">
        <f t="shared" si="51"/>
        <v>0</v>
      </c>
      <c r="AQ134" s="27"/>
      <c r="AR134" s="16"/>
      <c r="AS134" s="27"/>
      <c r="AT134" s="16"/>
      <c r="AU134" s="27"/>
      <c r="AV134" s="16"/>
      <c r="AW134" s="27"/>
      <c r="AX134" s="16"/>
      <c r="AY134" s="27"/>
      <c r="AZ134" s="24"/>
      <c r="BA134" s="24"/>
      <c r="BB134" s="24"/>
      <c r="BC134" s="32"/>
      <c r="BD134" s="27"/>
      <c r="BE134" s="24"/>
      <c r="BF134" s="24"/>
      <c r="BG134" s="24"/>
      <c r="BH134" s="16"/>
      <c r="BI134" s="27"/>
      <c r="BJ134" s="24"/>
      <c r="BK134" s="24"/>
      <c r="BL134" s="24"/>
      <c r="BM134" s="16"/>
      <c r="BN134" s="61">
        <f t="shared" si="52"/>
        <v>0</v>
      </c>
      <c r="BO134" s="27"/>
      <c r="BP134" s="24"/>
      <c r="BQ134" s="24"/>
      <c r="BR134" s="16"/>
      <c r="BS134" s="61">
        <f t="shared" si="47"/>
        <v>0</v>
      </c>
      <c r="BT134" s="62"/>
      <c r="BU134" s="69" t="str">
        <f t="shared" ca="1" si="53"/>
        <v/>
      </c>
      <c r="BV134" s="33">
        <f t="shared" ca="1" si="54"/>
        <v>1</v>
      </c>
      <c r="BW134" s="33">
        <v>1</v>
      </c>
      <c r="BX134" s="60" t="str">
        <f t="shared" ca="1" si="55"/>
        <v/>
      </c>
      <c r="BY134" s="34" t="str">
        <f t="shared" si="56"/>
        <v/>
      </c>
      <c r="BZ134" s="21"/>
      <c r="CA134" s="35" t="str">
        <f t="shared" ca="1" si="57"/>
        <v/>
      </c>
      <c r="CB134" s="16"/>
    </row>
    <row r="135" spans="1:80" ht="15.75">
      <c r="A135" s="362"/>
      <c r="B135" s="17"/>
      <c r="C135" s="18"/>
      <c r="D135" s="17"/>
      <c r="E135" s="17"/>
      <c r="F135" s="17"/>
      <c r="G135" s="19"/>
      <c r="H135" s="16"/>
      <c r="I135" s="16"/>
      <c r="J135" s="16"/>
      <c r="K135" s="20"/>
      <c r="L135" s="16"/>
      <c r="M135" s="364"/>
      <c r="N135" s="365"/>
      <c r="O135" s="365"/>
      <c r="P135" s="23">
        <f t="shared" si="48"/>
        <v>0</v>
      </c>
      <c r="Q135" s="362"/>
      <c r="R135" s="366"/>
      <c r="S135" s="362"/>
      <c r="T135" s="366"/>
      <c r="U135" s="363"/>
      <c r="V135" s="17"/>
      <c r="W135" s="23" t="str">
        <f>IFERROR(VLOOKUP(V135,Listas!$A$1:$C$14,2,FALSE),"")</f>
        <v/>
      </c>
      <c r="X135" s="23" t="str">
        <f>IFERROR(VLOOKUP(V135,Listas!$A$1:$C$14,3,FALSE),"")</f>
        <v/>
      </c>
      <c r="Y135" s="17"/>
      <c r="Z135" s="17"/>
      <c r="AA135" s="23" t="str">
        <f>IFERROR(VLOOKUP(Z135,Listas!$AD$1:$AF$65,2,FALSE),"")</f>
        <v/>
      </c>
      <c r="AB135" s="23" t="str">
        <f>IFERROR(VLOOKUP(Z135,Listas!$AD$1:$AF$65,3,FALSE),"")</f>
        <v/>
      </c>
      <c r="AC135" s="17"/>
      <c r="AD135" s="17"/>
      <c r="AE135" s="17"/>
      <c r="AF135" s="27"/>
      <c r="AG135" s="19"/>
      <c r="AH135" s="27"/>
      <c r="AI135" s="16"/>
      <c r="AJ135" s="27"/>
      <c r="AK135" s="16"/>
      <c r="AL135" s="28">
        <f t="shared" si="49"/>
        <v>0</v>
      </c>
      <c r="AM135" s="29"/>
      <c r="AN135" s="27"/>
      <c r="AO135" s="30">
        <f t="shared" si="50"/>
        <v>0</v>
      </c>
      <c r="AP135" s="31">
        <f t="shared" si="51"/>
        <v>0</v>
      </c>
      <c r="AQ135" s="27"/>
      <c r="AR135" s="16"/>
      <c r="AS135" s="27"/>
      <c r="AT135" s="16"/>
      <c r="AU135" s="27"/>
      <c r="AV135" s="16"/>
      <c r="AW135" s="27"/>
      <c r="AX135" s="16"/>
      <c r="AY135" s="27"/>
      <c r="AZ135" s="24"/>
      <c r="BA135" s="24"/>
      <c r="BB135" s="24"/>
      <c r="BC135" s="32"/>
      <c r="BD135" s="27"/>
      <c r="BE135" s="24"/>
      <c r="BF135" s="24"/>
      <c r="BG135" s="24"/>
      <c r="BH135" s="16"/>
      <c r="BI135" s="27"/>
      <c r="BJ135" s="24"/>
      <c r="BK135" s="24"/>
      <c r="BL135" s="24"/>
      <c r="BM135" s="16"/>
      <c r="BN135" s="61">
        <f t="shared" si="52"/>
        <v>0</v>
      </c>
      <c r="BO135" s="27"/>
      <c r="BP135" s="24"/>
      <c r="BQ135" s="24"/>
      <c r="BR135" s="16"/>
      <c r="BS135" s="61">
        <f t="shared" si="47"/>
        <v>0</v>
      </c>
      <c r="BT135" s="62"/>
      <c r="BU135" s="69" t="str">
        <f t="shared" ca="1" si="53"/>
        <v/>
      </c>
      <c r="BV135" s="33">
        <f t="shared" ca="1" si="54"/>
        <v>1</v>
      </c>
      <c r="BW135" s="33">
        <v>1</v>
      </c>
      <c r="BX135" s="60" t="str">
        <f t="shared" ca="1" si="55"/>
        <v/>
      </c>
      <c r="BY135" s="34" t="str">
        <f t="shared" si="56"/>
        <v/>
      </c>
      <c r="BZ135" s="21"/>
      <c r="CA135" s="35" t="str">
        <f t="shared" ca="1" si="57"/>
        <v/>
      </c>
      <c r="CB135" s="16"/>
    </row>
    <row r="136" spans="1:80" ht="15.75">
      <c r="A136" s="362"/>
      <c r="B136" s="17"/>
      <c r="C136" s="18"/>
      <c r="D136" s="17"/>
      <c r="E136" s="17"/>
      <c r="F136" s="17"/>
      <c r="G136" s="19"/>
      <c r="H136" s="16"/>
      <c r="I136" s="16"/>
      <c r="J136" s="16"/>
      <c r="K136" s="20"/>
      <c r="L136" s="16"/>
      <c r="M136" s="364"/>
      <c r="N136" s="365"/>
      <c r="O136" s="365"/>
      <c r="P136" s="23">
        <f t="shared" si="48"/>
        <v>0</v>
      </c>
      <c r="Q136" s="362"/>
      <c r="R136" s="366"/>
      <c r="S136" s="362"/>
      <c r="T136" s="366"/>
      <c r="U136" s="363"/>
      <c r="V136" s="17"/>
      <c r="W136" s="23" t="str">
        <f>IFERROR(VLOOKUP(V136,Listas!$A$1:$C$14,2,FALSE),"")</f>
        <v/>
      </c>
      <c r="X136" s="23" t="str">
        <f>IFERROR(VLOOKUP(V136,Listas!$A$1:$C$14,3,FALSE),"")</f>
        <v/>
      </c>
      <c r="Y136" s="17"/>
      <c r="Z136" s="17"/>
      <c r="AA136" s="23" t="str">
        <f>IFERROR(VLOOKUP(Z136,Listas!$AD$1:$AF$65,2,FALSE),"")</f>
        <v/>
      </c>
      <c r="AB136" s="23" t="str">
        <f>IFERROR(VLOOKUP(Z136,Listas!$AD$1:$AF$65,3,FALSE),"")</f>
        <v/>
      </c>
      <c r="AC136" s="17"/>
      <c r="AD136" s="17"/>
      <c r="AE136" s="17"/>
      <c r="AF136" s="27"/>
      <c r="AG136" s="19"/>
      <c r="AH136" s="27"/>
      <c r="AI136" s="16"/>
      <c r="AJ136" s="27"/>
      <c r="AK136" s="16"/>
      <c r="AL136" s="28">
        <f t="shared" si="49"/>
        <v>0</v>
      </c>
      <c r="AM136" s="29"/>
      <c r="AN136" s="27"/>
      <c r="AO136" s="30">
        <f t="shared" si="50"/>
        <v>0</v>
      </c>
      <c r="AP136" s="31">
        <f t="shared" si="51"/>
        <v>0</v>
      </c>
      <c r="AQ136" s="27"/>
      <c r="AR136" s="16"/>
      <c r="AS136" s="27"/>
      <c r="AT136" s="16"/>
      <c r="AU136" s="27"/>
      <c r="AV136" s="16"/>
      <c r="AW136" s="27"/>
      <c r="AX136" s="16"/>
      <c r="AY136" s="27"/>
      <c r="AZ136" s="24"/>
      <c r="BA136" s="24"/>
      <c r="BB136" s="24"/>
      <c r="BC136" s="32"/>
      <c r="BD136" s="27"/>
      <c r="BE136" s="24"/>
      <c r="BF136" s="24"/>
      <c r="BG136" s="24"/>
      <c r="BH136" s="16"/>
      <c r="BI136" s="27"/>
      <c r="BJ136" s="24"/>
      <c r="BK136" s="24"/>
      <c r="BL136" s="24"/>
      <c r="BM136" s="16"/>
      <c r="BN136" s="61">
        <f t="shared" si="52"/>
        <v>0</v>
      </c>
      <c r="BO136" s="27"/>
      <c r="BP136" s="24"/>
      <c r="BQ136" s="24"/>
      <c r="BR136" s="16"/>
      <c r="BS136" s="61">
        <f t="shared" si="47"/>
        <v>0</v>
      </c>
      <c r="BT136" s="62"/>
      <c r="BU136" s="69" t="str">
        <f t="shared" ca="1" si="53"/>
        <v/>
      </c>
      <c r="BV136" s="33">
        <f t="shared" ca="1" si="54"/>
        <v>1</v>
      </c>
      <c r="BW136" s="33">
        <v>1</v>
      </c>
      <c r="BX136" s="60" t="str">
        <f t="shared" ca="1" si="55"/>
        <v/>
      </c>
      <c r="BY136" s="34" t="str">
        <f t="shared" si="56"/>
        <v/>
      </c>
      <c r="BZ136" s="21"/>
      <c r="CA136" s="35" t="str">
        <f t="shared" ca="1" si="57"/>
        <v/>
      </c>
      <c r="CB136" s="16"/>
    </row>
    <row r="137" spans="1:80" ht="15.75">
      <c r="A137" s="362"/>
      <c r="B137" s="17"/>
      <c r="C137" s="18"/>
      <c r="D137" s="17"/>
      <c r="E137" s="17"/>
      <c r="F137" s="17"/>
      <c r="G137" s="19"/>
      <c r="H137" s="16"/>
      <c r="I137" s="16"/>
      <c r="J137" s="16"/>
      <c r="K137" s="20"/>
      <c r="L137" s="16"/>
      <c r="M137" s="364"/>
      <c r="N137" s="365"/>
      <c r="O137" s="365"/>
      <c r="P137" s="23">
        <f t="shared" si="48"/>
        <v>0</v>
      </c>
      <c r="Q137" s="362"/>
      <c r="R137" s="366"/>
      <c r="S137" s="362"/>
      <c r="T137" s="366"/>
      <c r="U137" s="363"/>
      <c r="V137" s="17"/>
      <c r="W137" s="23" t="str">
        <f>IFERROR(VLOOKUP(V137,Listas!$A$1:$C$14,2,FALSE),"")</f>
        <v/>
      </c>
      <c r="X137" s="23" t="str">
        <f>IFERROR(VLOOKUP(V137,Listas!$A$1:$C$14,3,FALSE),"")</f>
        <v/>
      </c>
      <c r="Y137" s="17"/>
      <c r="Z137" s="17"/>
      <c r="AA137" s="23" t="str">
        <f>IFERROR(VLOOKUP(Z137,Listas!$AD$1:$AF$65,2,FALSE),"")</f>
        <v/>
      </c>
      <c r="AB137" s="23" t="str">
        <f>IFERROR(VLOOKUP(Z137,Listas!$AD$1:$AF$65,3,FALSE),"")</f>
        <v/>
      </c>
      <c r="AC137" s="17"/>
      <c r="AD137" s="17"/>
      <c r="AE137" s="17"/>
      <c r="AF137" s="27"/>
      <c r="AG137" s="19"/>
      <c r="AH137" s="27"/>
      <c r="AI137" s="16"/>
      <c r="AJ137" s="27"/>
      <c r="AK137" s="16"/>
      <c r="AL137" s="28">
        <f t="shared" si="49"/>
        <v>0</v>
      </c>
      <c r="AM137" s="29"/>
      <c r="AN137" s="27"/>
      <c r="AO137" s="30">
        <f t="shared" si="50"/>
        <v>0</v>
      </c>
      <c r="AP137" s="31">
        <f t="shared" si="51"/>
        <v>0</v>
      </c>
      <c r="AQ137" s="27"/>
      <c r="AR137" s="16"/>
      <c r="AS137" s="27"/>
      <c r="AT137" s="16"/>
      <c r="AU137" s="27"/>
      <c r="AV137" s="16"/>
      <c r="AW137" s="27"/>
      <c r="AX137" s="16"/>
      <c r="AY137" s="27"/>
      <c r="AZ137" s="24"/>
      <c r="BA137" s="24"/>
      <c r="BB137" s="24"/>
      <c r="BC137" s="32"/>
      <c r="BD137" s="27"/>
      <c r="BE137" s="24"/>
      <c r="BF137" s="24"/>
      <c r="BG137" s="24"/>
      <c r="BH137" s="16"/>
      <c r="BI137" s="27"/>
      <c r="BJ137" s="24"/>
      <c r="BK137" s="24"/>
      <c r="BL137" s="24"/>
      <c r="BM137" s="16"/>
      <c r="BN137" s="61">
        <f t="shared" si="52"/>
        <v>0</v>
      </c>
      <c r="BO137" s="27"/>
      <c r="BP137" s="24"/>
      <c r="BQ137" s="24"/>
      <c r="BR137" s="16"/>
      <c r="BS137" s="61">
        <f t="shared" si="47"/>
        <v>0</v>
      </c>
      <c r="BT137" s="62"/>
      <c r="BU137" s="69" t="str">
        <f t="shared" ca="1" si="53"/>
        <v/>
      </c>
      <c r="BV137" s="33">
        <f t="shared" ca="1" si="54"/>
        <v>1</v>
      </c>
      <c r="BW137" s="33">
        <v>1</v>
      </c>
      <c r="BX137" s="60" t="str">
        <f t="shared" ca="1" si="55"/>
        <v/>
      </c>
      <c r="BY137" s="34" t="str">
        <f t="shared" si="56"/>
        <v/>
      </c>
      <c r="BZ137" s="21"/>
      <c r="CA137" s="35" t="str">
        <f t="shared" ca="1" si="57"/>
        <v/>
      </c>
      <c r="CB137" s="16"/>
    </row>
    <row r="138" spans="1:80" ht="15.75">
      <c r="A138" s="362"/>
      <c r="B138" s="17"/>
      <c r="C138" s="18"/>
      <c r="D138" s="17"/>
      <c r="E138" s="17"/>
      <c r="F138" s="17"/>
      <c r="G138" s="19"/>
      <c r="H138" s="16"/>
      <c r="I138" s="16"/>
      <c r="J138" s="16"/>
      <c r="K138" s="20"/>
      <c r="L138" s="16"/>
      <c r="M138" s="364"/>
      <c r="N138" s="365"/>
      <c r="O138" s="365"/>
      <c r="P138" s="23">
        <f t="shared" si="48"/>
        <v>0</v>
      </c>
      <c r="Q138" s="362"/>
      <c r="R138" s="366"/>
      <c r="S138" s="362"/>
      <c r="T138" s="366"/>
      <c r="U138" s="363"/>
      <c r="V138" s="17"/>
      <c r="W138" s="23" t="str">
        <f>IFERROR(VLOOKUP(V138,Listas!$A$1:$C$14,2,FALSE),"")</f>
        <v/>
      </c>
      <c r="X138" s="23" t="str">
        <f>IFERROR(VLOOKUP(V138,Listas!$A$1:$C$14,3,FALSE),"")</f>
        <v/>
      </c>
      <c r="Y138" s="17"/>
      <c r="Z138" s="17"/>
      <c r="AA138" s="23" t="str">
        <f>IFERROR(VLOOKUP(Z138,Listas!$AD$1:$AF$65,2,FALSE),"")</f>
        <v/>
      </c>
      <c r="AB138" s="23" t="str">
        <f>IFERROR(VLOOKUP(Z138,Listas!$AD$1:$AF$65,3,FALSE),"")</f>
        <v/>
      </c>
      <c r="AC138" s="17"/>
      <c r="AD138" s="17"/>
      <c r="AE138" s="17"/>
      <c r="AF138" s="27"/>
      <c r="AG138" s="19"/>
      <c r="AH138" s="27"/>
      <c r="AI138" s="16"/>
      <c r="AJ138" s="27"/>
      <c r="AK138" s="16"/>
      <c r="AL138" s="28">
        <f t="shared" si="49"/>
        <v>0</v>
      </c>
      <c r="AM138" s="29"/>
      <c r="AN138" s="27"/>
      <c r="AO138" s="30">
        <f t="shared" si="50"/>
        <v>0</v>
      </c>
      <c r="AP138" s="31">
        <f t="shared" si="51"/>
        <v>0</v>
      </c>
      <c r="AQ138" s="27"/>
      <c r="AR138" s="16"/>
      <c r="AS138" s="27"/>
      <c r="AT138" s="16"/>
      <c r="AU138" s="27"/>
      <c r="AV138" s="16"/>
      <c r="AW138" s="27"/>
      <c r="AX138" s="16"/>
      <c r="AY138" s="27"/>
      <c r="AZ138" s="24"/>
      <c r="BA138" s="24"/>
      <c r="BB138" s="24"/>
      <c r="BC138" s="32"/>
      <c r="BD138" s="27"/>
      <c r="BE138" s="24"/>
      <c r="BF138" s="24"/>
      <c r="BG138" s="24"/>
      <c r="BH138" s="16"/>
      <c r="BI138" s="27"/>
      <c r="BJ138" s="24"/>
      <c r="BK138" s="24"/>
      <c r="BL138" s="24"/>
      <c r="BM138" s="16"/>
      <c r="BN138" s="61">
        <f t="shared" si="52"/>
        <v>0</v>
      </c>
      <c r="BO138" s="27"/>
      <c r="BP138" s="24"/>
      <c r="BQ138" s="24"/>
      <c r="BR138" s="16"/>
      <c r="BS138" s="61">
        <f t="shared" si="47"/>
        <v>0</v>
      </c>
      <c r="BT138" s="62"/>
      <c r="BU138" s="69" t="str">
        <f t="shared" ca="1" si="53"/>
        <v/>
      </c>
      <c r="BV138" s="33">
        <f t="shared" ca="1" si="54"/>
        <v>1</v>
      </c>
      <c r="BW138" s="33">
        <v>1</v>
      </c>
      <c r="BX138" s="60" t="str">
        <f t="shared" ca="1" si="55"/>
        <v/>
      </c>
      <c r="BY138" s="34" t="str">
        <f t="shared" si="56"/>
        <v/>
      </c>
      <c r="BZ138" s="21"/>
      <c r="CA138" s="35" t="str">
        <f t="shared" ca="1" si="57"/>
        <v/>
      </c>
      <c r="CB138" s="16"/>
    </row>
    <row r="139" spans="1:80" ht="15.75">
      <c r="A139" s="362"/>
      <c r="B139" s="17"/>
      <c r="C139" s="18"/>
      <c r="D139" s="17"/>
      <c r="E139" s="17"/>
      <c r="F139" s="17"/>
      <c r="G139" s="19"/>
      <c r="H139" s="16"/>
      <c r="I139" s="16"/>
      <c r="J139" s="16"/>
      <c r="K139" s="20"/>
      <c r="L139" s="16"/>
      <c r="M139" s="364"/>
      <c r="N139" s="365"/>
      <c r="O139" s="365"/>
      <c r="P139" s="23">
        <f t="shared" si="48"/>
        <v>0</v>
      </c>
      <c r="Q139" s="362"/>
      <c r="R139" s="366"/>
      <c r="S139" s="362"/>
      <c r="T139" s="366"/>
      <c r="U139" s="363"/>
      <c r="V139" s="17"/>
      <c r="W139" s="23" t="str">
        <f>IFERROR(VLOOKUP(V139,Listas!$A$1:$C$14,2,FALSE),"")</f>
        <v/>
      </c>
      <c r="X139" s="23" t="str">
        <f>IFERROR(VLOOKUP(V139,Listas!$A$1:$C$14,3,FALSE),"")</f>
        <v/>
      </c>
      <c r="Y139" s="17"/>
      <c r="Z139" s="17"/>
      <c r="AA139" s="23" t="str">
        <f>IFERROR(VLOOKUP(Z139,Listas!$AD$1:$AF$65,2,FALSE),"")</f>
        <v/>
      </c>
      <c r="AB139" s="23" t="str">
        <f>IFERROR(VLOOKUP(Z139,Listas!$AD$1:$AF$65,3,FALSE),"")</f>
        <v/>
      </c>
      <c r="AC139" s="17"/>
      <c r="AD139" s="17"/>
      <c r="AE139" s="17"/>
      <c r="AF139" s="27"/>
      <c r="AG139" s="19"/>
      <c r="AH139" s="27"/>
      <c r="AI139" s="16"/>
      <c r="AJ139" s="27"/>
      <c r="AK139" s="16"/>
      <c r="AL139" s="28">
        <f t="shared" si="49"/>
        <v>0</v>
      </c>
      <c r="AM139" s="29"/>
      <c r="AN139" s="27"/>
      <c r="AO139" s="30">
        <f t="shared" si="50"/>
        <v>0</v>
      </c>
      <c r="AP139" s="31">
        <f t="shared" si="51"/>
        <v>0</v>
      </c>
      <c r="AQ139" s="27"/>
      <c r="AR139" s="16"/>
      <c r="AS139" s="27"/>
      <c r="AT139" s="16"/>
      <c r="AU139" s="27"/>
      <c r="AV139" s="16"/>
      <c r="AW139" s="27"/>
      <c r="AX139" s="16"/>
      <c r="AY139" s="27"/>
      <c r="AZ139" s="24"/>
      <c r="BA139" s="24"/>
      <c r="BB139" s="24"/>
      <c r="BC139" s="32"/>
      <c r="BD139" s="27"/>
      <c r="BE139" s="24"/>
      <c r="BF139" s="24"/>
      <c r="BG139" s="24"/>
      <c r="BH139" s="16"/>
      <c r="BI139" s="27"/>
      <c r="BJ139" s="24"/>
      <c r="BK139" s="24"/>
      <c r="BL139" s="24"/>
      <c r="BM139" s="16"/>
      <c r="BN139" s="61">
        <f t="shared" si="52"/>
        <v>0</v>
      </c>
      <c r="BO139" s="27"/>
      <c r="BP139" s="24"/>
      <c r="BQ139" s="24"/>
      <c r="BR139" s="16"/>
      <c r="BS139" s="61">
        <f t="shared" si="47"/>
        <v>0</v>
      </c>
      <c r="BT139" s="62"/>
      <c r="BU139" s="69" t="str">
        <f t="shared" ca="1" si="53"/>
        <v/>
      </c>
      <c r="BV139" s="33">
        <f t="shared" ca="1" si="54"/>
        <v>1</v>
      </c>
      <c r="BW139" s="33">
        <v>1</v>
      </c>
      <c r="BX139" s="60" t="str">
        <f t="shared" ca="1" si="55"/>
        <v/>
      </c>
      <c r="BY139" s="34" t="str">
        <f t="shared" si="56"/>
        <v/>
      </c>
      <c r="BZ139" s="21"/>
      <c r="CA139" s="35" t="str">
        <f t="shared" ca="1" si="57"/>
        <v/>
      </c>
      <c r="CB139" s="16"/>
    </row>
    <row r="140" spans="1:80" ht="15.75">
      <c r="A140" s="362"/>
      <c r="B140" s="17"/>
      <c r="C140" s="18"/>
      <c r="D140" s="17"/>
      <c r="E140" s="17"/>
      <c r="F140" s="17"/>
      <c r="G140" s="19"/>
      <c r="H140" s="16"/>
      <c r="I140" s="16"/>
      <c r="J140" s="16"/>
      <c r="K140" s="20"/>
      <c r="L140" s="16"/>
      <c r="M140" s="364"/>
      <c r="N140" s="365"/>
      <c r="O140" s="365"/>
      <c r="P140" s="23">
        <f t="shared" si="48"/>
        <v>0</v>
      </c>
      <c r="Q140" s="362"/>
      <c r="R140" s="366"/>
      <c r="S140" s="362"/>
      <c r="T140" s="366"/>
      <c r="U140" s="363"/>
      <c r="V140" s="17"/>
      <c r="W140" s="23" t="str">
        <f>IFERROR(VLOOKUP(V140,Listas!$A$1:$C$14,2,FALSE),"")</f>
        <v/>
      </c>
      <c r="X140" s="23" t="str">
        <f>IFERROR(VLOOKUP(V140,Listas!$A$1:$C$14,3,FALSE),"")</f>
        <v/>
      </c>
      <c r="Y140" s="17"/>
      <c r="Z140" s="17"/>
      <c r="AA140" s="23" t="str">
        <f>IFERROR(VLOOKUP(Z140,Listas!$AD$1:$AF$65,2,FALSE),"")</f>
        <v/>
      </c>
      <c r="AB140" s="23" t="str">
        <f>IFERROR(VLOOKUP(Z140,Listas!$AD$1:$AF$65,3,FALSE),"")</f>
        <v/>
      </c>
      <c r="AC140" s="17"/>
      <c r="AD140" s="17"/>
      <c r="AE140" s="17"/>
      <c r="AF140" s="27"/>
      <c r="AG140" s="19"/>
      <c r="AH140" s="27"/>
      <c r="AI140" s="16"/>
      <c r="AJ140" s="27"/>
      <c r="AK140" s="16"/>
      <c r="AL140" s="28">
        <f t="shared" si="49"/>
        <v>0</v>
      </c>
      <c r="AM140" s="29"/>
      <c r="AN140" s="27"/>
      <c r="AO140" s="30">
        <f t="shared" si="50"/>
        <v>0</v>
      </c>
      <c r="AP140" s="31">
        <f t="shared" si="51"/>
        <v>0</v>
      </c>
      <c r="AQ140" s="27"/>
      <c r="AR140" s="16"/>
      <c r="AS140" s="27"/>
      <c r="AT140" s="16"/>
      <c r="AU140" s="27"/>
      <c r="AV140" s="16"/>
      <c r="AW140" s="27"/>
      <c r="AX140" s="16"/>
      <c r="AY140" s="27"/>
      <c r="AZ140" s="24"/>
      <c r="BA140" s="24"/>
      <c r="BB140" s="24"/>
      <c r="BC140" s="32"/>
      <c r="BD140" s="27"/>
      <c r="BE140" s="24"/>
      <c r="BF140" s="24"/>
      <c r="BG140" s="24"/>
      <c r="BH140" s="16"/>
      <c r="BI140" s="27"/>
      <c r="BJ140" s="24"/>
      <c r="BK140" s="24"/>
      <c r="BL140" s="24"/>
      <c r="BM140" s="16"/>
      <c r="BN140" s="61">
        <f t="shared" si="52"/>
        <v>0</v>
      </c>
      <c r="BO140" s="27"/>
      <c r="BP140" s="24"/>
      <c r="BQ140" s="24"/>
      <c r="BR140" s="16"/>
      <c r="BS140" s="61">
        <f t="shared" si="47"/>
        <v>0</v>
      </c>
      <c r="BT140" s="62"/>
      <c r="BU140" s="69" t="str">
        <f t="shared" ca="1" si="53"/>
        <v/>
      </c>
      <c r="BV140" s="33">
        <f t="shared" ca="1" si="54"/>
        <v>1</v>
      </c>
      <c r="BW140" s="33">
        <v>1</v>
      </c>
      <c r="BX140" s="60" t="str">
        <f t="shared" ca="1" si="55"/>
        <v/>
      </c>
      <c r="BY140" s="34" t="str">
        <f t="shared" si="56"/>
        <v/>
      </c>
      <c r="BZ140" s="21"/>
      <c r="CA140" s="35" t="str">
        <f t="shared" ca="1" si="57"/>
        <v/>
      </c>
      <c r="CB140" s="16"/>
    </row>
    <row r="141" spans="1:80" ht="15.75">
      <c r="A141" s="362"/>
      <c r="B141" s="17"/>
      <c r="C141" s="18"/>
      <c r="D141" s="17"/>
      <c r="E141" s="17"/>
      <c r="F141" s="17"/>
      <c r="G141" s="19"/>
      <c r="H141" s="16"/>
      <c r="I141" s="16"/>
      <c r="J141" s="16"/>
      <c r="K141" s="20"/>
      <c r="L141" s="16"/>
      <c r="M141" s="364"/>
      <c r="N141" s="365"/>
      <c r="O141" s="365"/>
      <c r="P141" s="23">
        <f t="shared" si="48"/>
        <v>0</v>
      </c>
      <c r="Q141" s="362"/>
      <c r="R141" s="366"/>
      <c r="S141" s="362"/>
      <c r="T141" s="366"/>
      <c r="U141" s="363"/>
      <c r="V141" s="17"/>
      <c r="W141" s="23" t="str">
        <f>IFERROR(VLOOKUP(V141,Listas!$A$1:$C$14,2,FALSE),"")</f>
        <v/>
      </c>
      <c r="X141" s="23" t="str">
        <f>IFERROR(VLOOKUP(V141,Listas!$A$1:$C$14,3,FALSE),"")</f>
        <v/>
      </c>
      <c r="Y141" s="17"/>
      <c r="Z141" s="17"/>
      <c r="AA141" s="23" t="str">
        <f>IFERROR(VLOOKUP(Z141,Listas!$AD$1:$AF$65,2,FALSE),"")</f>
        <v/>
      </c>
      <c r="AB141" s="23" t="str">
        <f>IFERROR(VLOOKUP(Z141,Listas!$AD$1:$AF$65,3,FALSE),"")</f>
        <v/>
      </c>
      <c r="AC141" s="17"/>
      <c r="AD141" s="17"/>
      <c r="AE141" s="17"/>
      <c r="AF141" s="27"/>
      <c r="AG141" s="19"/>
      <c r="AH141" s="27"/>
      <c r="AI141" s="16"/>
      <c r="AJ141" s="27"/>
      <c r="AK141" s="16"/>
      <c r="AL141" s="28">
        <f t="shared" si="49"/>
        <v>0</v>
      </c>
      <c r="AM141" s="29"/>
      <c r="AN141" s="27"/>
      <c r="AO141" s="30">
        <f t="shared" si="50"/>
        <v>0</v>
      </c>
      <c r="AP141" s="31">
        <f t="shared" si="51"/>
        <v>0</v>
      </c>
      <c r="AQ141" s="27"/>
      <c r="AR141" s="16"/>
      <c r="AS141" s="27"/>
      <c r="AT141" s="16"/>
      <c r="AU141" s="27"/>
      <c r="AV141" s="16"/>
      <c r="AW141" s="27"/>
      <c r="AX141" s="16"/>
      <c r="AY141" s="27"/>
      <c r="AZ141" s="24"/>
      <c r="BA141" s="24"/>
      <c r="BB141" s="24"/>
      <c r="BC141" s="32"/>
      <c r="BD141" s="27"/>
      <c r="BE141" s="24"/>
      <c r="BF141" s="24"/>
      <c r="BG141" s="24"/>
      <c r="BH141" s="16"/>
      <c r="BI141" s="27"/>
      <c r="BJ141" s="24"/>
      <c r="BK141" s="24"/>
      <c r="BL141" s="24"/>
      <c r="BM141" s="16"/>
      <c r="BN141" s="61">
        <f t="shared" si="52"/>
        <v>0</v>
      </c>
      <c r="BO141" s="27"/>
      <c r="BP141" s="24"/>
      <c r="BQ141" s="24"/>
      <c r="BR141" s="16"/>
      <c r="BS141" s="61">
        <f t="shared" si="47"/>
        <v>0</v>
      </c>
      <c r="BT141" s="62"/>
      <c r="BU141" s="69" t="str">
        <f t="shared" ca="1" si="53"/>
        <v/>
      </c>
      <c r="BV141" s="33">
        <f t="shared" ca="1" si="54"/>
        <v>1</v>
      </c>
      <c r="BW141" s="33">
        <v>1</v>
      </c>
      <c r="BX141" s="60" t="str">
        <f t="shared" ca="1" si="55"/>
        <v/>
      </c>
      <c r="BY141" s="34" t="str">
        <f t="shared" si="56"/>
        <v/>
      </c>
      <c r="BZ141" s="21"/>
      <c r="CA141" s="35" t="str">
        <f t="shared" ca="1" si="57"/>
        <v/>
      </c>
      <c r="CB141" s="16"/>
    </row>
    <row r="142" spans="1:80" ht="15.75">
      <c r="A142" s="362"/>
      <c r="B142" s="17"/>
      <c r="C142" s="18"/>
      <c r="D142" s="17"/>
      <c r="E142" s="17"/>
      <c r="F142" s="17"/>
      <c r="G142" s="19"/>
      <c r="H142" s="16"/>
      <c r="I142" s="16"/>
      <c r="J142" s="16"/>
      <c r="K142" s="20"/>
      <c r="L142" s="16"/>
      <c r="M142" s="364"/>
      <c r="N142" s="365"/>
      <c r="O142" s="365"/>
      <c r="P142" s="23">
        <f t="shared" si="48"/>
        <v>0</v>
      </c>
      <c r="Q142" s="362"/>
      <c r="R142" s="366"/>
      <c r="S142" s="362"/>
      <c r="T142" s="366"/>
      <c r="U142" s="363"/>
      <c r="V142" s="17"/>
      <c r="W142" s="23" t="str">
        <f>IFERROR(VLOOKUP(V142,Listas!$A$1:$C$14,2,FALSE),"")</f>
        <v/>
      </c>
      <c r="X142" s="23" t="str">
        <f>IFERROR(VLOOKUP(V142,Listas!$A$1:$C$14,3,FALSE),"")</f>
        <v/>
      </c>
      <c r="Y142" s="17"/>
      <c r="Z142" s="17"/>
      <c r="AA142" s="23" t="str">
        <f>IFERROR(VLOOKUP(Z142,Listas!$AD$1:$AF$65,2,FALSE),"")</f>
        <v/>
      </c>
      <c r="AB142" s="23" t="str">
        <f>IFERROR(VLOOKUP(Z142,Listas!$AD$1:$AF$65,3,FALSE),"")</f>
        <v/>
      </c>
      <c r="AC142" s="17"/>
      <c r="AD142" s="17"/>
      <c r="AE142" s="17"/>
      <c r="AF142" s="27"/>
      <c r="AG142" s="19"/>
      <c r="AH142" s="27"/>
      <c r="AI142" s="16"/>
      <c r="AJ142" s="27"/>
      <c r="AK142" s="16"/>
      <c r="AL142" s="28">
        <f t="shared" si="49"/>
        <v>0</v>
      </c>
      <c r="AM142" s="29"/>
      <c r="AN142" s="27"/>
      <c r="AO142" s="30">
        <f t="shared" si="50"/>
        <v>0</v>
      </c>
      <c r="AP142" s="31">
        <f t="shared" si="51"/>
        <v>0</v>
      </c>
      <c r="AQ142" s="27"/>
      <c r="AR142" s="16"/>
      <c r="AS142" s="27"/>
      <c r="AT142" s="16"/>
      <c r="AU142" s="27"/>
      <c r="AV142" s="16"/>
      <c r="AW142" s="27"/>
      <c r="AX142" s="16"/>
      <c r="AY142" s="27"/>
      <c r="AZ142" s="24"/>
      <c r="BA142" s="24"/>
      <c r="BB142" s="24"/>
      <c r="BC142" s="32"/>
      <c r="BD142" s="27"/>
      <c r="BE142" s="24"/>
      <c r="BF142" s="24"/>
      <c r="BG142" s="24"/>
      <c r="BH142" s="16"/>
      <c r="BI142" s="27"/>
      <c r="BJ142" s="24"/>
      <c r="BK142" s="24"/>
      <c r="BL142" s="24"/>
      <c r="BM142" s="16"/>
      <c r="BN142" s="61">
        <f t="shared" si="52"/>
        <v>0</v>
      </c>
      <c r="BO142" s="27"/>
      <c r="BP142" s="24"/>
      <c r="BQ142" s="24"/>
      <c r="BR142" s="16"/>
      <c r="BS142" s="61">
        <f t="shared" si="47"/>
        <v>0</v>
      </c>
      <c r="BT142" s="62"/>
      <c r="BU142" s="69" t="str">
        <f t="shared" ca="1" si="53"/>
        <v/>
      </c>
      <c r="BV142" s="33">
        <f t="shared" ca="1" si="54"/>
        <v>1</v>
      </c>
      <c r="BW142" s="33">
        <v>1</v>
      </c>
      <c r="BX142" s="60" t="str">
        <f t="shared" ca="1" si="55"/>
        <v/>
      </c>
      <c r="BY142" s="34" t="str">
        <f t="shared" si="56"/>
        <v/>
      </c>
      <c r="BZ142" s="21"/>
      <c r="CA142" s="35" t="str">
        <f t="shared" ca="1" si="57"/>
        <v/>
      </c>
      <c r="CB142" s="16"/>
    </row>
    <row r="143" spans="1:80" ht="15.75">
      <c r="A143" s="362"/>
      <c r="B143" s="17"/>
      <c r="C143" s="18"/>
      <c r="D143" s="17"/>
      <c r="E143" s="17"/>
      <c r="F143" s="17"/>
      <c r="G143" s="19"/>
      <c r="H143" s="16"/>
      <c r="I143" s="16"/>
      <c r="J143" s="16"/>
      <c r="K143" s="20"/>
      <c r="L143" s="16"/>
      <c r="M143" s="364"/>
      <c r="N143" s="365"/>
      <c r="O143" s="365"/>
      <c r="P143" s="23">
        <f t="shared" si="48"/>
        <v>0</v>
      </c>
      <c r="Q143" s="362"/>
      <c r="R143" s="366"/>
      <c r="S143" s="362"/>
      <c r="T143" s="366"/>
      <c r="U143" s="363"/>
      <c r="V143" s="17"/>
      <c r="W143" s="23" t="str">
        <f>IFERROR(VLOOKUP(V143,Listas!$A$1:$C$14,2,FALSE),"")</f>
        <v/>
      </c>
      <c r="X143" s="23" t="str">
        <f>IFERROR(VLOOKUP(V143,Listas!$A$1:$C$14,3,FALSE),"")</f>
        <v/>
      </c>
      <c r="Y143" s="17"/>
      <c r="Z143" s="17"/>
      <c r="AA143" s="23" t="str">
        <f>IFERROR(VLOOKUP(Z143,Listas!$AD$1:$AF$65,2,FALSE),"")</f>
        <v/>
      </c>
      <c r="AB143" s="23" t="str">
        <f>IFERROR(VLOOKUP(Z143,Listas!$AD$1:$AF$65,3,FALSE),"")</f>
        <v/>
      </c>
      <c r="AC143" s="17"/>
      <c r="AD143" s="17"/>
      <c r="AE143" s="17"/>
      <c r="AF143" s="27"/>
      <c r="AG143" s="19"/>
      <c r="AH143" s="27"/>
      <c r="AI143" s="16"/>
      <c r="AJ143" s="27"/>
      <c r="AK143" s="16"/>
      <c r="AL143" s="28">
        <f t="shared" si="49"/>
        <v>0</v>
      </c>
      <c r="AM143" s="29"/>
      <c r="AN143" s="27"/>
      <c r="AO143" s="30">
        <f t="shared" si="50"/>
        <v>0</v>
      </c>
      <c r="AP143" s="31">
        <f t="shared" si="51"/>
        <v>0</v>
      </c>
      <c r="AQ143" s="27"/>
      <c r="AR143" s="16"/>
      <c r="AS143" s="27"/>
      <c r="AT143" s="16"/>
      <c r="AU143" s="27"/>
      <c r="AV143" s="16"/>
      <c r="AW143" s="27"/>
      <c r="AX143" s="16"/>
      <c r="AY143" s="27"/>
      <c r="AZ143" s="24"/>
      <c r="BA143" s="24"/>
      <c r="BB143" s="24"/>
      <c r="BC143" s="32"/>
      <c r="BD143" s="27"/>
      <c r="BE143" s="24"/>
      <c r="BF143" s="24"/>
      <c r="BG143" s="24"/>
      <c r="BH143" s="16"/>
      <c r="BI143" s="27"/>
      <c r="BJ143" s="24"/>
      <c r="BK143" s="24"/>
      <c r="BL143" s="24"/>
      <c r="BM143" s="16"/>
      <c r="BN143" s="61">
        <f t="shared" si="52"/>
        <v>0</v>
      </c>
      <c r="BO143" s="27"/>
      <c r="BP143" s="24"/>
      <c r="BQ143" s="24"/>
      <c r="BR143" s="16"/>
      <c r="BS143" s="61">
        <f t="shared" si="47"/>
        <v>0</v>
      </c>
      <c r="BT143" s="62"/>
      <c r="BU143" s="69" t="str">
        <f t="shared" ca="1" si="53"/>
        <v/>
      </c>
      <c r="BV143" s="33">
        <f t="shared" ca="1" si="54"/>
        <v>1</v>
      </c>
      <c r="BW143" s="33">
        <v>1</v>
      </c>
      <c r="BX143" s="60" t="str">
        <f t="shared" ca="1" si="55"/>
        <v/>
      </c>
      <c r="BY143" s="34" t="str">
        <f t="shared" si="56"/>
        <v/>
      </c>
      <c r="BZ143" s="21"/>
      <c r="CA143" s="35" t="str">
        <f t="shared" ca="1" si="57"/>
        <v/>
      </c>
      <c r="CB143" s="16"/>
    </row>
    <row r="144" spans="1:80" ht="15.75">
      <c r="A144" s="362"/>
      <c r="B144" s="17"/>
      <c r="C144" s="18"/>
      <c r="D144" s="17"/>
      <c r="E144" s="17"/>
      <c r="F144" s="17"/>
      <c r="G144" s="19"/>
      <c r="H144" s="16"/>
      <c r="I144" s="16"/>
      <c r="J144" s="16"/>
      <c r="K144" s="20"/>
      <c r="L144" s="16"/>
      <c r="M144" s="364"/>
      <c r="N144" s="365"/>
      <c r="O144" s="365"/>
      <c r="P144" s="23">
        <f t="shared" si="48"/>
        <v>0</v>
      </c>
      <c r="Q144" s="362"/>
      <c r="R144" s="366"/>
      <c r="S144" s="362"/>
      <c r="T144" s="366"/>
      <c r="U144" s="363"/>
      <c r="V144" s="17"/>
      <c r="W144" s="23" t="str">
        <f>IFERROR(VLOOKUP(V144,Listas!$A$1:$C$14,2,FALSE),"")</f>
        <v/>
      </c>
      <c r="X144" s="23" t="str">
        <f>IFERROR(VLOOKUP(V144,Listas!$A$1:$C$14,3,FALSE),"")</f>
        <v/>
      </c>
      <c r="Y144" s="17"/>
      <c r="Z144" s="17"/>
      <c r="AA144" s="23" t="str">
        <f>IFERROR(VLOOKUP(Z144,Listas!$AD$1:$AF$65,2,FALSE),"")</f>
        <v/>
      </c>
      <c r="AB144" s="23" t="str">
        <f>IFERROR(VLOOKUP(Z144,Listas!$AD$1:$AF$65,3,FALSE),"")</f>
        <v/>
      </c>
      <c r="AC144" s="17"/>
      <c r="AD144" s="17"/>
      <c r="AE144" s="17"/>
      <c r="AF144" s="27"/>
      <c r="AG144" s="19"/>
      <c r="AH144" s="27"/>
      <c r="AI144" s="16"/>
      <c r="AJ144" s="27"/>
      <c r="AK144" s="16"/>
      <c r="AL144" s="28">
        <f t="shared" si="49"/>
        <v>0</v>
      </c>
      <c r="AM144" s="29"/>
      <c r="AN144" s="27"/>
      <c r="AO144" s="30">
        <f t="shared" si="50"/>
        <v>0</v>
      </c>
      <c r="AP144" s="31">
        <f t="shared" si="51"/>
        <v>0</v>
      </c>
      <c r="AQ144" s="27"/>
      <c r="AR144" s="16"/>
      <c r="AS144" s="27"/>
      <c r="AT144" s="16"/>
      <c r="AU144" s="27"/>
      <c r="AV144" s="16"/>
      <c r="AW144" s="27"/>
      <c r="AX144" s="16"/>
      <c r="AY144" s="27"/>
      <c r="AZ144" s="24"/>
      <c r="BA144" s="24"/>
      <c r="BB144" s="24"/>
      <c r="BC144" s="32"/>
      <c r="BD144" s="27"/>
      <c r="BE144" s="24"/>
      <c r="BF144" s="24"/>
      <c r="BG144" s="24"/>
      <c r="BH144" s="16"/>
      <c r="BI144" s="27"/>
      <c r="BJ144" s="24"/>
      <c r="BK144" s="24"/>
      <c r="BL144" s="24"/>
      <c r="BM144" s="16"/>
      <c r="BN144" s="61">
        <f t="shared" si="52"/>
        <v>0</v>
      </c>
      <c r="BO144" s="27"/>
      <c r="BP144" s="24"/>
      <c r="BQ144" s="24"/>
      <c r="BR144" s="16"/>
      <c r="BS144" s="61">
        <f t="shared" ref="BS144:BS175" si="58">IF(U144=0,(T144+BN144),IF(U144&gt;0,(U144+BN144)))</f>
        <v>0</v>
      </c>
      <c r="BT144" s="62"/>
      <c r="BU144" s="69" t="str">
        <f t="shared" ca="1" si="53"/>
        <v/>
      </c>
      <c r="BV144" s="33">
        <f t="shared" ca="1" si="54"/>
        <v>1</v>
      </c>
      <c r="BW144" s="33">
        <v>1</v>
      </c>
      <c r="BX144" s="60" t="str">
        <f t="shared" ca="1" si="55"/>
        <v/>
      </c>
      <c r="BY144" s="34" t="str">
        <f t="shared" si="56"/>
        <v/>
      </c>
      <c r="BZ144" s="21"/>
      <c r="CA144" s="35" t="str">
        <f t="shared" ca="1" si="57"/>
        <v/>
      </c>
      <c r="CB144" s="16"/>
    </row>
    <row r="145" spans="1:80" ht="15.75">
      <c r="A145" s="362"/>
      <c r="B145" s="17"/>
      <c r="C145" s="18"/>
      <c r="D145" s="17"/>
      <c r="E145" s="17"/>
      <c r="F145" s="17"/>
      <c r="G145" s="19"/>
      <c r="H145" s="16"/>
      <c r="I145" s="16"/>
      <c r="J145" s="16"/>
      <c r="K145" s="20"/>
      <c r="L145" s="16"/>
      <c r="M145" s="364"/>
      <c r="N145" s="365"/>
      <c r="O145" s="365"/>
      <c r="P145" s="23">
        <f t="shared" si="48"/>
        <v>0</v>
      </c>
      <c r="Q145" s="362"/>
      <c r="R145" s="366"/>
      <c r="S145" s="362"/>
      <c r="T145" s="366"/>
      <c r="U145" s="363"/>
      <c r="V145" s="17"/>
      <c r="W145" s="23" t="str">
        <f>IFERROR(VLOOKUP(V145,Listas!$A$1:$C$14,2,FALSE),"")</f>
        <v/>
      </c>
      <c r="X145" s="23" t="str">
        <f>IFERROR(VLOOKUP(V145,Listas!$A$1:$C$14,3,FALSE),"")</f>
        <v/>
      </c>
      <c r="Y145" s="17"/>
      <c r="Z145" s="17"/>
      <c r="AA145" s="23" t="str">
        <f>IFERROR(VLOOKUP(Z145,Listas!$AD$1:$AF$65,2,FALSE),"")</f>
        <v/>
      </c>
      <c r="AB145" s="23" t="str">
        <f>IFERROR(VLOOKUP(Z145,Listas!$AD$1:$AF$65,3,FALSE),"")</f>
        <v/>
      </c>
      <c r="AC145" s="17"/>
      <c r="AD145" s="17"/>
      <c r="AE145" s="17"/>
      <c r="AF145" s="27"/>
      <c r="AG145" s="19"/>
      <c r="AH145" s="27"/>
      <c r="AI145" s="16"/>
      <c r="AJ145" s="27"/>
      <c r="AK145" s="16"/>
      <c r="AL145" s="28">
        <f t="shared" si="49"/>
        <v>0</v>
      </c>
      <c r="AM145" s="29"/>
      <c r="AN145" s="27"/>
      <c r="AO145" s="30">
        <f t="shared" si="50"/>
        <v>0</v>
      </c>
      <c r="AP145" s="31">
        <f t="shared" si="51"/>
        <v>0</v>
      </c>
      <c r="AQ145" s="27"/>
      <c r="AR145" s="16"/>
      <c r="AS145" s="27"/>
      <c r="AT145" s="16"/>
      <c r="AU145" s="27"/>
      <c r="AV145" s="16"/>
      <c r="AW145" s="27"/>
      <c r="AX145" s="16"/>
      <c r="AY145" s="27"/>
      <c r="AZ145" s="24"/>
      <c r="BA145" s="24"/>
      <c r="BB145" s="24"/>
      <c r="BC145" s="32"/>
      <c r="BD145" s="27"/>
      <c r="BE145" s="24"/>
      <c r="BF145" s="24"/>
      <c r="BG145" s="24"/>
      <c r="BH145" s="16"/>
      <c r="BI145" s="27"/>
      <c r="BJ145" s="24"/>
      <c r="BK145" s="24"/>
      <c r="BL145" s="24"/>
      <c r="BM145" s="16"/>
      <c r="BN145" s="61">
        <f t="shared" si="52"/>
        <v>0</v>
      </c>
      <c r="BO145" s="27"/>
      <c r="BP145" s="24"/>
      <c r="BQ145" s="24"/>
      <c r="BR145" s="16"/>
      <c r="BS145" s="61">
        <f t="shared" si="58"/>
        <v>0</v>
      </c>
      <c r="BT145" s="62"/>
      <c r="BU145" s="69" t="str">
        <f t="shared" ca="1" si="53"/>
        <v/>
      </c>
      <c r="BV145" s="33">
        <f t="shared" ca="1" si="54"/>
        <v>1</v>
      </c>
      <c r="BW145" s="33">
        <v>1</v>
      </c>
      <c r="BX145" s="60" t="str">
        <f t="shared" ca="1" si="55"/>
        <v/>
      </c>
      <c r="BY145" s="34" t="str">
        <f t="shared" si="56"/>
        <v/>
      </c>
      <c r="BZ145" s="21"/>
      <c r="CA145" s="35" t="str">
        <f t="shared" ca="1" si="57"/>
        <v/>
      </c>
      <c r="CB145" s="16"/>
    </row>
    <row r="146" spans="1:80" ht="15.75">
      <c r="A146" s="362"/>
      <c r="B146" s="17"/>
      <c r="C146" s="18"/>
      <c r="D146" s="17"/>
      <c r="E146" s="17"/>
      <c r="F146" s="17"/>
      <c r="G146" s="19"/>
      <c r="H146" s="16"/>
      <c r="I146" s="16"/>
      <c r="J146" s="16"/>
      <c r="K146" s="20"/>
      <c r="L146" s="16"/>
      <c r="M146" s="364"/>
      <c r="N146" s="365"/>
      <c r="O146" s="365"/>
      <c r="P146" s="23">
        <f t="shared" si="48"/>
        <v>0</v>
      </c>
      <c r="Q146" s="362"/>
      <c r="R146" s="366"/>
      <c r="S146" s="362"/>
      <c r="T146" s="366"/>
      <c r="U146" s="363"/>
      <c r="V146" s="17"/>
      <c r="W146" s="23" t="str">
        <f>IFERROR(VLOOKUP(V146,Listas!$A$1:$C$14,2,FALSE),"")</f>
        <v/>
      </c>
      <c r="X146" s="23" t="str">
        <f>IFERROR(VLOOKUP(V146,Listas!$A$1:$C$14,3,FALSE),"")</f>
        <v/>
      </c>
      <c r="Y146" s="17"/>
      <c r="Z146" s="17"/>
      <c r="AA146" s="23" t="str">
        <f>IFERROR(VLOOKUP(Z146,Listas!$AD$1:$AF$65,2,FALSE),"")</f>
        <v/>
      </c>
      <c r="AB146" s="23" t="str">
        <f>IFERROR(VLOOKUP(Z146,Listas!$AD$1:$AF$65,3,FALSE),"")</f>
        <v/>
      </c>
      <c r="AC146" s="17"/>
      <c r="AD146" s="17"/>
      <c r="AE146" s="17"/>
      <c r="AF146" s="27"/>
      <c r="AG146" s="19"/>
      <c r="AH146" s="27"/>
      <c r="AI146" s="16"/>
      <c r="AJ146" s="27"/>
      <c r="AK146" s="16"/>
      <c r="AL146" s="28">
        <f t="shared" si="49"/>
        <v>0</v>
      </c>
      <c r="AM146" s="29"/>
      <c r="AN146" s="27"/>
      <c r="AO146" s="30">
        <f t="shared" si="50"/>
        <v>0</v>
      </c>
      <c r="AP146" s="31">
        <f t="shared" si="51"/>
        <v>0</v>
      </c>
      <c r="AQ146" s="27"/>
      <c r="AR146" s="16"/>
      <c r="AS146" s="27"/>
      <c r="AT146" s="16"/>
      <c r="AU146" s="27"/>
      <c r="AV146" s="16"/>
      <c r="AW146" s="27"/>
      <c r="AX146" s="16"/>
      <c r="AY146" s="27"/>
      <c r="AZ146" s="24"/>
      <c r="BA146" s="24"/>
      <c r="BB146" s="24"/>
      <c r="BC146" s="32"/>
      <c r="BD146" s="27"/>
      <c r="BE146" s="24"/>
      <c r="BF146" s="24"/>
      <c r="BG146" s="24"/>
      <c r="BH146" s="16"/>
      <c r="BI146" s="27"/>
      <c r="BJ146" s="24"/>
      <c r="BK146" s="24"/>
      <c r="BL146" s="24"/>
      <c r="BM146" s="16"/>
      <c r="BN146" s="61">
        <f t="shared" si="52"/>
        <v>0</v>
      </c>
      <c r="BO146" s="27"/>
      <c r="BP146" s="24"/>
      <c r="BQ146" s="24"/>
      <c r="BR146" s="16"/>
      <c r="BS146" s="61">
        <f t="shared" si="58"/>
        <v>0</v>
      </c>
      <c r="BT146" s="62"/>
      <c r="BU146" s="69" t="str">
        <f t="shared" ca="1" si="53"/>
        <v/>
      </c>
      <c r="BV146" s="33">
        <f t="shared" ca="1" si="54"/>
        <v>1</v>
      </c>
      <c r="BW146" s="33">
        <v>1</v>
      </c>
      <c r="BX146" s="60" t="str">
        <f t="shared" ca="1" si="55"/>
        <v/>
      </c>
      <c r="BY146" s="34" t="str">
        <f t="shared" si="56"/>
        <v/>
      </c>
      <c r="BZ146" s="21"/>
      <c r="CA146" s="35" t="str">
        <f t="shared" ca="1" si="57"/>
        <v/>
      </c>
      <c r="CB146" s="16"/>
    </row>
    <row r="147" spans="1:80" ht="15.75">
      <c r="A147" s="362"/>
      <c r="B147" s="17"/>
      <c r="C147" s="18"/>
      <c r="D147" s="17"/>
      <c r="E147" s="17"/>
      <c r="F147" s="17"/>
      <c r="G147" s="19"/>
      <c r="H147" s="16"/>
      <c r="I147" s="16"/>
      <c r="J147" s="16"/>
      <c r="K147" s="20"/>
      <c r="L147" s="16"/>
      <c r="M147" s="364"/>
      <c r="N147" s="365"/>
      <c r="O147" s="365"/>
      <c r="P147" s="23">
        <f t="shared" si="48"/>
        <v>0</v>
      </c>
      <c r="Q147" s="362"/>
      <c r="R147" s="366"/>
      <c r="S147" s="362"/>
      <c r="T147" s="366"/>
      <c r="U147" s="363"/>
      <c r="V147" s="17"/>
      <c r="W147" s="23" t="str">
        <f>IFERROR(VLOOKUP(V147,Listas!$A$1:$C$14,2,FALSE),"")</f>
        <v/>
      </c>
      <c r="X147" s="23" t="str">
        <f>IFERROR(VLOOKUP(V147,Listas!$A$1:$C$14,3,FALSE),"")</f>
        <v/>
      </c>
      <c r="Y147" s="17"/>
      <c r="Z147" s="17"/>
      <c r="AA147" s="23" t="str">
        <f>IFERROR(VLOOKUP(Z147,Listas!$AD$1:$AF$65,2,FALSE),"")</f>
        <v/>
      </c>
      <c r="AB147" s="23" t="str">
        <f>IFERROR(VLOOKUP(Z147,Listas!$AD$1:$AF$65,3,FALSE),"")</f>
        <v/>
      </c>
      <c r="AC147" s="17"/>
      <c r="AD147" s="17"/>
      <c r="AE147" s="17"/>
      <c r="AF147" s="27"/>
      <c r="AG147" s="19"/>
      <c r="AH147" s="27"/>
      <c r="AI147" s="16"/>
      <c r="AJ147" s="27"/>
      <c r="AK147" s="16"/>
      <c r="AL147" s="28">
        <f t="shared" si="49"/>
        <v>0</v>
      </c>
      <c r="AM147" s="29"/>
      <c r="AN147" s="27"/>
      <c r="AO147" s="30">
        <f t="shared" si="50"/>
        <v>0</v>
      </c>
      <c r="AP147" s="31">
        <f t="shared" si="51"/>
        <v>0</v>
      </c>
      <c r="AQ147" s="27"/>
      <c r="AR147" s="16"/>
      <c r="AS147" s="27"/>
      <c r="AT147" s="16"/>
      <c r="AU147" s="27"/>
      <c r="AV147" s="16"/>
      <c r="AW147" s="27"/>
      <c r="AX147" s="16"/>
      <c r="AY147" s="27"/>
      <c r="AZ147" s="24"/>
      <c r="BA147" s="24"/>
      <c r="BB147" s="24"/>
      <c r="BC147" s="32"/>
      <c r="BD147" s="27"/>
      <c r="BE147" s="24"/>
      <c r="BF147" s="24"/>
      <c r="BG147" s="24"/>
      <c r="BH147" s="16"/>
      <c r="BI147" s="27"/>
      <c r="BJ147" s="24"/>
      <c r="BK147" s="24"/>
      <c r="BL147" s="24"/>
      <c r="BM147" s="16"/>
      <c r="BN147" s="61">
        <f t="shared" si="52"/>
        <v>0</v>
      </c>
      <c r="BO147" s="27"/>
      <c r="BP147" s="24"/>
      <c r="BQ147" s="24"/>
      <c r="BR147" s="16"/>
      <c r="BS147" s="61">
        <f t="shared" si="58"/>
        <v>0</v>
      </c>
      <c r="BT147" s="62"/>
      <c r="BU147" s="69" t="str">
        <f t="shared" ca="1" si="53"/>
        <v/>
      </c>
      <c r="BV147" s="33">
        <f t="shared" ca="1" si="54"/>
        <v>1</v>
      </c>
      <c r="BW147" s="33">
        <v>1</v>
      </c>
      <c r="BX147" s="60" t="str">
        <f t="shared" ca="1" si="55"/>
        <v/>
      </c>
      <c r="BY147" s="34" t="str">
        <f t="shared" si="56"/>
        <v/>
      </c>
      <c r="BZ147" s="21"/>
      <c r="CA147" s="35" t="str">
        <f t="shared" ca="1" si="57"/>
        <v/>
      </c>
      <c r="CB147" s="16"/>
    </row>
    <row r="148" spans="1:80" ht="15.75">
      <c r="A148" s="362"/>
      <c r="B148" s="17"/>
      <c r="C148" s="18"/>
      <c r="D148" s="17"/>
      <c r="E148" s="17"/>
      <c r="F148" s="17"/>
      <c r="G148" s="19"/>
      <c r="H148" s="16"/>
      <c r="I148" s="16"/>
      <c r="J148" s="16"/>
      <c r="K148" s="20"/>
      <c r="L148" s="16"/>
      <c r="M148" s="364"/>
      <c r="N148" s="365"/>
      <c r="O148" s="365"/>
      <c r="P148" s="23">
        <f t="shared" si="48"/>
        <v>0</v>
      </c>
      <c r="Q148" s="362"/>
      <c r="R148" s="366"/>
      <c r="S148" s="362"/>
      <c r="T148" s="366"/>
      <c r="U148" s="363"/>
      <c r="V148" s="17"/>
      <c r="W148" s="23" t="str">
        <f>IFERROR(VLOOKUP(V148,Listas!$A$1:$C$14,2,FALSE),"")</f>
        <v/>
      </c>
      <c r="X148" s="23" t="str">
        <f>IFERROR(VLOOKUP(V148,Listas!$A$1:$C$14,3,FALSE),"")</f>
        <v/>
      </c>
      <c r="Y148" s="17"/>
      <c r="Z148" s="17"/>
      <c r="AA148" s="23" t="str">
        <f>IFERROR(VLOOKUP(Z148,Listas!$AD$1:$AF$65,2,FALSE),"")</f>
        <v/>
      </c>
      <c r="AB148" s="23" t="str">
        <f>IFERROR(VLOOKUP(Z148,Listas!$AD$1:$AF$65,3,FALSE),"")</f>
        <v/>
      </c>
      <c r="AC148" s="17"/>
      <c r="AD148" s="17"/>
      <c r="AE148" s="17"/>
      <c r="AF148" s="27"/>
      <c r="AG148" s="19"/>
      <c r="AH148" s="27"/>
      <c r="AI148" s="16"/>
      <c r="AJ148" s="27"/>
      <c r="AK148" s="16"/>
      <c r="AL148" s="28">
        <f t="shared" si="49"/>
        <v>0</v>
      </c>
      <c r="AM148" s="29"/>
      <c r="AN148" s="27"/>
      <c r="AO148" s="30">
        <f t="shared" si="50"/>
        <v>0</v>
      </c>
      <c r="AP148" s="31">
        <f t="shared" si="51"/>
        <v>0</v>
      </c>
      <c r="AQ148" s="27"/>
      <c r="AR148" s="16"/>
      <c r="AS148" s="27"/>
      <c r="AT148" s="16"/>
      <c r="AU148" s="27"/>
      <c r="AV148" s="16"/>
      <c r="AW148" s="27"/>
      <c r="AX148" s="16"/>
      <c r="AY148" s="27"/>
      <c r="AZ148" s="24"/>
      <c r="BA148" s="24"/>
      <c r="BB148" s="24"/>
      <c r="BC148" s="32"/>
      <c r="BD148" s="27"/>
      <c r="BE148" s="24"/>
      <c r="BF148" s="24"/>
      <c r="BG148" s="24"/>
      <c r="BH148" s="16"/>
      <c r="BI148" s="27"/>
      <c r="BJ148" s="24"/>
      <c r="BK148" s="24"/>
      <c r="BL148" s="24"/>
      <c r="BM148" s="16"/>
      <c r="BN148" s="61">
        <f t="shared" si="52"/>
        <v>0</v>
      </c>
      <c r="BO148" s="27"/>
      <c r="BP148" s="24"/>
      <c r="BQ148" s="24"/>
      <c r="BR148" s="16"/>
      <c r="BS148" s="61">
        <f t="shared" si="58"/>
        <v>0</v>
      </c>
      <c r="BT148" s="62"/>
      <c r="BU148" s="69" t="str">
        <f t="shared" ca="1" si="53"/>
        <v/>
      </c>
      <c r="BV148" s="33">
        <f t="shared" ca="1" si="54"/>
        <v>1</v>
      </c>
      <c r="BW148" s="33">
        <v>1</v>
      </c>
      <c r="BX148" s="60" t="str">
        <f t="shared" ca="1" si="55"/>
        <v/>
      </c>
      <c r="BY148" s="34" t="str">
        <f t="shared" si="56"/>
        <v/>
      </c>
      <c r="BZ148" s="21"/>
      <c r="CA148" s="35" t="str">
        <f t="shared" ca="1" si="57"/>
        <v/>
      </c>
      <c r="CB148" s="16"/>
    </row>
    <row r="149" spans="1:80" ht="15.75">
      <c r="A149" s="362"/>
      <c r="B149" s="17"/>
      <c r="C149" s="18"/>
      <c r="D149" s="17"/>
      <c r="E149" s="17"/>
      <c r="F149" s="17"/>
      <c r="G149" s="19"/>
      <c r="H149" s="16"/>
      <c r="I149" s="16"/>
      <c r="J149" s="16"/>
      <c r="K149" s="20"/>
      <c r="L149" s="16"/>
      <c r="M149" s="364"/>
      <c r="N149" s="365"/>
      <c r="O149" s="365"/>
      <c r="P149" s="23">
        <f t="shared" si="48"/>
        <v>0</v>
      </c>
      <c r="Q149" s="362"/>
      <c r="R149" s="366"/>
      <c r="S149" s="362"/>
      <c r="T149" s="366"/>
      <c r="U149" s="363"/>
      <c r="V149" s="17"/>
      <c r="W149" s="23" t="str">
        <f>IFERROR(VLOOKUP(V149,Listas!$A$1:$C$14,2,FALSE),"")</f>
        <v/>
      </c>
      <c r="X149" s="23" t="str">
        <f>IFERROR(VLOOKUP(V149,Listas!$A$1:$C$14,3,FALSE),"")</f>
        <v/>
      </c>
      <c r="Y149" s="17"/>
      <c r="Z149" s="17"/>
      <c r="AA149" s="23" t="str">
        <f>IFERROR(VLOOKUP(Z149,Listas!$AD$1:$AF$65,2,FALSE),"")</f>
        <v/>
      </c>
      <c r="AB149" s="23" t="str">
        <f>IFERROR(VLOOKUP(Z149,Listas!$AD$1:$AF$65,3,FALSE),"")</f>
        <v/>
      </c>
      <c r="AC149" s="17"/>
      <c r="AD149" s="17"/>
      <c r="AE149" s="17"/>
      <c r="AF149" s="27"/>
      <c r="AG149" s="19"/>
      <c r="AH149" s="27"/>
      <c r="AI149" s="16"/>
      <c r="AJ149" s="27"/>
      <c r="AK149" s="16"/>
      <c r="AL149" s="28">
        <f t="shared" si="49"/>
        <v>0</v>
      </c>
      <c r="AM149" s="29"/>
      <c r="AN149" s="27"/>
      <c r="AO149" s="30">
        <f t="shared" si="50"/>
        <v>0</v>
      </c>
      <c r="AP149" s="31">
        <f t="shared" si="51"/>
        <v>0</v>
      </c>
      <c r="AQ149" s="27"/>
      <c r="AR149" s="16"/>
      <c r="AS149" s="27"/>
      <c r="AT149" s="16"/>
      <c r="AU149" s="27"/>
      <c r="AV149" s="16"/>
      <c r="AW149" s="27"/>
      <c r="AX149" s="16"/>
      <c r="AY149" s="27"/>
      <c r="AZ149" s="24"/>
      <c r="BA149" s="24"/>
      <c r="BB149" s="24"/>
      <c r="BC149" s="32"/>
      <c r="BD149" s="27"/>
      <c r="BE149" s="24"/>
      <c r="BF149" s="24"/>
      <c r="BG149" s="24"/>
      <c r="BH149" s="16"/>
      <c r="BI149" s="27"/>
      <c r="BJ149" s="24"/>
      <c r="BK149" s="24"/>
      <c r="BL149" s="24"/>
      <c r="BM149" s="16"/>
      <c r="BN149" s="61">
        <f t="shared" si="52"/>
        <v>0</v>
      </c>
      <c r="BO149" s="27"/>
      <c r="BP149" s="24"/>
      <c r="BQ149" s="24"/>
      <c r="BR149" s="16"/>
      <c r="BS149" s="61">
        <f t="shared" si="58"/>
        <v>0</v>
      </c>
      <c r="BT149" s="62"/>
      <c r="BU149" s="69" t="str">
        <f t="shared" ca="1" si="53"/>
        <v/>
      </c>
      <c r="BV149" s="33">
        <f t="shared" ca="1" si="54"/>
        <v>1</v>
      </c>
      <c r="BW149" s="33">
        <v>1</v>
      </c>
      <c r="BX149" s="60" t="str">
        <f t="shared" ca="1" si="55"/>
        <v/>
      </c>
      <c r="BY149" s="34" t="str">
        <f t="shared" si="56"/>
        <v/>
      </c>
      <c r="BZ149" s="21"/>
      <c r="CA149" s="35" t="str">
        <f t="shared" ca="1" si="57"/>
        <v/>
      </c>
      <c r="CB149" s="16"/>
    </row>
    <row r="150" spans="1:80" ht="15.75">
      <c r="A150" s="362"/>
      <c r="B150" s="17"/>
      <c r="C150" s="18"/>
      <c r="D150" s="17"/>
      <c r="E150" s="17"/>
      <c r="F150" s="17"/>
      <c r="G150" s="19"/>
      <c r="H150" s="16"/>
      <c r="I150" s="16"/>
      <c r="J150" s="16"/>
      <c r="K150" s="20"/>
      <c r="L150" s="16"/>
      <c r="M150" s="364"/>
      <c r="N150" s="365"/>
      <c r="O150" s="365"/>
      <c r="P150" s="23">
        <f t="shared" si="48"/>
        <v>0</v>
      </c>
      <c r="Q150" s="362"/>
      <c r="R150" s="366"/>
      <c r="S150" s="362"/>
      <c r="T150" s="366"/>
      <c r="U150" s="363"/>
      <c r="V150" s="17"/>
      <c r="W150" s="23" t="str">
        <f>IFERROR(VLOOKUP(V150,Listas!$A$1:$C$14,2,FALSE),"")</f>
        <v/>
      </c>
      <c r="X150" s="23" t="str">
        <f>IFERROR(VLOOKUP(V150,Listas!$A$1:$C$14,3,FALSE),"")</f>
        <v/>
      </c>
      <c r="Y150" s="17"/>
      <c r="Z150" s="17"/>
      <c r="AA150" s="23" t="str">
        <f>IFERROR(VLOOKUP(Z150,Listas!$AD$1:$AF$65,2,FALSE),"")</f>
        <v/>
      </c>
      <c r="AB150" s="23" t="str">
        <f>IFERROR(VLOOKUP(Z150,Listas!$AD$1:$AF$65,3,FALSE),"")</f>
        <v/>
      </c>
      <c r="AC150" s="17"/>
      <c r="AD150" s="17"/>
      <c r="AE150" s="17"/>
      <c r="AF150" s="27"/>
      <c r="AG150" s="19"/>
      <c r="AH150" s="27"/>
      <c r="AI150" s="16"/>
      <c r="AJ150" s="27"/>
      <c r="AK150" s="16"/>
      <c r="AL150" s="28">
        <f t="shared" si="49"/>
        <v>0</v>
      </c>
      <c r="AM150" s="29"/>
      <c r="AN150" s="27"/>
      <c r="AO150" s="30">
        <f t="shared" si="50"/>
        <v>0</v>
      </c>
      <c r="AP150" s="31">
        <f t="shared" si="51"/>
        <v>0</v>
      </c>
      <c r="AQ150" s="27"/>
      <c r="AR150" s="16"/>
      <c r="AS150" s="27"/>
      <c r="AT150" s="16"/>
      <c r="AU150" s="27"/>
      <c r="AV150" s="16"/>
      <c r="AW150" s="27"/>
      <c r="AX150" s="16"/>
      <c r="AY150" s="27"/>
      <c r="AZ150" s="24"/>
      <c r="BA150" s="24"/>
      <c r="BB150" s="24"/>
      <c r="BC150" s="32"/>
      <c r="BD150" s="27"/>
      <c r="BE150" s="24"/>
      <c r="BF150" s="24"/>
      <c r="BG150" s="24"/>
      <c r="BH150" s="16"/>
      <c r="BI150" s="27"/>
      <c r="BJ150" s="24"/>
      <c r="BK150" s="24"/>
      <c r="BL150" s="24"/>
      <c r="BM150" s="16"/>
      <c r="BN150" s="61">
        <f t="shared" si="52"/>
        <v>0</v>
      </c>
      <c r="BO150" s="27"/>
      <c r="BP150" s="24"/>
      <c r="BQ150" s="24"/>
      <c r="BR150" s="16"/>
      <c r="BS150" s="61">
        <f t="shared" si="58"/>
        <v>0</v>
      </c>
      <c r="BT150" s="62"/>
      <c r="BU150" s="69" t="str">
        <f t="shared" ca="1" si="53"/>
        <v/>
      </c>
      <c r="BV150" s="33">
        <f t="shared" ca="1" si="54"/>
        <v>1</v>
      </c>
      <c r="BW150" s="33">
        <v>1</v>
      </c>
      <c r="BX150" s="60" t="str">
        <f t="shared" ca="1" si="55"/>
        <v/>
      </c>
      <c r="BY150" s="34" t="str">
        <f t="shared" si="56"/>
        <v/>
      </c>
      <c r="BZ150" s="21"/>
      <c r="CA150" s="35" t="str">
        <f t="shared" ca="1" si="57"/>
        <v/>
      </c>
      <c r="CB150" s="16"/>
    </row>
    <row r="151" spans="1:80" ht="15.75">
      <c r="A151" s="362"/>
      <c r="B151" s="17"/>
      <c r="C151" s="18"/>
      <c r="D151" s="17"/>
      <c r="E151" s="17"/>
      <c r="F151" s="17"/>
      <c r="G151" s="19"/>
      <c r="H151" s="16"/>
      <c r="I151" s="16"/>
      <c r="J151" s="16"/>
      <c r="K151" s="20"/>
      <c r="L151" s="16"/>
      <c r="M151" s="364"/>
      <c r="N151" s="365"/>
      <c r="O151" s="365"/>
      <c r="P151" s="23">
        <f t="shared" si="48"/>
        <v>0</v>
      </c>
      <c r="Q151" s="362"/>
      <c r="R151" s="366"/>
      <c r="S151" s="362"/>
      <c r="T151" s="366"/>
      <c r="U151" s="363"/>
      <c r="V151" s="17"/>
      <c r="W151" s="23" t="str">
        <f>IFERROR(VLOOKUP(V151,Listas!$A$1:$C$14,2,FALSE),"")</f>
        <v/>
      </c>
      <c r="X151" s="23" t="str">
        <f>IFERROR(VLOOKUP(V151,Listas!$A$1:$C$14,3,FALSE),"")</f>
        <v/>
      </c>
      <c r="Y151" s="17"/>
      <c r="Z151" s="17"/>
      <c r="AA151" s="23" t="str">
        <f>IFERROR(VLOOKUP(Z151,Listas!$AD$1:$AF$65,2,FALSE),"")</f>
        <v/>
      </c>
      <c r="AB151" s="23" t="str">
        <f>IFERROR(VLOOKUP(Z151,Listas!$AD$1:$AF$65,3,FALSE),"")</f>
        <v/>
      </c>
      <c r="AC151" s="17"/>
      <c r="AD151" s="17"/>
      <c r="AE151" s="17"/>
      <c r="AF151" s="27"/>
      <c r="AG151" s="19"/>
      <c r="AH151" s="27"/>
      <c r="AI151" s="16"/>
      <c r="AJ151" s="27"/>
      <c r="AK151" s="16"/>
      <c r="AL151" s="28">
        <f t="shared" si="49"/>
        <v>0</v>
      </c>
      <c r="AM151" s="29"/>
      <c r="AN151" s="27"/>
      <c r="AO151" s="30">
        <f t="shared" si="50"/>
        <v>0</v>
      </c>
      <c r="AP151" s="31">
        <f t="shared" si="51"/>
        <v>0</v>
      </c>
      <c r="AQ151" s="27"/>
      <c r="AR151" s="16"/>
      <c r="AS151" s="27"/>
      <c r="AT151" s="16"/>
      <c r="AU151" s="27"/>
      <c r="AV151" s="16"/>
      <c r="AW151" s="27"/>
      <c r="AX151" s="16"/>
      <c r="AY151" s="27"/>
      <c r="AZ151" s="24"/>
      <c r="BA151" s="24"/>
      <c r="BB151" s="24"/>
      <c r="BC151" s="32"/>
      <c r="BD151" s="27"/>
      <c r="BE151" s="24"/>
      <c r="BF151" s="24"/>
      <c r="BG151" s="24"/>
      <c r="BH151" s="16"/>
      <c r="BI151" s="27"/>
      <c r="BJ151" s="24"/>
      <c r="BK151" s="24"/>
      <c r="BL151" s="24"/>
      <c r="BM151" s="16"/>
      <c r="BN151" s="61">
        <f t="shared" si="52"/>
        <v>0</v>
      </c>
      <c r="BO151" s="27"/>
      <c r="BP151" s="24"/>
      <c r="BQ151" s="24"/>
      <c r="BR151" s="16"/>
      <c r="BS151" s="61">
        <f t="shared" si="58"/>
        <v>0</v>
      </c>
      <c r="BT151" s="62"/>
      <c r="BU151" s="69" t="str">
        <f t="shared" ca="1" si="53"/>
        <v/>
      </c>
      <c r="BV151" s="33">
        <f t="shared" ca="1" si="54"/>
        <v>1</v>
      </c>
      <c r="BW151" s="33">
        <v>1</v>
      </c>
      <c r="BX151" s="60" t="str">
        <f t="shared" ca="1" si="55"/>
        <v/>
      </c>
      <c r="BY151" s="34" t="str">
        <f t="shared" si="56"/>
        <v/>
      </c>
      <c r="BZ151" s="21"/>
      <c r="CA151" s="35" t="str">
        <f t="shared" ca="1" si="57"/>
        <v/>
      </c>
      <c r="CB151" s="16"/>
    </row>
    <row r="152" spans="1:80" ht="15.75">
      <c r="A152" s="362"/>
      <c r="B152" s="17"/>
      <c r="C152" s="18"/>
      <c r="D152" s="17"/>
      <c r="E152" s="17"/>
      <c r="F152" s="17"/>
      <c r="G152" s="19"/>
      <c r="H152" s="16"/>
      <c r="I152" s="16"/>
      <c r="J152" s="16"/>
      <c r="K152" s="20"/>
      <c r="L152" s="16"/>
      <c r="M152" s="364"/>
      <c r="N152" s="365"/>
      <c r="O152" s="365"/>
      <c r="P152" s="23">
        <f t="shared" si="48"/>
        <v>0</v>
      </c>
      <c r="Q152" s="362"/>
      <c r="R152" s="366"/>
      <c r="S152" s="362"/>
      <c r="T152" s="366"/>
      <c r="U152" s="363"/>
      <c r="V152" s="17"/>
      <c r="W152" s="23" t="str">
        <f>IFERROR(VLOOKUP(V152,Listas!$A$1:$C$14,2,FALSE),"")</f>
        <v/>
      </c>
      <c r="X152" s="23" t="str">
        <f>IFERROR(VLOOKUP(V152,Listas!$A$1:$C$14,3,FALSE),"")</f>
        <v/>
      </c>
      <c r="Y152" s="17"/>
      <c r="Z152" s="17"/>
      <c r="AA152" s="23" t="str">
        <f>IFERROR(VLOOKUP(Z152,Listas!$AD$1:$AF$65,2,FALSE),"")</f>
        <v/>
      </c>
      <c r="AB152" s="23" t="str">
        <f>IFERROR(VLOOKUP(Z152,Listas!$AD$1:$AF$65,3,FALSE),"")</f>
        <v/>
      </c>
      <c r="AC152" s="17"/>
      <c r="AD152" s="17"/>
      <c r="AE152" s="17"/>
      <c r="AF152" s="27"/>
      <c r="AG152" s="19"/>
      <c r="AH152" s="27"/>
      <c r="AI152" s="16"/>
      <c r="AJ152" s="27"/>
      <c r="AK152" s="16"/>
      <c r="AL152" s="28">
        <f t="shared" si="49"/>
        <v>0</v>
      </c>
      <c r="AM152" s="29"/>
      <c r="AN152" s="27"/>
      <c r="AO152" s="30">
        <f t="shared" si="50"/>
        <v>0</v>
      </c>
      <c r="AP152" s="31">
        <f t="shared" si="51"/>
        <v>0</v>
      </c>
      <c r="AQ152" s="27"/>
      <c r="AR152" s="16"/>
      <c r="AS152" s="27"/>
      <c r="AT152" s="16"/>
      <c r="AU152" s="27"/>
      <c r="AV152" s="16"/>
      <c r="AW152" s="27"/>
      <c r="AX152" s="16"/>
      <c r="AY152" s="27"/>
      <c r="AZ152" s="24"/>
      <c r="BA152" s="24"/>
      <c r="BB152" s="24"/>
      <c r="BC152" s="32"/>
      <c r="BD152" s="27"/>
      <c r="BE152" s="24"/>
      <c r="BF152" s="24"/>
      <c r="BG152" s="24"/>
      <c r="BH152" s="16"/>
      <c r="BI152" s="27"/>
      <c r="BJ152" s="24"/>
      <c r="BK152" s="24"/>
      <c r="BL152" s="24"/>
      <c r="BM152" s="16"/>
      <c r="BN152" s="61">
        <f t="shared" si="52"/>
        <v>0</v>
      </c>
      <c r="BO152" s="27"/>
      <c r="BP152" s="24"/>
      <c r="BQ152" s="24"/>
      <c r="BR152" s="16"/>
      <c r="BS152" s="61">
        <f t="shared" si="58"/>
        <v>0</v>
      </c>
      <c r="BT152" s="62"/>
      <c r="BU152" s="69" t="str">
        <f t="shared" ca="1" si="53"/>
        <v/>
      </c>
      <c r="BV152" s="33">
        <f t="shared" ca="1" si="54"/>
        <v>1</v>
      </c>
      <c r="BW152" s="33">
        <v>1</v>
      </c>
      <c r="BX152" s="60" t="str">
        <f t="shared" ca="1" si="55"/>
        <v/>
      </c>
      <c r="BY152" s="34" t="str">
        <f t="shared" si="56"/>
        <v/>
      </c>
      <c r="BZ152" s="21"/>
      <c r="CA152" s="35" t="str">
        <f t="shared" ca="1" si="57"/>
        <v/>
      </c>
      <c r="CB152" s="16"/>
    </row>
    <row r="153" spans="1:80" ht="15.75">
      <c r="A153" s="362"/>
      <c r="B153" s="17"/>
      <c r="C153" s="18"/>
      <c r="D153" s="17"/>
      <c r="E153" s="17"/>
      <c r="F153" s="17"/>
      <c r="G153" s="19"/>
      <c r="H153" s="16"/>
      <c r="I153" s="16"/>
      <c r="J153" s="16"/>
      <c r="K153" s="20"/>
      <c r="L153" s="16"/>
      <c r="M153" s="364"/>
      <c r="N153" s="365"/>
      <c r="O153" s="365"/>
      <c r="P153" s="23">
        <f t="shared" si="48"/>
        <v>0</v>
      </c>
      <c r="Q153" s="362"/>
      <c r="R153" s="366"/>
      <c r="S153" s="362"/>
      <c r="T153" s="366"/>
      <c r="U153" s="363"/>
      <c r="V153" s="17"/>
      <c r="W153" s="23" t="str">
        <f>IFERROR(VLOOKUP(V153,Listas!$A$1:$C$14,2,FALSE),"")</f>
        <v/>
      </c>
      <c r="X153" s="23" t="str">
        <f>IFERROR(VLOOKUP(V153,Listas!$A$1:$C$14,3,FALSE),"")</f>
        <v/>
      </c>
      <c r="Y153" s="17"/>
      <c r="Z153" s="17"/>
      <c r="AA153" s="23" t="str">
        <f>IFERROR(VLOOKUP(Z153,Listas!$AD$1:$AF$65,2,FALSE),"")</f>
        <v/>
      </c>
      <c r="AB153" s="23" t="str">
        <f>IFERROR(VLOOKUP(Z153,Listas!$AD$1:$AF$65,3,FALSE),"")</f>
        <v/>
      </c>
      <c r="AC153" s="17"/>
      <c r="AD153" s="17"/>
      <c r="AE153" s="17"/>
      <c r="AF153" s="27"/>
      <c r="AG153" s="19"/>
      <c r="AH153" s="27"/>
      <c r="AI153" s="16"/>
      <c r="AJ153" s="27"/>
      <c r="AK153" s="16"/>
      <c r="AL153" s="28">
        <f t="shared" si="49"/>
        <v>0</v>
      </c>
      <c r="AM153" s="29"/>
      <c r="AN153" s="27"/>
      <c r="AO153" s="30">
        <f t="shared" si="50"/>
        <v>0</v>
      </c>
      <c r="AP153" s="31">
        <f t="shared" si="51"/>
        <v>0</v>
      </c>
      <c r="AQ153" s="27"/>
      <c r="AR153" s="16"/>
      <c r="AS153" s="27"/>
      <c r="AT153" s="16"/>
      <c r="AU153" s="27"/>
      <c r="AV153" s="16"/>
      <c r="AW153" s="27"/>
      <c r="AX153" s="16"/>
      <c r="AY153" s="27"/>
      <c r="AZ153" s="24"/>
      <c r="BA153" s="24"/>
      <c r="BB153" s="24"/>
      <c r="BC153" s="32"/>
      <c r="BD153" s="27"/>
      <c r="BE153" s="24"/>
      <c r="BF153" s="24"/>
      <c r="BG153" s="24"/>
      <c r="BH153" s="16"/>
      <c r="BI153" s="27"/>
      <c r="BJ153" s="24"/>
      <c r="BK153" s="24"/>
      <c r="BL153" s="24"/>
      <c r="BM153" s="16"/>
      <c r="BN153" s="61">
        <f t="shared" si="52"/>
        <v>0</v>
      </c>
      <c r="BO153" s="27"/>
      <c r="BP153" s="24"/>
      <c r="BQ153" s="24"/>
      <c r="BR153" s="16"/>
      <c r="BS153" s="61">
        <f t="shared" si="58"/>
        <v>0</v>
      </c>
      <c r="BT153" s="62"/>
      <c r="BU153" s="69" t="str">
        <f t="shared" ca="1" si="53"/>
        <v/>
      </c>
      <c r="BV153" s="33">
        <f t="shared" ca="1" si="54"/>
        <v>1</v>
      </c>
      <c r="BW153" s="33">
        <v>1</v>
      </c>
      <c r="BX153" s="60" t="str">
        <f t="shared" ca="1" si="55"/>
        <v/>
      </c>
      <c r="BY153" s="34" t="str">
        <f t="shared" si="56"/>
        <v/>
      </c>
      <c r="BZ153" s="21"/>
      <c r="CA153" s="35" t="str">
        <f t="shared" ca="1" si="57"/>
        <v/>
      </c>
      <c r="CB153" s="16"/>
    </row>
    <row r="154" spans="1:80" ht="15.75">
      <c r="A154" s="362"/>
      <c r="B154" s="17"/>
      <c r="C154" s="18"/>
      <c r="D154" s="17"/>
      <c r="E154" s="17"/>
      <c r="F154" s="17"/>
      <c r="G154" s="19"/>
      <c r="H154" s="16"/>
      <c r="I154" s="16"/>
      <c r="J154" s="16"/>
      <c r="K154" s="20"/>
      <c r="L154" s="16"/>
      <c r="M154" s="364"/>
      <c r="N154" s="365"/>
      <c r="O154" s="365"/>
      <c r="P154" s="23">
        <f t="shared" si="48"/>
        <v>0</v>
      </c>
      <c r="Q154" s="362"/>
      <c r="R154" s="366"/>
      <c r="S154" s="362"/>
      <c r="T154" s="366"/>
      <c r="U154" s="363"/>
      <c r="V154" s="17"/>
      <c r="W154" s="23" t="str">
        <f>IFERROR(VLOOKUP(V154,Listas!$A$1:$C$14,2,FALSE),"")</f>
        <v/>
      </c>
      <c r="X154" s="23" t="str">
        <f>IFERROR(VLOOKUP(V154,Listas!$A$1:$C$14,3,FALSE),"")</f>
        <v/>
      </c>
      <c r="Y154" s="17"/>
      <c r="Z154" s="17"/>
      <c r="AA154" s="23" t="str">
        <f>IFERROR(VLOOKUP(Z154,Listas!$AD$1:$AF$65,2,FALSE),"")</f>
        <v/>
      </c>
      <c r="AB154" s="23" t="str">
        <f>IFERROR(VLOOKUP(Z154,Listas!$AD$1:$AF$65,3,FALSE),"")</f>
        <v/>
      </c>
      <c r="AC154" s="17"/>
      <c r="AD154" s="17"/>
      <c r="AE154" s="17"/>
      <c r="AF154" s="27"/>
      <c r="AG154" s="19"/>
      <c r="AH154" s="27"/>
      <c r="AI154" s="16"/>
      <c r="AJ154" s="27"/>
      <c r="AK154" s="16"/>
      <c r="AL154" s="28">
        <f t="shared" si="49"/>
        <v>0</v>
      </c>
      <c r="AM154" s="29"/>
      <c r="AN154" s="27"/>
      <c r="AO154" s="30">
        <f t="shared" si="50"/>
        <v>0</v>
      </c>
      <c r="AP154" s="31">
        <f t="shared" si="51"/>
        <v>0</v>
      </c>
      <c r="AQ154" s="27"/>
      <c r="AR154" s="16"/>
      <c r="AS154" s="27"/>
      <c r="AT154" s="16"/>
      <c r="AU154" s="27"/>
      <c r="AV154" s="16"/>
      <c r="AW154" s="27"/>
      <c r="AX154" s="16"/>
      <c r="AY154" s="27"/>
      <c r="AZ154" s="24"/>
      <c r="BA154" s="24"/>
      <c r="BB154" s="24"/>
      <c r="BC154" s="32"/>
      <c r="BD154" s="27"/>
      <c r="BE154" s="24"/>
      <c r="BF154" s="24"/>
      <c r="BG154" s="24"/>
      <c r="BH154" s="16"/>
      <c r="BI154" s="27"/>
      <c r="BJ154" s="24"/>
      <c r="BK154" s="24"/>
      <c r="BL154" s="24"/>
      <c r="BM154" s="16"/>
      <c r="BN154" s="61">
        <f t="shared" si="52"/>
        <v>0</v>
      </c>
      <c r="BO154" s="27"/>
      <c r="BP154" s="24"/>
      <c r="BQ154" s="24"/>
      <c r="BR154" s="16"/>
      <c r="BS154" s="61">
        <f t="shared" si="58"/>
        <v>0</v>
      </c>
      <c r="BT154" s="62"/>
      <c r="BU154" s="69" t="str">
        <f t="shared" ca="1" si="53"/>
        <v/>
      </c>
      <c r="BV154" s="33">
        <f t="shared" ca="1" si="54"/>
        <v>1</v>
      </c>
      <c r="BW154" s="33">
        <v>1</v>
      </c>
      <c r="BX154" s="60" t="str">
        <f t="shared" ca="1" si="55"/>
        <v/>
      </c>
      <c r="BY154" s="34" t="str">
        <f t="shared" si="56"/>
        <v/>
      </c>
      <c r="BZ154" s="21"/>
      <c r="CA154" s="35" t="str">
        <f t="shared" ca="1" si="57"/>
        <v/>
      </c>
      <c r="CB154" s="16"/>
    </row>
    <row r="155" spans="1:80" ht="15.75">
      <c r="A155" s="362"/>
      <c r="B155" s="17"/>
      <c r="C155" s="18"/>
      <c r="D155" s="17"/>
      <c r="E155" s="17"/>
      <c r="F155" s="17"/>
      <c r="G155" s="19"/>
      <c r="H155" s="16"/>
      <c r="I155" s="16"/>
      <c r="J155" s="16"/>
      <c r="K155" s="20"/>
      <c r="L155" s="16"/>
      <c r="M155" s="364"/>
      <c r="N155" s="365"/>
      <c r="O155" s="365"/>
      <c r="P155" s="23">
        <f t="shared" si="48"/>
        <v>0</v>
      </c>
      <c r="Q155" s="362"/>
      <c r="R155" s="366"/>
      <c r="S155" s="362"/>
      <c r="T155" s="366"/>
      <c r="U155" s="363"/>
      <c r="V155" s="17"/>
      <c r="W155" s="23" t="str">
        <f>IFERROR(VLOOKUP(V155,Listas!$A$1:$C$14,2,FALSE),"")</f>
        <v/>
      </c>
      <c r="X155" s="23" t="str">
        <f>IFERROR(VLOOKUP(V155,Listas!$A$1:$C$14,3,FALSE),"")</f>
        <v/>
      </c>
      <c r="Y155" s="17"/>
      <c r="Z155" s="17"/>
      <c r="AA155" s="23" t="str">
        <f>IFERROR(VLOOKUP(Z155,Listas!$AD$1:$AF$65,2,FALSE),"")</f>
        <v/>
      </c>
      <c r="AB155" s="23" t="str">
        <f>IFERROR(VLOOKUP(Z155,Listas!$AD$1:$AF$65,3,FALSE),"")</f>
        <v/>
      </c>
      <c r="AC155" s="17"/>
      <c r="AD155" s="17"/>
      <c r="AE155" s="17"/>
      <c r="AF155" s="27"/>
      <c r="AG155" s="19"/>
      <c r="AH155" s="27"/>
      <c r="AI155" s="16"/>
      <c r="AJ155" s="27"/>
      <c r="AK155" s="16"/>
      <c r="AL155" s="28">
        <f t="shared" si="49"/>
        <v>0</v>
      </c>
      <c r="AM155" s="29"/>
      <c r="AN155" s="27"/>
      <c r="AO155" s="30">
        <f t="shared" si="50"/>
        <v>0</v>
      </c>
      <c r="AP155" s="31">
        <f t="shared" si="51"/>
        <v>0</v>
      </c>
      <c r="AQ155" s="27"/>
      <c r="AR155" s="16"/>
      <c r="AS155" s="27"/>
      <c r="AT155" s="16"/>
      <c r="AU155" s="27"/>
      <c r="AV155" s="16"/>
      <c r="AW155" s="27"/>
      <c r="AX155" s="16"/>
      <c r="AY155" s="27"/>
      <c r="AZ155" s="24"/>
      <c r="BA155" s="24"/>
      <c r="BB155" s="24"/>
      <c r="BC155" s="32"/>
      <c r="BD155" s="27"/>
      <c r="BE155" s="24"/>
      <c r="BF155" s="24"/>
      <c r="BG155" s="24"/>
      <c r="BH155" s="16"/>
      <c r="BI155" s="27"/>
      <c r="BJ155" s="24"/>
      <c r="BK155" s="24"/>
      <c r="BL155" s="24"/>
      <c r="BM155" s="16"/>
      <c r="BN155" s="61">
        <f t="shared" si="52"/>
        <v>0</v>
      </c>
      <c r="BO155" s="27"/>
      <c r="BP155" s="24"/>
      <c r="BQ155" s="24"/>
      <c r="BR155" s="16"/>
      <c r="BS155" s="61">
        <f t="shared" si="58"/>
        <v>0</v>
      </c>
      <c r="BT155" s="62"/>
      <c r="BU155" s="69" t="str">
        <f t="shared" ca="1" si="53"/>
        <v/>
      </c>
      <c r="BV155" s="33">
        <f t="shared" ca="1" si="54"/>
        <v>1</v>
      </c>
      <c r="BW155" s="33">
        <v>1</v>
      </c>
      <c r="BX155" s="60" t="str">
        <f t="shared" ca="1" si="55"/>
        <v/>
      </c>
      <c r="BY155" s="34" t="str">
        <f t="shared" si="56"/>
        <v/>
      </c>
      <c r="BZ155" s="21"/>
      <c r="CA155" s="35" t="str">
        <f t="shared" ca="1" si="57"/>
        <v/>
      </c>
      <c r="CB155" s="16"/>
    </row>
    <row r="156" spans="1:80" ht="15.75">
      <c r="A156" s="362"/>
      <c r="B156" s="17"/>
      <c r="C156" s="18"/>
      <c r="D156" s="17"/>
      <c r="E156" s="17"/>
      <c r="F156" s="17"/>
      <c r="G156" s="19"/>
      <c r="H156" s="16"/>
      <c r="I156" s="16"/>
      <c r="J156" s="16"/>
      <c r="K156" s="20"/>
      <c r="L156" s="16"/>
      <c r="M156" s="364"/>
      <c r="N156" s="365"/>
      <c r="O156" s="365"/>
      <c r="P156" s="23">
        <f t="shared" si="48"/>
        <v>0</v>
      </c>
      <c r="Q156" s="362"/>
      <c r="R156" s="366"/>
      <c r="S156" s="362"/>
      <c r="T156" s="366"/>
      <c r="U156" s="363"/>
      <c r="V156" s="17"/>
      <c r="W156" s="23" t="str">
        <f>IFERROR(VLOOKUP(V156,Listas!$A$1:$C$14,2,FALSE),"")</f>
        <v/>
      </c>
      <c r="X156" s="23" t="str">
        <f>IFERROR(VLOOKUP(V156,Listas!$A$1:$C$14,3,FALSE),"")</f>
        <v/>
      </c>
      <c r="Y156" s="17"/>
      <c r="Z156" s="17"/>
      <c r="AA156" s="23" t="str">
        <f>IFERROR(VLOOKUP(Z156,Listas!$AD$1:$AF$65,2,FALSE),"")</f>
        <v/>
      </c>
      <c r="AB156" s="23" t="str">
        <f>IFERROR(VLOOKUP(Z156,Listas!$AD$1:$AF$65,3,FALSE),"")</f>
        <v/>
      </c>
      <c r="AC156" s="17"/>
      <c r="AD156" s="17"/>
      <c r="AE156" s="17"/>
      <c r="AF156" s="27"/>
      <c r="AG156" s="19"/>
      <c r="AH156" s="27"/>
      <c r="AI156" s="16"/>
      <c r="AJ156" s="27"/>
      <c r="AK156" s="16"/>
      <c r="AL156" s="28">
        <f t="shared" si="49"/>
        <v>0</v>
      </c>
      <c r="AM156" s="29"/>
      <c r="AN156" s="27"/>
      <c r="AO156" s="30">
        <f t="shared" si="50"/>
        <v>0</v>
      </c>
      <c r="AP156" s="31">
        <f t="shared" si="51"/>
        <v>0</v>
      </c>
      <c r="AQ156" s="27"/>
      <c r="AR156" s="16"/>
      <c r="AS156" s="27"/>
      <c r="AT156" s="16"/>
      <c r="AU156" s="27"/>
      <c r="AV156" s="16"/>
      <c r="AW156" s="27"/>
      <c r="AX156" s="16"/>
      <c r="AY156" s="27"/>
      <c r="AZ156" s="24"/>
      <c r="BA156" s="24"/>
      <c r="BB156" s="24"/>
      <c r="BC156" s="32"/>
      <c r="BD156" s="27"/>
      <c r="BE156" s="24"/>
      <c r="BF156" s="24"/>
      <c r="BG156" s="24"/>
      <c r="BH156" s="16"/>
      <c r="BI156" s="27"/>
      <c r="BJ156" s="24"/>
      <c r="BK156" s="24"/>
      <c r="BL156" s="24"/>
      <c r="BM156" s="16"/>
      <c r="BN156" s="61">
        <f t="shared" si="52"/>
        <v>0</v>
      </c>
      <c r="BO156" s="27"/>
      <c r="BP156" s="24"/>
      <c r="BQ156" s="24"/>
      <c r="BR156" s="16"/>
      <c r="BS156" s="61">
        <f t="shared" si="58"/>
        <v>0</v>
      </c>
      <c r="BT156" s="62"/>
      <c r="BU156" s="69" t="str">
        <f t="shared" ca="1" si="53"/>
        <v/>
      </c>
      <c r="BV156" s="33">
        <f t="shared" ca="1" si="54"/>
        <v>1</v>
      </c>
      <c r="BW156" s="33">
        <v>1</v>
      </c>
      <c r="BX156" s="60" t="str">
        <f t="shared" ca="1" si="55"/>
        <v/>
      </c>
      <c r="BY156" s="34" t="str">
        <f t="shared" si="56"/>
        <v/>
      </c>
      <c r="BZ156" s="21"/>
      <c r="CA156" s="35" t="str">
        <f t="shared" ca="1" si="57"/>
        <v/>
      </c>
      <c r="CB156" s="16"/>
    </row>
    <row r="157" spans="1:80" ht="15.75">
      <c r="A157" s="362"/>
      <c r="B157" s="17"/>
      <c r="C157" s="18"/>
      <c r="D157" s="17"/>
      <c r="E157" s="17"/>
      <c r="F157" s="17"/>
      <c r="G157" s="19"/>
      <c r="H157" s="16"/>
      <c r="I157" s="16"/>
      <c r="J157" s="16"/>
      <c r="K157" s="20"/>
      <c r="L157" s="16"/>
      <c r="M157" s="364"/>
      <c r="N157" s="365"/>
      <c r="O157" s="365"/>
      <c r="P157" s="23">
        <f t="shared" si="48"/>
        <v>0</v>
      </c>
      <c r="Q157" s="362"/>
      <c r="R157" s="366"/>
      <c r="S157" s="362"/>
      <c r="T157" s="366"/>
      <c r="U157" s="363"/>
      <c r="V157" s="17"/>
      <c r="W157" s="23" t="str">
        <f>IFERROR(VLOOKUP(V157,Listas!$A$1:$C$14,2,FALSE),"")</f>
        <v/>
      </c>
      <c r="X157" s="23" t="str">
        <f>IFERROR(VLOOKUP(V157,Listas!$A$1:$C$14,3,FALSE),"")</f>
        <v/>
      </c>
      <c r="Y157" s="17"/>
      <c r="Z157" s="17"/>
      <c r="AA157" s="23" t="str">
        <f>IFERROR(VLOOKUP(Z157,Listas!$AD$1:$AF$65,2,FALSE),"")</f>
        <v/>
      </c>
      <c r="AB157" s="23" t="str">
        <f>IFERROR(VLOOKUP(Z157,Listas!$AD$1:$AF$65,3,FALSE),"")</f>
        <v/>
      </c>
      <c r="AC157" s="17"/>
      <c r="AD157" s="17"/>
      <c r="AE157" s="17"/>
      <c r="AF157" s="27"/>
      <c r="AG157" s="19"/>
      <c r="AH157" s="27"/>
      <c r="AI157" s="16"/>
      <c r="AJ157" s="27"/>
      <c r="AK157" s="16"/>
      <c r="AL157" s="28">
        <f t="shared" si="49"/>
        <v>0</v>
      </c>
      <c r="AM157" s="29"/>
      <c r="AN157" s="27"/>
      <c r="AO157" s="30">
        <f t="shared" si="50"/>
        <v>0</v>
      </c>
      <c r="AP157" s="31">
        <f t="shared" si="51"/>
        <v>0</v>
      </c>
      <c r="AQ157" s="27"/>
      <c r="AR157" s="16"/>
      <c r="AS157" s="27"/>
      <c r="AT157" s="16"/>
      <c r="AU157" s="27"/>
      <c r="AV157" s="16"/>
      <c r="AW157" s="27"/>
      <c r="AX157" s="16"/>
      <c r="AY157" s="27"/>
      <c r="AZ157" s="24"/>
      <c r="BA157" s="24"/>
      <c r="BB157" s="24"/>
      <c r="BC157" s="32"/>
      <c r="BD157" s="27"/>
      <c r="BE157" s="24"/>
      <c r="BF157" s="24"/>
      <c r="BG157" s="24"/>
      <c r="BH157" s="16"/>
      <c r="BI157" s="27"/>
      <c r="BJ157" s="24"/>
      <c r="BK157" s="24"/>
      <c r="BL157" s="24"/>
      <c r="BM157" s="16"/>
      <c r="BN157" s="61">
        <f t="shared" si="52"/>
        <v>0</v>
      </c>
      <c r="BO157" s="27"/>
      <c r="BP157" s="24"/>
      <c r="BQ157" s="24"/>
      <c r="BR157" s="16"/>
      <c r="BS157" s="61">
        <f t="shared" si="58"/>
        <v>0</v>
      </c>
      <c r="BT157" s="62"/>
      <c r="BU157" s="69" t="str">
        <f t="shared" ca="1" si="53"/>
        <v/>
      </c>
      <c r="BV157" s="33">
        <f t="shared" ca="1" si="54"/>
        <v>1</v>
      </c>
      <c r="BW157" s="33">
        <v>1</v>
      </c>
      <c r="BX157" s="60" t="str">
        <f t="shared" ca="1" si="55"/>
        <v/>
      </c>
      <c r="BY157" s="34" t="str">
        <f t="shared" si="56"/>
        <v/>
      </c>
      <c r="BZ157" s="21"/>
      <c r="CA157" s="35" t="str">
        <f t="shared" ca="1" si="57"/>
        <v/>
      </c>
      <c r="CB157" s="16"/>
    </row>
    <row r="158" spans="1:80" ht="15.75">
      <c r="A158" s="362"/>
      <c r="B158" s="17"/>
      <c r="C158" s="18"/>
      <c r="D158" s="17"/>
      <c r="E158" s="17"/>
      <c r="F158" s="17"/>
      <c r="G158" s="19"/>
      <c r="H158" s="16"/>
      <c r="I158" s="16"/>
      <c r="J158" s="16"/>
      <c r="K158" s="20"/>
      <c r="L158" s="16"/>
      <c r="M158" s="364"/>
      <c r="N158" s="365"/>
      <c r="O158" s="365"/>
      <c r="P158" s="23">
        <f t="shared" si="48"/>
        <v>0</v>
      </c>
      <c r="Q158" s="362"/>
      <c r="R158" s="366"/>
      <c r="S158" s="362"/>
      <c r="T158" s="366"/>
      <c r="U158" s="363"/>
      <c r="V158" s="17"/>
      <c r="W158" s="23" t="str">
        <f>IFERROR(VLOOKUP(V158,Listas!$A$1:$C$14,2,FALSE),"")</f>
        <v/>
      </c>
      <c r="X158" s="23" t="str">
        <f>IFERROR(VLOOKUP(V158,Listas!$A$1:$C$14,3,FALSE),"")</f>
        <v/>
      </c>
      <c r="Y158" s="17"/>
      <c r="Z158" s="17"/>
      <c r="AA158" s="23" t="str">
        <f>IFERROR(VLOOKUP(Z158,Listas!$AD$1:$AF$65,2,FALSE),"")</f>
        <v/>
      </c>
      <c r="AB158" s="23" t="str">
        <f>IFERROR(VLOOKUP(Z158,Listas!$AD$1:$AF$65,3,FALSE),"")</f>
        <v/>
      </c>
      <c r="AC158" s="17"/>
      <c r="AD158" s="17"/>
      <c r="AE158" s="17"/>
      <c r="AF158" s="27"/>
      <c r="AG158" s="19"/>
      <c r="AH158" s="27"/>
      <c r="AI158" s="16"/>
      <c r="AJ158" s="27"/>
      <c r="AK158" s="16"/>
      <c r="AL158" s="28">
        <f t="shared" si="49"/>
        <v>0</v>
      </c>
      <c r="AM158" s="29"/>
      <c r="AN158" s="27"/>
      <c r="AO158" s="30">
        <f t="shared" si="50"/>
        <v>0</v>
      </c>
      <c r="AP158" s="31">
        <f t="shared" si="51"/>
        <v>0</v>
      </c>
      <c r="AQ158" s="27"/>
      <c r="AR158" s="16"/>
      <c r="AS158" s="27"/>
      <c r="AT158" s="16"/>
      <c r="AU158" s="27"/>
      <c r="AV158" s="16"/>
      <c r="AW158" s="27"/>
      <c r="AX158" s="16"/>
      <c r="AY158" s="27"/>
      <c r="AZ158" s="24"/>
      <c r="BA158" s="24"/>
      <c r="BB158" s="24"/>
      <c r="BC158" s="32"/>
      <c r="BD158" s="27"/>
      <c r="BE158" s="24"/>
      <c r="BF158" s="24"/>
      <c r="BG158" s="24"/>
      <c r="BH158" s="16"/>
      <c r="BI158" s="27"/>
      <c r="BJ158" s="24"/>
      <c r="BK158" s="24"/>
      <c r="BL158" s="24"/>
      <c r="BM158" s="16"/>
      <c r="BN158" s="61">
        <f t="shared" si="52"/>
        <v>0</v>
      </c>
      <c r="BO158" s="27"/>
      <c r="BP158" s="24"/>
      <c r="BQ158" s="24"/>
      <c r="BR158" s="16"/>
      <c r="BS158" s="61">
        <f t="shared" si="58"/>
        <v>0</v>
      </c>
      <c r="BT158" s="62"/>
      <c r="BU158" s="69" t="str">
        <f t="shared" ca="1" si="53"/>
        <v/>
      </c>
      <c r="BV158" s="33">
        <f t="shared" ca="1" si="54"/>
        <v>1</v>
      </c>
      <c r="BW158" s="33">
        <v>1</v>
      </c>
      <c r="BX158" s="60" t="str">
        <f t="shared" ca="1" si="55"/>
        <v/>
      </c>
      <c r="BY158" s="34" t="str">
        <f t="shared" si="56"/>
        <v/>
      </c>
      <c r="BZ158" s="21"/>
      <c r="CA158" s="35" t="str">
        <f t="shared" ca="1" si="57"/>
        <v/>
      </c>
      <c r="CB158" s="16"/>
    </row>
    <row r="159" spans="1:80" ht="15.75">
      <c r="A159" s="362"/>
      <c r="B159" s="17"/>
      <c r="C159" s="18"/>
      <c r="D159" s="17"/>
      <c r="E159" s="17"/>
      <c r="F159" s="17"/>
      <c r="G159" s="19"/>
      <c r="H159" s="16"/>
      <c r="I159" s="16"/>
      <c r="J159" s="16"/>
      <c r="K159" s="20"/>
      <c r="L159" s="16"/>
      <c r="M159" s="364"/>
      <c r="N159" s="365"/>
      <c r="O159" s="365"/>
      <c r="P159" s="23">
        <f t="shared" si="48"/>
        <v>0</v>
      </c>
      <c r="Q159" s="362"/>
      <c r="R159" s="366"/>
      <c r="S159" s="362"/>
      <c r="T159" s="366"/>
      <c r="U159" s="363"/>
      <c r="V159" s="17"/>
      <c r="W159" s="23" t="str">
        <f>IFERROR(VLOOKUP(V159,Listas!$A$1:$C$14,2,FALSE),"")</f>
        <v/>
      </c>
      <c r="X159" s="23" t="str">
        <f>IFERROR(VLOOKUP(V159,Listas!$A$1:$C$14,3,FALSE),"")</f>
        <v/>
      </c>
      <c r="Y159" s="17"/>
      <c r="Z159" s="17"/>
      <c r="AA159" s="23" t="str">
        <f>IFERROR(VLOOKUP(Z159,Listas!$AD$1:$AF$65,2,FALSE),"")</f>
        <v/>
      </c>
      <c r="AB159" s="23" t="str">
        <f>IFERROR(VLOOKUP(Z159,Listas!$AD$1:$AF$65,3,FALSE),"")</f>
        <v/>
      </c>
      <c r="AC159" s="17"/>
      <c r="AD159" s="17"/>
      <c r="AE159" s="17"/>
      <c r="AF159" s="27"/>
      <c r="AG159" s="19"/>
      <c r="AH159" s="27"/>
      <c r="AI159" s="16"/>
      <c r="AJ159" s="27"/>
      <c r="AK159" s="16"/>
      <c r="AL159" s="28">
        <f t="shared" si="49"/>
        <v>0</v>
      </c>
      <c r="AM159" s="29"/>
      <c r="AN159" s="27"/>
      <c r="AO159" s="30">
        <f t="shared" si="50"/>
        <v>0</v>
      </c>
      <c r="AP159" s="31">
        <f t="shared" si="51"/>
        <v>0</v>
      </c>
      <c r="AQ159" s="27"/>
      <c r="AR159" s="16"/>
      <c r="AS159" s="27"/>
      <c r="AT159" s="16"/>
      <c r="AU159" s="27"/>
      <c r="AV159" s="16"/>
      <c r="AW159" s="27"/>
      <c r="AX159" s="16"/>
      <c r="AY159" s="27"/>
      <c r="AZ159" s="24"/>
      <c r="BA159" s="24"/>
      <c r="BB159" s="24"/>
      <c r="BC159" s="32"/>
      <c r="BD159" s="27"/>
      <c r="BE159" s="24"/>
      <c r="BF159" s="24"/>
      <c r="BG159" s="24"/>
      <c r="BH159" s="16"/>
      <c r="BI159" s="27"/>
      <c r="BJ159" s="24"/>
      <c r="BK159" s="24"/>
      <c r="BL159" s="24"/>
      <c r="BM159" s="16"/>
      <c r="BN159" s="61">
        <f t="shared" si="52"/>
        <v>0</v>
      </c>
      <c r="BO159" s="27"/>
      <c r="BP159" s="24"/>
      <c r="BQ159" s="24"/>
      <c r="BR159" s="16"/>
      <c r="BS159" s="61">
        <f t="shared" si="58"/>
        <v>0</v>
      </c>
      <c r="BT159" s="62"/>
      <c r="BU159" s="69" t="str">
        <f t="shared" ca="1" si="53"/>
        <v/>
      </c>
      <c r="BV159" s="33">
        <f t="shared" ca="1" si="54"/>
        <v>1</v>
      </c>
      <c r="BW159" s="33">
        <v>1</v>
      </c>
      <c r="BX159" s="60" t="str">
        <f t="shared" ca="1" si="55"/>
        <v/>
      </c>
      <c r="BY159" s="34" t="str">
        <f t="shared" si="56"/>
        <v/>
      </c>
      <c r="BZ159" s="21"/>
      <c r="CA159" s="35" t="str">
        <f t="shared" ca="1" si="57"/>
        <v/>
      </c>
      <c r="CB159" s="16"/>
    </row>
    <row r="160" spans="1:80" ht="15.75">
      <c r="A160" s="362"/>
      <c r="B160" s="17"/>
      <c r="C160" s="18"/>
      <c r="D160" s="17"/>
      <c r="E160" s="17"/>
      <c r="F160" s="17"/>
      <c r="G160" s="19"/>
      <c r="H160" s="16"/>
      <c r="I160" s="16"/>
      <c r="J160" s="16"/>
      <c r="K160" s="20"/>
      <c r="L160" s="16"/>
      <c r="M160" s="364"/>
      <c r="N160" s="365"/>
      <c r="O160" s="365"/>
      <c r="P160" s="23">
        <f t="shared" si="48"/>
        <v>0</v>
      </c>
      <c r="Q160" s="362"/>
      <c r="R160" s="366"/>
      <c r="S160" s="362"/>
      <c r="T160" s="366"/>
      <c r="U160" s="363"/>
      <c r="V160" s="17"/>
      <c r="W160" s="23" t="str">
        <f>IFERROR(VLOOKUP(V160,Listas!$A$1:$C$14,2,FALSE),"")</f>
        <v/>
      </c>
      <c r="X160" s="23" t="str">
        <f>IFERROR(VLOOKUP(V160,Listas!$A$1:$C$14,3,FALSE),"")</f>
        <v/>
      </c>
      <c r="Y160" s="17"/>
      <c r="Z160" s="17"/>
      <c r="AA160" s="23" t="str">
        <f>IFERROR(VLOOKUP(Z160,Listas!$AD$1:$AF$65,2,FALSE),"")</f>
        <v/>
      </c>
      <c r="AB160" s="23" t="str">
        <f>IFERROR(VLOOKUP(Z160,Listas!$AD$1:$AF$65,3,FALSE),"")</f>
        <v/>
      </c>
      <c r="AC160" s="17"/>
      <c r="AD160" s="17"/>
      <c r="AE160" s="17"/>
      <c r="AF160" s="27"/>
      <c r="AG160" s="19"/>
      <c r="AH160" s="27"/>
      <c r="AI160" s="16"/>
      <c r="AJ160" s="27"/>
      <c r="AK160" s="16"/>
      <c r="AL160" s="28">
        <f t="shared" si="49"/>
        <v>0</v>
      </c>
      <c r="AM160" s="29"/>
      <c r="AN160" s="27"/>
      <c r="AO160" s="30">
        <f t="shared" si="50"/>
        <v>0</v>
      </c>
      <c r="AP160" s="31">
        <f t="shared" si="51"/>
        <v>0</v>
      </c>
      <c r="AQ160" s="27"/>
      <c r="AR160" s="16"/>
      <c r="AS160" s="27"/>
      <c r="AT160" s="16"/>
      <c r="AU160" s="27"/>
      <c r="AV160" s="16"/>
      <c r="AW160" s="27"/>
      <c r="AX160" s="16"/>
      <c r="AY160" s="27"/>
      <c r="AZ160" s="24"/>
      <c r="BA160" s="24"/>
      <c r="BB160" s="24"/>
      <c r="BC160" s="32"/>
      <c r="BD160" s="27"/>
      <c r="BE160" s="24"/>
      <c r="BF160" s="24"/>
      <c r="BG160" s="24"/>
      <c r="BH160" s="16"/>
      <c r="BI160" s="27"/>
      <c r="BJ160" s="24"/>
      <c r="BK160" s="24"/>
      <c r="BL160" s="24"/>
      <c r="BM160" s="16"/>
      <c r="BN160" s="61">
        <f t="shared" si="52"/>
        <v>0</v>
      </c>
      <c r="BO160" s="27"/>
      <c r="BP160" s="24"/>
      <c r="BQ160" s="24"/>
      <c r="BR160" s="16"/>
      <c r="BS160" s="61">
        <f t="shared" si="58"/>
        <v>0</v>
      </c>
      <c r="BT160" s="62"/>
      <c r="BU160" s="69" t="str">
        <f t="shared" ca="1" si="53"/>
        <v/>
      </c>
      <c r="BV160" s="33">
        <f t="shared" ca="1" si="54"/>
        <v>1</v>
      </c>
      <c r="BW160" s="33">
        <v>1</v>
      </c>
      <c r="BX160" s="60" t="str">
        <f t="shared" ca="1" si="55"/>
        <v/>
      </c>
      <c r="BY160" s="34" t="str">
        <f t="shared" si="56"/>
        <v/>
      </c>
      <c r="BZ160" s="21"/>
      <c r="CA160" s="35" t="str">
        <f t="shared" ca="1" si="57"/>
        <v/>
      </c>
      <c r="CB160" s="16"/>
    </row>
    <row r="161" spans="1:80" ht="15.75">
      <c r="A161" s="362"/>
      <c r="B161" s="17"/>
      <c r="C161" s="18"/>
      <c r="D161" s="17"/>
      <c r="E161" s="17"/>
      <c r="F161" s="17"/>
      <c r="G161" s="19"/>
      <c r="H161" s="16"/>
      <c r="I161" s="16"/>
      <c r="J161" s="16"/>
      <c r="K161" s="20"/>
      <c r="L161" s="16"/>
      <c r="M161" s="364"/>
      <c r="N161" s="365"/>
      <c r="O161" s="365"/>
      <c r="P161" s="23">
        <f t="shared" si="48"/>
        <v>0</v>
      </c>
      <c r="Q161" s="362"/>
      <c r="R161" s="366"/>
      <c r="S161" s="362"/>
      <c r="T161" s="366"/>
      <c r="U161" s="363"/>
      <c r="V161" s="17"/>
      <c r="W161" s="23" t="str">
        <f>IFERROR(VLOOKUP(V161,Listas!$A$1:$C$14,2,FALSE),"")</f>
        <v/>
      </c>
      <c r="X161" s="23" t="str">
        <f>IFERROR(VLOOKUP(V161,Listas!$A$1:$C$14,3,FALSE),"")</f>
        <v/>
      </c>
      <c r="Y161" s="17"/>
      <c r="Z161" s="17"/>
      <c r="AA161" s="23" t="str">
        <f>IFERROR(VLOOKUP(Z161,Listas!$AD$1:$AF$65,2,FALSE),"")</f>
        <v/>
      </c>
      <c r="AB161" s="23" t="str">
        <f>IFERROR(VLOOKUP(Z161,Listas!$AD$1:$AF$65,3,FALSE),"")</f>
        <v/>
      </c>
      <c r="AC161" s="17"/>
      <c r="AD161" s="17"/>
      <c r="AE161" s="17"/>
      <c r="AF161" s="27"/>
      <c r="AG161" s="19"/>
      <c r="AH161" s="27"/>
      <c r="AI161" s="16"/>
      <c r="AJ161" s="27"/>
      <c r="AK161" s="16"/>
      <c r="AL161" s="28">
        <f t="shared" si="49"/>
        <v>0</v>
      </c>
      <c r="AM161" s="29"/>
      <c r="AN161" s="27"/>
      <c r="AO161" s="30">
        <f t="shared" si="50"/>
        <v>0</v>
      </c>
      <c r="AP161" s="31">
        <f t="shared" si="51"/>
        <v>0</v>
      </c>
      <c r="AQ161" s="27"/>
      <c r="AR161" s="16"/>
      <c r="AS161" s="27"/>
      <c r="AT161" s="16"/>
      <c r="AU161" s="27"/>
      <c r="AV161" s="16"/>
      <c r="AW161" s="27"/>
      <c r="AX161" s="16"/>
      <c r="AY161" s="27"/>
      <c r="AZ161" s="24"/>
      <c r="BA161" s="24"/>
      <c r="BB161" s="24"/>
      <c r="BC161" s="32"/>
      <c r="BD161" s="27"/>
      <c r="BE161" s="24"/>
      <c r="BF161" s="24"/>
      <c r="BG161" s="24"/>
      <c r="BH161" s="16"/>
      <c r="BI161" s="27"/>
      <c r="BJ161" s="24"/>
      <c r="BK161" s="24"/>
      <c r="BL161" s="24"/>
      <c r="BM161" s="16"/>
      <c r="BN161" s="61">
        <f t="shared" si="52"/>
        <v>0</v>
      </c>
      <c r="BO161" s="27"/>
      <c r="BP161" s="24"/>
      <c r="BQ161" s="24"/>
      <c r="BR161" s="16"/>
      <c r="BS161" s="61">
        <f t="shared" si="58"/>
        <v>0</v>
      </c>
      <c r="BT161" s="62"/>
      <c r="BU161" s="69" t="str">
        <f t="shared" ca="1" si="53"/>
        <v/>
      </c>
      <c r="BV161" s="33">
        <f t="shared" ca="1" si="54"/>
        <v>1</v>
      </c>
      <c r="BW161" s="33">
        <v>1</v>
      </c>
      <c r="BX161" s="60" t="str">
        <f t="shared" ca="1" si="55"/>
        <v/>
      </c>
      <c r="BY161" s="34" t="str">
        <f t="shared" si="56"/>
        <v/>
      </c>
      <c r="BZ161" s="21"/>
      <c r="CA161" s="35" t="str">
        <f t="shared" ca="1" si="57"/>
        <v/>
      </c>
      <c r="CB161" s="16"/>
    </row>
    <row r="162" spans="1:80" ht="15.75">
      <c r="A162" s="362"/>
      <c r="B162" s="17"/>
      <c r="C162" s="18"/>
      <c r="D162" s="17"/>
      <c r="E162" s="17"/>
      <c r="F162" s="17"/>
      <c r="G162" s="19"/>
      <c r="H162" s="16"/>
      <c r="I162" s="16"/>
      <c r="J162" s="16"/>
      <c r="K162" s="20"/>
      <c r="L162" s="16"/>
      <c r="M162" s="364"/>
      <c r="N162" s="365"/>
      <c r="O162" s="365"/>
      <c r="P162" s="23">
        <f t="shared" si="48"/>
        <v>0</v>
      </c>
      <c r="Q162" s="362"/>
      <c r="R162" s="366"/>
      <c r="S162" s="362"/>
      <c r="T162" s="366"/>
      <c r="U162" s="363"/>
      <c r="V162" s="17"/>
      <c r="W162" s="23" t="str">
        <f>IFERROR(VLOOKUP(V162,Listas!$A$1:$C$14,2,FALSE),"")</f>
        <v/>
      </c>
      <c r="X162" s="23" t="str">
        <f>IFERROR(VLOOKUP(V162,Listas!$A$1:$C$14,3,FALSE),"")</f>
        <v/>
      </c>
      <c r="Y162" s="17"/>
      <c r="Z162" s="17"/>
      <c r="AA162" s="23" t="str">
        <f>IFERROR(VLOOKUP(Z162,Listas!$AD$1:$AF$65,2,FALSE),"")</f>
        <v/>
      </c>
      <c r="AB162" s="23" t="str">
        <f>IFERROR(VLOOKUP(Z162,Listas!$AD$1:$AF$65,3,FALSE),"")</f>
        <v/>
      </c>
      <c r="AC162" s="17"/>
      <c r="AD162" s="17"/>
      <c r="AE162" s="17"/>
      <c r="AF162" s="27"/>
      <c r="AG162" s="19"/>
      <c r="AH162" s="27"/>
      <c r="AI162" s="16"/>
      <c r="AJ162" s="27"/>
      <c r="AK162" s="16"/>
      <c r="AL162" s="28">
        <f t="shared" si="49"/>
        <v>0</v>
      </c>
      <c r="AM162" s="29"/>
      <c r="AN162" s="27"/>
      <c r="AO162" s="30">
        <f t="shared" si="50"/>
        <v>0</v>
      </c>
      <c r="AP162" s="31">
        <f t="shared" si="51"/>
        <v>0</v>
      </c>
      <c r="AQ162" s="27"/>
      <c r="AR162" s="16"/>
      <c r="AS162" s="27"/>
      <c r="AT162" s="16"/>
      <c r="AU162" s="27"/>
      <c r="AV162" s="16"/>
      <c r="AW162" s="27"/>
      <c r="AX162" s="16"/>
      <c r="AY162" s="27"/>
      <c r="AZ162" s="24"/>
      <c r="BA162" s="24"/>
      <c r="BB162" s="24"/>
      <c r="BC162" s="32"/>
      <c r="BD162" s="27"/>
      <c r="BE162" s="24"/>
      <c r="BF162" s="24"/>
      <c r="BG162" s="24"/>
      <c r="BH162" s="16"/>
      <c r="BI162" s="27"/>
      <c r="BJ162" s="24"/>
      <c r="BK162" s="24"/>
      <c r="BL162" s="24"/>
      <c r="BM162" s="16"/>
      <c r="BN162" s="61">
        <f t="shared" ref="BN162:BN193" si="59">BP162+BJ162+BE162+AZ162</f>
        <v>0</v>
      </c>
      <c r="BO162" s="27"/>
      <c r="BP162" s="24"/>
      <c r="BQ162" s="24"/>
      <c r="BR162" s="16"/>
      <c r="BS162" s="61">
        <f t="shared" si="58"/>
        <v>0</v>
      </c>
      <c r="BT162" s="62"/>
      <c r="BU162" s="69" t="str">
        <f t="shared" ref="BU162:BU193" ca="1" si="60">IFERROR(IF(((BS162/AO162)*(TODAY()-N162))&gt;BS162,BS162,((BS162/AO162)*(TODAY()-N162))),"")</f>
        <v/>
      </c>
      <c r="BV162" s="33">
        <f t="shared" ca="1" si="54"/>
        <v>1</v>
      </c>
      <c r="BW162" s="33">
        <v>1</v>
      </c>
      <c r="BX162" s="60" t="str">
        <f t="shared" ca="1" si="55"/>
        <v/>
      </c>
      <c r="BY162" s="34" t="str">
        <f t="shared" si="56"/>
        <v/>
      </c>
      <c r="BZ162" s="21"/>
      <c r="CA162" s="35" t="str">
        <f t="shared" ref="CA162:CA193" ca="1" si="61">IF(BZ162&gt;1/1/6,"LIQUIDADO",IF(AP162=0,"",IF(AP162&gt;=TODAY(),"VIGENTE",IF(AP162&lt;TODAY(),"TERMINADO",))))</f>
        <v/>
      </c>
      <c r="CB162" s="16"/>
    </row>
    <row r="163" spans="1:80" ht="15.75">
      <c r="A163" s="362"/>
      <c r="B163" s="17"/>
      <c r="C163" s="18"/>
      <c r="D163" s="17"/>
      <c r="E163" s="17"/>
      <c r="F163" s="17"/>
      <c r="G163" s="19"/>
      <c r="H163" s="16"/>
      <c r="I163" s="16"/>
      <c r="J163" s="16"/>
      <c r="K163" s="20"/>
      <c r="L163" s="16"/>
      <c r="M163" s="364"/>
      <c r="N163" s="365"/>
      <c r="O163" s="365"/>
      <c r="P163" s="23">
        <f t="shared" si="48"/>
        <v>0</v>
      </c>
      <c r="Q163" s="362"/>
      <c r="R163" s="366"/>
      <c r="S163" s="362"/>
      <c r="T163" s="366"/>
      <c r="U163" s="363"/>
      <c r="V163" s="17"/>
      <c r="W163" s="23" t="str">
        <f>IFERROR(VLOOKUP(V163,Listas!$A$1:$C$14,2,FALSE),"")</f>
        <v/>
      </c>
      <c r="X163" s="23" t="str">
        <f>IFERROR(VLOOKUP(V163,Listas!$A$1:$C$14,3,FALSE),"")</f>
        <v/>
      </c>
      <c r="Y163" s="17"/>
      <c r="Z163" s="17"/>
      <c r="AA163" s="23" t="str">
        <f>IFERROR(VLOOKUP(Z163,Listas!$AD$1:$AF$65,2,FALSE),"")</f>
        <v/>
      </c>
      <c r="AB163" s="23" t="str">
        <f>IFERROR(VLOOKUP(Z163,Listas!$AD$1:$AF$65,3,FALSE),"")</f>
        <v/>
      </c>
      <c r="AC163" s="17"/>
      <c r="AD163" s="17"/>
      <c r="AE163" s="17"/>
      <c r="AF163" s="27"/>
      <c r="AG163" s="19"/>
      <c r="AH163" s="27"/>
      <c r="AI163" s="16"/>
      <c r="AJ163" s="27"/>
      <c r="AK163" s="16"/>
      <c r="AL163" s="28">
        <f t="shared" si="49"/>
        <v>0</v>
      </c>
      <c r="AM163" s="29"/>
      <c r="AN163" s="27"/>
      <c r="AO163" s="30">
        <f t="shared" si="50"/>
        <v>0</v>
      </c>
      <c r="AP163" s="31">
        <f t="shared" si="51"/>
        <v>0</v>
      </c>
      <c r="AQ163" s="27"/>
      <c r="AR163" s="16"/>
      <c r="AS163" s="27"/>
      <c r="AT163" s="16"/>
      <c r="AU163" s="27"/>
      <c r="AV163" s="16"/>
      <c r="AW163" s="27"/>
      <c r="AX163" s="16"/>
      <c r="AY163" s="27"/>
      <c r="AZ163" s="24"/>
      <c r="BA163" s="24"/>
      <c r="BB163" s="24"/>
      <c r="BC163" s="32"/>
      <c r="BD163" s="27"/>
      <c r="BE163" s="24"/>
      <c r="BF163" s="24"/>
      <c r="BG163" s="24"/>
      <c r="BH163" s="16"/>
      <c r="BI163" s="27"/>
      <c r="BJ163" s="24"/>
      <c r="BK163" s="24"/>
      <c r="BL163" s="24"/>
      <c r="BM163" s="16"/>
      <c r="BN163" s="61">
        <f t="shared" si="59"/>
        <v>0</v>
      </c>
      <c r="BO163" s="27"/>
      <c r="BP163" s="24"/>
      <c r="BQ163" s="24"/>
      <c r="BR163" s="16"/>
      <c r="BS163" s="61">
        <f t="shared" si="58"/>
        <v>0</v>
      </c>
      <c r="BT163" s="62"/>
      <c r="BU163" s="69" t="str">
        <f t="shared" ca="1" si="60"/>
        <v/>
      </c>
      <c r="BV163" s="33">
        <f t="shared" ca="1" si="54"/>
        <v>1</v>
      </c>
      <c r="BW163" s="33">
        <v>1</v>
      </c>
      <c r="BX163" s="60" t="str">
        <f t="shared" ca="1" si="55"/>
        <v/>
      </c>
      <c r="BY163" s="34" t="str">
        <f t="shared" si="56"/>
        <v/>
      </c>
      <c r="BZ163" s="21"/>
      <c r="CA163" s="35" t="str">
        <f t="shared" ca="1" si="61"/>
        <v/>
      </c>
      <c r="CB163" s="16"/>
    </row>
    <row r="164" spans="1:80" ht="15.75">
      <c r="A164" s="362"/>
      <c r="B164" s="17"/>
      <c r="C164" s="18"/>
      <c r="D164" s="17"/>
      <c r="E164" s="17"/>
      <c r="F164" s="17"/>
      <c r="G164" s="19"/>
      <c r="H164" s="16"/>
      <c r="I164" s="16"/>
      <c r="J164" s="16"/>
      <c r="K164" s="20"/>
      <c r="L164" s="16"/>
      <c r="M164" s="364"/>
      <c r="N164" s="365"/>
      <c r="O164" s="365"/>
      <c r="P164" s="23">
        <f t="shared" si="48"/>
        <v>0</v>
      </c>
      <c r="Q164" s="362"/>
      <c r="R164" s="366"/>
      <c r="S164" s="362"/>
      <c r="T164" s="366"/>
      <c r="U164" s="363"/>
      <c r="V164" s="17"/>
      <c r="W164" s="23" t="str">
        <f>IFERROR(VLOOKUP(V164,Listas!$A$1:$C$14,2,FALSE),"")</f>
        <v/>
      </c>
      <c r="X164" s="23" t="str">
        <f>IFERROR(VLOOKUP(V164,Listas!$A$1:$C$14,3,FALSE),"")</f>
        <v/>
      </c>
      <c r="Y164" s="17"/>
      <c r="Z164" s="17"/>
      <c r="AA164" s="23" t="str">
        <f>IFERROR(VLOOKUP(Z164,Listas!$AD$1:$AF$65,2,FALSE),"")</f>
        <v/>
      </c>
      <c r="AB164" s="23" t="str">
        <f>IFERROR(VLOOKUP(Z164,Listas!$AD$1:$AF$65,3,FALSE),"")</f>
        <v/>
      </c>
      <c r="AC164" s="17"/>
      <c r="AD164" s="17"/>
      <c r="AE164" s="17"/>
      <c r="AF164" s="27"/>
      <c r="AG164" s="19"/>
      <c r="AH164" s="27"/>
      <c r="AI164" s="16"/>
      <c r="AJ164" s="27"/>
      <c r="AK164" s="16"/>
      <c r="AL164" s="28">
        <f t="shared" si="49"/>
        <v>0</v>
      </c>
      <c r="AM164" s="29"/>
      <c r="AN164" s="27"/>
      <c r="AO164" s="30">
        <f t="shared" si="50"/>
        <v>0</v>
      </c>
      <c r="AP164" s="31">
        <f t="shared" si="51"/>
        <v>0</v>
      </c>
      <c r="AQ164" s="27"/>
      <c r="AR164" s="16"/>
      <c r="AS164" s="27"/>
      <c r="AT164" s="16"/>
      <c r="AU164" s="27"/>
      <c r="AV164" s="16"/>
      <c r="AW164" s="27"/>
      <c r="AX164" s="16"/>
      <c r="AY164" s="27"/>
      <c r="AZ164" s="24"/>
      <c r="BA164" s="24"/>
      <c r="BB164" s="24"/>
      <c r="BC164" s="32"/>
      <c r="BD164" s="27"/>
      <c r="BE164" s="24"/>
      <c r="BF164" s="24"/>
      <c r="BG164" s="24"/>
      <c r="BH164" s="16"/>
      <c r="BI164" s="27"/>
      <c r="BJ164" s="24"/>
      <c r="BK164" s="24"/>
      <c r="BL164" s="24"/>
      <c r="BM164" s="16"/>
      <c r="BN164" s="61">
        <f t="shared" si="59"/>
        <v>0</v>
      </c>
      <c r="BO164" s="27"/>
      <c r="BP164" s="24"/>
      <c r="BQ164" s="24"/>
      <c r="BR164" s="16"/>
      <c r="BS164" s="61">
        <f t="shared" si="58"/>
        <v>0</v>
      </c>
      <c r="BT164" s="62"/>
      <c r="BU164" s="69" t="str">
        <f t="shared" ca="1" si="60"/>
        <v/>
      </c>
      <c r="BV164" s="33">
        <f t="shared" ca="1" si="54"/>
        <v>1</v>
      </c>
      <c r="BW164" s="33">
        <v>1</v>
      </c>
      <c r="BX164" s="60" t="str">
        <f t="shared" ca="1" si="55"/>
        <v/>
      </c>
      <c r="BY164" s="34" t="str">
        <f t="shared" si="56"/>
        <v/>
      </c>
      <c r="BZ164" s="21"/>
      <c r="CA164" s="35" t="str">
        <f t="shared" ca="1" si="61"/>
        <v/>
      </c>
      <c r="CB164" s="16"/>
    </row>
    <row r="165" spans="1:80" ht="15.75">
      <c r="A165" s="362"/>
      <c r="B165" s="17"/>
      <c r="C165" s="18"/>
      <c r="D165" s="17"/>
      <c r="E165" s="17"/>
      <c r="F165" s="17"/>
      <c r="G165" s="19"/>
      <c r="H165" s="16"/>
      <c r="I165" s="16"/>
      <c r="J165" s="16"/>
      <c r="K165" s="20"/>
      <c r="L165" s="16"/>
      <c r="M165" s="364"/>
      <c r="N165" s="365"/>
      <c r="O165" s="365"/>
      <c r="P165" s="23">
        <f t="shared" si="48"/>
        <v>0</v>
      </c>
      <c r="Q165" s="362"/>
      <c r="R165" s="366"/>
      <c r="S165" s="362"/>
      <c r="T165" s="366"/>
      <c r="U165" s="363"/>
      <c r="V165" s="17"/>
      <c r="W165" s="23" t="str">
        <f>IFERROR(VLOOKUP(V165,Listas!$A$1:$C$14,2,FALSE),"")</f>
        <v/>
      </c>
      <c r="X165" s="23" t="str">
        <f>IFERROR(VLOOKUP(V165,Listas!$A$1:$C$14,3,FALSE),"")</f>
        <v/>
      </c>
      <c r="Y165" s="17"/>
      <c r="Z165" s="17"/>
      <c r="AA165" s="23" t="str">
        <f>IFERROR(VLOOKUP(Z165,Listas!$AD$1:$AF$65,2,FALSE),"")</f>
        <v/>
      </c>
      <c r="AB165" s="23" t="str">
        <f>IFERROR(VLOOKUP(Z165,Listas!$AD$1:$AF$65,3,FALSE),"")</f>
        <v/>
      </c>
      <c r="AC165" s="17"/>
      <c r="AD165" s="17"/>
      <c r="AE165" s="17"/>
      <c r="AF165" s="27"/>
      <c r="AG165" s="19"/>
      <c r="AH165" s="27"/>
      <c r="AI165" s="16"/>
      <c r="AJ165" s="27"/>
      <c r="AK165" s="16"/>
      <c r="AL165" s="28">
        <f t="shared" si="49"/>
        <v>0</v>
      </c>
      <c r="AM165" s="29"/>
      <c r="AN165" s="27"/>
      <c r="AO165" s="30">
        <f t="shared" si="50"/>
        <v>0</v>
      </c>
      <c r="AP165" s="31">
        <f t="shared" si="51"/>
        <v>0</v>
      </c>
      <c r="AQ165" s="27"/>
      <c r="AR165" s="16"/>
      <c r="AS165" s="27"/>
      <c r="AT165" s="16"/>
      <c r="AU165" s="27"/>
      <c r="AV165" s="16"/>
      <c r="AW165" s="27"/>
      <c r="AX165" s="16"/>
      <c r="AY165" s="27"/>
      <c r="AZ165" s="24"/>
      <c r="BA165" s="24"/>
      <c r="BB165" s="24"/>
      <c r="BC165" s="32"/>
      <c r="BD165" s="27"/>
      <c r="BE165" s="24"/>
      <c r="BF165" s="24"/>
      <c r="BG165" s="24"/>
      <c r="BH165" s="16"/>
      <c r="BI165" s="27"/>
      <c r="BJ165" s="24"/>
      <c r="BK165" s="24"/>
      <c r="BL165" s="24"/>
      <c r="BM165" s="16"/>
      <c r="BN165" s="61">
        <f t="shared" si="59"/>
        <v>0</v>
      </c>
      <c r="BO165" s="27"/>
      <c r="BP165" s="24"/>
      <c r="BQ165" s="24"/>
      <c r="BR165" s="16"/>
      <c r="BS165" s="61">
        <f t="shared" si="58"/>
        <v>0</v>
      </c>
      <c r="BT165" s="62"/>
      <c r="BU165" s="69" t="str">
        <f t="shared" ca="1" si="60"/>
        <v/>
      </c>
      <c r="BV165" s="33">
        <f t="shared" ca="1" si="54"/>
        <v>1</v>
      </c>
      <c r="BW165" s="33">
        <v>1</v>
      </c>
      <c r="BX165" s="60" t="str">
        <f t="shared" ca="1" si="55"/>
        <v/>
      </c>
      <c r="BY165" s="34" t="str">
        <f t="shared" si="56"/>
        <v/>
      </c>
      <c r="BZ165" s="21"/>
      <c r="CA165" s="35" t="str">
        <f t="shared" ca="1" si="61"/>
        <v/>
      </c>
      <c r="CB165" s="16"/>
    </row>
    <row r="166" spans="1:80" ht="15.75">
      <c r="A166" s="362"/>
      <c r="B166" s="17"/>
      <c r="C166" s="18"/>
      <c r="D166" s="17"/>
      <c r="E166" s="17"/>
      <c r="F166" s="17"/>
      <c r="G166" s="19"/>
      <c r="H166" s="16"/>
      <c r="I166" s="16"/>
      <c r="J166" s="16"/>
      <c r="K166" s="20"/>
      <c r="L166" s="16"/>
      <c r="M166" s="364"/>
      <c r="N166" s="365"/>
      <c r="O166" s="365"/>
      <c r="P166" s="23">
        <f t="shared" si="48"/>
        <v>0</v>
      </c>
      <c r="Q166" s="362"/>
      <c r="R166" s="366"/>
      <c r="S166" s="362"/>
      <c r="T166" s="366"/>
      <c r="U166" s="363"/>
      <c r="V166" s="17"/>
      <c r="W166" s="23" t="str">
        <f>IFERROR(VLOOKUP(V166,Listas!$A$1:$C$14,2,FALSE),"")</f>
        <v/>
      </c>
      <c r="X166" s="23" t="str">
        <f>IFERROR(VLOOKUP(V166,Listas!$A$1:$C$14,3,FALSE),"")</f>
        <v/>
      </c>
      <c r="Y166" s="17"/>
      <c r="Z166" s="17"/>
      <c r="AA166" s="23" t="str">
        <f>IFERROR(VLOOKUP(Z166,Listas!$AD$1:$AF$65,2,FALSE),"")</f>
        <v/>
      </c>
      <c r="AB166" s="23" t="str">
        <f>IFERROR(VLOOKUP(Z166,Listas!$AD$1:$AF$65,3,FALSE),"")</f>
        <v/>
      </c>
      <c r="AC166" s="17"/>
      <c r="AD166" s="17"/>
      <c r="AE166" s="17"/>
      <c r="AF166" s="27"/>
      <c r="AG166" s="19"/>
      <c r="AH166" s="27"/>
      <c r="AI166" s="16"/>
      <c r="AJ166" s="27"/>
      <c r="AK166" s="16"/>
      <c r="AL166" s="28">
        <f t="shared" si="49"/>
        <v>0</v>
      </c>
      <c r="AM166" s="29"/>
      <c r="AN166" s="27"/>
      <c r="AO166" s="30">
        <f t="shared" si="50"/>
        <v>0</v>
      </c>
      <c r="AP166" s="31">
        <f t="shared" si="51"/>
        <v>0</v>
      </c>
      <c r="AQ166" s="27"/>
      <c r="AR166" s="16"/>
      <c r="AS166" s="27"/>
      <c r="AT166" s="16"/>
      <c r="AU166" s="27"/>
      <c r="AV166" s="16"/>
      <c r="AW166" s="27"/>
      <c r="AX166" s="16"/>
      <c r="AY166" s="27"/>
      <c r="AZ166" s="24"/>
      <c r="BA166" s="24"/>
      <c r="BB166" s="24"/>
      <c r="BC166" s="32"/>
      <c r="BD166" s="27"/>
      <c r="BE166" s="24"/>
      <c r="BF166" s="24"/>
      <c r="BG166" s="24"/>
      <c r="BH166" s="16"/>
      <c r="BI166" s="27"/>
      <c r="BJ166" s="24"/>
      <c r="BK166" s="24"/>
      <c r="BL166" s="24"/>
      <c r="BM166" s="16"/>
      <c r="BN166" s="61">
        <f t="shared" si="59"/>
        <v>0</v>
      </c>
      <c r="BO166" s="27"/>
      <c r="BP166" s="24"/>
      <c r="BQ166" s="24"/>
      <c r="BR166" s="16"/>
      <c r="BS166" s="61">
        <f t="shared" si="58"/>
        <v>0</v>
      </c>
      <c r="BT166" s="62"/>
      <c r="BU166" s="69" t="str">
        <f t="shared" ca="1" si="60"/>
        <v/>
      </c>
      <c r="BV166" s="33">
        <f t="shared" ca="1" si="54"/>
        <v>1</v>
      </c>
      <c r="BW166" s="33">
        <v>1</v>
      </c>
      <c r="BX166" s="60" t="str">
        <f t="shared" ca="1" si="55"/>
        <v/>
      </c>
      <c r="BY166" s="34" t="str">
        <f t="shared" si="56"/>
        <v/>
      </c>
      <c r="BZ166" s="21"/>
      <c r="CA166" s="35" t="str">
        <f t="shared" ca="1" si="61"/>
        <v/>
      </c>
      <c r="CB166" s="16"/>
    </row>
    <row r="167" spans="1:80" ht="15.75">
      <c r="A167" s="362"/>
      <c r="B167" s="17"/>
      <c r="C167" s="18"/>
      <c r="D167" s="17"/>
      <c r="E167" s="17"/>
      <c r="F167" s="17"/>
      <c r="G167" s="19"/>
      <c r="H167" s="16"/>
      <c r="I167" s="16"/>
      <c r="J167" s="16"/>
      <c r="K167" s="20"/>
      <c r="L167" s="16"/>
      <c r="M167" s="364"/>
      <c r="N167" s="365"/>
      <c r="O167" s="365"/>
      <c r="P167" s="23">
        <f t="shared" si="48"/>
        <v>0</v>
      </c>
      <c r="Q167" s="362"/>
      <c r="R167" s="366"/>
      <c r="S167" s="362"/>
      <c r="T167" s="366"/>
      <c r="U167" s="363"/>
      <c r="V167" s="17"/>
      <c r="W167" s="23" t="str">
        <f>IFERROR(VLOOKUP(V167,Listas!$A$1:$C$14,2,FALSE),"")</f>
        <v/>
      </c>
      <c r="X167" s="23" t="str">
        <f>IFERROR(VLOOKUP(V167,Listas!$A$1:$C$14,3,FALSE),"")</f>
        <v/>
      </c>
      <c r="Y167" s="17"/>
      <c r="Z167" s="17"/>
      <c r="AA167" s="23" t="str">
        <f>IFERROR(VLOOKUP(Z167,Listas!$AD$1:$AF$65,2,FALSE),"")</f>
        <v/>
      </c>
      <c r="AB167" s="23" t="str">
        <f>IFERROR(VLOOKUP(Z167,Listas!$AD$1:$AF$65,3,FALSE),"")</f>
        <v/>
      </c>
      <c r="AC167" s="17"/>
      <c r="AD167" s="17"/>
      <c r="AE167" s="17"/>
      <c r="AF167" s="27"/>
      <c r="AG167" s="19"/>
      <c r="AH167" s="27"/>
      <c r="AI167" s="16"/>
      <c r="AJ167" s="27"/>
      <c r="AK167" s="16"/>
      <c r="AL167" s="28">
        <f t="shared" si="49"/>
        <v>0</v>
      </c>
      <c r="AM167" s="29"/>
      <c r="AN167" s="27"/>
      <c r="AO167" s="30">
        <f t="shared" si="50"/>
        <v>0</v>
      </c>
      <c r="AP167" s="31">
        <f t="shared" si="51"/>
        <v>0</v>
      </c>
      <c r="AQ167" s="27"/>
      <c r="AR167" s="16"/>
      <c r="AS167" s="27"/>
      <c r="AT167" s="16"/>
      <c r="AU167" s="27"/>
      <c r="AV167" s="16"/>
      <c r="AW167" s="27"/>
      <c r="AX167" s="16"/>
      <c r="AY167" s="27"/>
      <c r="AZ167" s="24"/>
      <c r="BA167" s="24"/>
      <c r="BB167" s="24"/>
      <c r="BC167" s="32"/>
      <c r="BD167" s="27"/>
      <c r="BE167" s="24"/>
      <c r="BF167" s="24"/>
      <c r="BG167" s="24"/>
      <c r="BH167" s="16"/>
      <c r="BI167" s="27"/>
      <c r="BJ167" s="24"/>
      <c r="BK167" s="24"/>
      <c r="BL167" s="24"/>
      <c r="BM167" s="16"/>
      <c r="BN167" s="61">
        <f t="shared" si="59"/>
        <v>0</v>
      </c>
      <c r="BO167" s="27"/>
      <c r="BP167" s="24"/>
      <c r="BQ167" s="24"/>
      <c r="BR167" s="16"/>
      <c r="BS167" s="61">
        <f t="shared" si="58"/>
        <v>0</v>
      </c>
      <c r="BT167" s="62"/>
      <c r="BU167" s="69" t="str">
        <f t="shared" ca="1" si="60"/>
        <v/>
      </c>
      <c r="BV167" s="33">
        <f t="shared" ca="1" si="54"/>
        <v>1</v>
      </c>
      <c r="BW167" s="33">
        <v>1</v>
      </c>
      <c r="BX167" s="60" t="str">
        <f t="shared" ca="1" si="55"/>
        <v/>
      </c>
      <c r="BY167" s="34" t="str">
        <f t="shared" si="56"/>
        <v/>
      </c>
      <c r="BZ167" s="21"/>
      <c r="CA167" s="35" t="str">
        <f t="shared" ca="1" si="61"/>
        <v/>
      </c>
      <c r="CB167" s="16"/>
    </row>
    <row r="168" spans="1:80" ht="15.75">
      <c r="A168" s="362"/>
      <c r="B168" s="17"/>
      <c r="C168" s="18"/>
      <c r="D168" s="17"/>
      <c r="E168" s="17"/>
      <c r="F168" s="17"/>
      <c r="G168" s="19"/>
      <c r="H168" s="16"/>
      <c r="I168" s="16"/>
      <c r="J168" s="16"/>
      <c r="K168" s="20"/>
      <c r="L168" s="16"/>
      <c r="M168" s="364"/>
      <c r="N168" s="365"/>
      <c r="O168" s="365"/>
      <c r="P168" s="23">
        <f t="shared" si="48"/>
        <v>0</v>
      </c>
      <c r="Q168" s="362"/>
      <c r="R168" s="366"/>
      <c r="S168" s="362"/>
      <c r="T168" s="366"/>
      <c r="U168" s="363"/>
      <c r="V168" s="17"/>
      <c r="W168" s="23" t="str">
        <f>IFERROR(VLOOKUP(V168,Listas!$A$1:$C$14,2,FALSE),"")</f>
        <v/>
      </c>
      <c r="X168" s="23" t="str">
        <f>IFERROR(VLOOKUP(V168,Listas!$A$1:$C$14,3,FALSE),"")</f>
        <v/>
      </c>
      <c r="Y168" s="17"/>
      <c r="Z168" s="17"/>
      <c r="AA168" s="23" t="str">
        <f>IFERROR(VLOOKUP(Z168,Listas!$AD$1:$AF$65,2,FALSE),"")</f>
        <v/>
      </c>
      <c r="AB168" s="23" t="str">
        <f>IFERROR(VLOOKUP(Z168,Listas!$AD$1:$AF$65,3,FALSE),"")</f>
        <v/>
      </c>
      <c r="AC168" s="17"/>
      <c r="AD168" s="17"/>
      <c r="AE168" s="17"/>
      <c r="AF168" s="27"/>
      <c r="AG168" s="19"/>
      <c r="AH168" s="27"/>
      <c r="AI168" s="16"/>
      <c r="AJ168" s="27"/>
      <c r="AK168" s="16"/>
      <c r="AL168" s="28">
        <f t="shared" si="49"/>
        <v>0</v>
      </c>
      <c r="AM168" s="29"/>
      <c r="AN168" s="27"/>
      <c r="AO168" s="30">
        <f t="shared" si="50"/>
        <v>0</v>
      </c>
      <c r="AP168" s="31">
        <f t="shared" si="51"/>
        <v>0</v>
      </c>
      <c r="AQ168" s="27"/>
      <c r="AR168" s="16"/>
      <c r="AS168" s="27"/>
      <c r="AT168" s="16"/>
      <c r="AU168" s="27"/>
      <c r="AV168" s="16"/>
      <c r="AW168" s="27"/>
      <c r="AX168" s="16"/>
      <c r="AY168" s="27"/>
      <c r="AZ168" s="24"/>
      <c r="BA168" s="24"/>
      <c r="BB168" s="24"/>
      <c r="BC168" s="32"/>
      <c r="BD168" s="27"/>
      <c r="BE168" s="24"/>
      <c r="BF168" s="24"/>
      <c r="BG168" s="24"/>
      <c r="BH168" s="16"/>
      <c r="BI168" s="27"/>
      <c r="BJ168" s="24"/>
      <c r="BK168" s="24"/>
      <c r="BL168" s="24"/>
      <c r="BM168" s="16"/>
      <c r="BN168" s="61">
        <f t="shared" si="59"/>
        <v>0</v>
      </c>
      <c r="BO168" s="27"/>
      <c r="BP168" s="24"/>
      <c r="BQ168" s="24"/>
      <c r="BR168" s="16"/>
      <c r="BS168" s="61">
        <f t="shared" si="58"/>
        <v>0</v>
      </c>
      <c r="BT168" s="62"/>
      <c r="BU168" s="69" t="str">
        <f t="shared" ca="1" si="60"/>
        <v/>
      </c>
      <c r="BV168" s="33">
        <f t="shared" ca="1" si="54"/>
        <v>1</v>
      </c>
      <c r="BW168" s="33">
        <v>1</v>
      </c>
      <c r="BX168" s="60" t="str">
        <f t="shared" ca="1" si="55"/>
        <v/>
      </c>
      <c r="BY168" s="34" t="str">
        <f t="shared" si="56"/>
        <v/>
      </c>
      <c r="BZ168" s="21"/>
      <c r="CA168" s="35" t="str">
        <f t="shared" ca="1" si="61"/>
        <v/>
      </c>
      <c r="CB168" s="16"/>
    </row>
    <row r="169" spans="1:80" ht="15.75">
      <c r="A169" s="362"/>
      <c r="B169" s="17"/>
      <c r="C169" s="18"/>
      <c r="D169" s="17"/>
      <c r="E169" s="17"/>
      <c r="F169" s="17"/>
      <c r="G169" s="19"/>
      <c r="H169" s="16"/>
      <c r="I169" s="16"/>
      <c r="J169" s="16"/>
      <c r="K169" s="20"/>
      <c r="L169" s="16"/>
      <c r="M169" s="364"/>
      <c r="N169" s="365"/>
      <c r="O169" s="365"/>
      <c r="P169" s="23">
        <f t="shared" si="48"/>
        <v>0</v>
      </c>
      <c r="Q169" s="362"/>
      <c r="R169" s="366"/>
      <c r="S169" s="362"/>
      <c r="T169" s="366"/>
      <c r="U169" s="363"/>
      <c r="V169" s="17"/>
      <c r="W169" s="23" t="str">
        <f>IFERROR(VLOOKUP(V169,Listas!$A$1:$C$14,2,FALSE),"")</f>
        <v/>
      </c>
      <c r="X169" s="23" t="str">
        <f>IFERROR(VLOOKUP(V169,Listas!$A$1:$C$14,3,FALSE),"")</f>
        <v/>
      </c>
      <c r="Y169" s="17"/>
      <c r="Z169" s="17"/>
      <c r="AA169" s="23" t="str">
        <f>IFERROR(VLOOKUP(Z169,Listas!$AD$1:$AF$65,2,FALSE),"")</f>
        <v/>
      </c>
      <c r="AB169" s="23" t="str">
        <f>IFERROR(VLOOKUP(Z169,Listas!$AD$1:$AF$65,3,FALSE),"")</f>
        <v/>
      </c>
      <c r="AC169" s="17"/>
      <c r="AD169" s="17"/>
      <c r="AE169" s="17"/>
      <c r="AF169" s="27"/>
      <c r="AG169" s="19"/>
      <c r="AH169" s="27"/>
      <c r="AI169" s="16"/>
      <c r="AJ169" s="27"/>
      <c r="AK169" s="16"/>
      <c r="AL169" s="28">
        <f t="shared" si="49"/>
        <v>0</v>
      </c>
      <c r="AM169" s="29"/>
      <c r="AN169" s="27"/>
      <c r="AO169" s="30">
        <f t="shared" si="50"/>
        <v>0</v>
      </c>
      <c r="AP169" s="31">
        <f t="shared" si="51"/>
        <v>0</v>
      </c>
      <c r="AQ169" s="27"/>
      <c r="AR169" s="16"/>
      <c r="AS169" s="27"/>
      <c r="AT169" s="16"/>
      <c r="AU169" s="27"/>
      <c r="AV169" s="16"/>
      <c r="AW169" s="27"/>
      <c r="AX169" s="16"/>
      <c r="AY169" s="27"/>
      <c r="AZ169" s="24"/>
      <c r="BA169" s="24"/>
      <c r="BB169" s="24"/>
      <c r="BC169" s="32"/>
      <c r="BD169" s="27"/>
      <c r="BE169" s="24"/>
      <c r="BF169" s="24"/>
      <c r="BG169" s="24"/>
      <c r="BH169" s="16"/>
      <c r="BI169" s="27"/>
      <c r="BJ169" s="24"/>
      <c r="BK169" s="24"/>
      <c r="BL169" s="24"/>
      <c r="BM169" s="16"/>
      <c r="BN169" s="61">
        <f t="shared" si="59"/>
        <v>0</v>
      </c>
      <c r="BO169" s="27"/>
      <c r="BP169" s="24"/>
      <c r="BQ169" s="24"/>
      <c r="BR169" s="16"/>
      <c r="BS169" s="61">
        <f t="shared" si="58"/>
        <v>0</v>
      </c>
      <c r="BT169" s="62"/>
      <c r="BU169" s="69" t="str">
        <f t="shared" ca="1" si="60"/>
        <v/>
      </c>
      <c r="BV169" s="33">
        <f t="shared" ca="1" si="54"/>
        <v>1</v>
      </c>
      <c r="BW169" s="33">
        <v>1</v>
      </c>
      <c r="BX169" s="60" t="str">
        <f t="shared" ca="1" si="55"/>
        <v/>
      </c>
      <c r="BY169" s="34" t="str">
        <f t="shared" si="56"/>
        <v/>
      </c>
      <c r="BZ169" s="21"/>
      <c r="CA169" s="35" t="str">
        <f t="shared" ca="1" si="61"/>
        <v/>
      </c>
      <c r="CB169" s="16"/>
    </row>
    <row r="170" spans="1:80" ht="15.75">
      <c r="A170" s="362"/>
      <c r="B170" s="17"/>
      <c r="C170" s="18"/>
      <c r="D170" s="17"/>
      <c r="E170" s="17"/>
      <c r="F170" s="17"/>
      <c r="G170" s="19"/>
      <c r="H170" s="16"/>
      <c r="I170" s="16"/>
      <c r="J170" s="16"/>
      <c r="K170" s="20"/>
      <c r="L170" s="16"/>
      <c r="M170" s="364"/>
      <c r="N170" s="365"/>
      <c r="O170" s="365"/>
      <c r="P170" s="23">
        <f t="shared" si="48"/>
        <v>0</v>
      </c>
      <c r="Q170" s="362"/>
      <c r="R170" s="366"/>
      <c r="S170" s="362"/>
      <c r="T170" s="366"/>
      <c r="U170" s="363"/>
      <c r="V170" s="17"/>
      <c r="W170" s="23" t="str">
        <f>IFERROR(VLOOKUP(V170,Listas!$A$1:$C$14,2,FALSE),"")</f>
        <v/>
      </c>
      <c r="X170" s="23" t="str">
        <f>IFERROR(VLOOKUP(V170,Listas!$A$1:$C$14,3,FALSE),"")</f>
        <v/>
      </c>
      <c r="Y170" s="17"/>
      <c r="Z170" s="17"/>
      <c r="AA170" s="23" t="str">
        <f>IFERROR(VLOOKUP(Z170,Listas!$AD$1:$AF$65,2,FALSE),"")</f>
        <v/>
      </c>
      <c r="AB170" s="23" t="str">
        <f>IFERROR(VLOOKUP(Z170,Listas!$AD$1:$AF$65,3,FALSE),"")</f>
        <v/>
      </c>
      <c r="AC170" s="17"/>
      <c r="AD170" s="17"/>
      <c r="AE170" s="17"/>
      <c r="AF170" s="27"/>
      <c r="AG170" s="19"/>
      <c r="AH170" s="27"/>
      <c r="AI170" s="16"/>
      <c r="AJ170" s="27"/>
      <c r="AK170" s="16"/>
      <c r="AL170" s="28">
        <f t="shared" si="49"/>
        <v>0</v>
      </c>
      <c r="AM170" s="29"/>
      <c r="AN170" s="27"/>
      <c r="AO170" s="30">
        <f t="shared" si="50"/>
        <v>0</v>
      </c>
      <c r="AP170" s="31">
        <f t="shared" si="51"/>
        <v>0</v>
      </c>
      <c r="AQ170" s="27"/>
      <c r="AR170" s="16"/>
      <c r="AS170" s="27"/>
      <c r="AT170" s="16"/>
      <c r="AU170" s="27"/>
      <c r="AV170" s="16"/>
      <c r="AW170" s="27"/>
      <c r="AX170" s="16"/>
      <c r="AY170" s="27"/>
      <c r="AZ170" s="24"/>
      <c r="BA170" s="24"/>
      <c r="BB170" s="24"/>
      <c r="BC170" s="32"/>
      <c r="BD170" s="27"/>
      <c r="BE170" s="24"/>
      <c r="BF170" s="24"/>
      <c r="BG170" s="24"/>
      <c r="BH170" s="16"/>
      <c r="BI170" s="27"/>
      <c r="BJ170" s="24"/>
      <c r="BK170" s="24"/>
      <c r="BL170" s="24"/>
      <c r="BM170" s="16"/>
      <c r="BN170" s="61">
        <f t="shared" si="59"/>
        <v>0</v>
      </c>
      <c r="BO170" s="27"/>
      <c r="BP170" s="24"/>
      <c r="BQ170" s="24"/>
      <c r="BR170" s="16"/>
      <c r="BS170" s="61">
        <f t="shared" si="58"/>
        <v>0</v>
      </c>
      <c r="BT170" s="62"/>
      <c r="BU170" s="69" t="str">
        <f t="shared" ca="1" si="60"/>
        <v/>
      </c>
      <c r="BV170" s="33">
        <f t="shared" ca="1" si="54"/>
        <v>1</v>
      </c>
      <c r="BW170" s="33">
        <v>1</v>
      </c>
      <c r="BX170" s="60" t="str">
        <f t="shared" ca="1" si="55"/>
        <v/>
      </c>
      <c r="BY170" s="34" t="str">
        <f t="shared" si="56"/>
        <v/>
      </c>
      <c r="BZ170" s="21"/>
      <c r="CA170" s="35" t="str">
        <f t="shared" ca="1" si="61"/>
        <v/>
      </c>
      <c r="CB170" s="16"/>
    </row>
    <row r="171" spans="1:80" ht="15.75">
      <c r="A171" s="362"/>
      <c r="B171" s="17"/>
      <c r="C171" s="18"/>
      <c r="D171" s="17"/>
      <c r="E171" s="17"/>
      <c r="F171" s="17"/>
      <c r="G171" s="19"/>
      <c r="H171" s="16"/>
      <c r="I171" s="16"/>
      <c r="J171" s="16"/>
      <c r="K171" s="20"/>
      <c r="L171" s="16"/>
      <c r="M171" s="364"/>
      <c r="N171" s="365"/>
      <c r="O171" s="365"/>
      <c r="P171" s="23">
        <f t="shared" si="48"/>
        <v>0</v>
      </c>
      <c r="Q171" s="362"/>
      <c r="R171" s="366"/>
      <c r="S171" s="362"/>
      <c r="T171" s="366"/>
      <c r="U171" s="363"/>
      <c r="V171" s="17"/>
      <c r="W171" s="23" t="str">
        <f>IFERROR(VLOOKUP(V171,Listas!$A$1:$C$14,2,FALSE),"")</f>
        <v/>
      </c>
      <c r="X171" s="23" t="str">
        <f>IFERROR(VLOOKUP(V171,Listas!$A$1:$C$14,3,FALSE),"")</f>
        <v/>
      </c>
      <c r="Y171" s="17"/>
      <c r="Z171" s="17"/>
      <c r="AA171" s="23" t="str">
        <f>IFERROR(VLOOKUP(Z171,Listas!$AD$1:$AF$65,2,FALSE),"")</f>
        <v/>
      </c>
      <c r="AB171" s="23" t="str">
        <f>IFERROR(VLOOKUP(Z171,Listas!$AD$1:$AF$65,3,FALSE),"")</f>
        <v/>
      </c>
      <c r="AC171" s="17"/>
      <c r="AD171" s="17"/>
      <c r="AE171" s="17"/>
      <c r="AF171" s="27"/>
      <c r="AG171" s="19"/>
      <c r="AH171" s="27"/>
      <c r="AI171" s="16"/>
      <c r="AJ171" s="27"/>
      <c r="AK171" s="16"/>
      <c r="AL171" s="28">
        <f t="shared" si="49"/>
        <v>0</v>
      </c>
      <c r="AM171" s="29"/>
      <c r="AN171" s="27"/>
      <c r="AO171" s="30">
        <f t="shared" si="50"/>
        <v>0</v>
      </c>
      <c r="AP171" s="31">
        <f t="shared" si="51"/>
        <v>0</v>
      </c>
      <c r="AQ171" s="27"/>
      <c r="AR171" s="16"/>
      <c r="AS171" s="27"/>
      <c r="AT171" s="16"/>
      <c r="AU171" s="27"/>
      <c r="AV171" s="16"/>
      <c r="AW171" s="27"/>
      <c r="AX171" s="16"/>
      <c r="AY171" s="27"/>
      <c r="AZ171" s="24"/>
      <c r="BA171" s="24"/>
      <c r="BB171" s="24"/>
      <c r="BC171" s="32"/>
      <c r="BD171" s="27"/>
      <c r="BE171" s="24"/>
      <c r="BF171" s="24"/>
      <c r="BG171" s="24"/>
      <c r="BH171" s="16"/>
      <c r="BI171" s="27"/>
      <c r="BJ171" s="24"/>
      <c r="BK171" s="24"/>
      <c r="BL171" s="24"/>
      <c r="BM171" s="16"/>
      <c r="BN171" s="61">
        <f t="shared" si="59"/>
        <v>0</v>
      </c>
      <c r="BO171" s="27"/>
      <c r="BP171" s="24"/>
      <c r="BQ171" s="24"/>
      <c r="BR171" s="16"/>
      <c r="BS171" s="61">
        <f t="shared" si="58"/>
        <v>0</v>
      </c>
      <c r="BT171" s="62"/>
      <c r="BU171" s="69" t="str">
        <f t="shared" ca="1" si="60"/>
        <v/>
      </c>
      <c r="BV171" s="33">
        <f t="shared" ca="1" si="54"/>
        <v>1</v>
      </c>
      <c r="BW171" s="33">
        <v>1</v>
      </c>
      <c r="BX171" s="60" t="str">
        <f t="shared" ca="1" si="55"/>
        <v/>
      </c>
      <c r="BY171" s="34" t="str">
        <f t="shared" si="56"/>
        <v/>
      </c>
      <c r="BZ171" s="21"/>
      <c r="CA171" s="35" t="str">
        <f t="shared" ca="1" si="61"/>
        <v/>
      </c>
      <c r="CB171" s="16"/>
    </row>
    <row r="172" spans="1:80" ht="15.75">
      <c r="A172" s="362"/>
      <c r="B172" s="17"/>
      <c r="C172" s="18"/>
      <c r="D172" s="17"/>
      <c r="E172" s="17"/>
      <c r="F172" s="17"/>
      <c r="G172" s="19"/>
      <c r="H172" s="16"/>
      <c r="I172" s="16"/>
      <c r="J172" s="16"/>
      <c r="K172" s="20"/>
      <c r="L172" s="16"/>
      <c r="M172" s="364"/>
      <c r="N172" s="365"/>
      <c r="O172" s="365"/>
      <c r="P172" s="23">
        <f t="shared" si="48"/>
        <v>0</v>
      </c>
      <c r="Q172" s="362"/>
      <c r="R172" s="366"/>
      <c r="S172" s="362"/>
      <c r="T172" s="366"/>
      <c r="U172" s="363"/>
      <c r="V172" s="17"/>
      <c r="W172" s="23" t="str">
        <f>IFERROR(VLOOKUP(V172,Listas!$A$1:$C$14,2,FALSE),"")</f>
        <v/>
      </c>
      <c r="X172" s="23" t="str">
        <f>IFERROR(VLOOKUP(V172,Listas!$A$1:$C$14,3,FALSE),"")</f>
        <v/>
      </c>
      <c r="Y172" s="17"/>
      <c r="Z172" s="17"/>
      <c r="AA172" s="23" t="str">
        <f>IFERROR(VLOOKUP(Z172,Listas!$AD$1:$AF$65,2,FALSE),"")</f>
        <v/>
      </c>
      <c r="AB172" s="23" t="str">
        <f>IFERROR(VLOOKUP(Z172,Listas!$AD$1:$AF$65,3,FALSE),"")</f>
        <v/>
      </c>
      <c r="AC172" s="17"/>
      <c r="AD172" s="17"/>
      <c r="AE172" s="17"/>
      <c r="AF172" s="27"/>
      <c r="AG172" s="19"/>
      <c r="AH172" s="27"/>
      <c r="AI172" s="16"/>
      <c r="AJ172" s="27"/>
      <c r="AK172" s="16"/>
      <c r="AL172" s="28">
        <f t="shared" si="49"/>
        <v>0</v>
      </c>
      <c r="AM172" s="29"/>
      <c r="AN172" s="27"/>
      <c r="AO172" s="30">
        <f t="shared" si="50"/>
        <v>0</v>
      </c>
      <c r="AP172" s="31">
        <f t="shared" si="51"/>
        <v>0</v>
      </c>
      <c r="AQ172" s="27"/>
      <c r="AR172" s="16"/>
      <c r="AS172" s="27"/>
      <c r="AT172" s="16"/>
      <c r="AU172" s="27"/>
      <c r="AV172" s="16"/>
      <c r="AW172" s="27"/>
      <c r="AX172" s="16"/>
      <c r="AY172" s="27"/>
      <c r="AZ172" s="24"/>
      <c r="BA172" s="24"/>
      <c r="BB172" s="24"/>
      <c r="BC172" s="32"/>
      <c r="BD172" s="27"/>
      <c r="BE172" s="24"/>
      <c r="BF172" s="24"/>
      <c r="BG172" s="24"/>
      <c r="BH172" s="16"/>
      <c r="BI172" s="27"/>
      <c r="BJ172" s="24"/>
      <c r="BK172" s="24"/>
      <c r="BL172" s="24"/>
      <c r="BM172" s="16"/>
      <c r="BN172" s="61">
        <f t="shared" si="59"/>
        <v>0</v>
      </c>
      <c r="BO172" s="27"/>
      <c r="BP172" s="24"/>
      <c r="BQ172" s="24"/>
      <c r="BR172" s="16"/>
      <c r="BS172" s="61">
        <f t="shared" si="58"/>
        <v>0</v>
      </c>
      <c r="BT172" s="62"/>
      <c r="BU172" s="69" t="str">
        <f t="shared" ca="1" si="60"/>
        <v/>
      </c>
      <c r="BV172" s="33">
        <f t="shared" ca="1" si="54"/>
        <v>1</v>
      </c>
      <c r="BW172" s="33">
        <v>1</v>
      </c>
      <c r="BX172" s="60" t="str">
        <f t="shared" ca="1" si="55"/>
        <v/>
      </c>
      <c r="BY172" s="34" t="str">
        <f t="shared" si="56"/>
        <v/>
      </c>
      <c r="BZ172" s="21"/>
      <c r="CA172" s="35" t="str">
        <f t="shared" ca="1" si="61"/>
        <v/>
      </c>
      <c r="CB172" s="16"/>
    </row>
    <row r="173" spans="1:80" ht="15.75">
      <c r="A173" s="362"/>
      <c r="B173" s="17"/>
      <c r="C173" s="18"/>
      <c r="D173" s="17"/>
      <c r="E173" s="17"/>
      <c r="F173" s="17"/>
      <c r="G173" s="19"/>
      <c r="H173" s="16"/>
      <c r="I173" s="16"/>
      <c r="J173" s="16"/>
      <c r="K173" s="20"/>
      <c r="L173" s="16"/>
      <c r="M173" s="364"/>
      <c r="N173" s="365"/>
      <c r="O173" s="365"/>
      <c r="P173" s="23">
        <f t="shared" si="48"/>
        <v>0</v>
      </c>
      <c r="Q173" s="362"/>
      <c r="R173" s="366"/>
      <c r="S173" s="362"/>
      <c r="T173" s="366"/>
      <c r="U173" s="363"/>
      <c r="V173" s="17"/>
      <c r="W173" s="23" t="str">
        <f>IFERROR(VLOOKUP(V173,Listas!$A$1:$C$14,2,FALSE),"")</f>
        <v/>
      </c>
      <c r="X173" s="23" t="str">
        <f>IFERROR(VLOOKUP(V173,Listas!$A$1:$C$14,3,FALSE),"")</f>
        <v/>
      </c>
      <c r="Y173" s="17"/>
      <c r="Z173" s="17"/>
      <c r="AA173" s="23" t="str">
        <f>IFERROR(VLOOKUP(Z173,Listas!$AD$1:$AF$65,2,FALSE),"")</f>
        <v/>
      </c>
      <c r="AB173" s="23" t="str">
        <f>IFERROR(VLOOKUP(Z173,Listas!$AD$1:$AF$65,3,FALSE),"")</f>
        <v/>
      </c>
      <c r="AC173" s="17"/>
      <c r="AD173" s="17"/>
      <c r="AE173" s="17"/>
      <c r="AF173" s="27"/>
      <c r="AG173" s="19"/>
      <c r="AH173" s="27"/>
      <c r="AI173" s="16"/>
      <c r="AJ173" s="27"/>
      <c r="AK173" s="16"/>
      <c r="AL173" s="28">
        <f t="shared" si="49"/>
        <v>0</v>
      </c>
      <c r="AM173" s="29"/>
      <c r="AN173" s="27"/>
      <c r="AO173" s="30">
        <f t="shared" si="50"/>
        <v>0</v>
      </c>
      <c r="AP173" s="31">
        <f t="shared" si="51"/>
        <v>0</v>
      </c>
      <c r="AQ173" s="27"/>
      <c r="AR173" s="16"/>
      <c r="AS173" s="27"/>
      <c r="AT173" s="16"/>
      <c r="AU173" s="27"/>
      <c r="AV173" s="16"/>
      <c r="AW173" s="27"/>
      <c r="AX173" s="16"/>
      <c r="AY173" s="27"/>
      <c r="AZ173" s="24"/>
      <c r="BA173" s="24"/>
      <c r="BB173" s="24"/>
      <c r="BC173" s="32"/>
      <c r="BD173" s="27"/>
      <c r="BE173" s="24"/>
      <c r="BF173" s="24"/>
      <c r="BG173" s="24"/>
      <c r="BH173" s="16"/>
      <c r="BI173" s="27"/>
      <c r="BJ173" s="24"/>
      <c r="BK173" s="24"/>
      <c r="BL173" s="24"/>
      <c r="BM173" s="16"/>
      <c r="BN173" s="61">
        <f t="shared" si="59"/>
        <v>0</v>
      </c>
      <c r="BO173" s="27"/>
      <c r="BP173" s="24"/>
      <c r="BQ173" s="24"/>
      <c r="BR173" s="16"/>
      <c r="BS173" s="61">
        <f t="shared" si="58"/>
        <v>0</v>
      </c>
      <c r="BT173" s="62"/>
      <c r="BU173" s="69" t="str">
        <f t="shared" ca="1" si="60"/>
        <v/>
      </c>
      <c r="BV173" s="33">
        <f t="shared" ca="1" si="54"/>
        <v>1</v>
      </c>
      <c r="BW173" s="33">
        <v>1</v>
      </c>
      <c r="BX173" s="60" t="str">
        <f t="shared" ca="1" si="55"/>
        <v/>
      </c>
      <c r="BY173" s="34" t="str">
        <f t="shared" si="56"/>
        <v/>
      </c>
      <c r="BZ173" s="21"/>
      <c r="CA173" s="35" t="str">
        <f t="shared" ca="1" si="61"/>
        <v/>
      </c>
      <c r="CB173" s="16"/>
    </row>
    <row r="174" spans="1:80" ht="15.75">
      <c r="A174" s="362"/>
      <c r="B174" s="17"/>
      <c r="C174" s="18"/>
      <c r="D174" s="17"/>
      <c r="E174" s="17"/>
      <c r="F174" s="17"/>
      <c r="G174" s="19"/>
      <c r="H174" s="16"/>
      <c r="I174" s="16"/>
      <c r="J174" s="16"/>
      <c r="K174" s="20"/>
      <c r="L174" s="16"/>
      <c r="M174" s="364"/>
      <c r="N174" s="365"/>
      <c r="O174" s="365"/>
      <c r="P174" s="23">
        <f t="shared" si="48"/>
        <v>0</v>
      </c>
      <c r="Q174" s="362"/>
      <c r="R174" s="366"/>
      <c r="S174" s="362"/>
      <c r="T174" s="366"/>
      <c r="U174" s="363"/>
      <c r="V174" s="17"/>
      <c r="W174" s="23" t="str">
        <f>IFERROR(VLOOKUP(V174,Listas!$A$1:$C$14,2,FALSE),"")</f>
        <v/>
      </c>
      <c r="X174" s="23" t="str">
        <f>IFERROR(VLOOKUP(V174,Listas!$A$1:$C$14,3,FALSE),"")</f>
        <v/>
      </c>
      <c r="Y174" s="17"/>
      <c r="Z174" s="17"/>
      <c r="AA174" s="23" t="str">
        <f>IFERROR(VLOOKUP(Z174,Listas!$AD$1:$AF$65,2,FALSE),"")</f>
        <v/>
      </c>
      <c r="AB174" s="23" t="str">
        <f>IFERROR(VLOOKUP(Z174,Listas!$AD$1:$AF$65,3,FALSE),"")</f>
        <v/>
      </c>
      <c r="AC174" s="17"/>
      <c r="AD174" s="17"/>
      <c r="AE174" s="17"/>
      <c r="AF174" s="27"/>
      <c r="AG174" s="19"/>
      <c r="AH174" s="27"/>
      <c r="AI174" s="16"/>
      <c r="AJ174" s="27"/>
      <c r="AK174" s="16"/>
      <c r="AL174" s="28">
        <f t="shared" si="49"/>
        <v>0</v>
      </c>
      <c r="AM174" s="29"/>
      <c r="AN174" s="27"/>
      <c r="AO174" s="30">
        <f t="shared" si="50"/>
        <v>0</v>
      </c>
      <c r="AP174" s="31">
        <f t="shared" si="51"/>
        <v>0</v>
      </c>
      <c r="AQ174" s="27"/>
      <c r="AR174" s="16"/>
      <c r="AS174" s="27"/>
      <c r="AT174" s="16"/>
      <c r="AU174" s="27"/>
      <c r="AV174" s="16"/>
      <c r="AW174" s="27"/>
      <c r="AX174" s="16"/>
      <c r="AY174" s="27"/>
      <c r="AZ174" s="24"/>
      <c r="BA174" s="24"/>
      <c r="BB174" s="24"/>
      <c r="BC174" s="32"/>
      <c r="BD174" s="27"/>
      <c r="BE174" s="24"/>
      <c r="BF174" s="24"/>
      <c r="BG174" s="24"/>
      <c r="BH174" s="16"/>
      <c r="BI174" s="27"/>
      <c r="BJ174" s="24"/>
      <c r="BK174" s="24"/>
      <c r="BL174" s="24"/>
      <c r="BM174" s="16"/>
      <c r="BN174" s="61">
        <f t="shared" si="59"/>
        <v>0</v>
      </c>
      <c r="BO174" s="27"/>
      <c r="BP174" s="24"/>
      <c r="BQ174" s="24"/>
      <c r="BR174" s="16"/>
      <c r="BS174" s="61">
        <f t="shared" si="58"/>
        <v>0</v>
      </c>
      <c r="BT174" s="62"/>
      <c r="BU174" s="69" t="str">
        <f t="shared" ca="1" si="60"/>
        <v/>
      </c>
      <c r="BV174" s="33">
        <f t="shared" ca="1" si="54"/>
        <v>1</v>
      </c>
      <c r="BW174" s="33">
        <v>1</v>
      </c>
      <c r="BX174" s="60" t="str">
        <f t="shared" ca="1" si="55"/>
        <v/>
      </c>
      <c r="BY174" s="34" t="str">
        <f t="shared" si="56"/>
        <v/>
      </c>
      <c r="BZ174" s="21"/>
      <c r="CA174" s="35" t="str">
        <f t="shared" ca="1" si="61"/>
        <v/>
      </c>
      <c r="CB174" s="16"/>
    </row>
    <row r="175" spans="1:80" ht="15.75">
      <c r="A175" s="362"/>
      <c r="B175" s="17"/>
      <c r="C175" s="18"/>
      <c r="D175" s="17"/>
      <c r="E175" s="17"/>
      <c r="F175" s="17"/>
      <c r="G175" s="19"/>
      <c r="H175" s="16"/>
      <c r="I175" s="16"/>
      <c r="J175" s="16"/>
      <c r="K175" s="20"/>
      <c r="L175" s="16"/>
      <c r="M175" s="364"/>
      <c r="N175" s="365"/>
      <c r="O175" s="365"/>
      <c r="P175" s="23">
        <f t="shared" si="48"/>
        <v>0</v>
      </c>
      <c r="Q175" s="362"/>
      <c r="R175" s="366"/>
      <c r="S175" s="362"/>
      <c r="T175" s="366"/>
      <c r="U175" s="363"/>
      <c r="V175" s="17"/>
      <c r="W175" s="23" t="str">
        <f>IFERROR(VLOOKUP(V175,Listas!$A$1:$C$14,2,FALSE),"")</f>
        <v/>
      </c>
      <c r="X175" s="23" t="str">
        <f>IFERROR(VLOOKUP(V175,Listas!$A$1:$C$14,3,FALSE),"")</f>
        <v/>
      </c>
      <c r="Y175" s="17"/>
      <c r="Z175" s="17"/>
      <c r="AA175" s="23" t="str">
        <f>IFERROR(VLOOKUP(Z175,Listas!$AD$1:$AF$65,2,FALSE),"")</f>
        <v/>
      </c>
      <c r="AB175" s="23" t="str">
        <f>IFERROR(VLOOKUP(Z175,Listas!$AD$1:$AF$65,3,FALSE),"")</f>
        <v/>
      </c>
      <c r="AC175" s="17"/>
      <c r="AD175" s="17"/>
      <c r="AE175" s="17"/>
      <c r="AF175" s="27"/>
      <c r="AG175" s="19"/>
      <c r="AH175" s="27"/>
      <c r="AI175" s="16"/>
      <c r="AJ175" s="27"/>
      <c r="AK175" s="16"/>
      <c r="AL175" s="28">
        <f t="shared" si="49"/>
        <v>0</v>
      </c>
      <c r="AM175" s="29"/>
      <c r="AN175" s="27"/>
      <c r="AO175" s="30">
        <f t="shared" si="50"/>
        <v>0</v>
      </c>
      <c r="AP175" s="31">
        <f t="shared" si="51"/>
        <v>0</v>
      </c>
      <c r="AQ175" s="27"/>
      <c r="AR175" s="16"/>
      <c r="AS175" s="27"/>
      <c r="AT175" s="16"/>
      <c r="AU175" s="27"/>
      <c r="AV175" s="16"/>
      <c r="AW175" s="27"/>
      <c r="AX175" s="16"/>
      <c r="AY175" s="27"/>
      <c r="AZ175" s="24"/>
      <c r="BA175" s="24"/>
      <c r="BB175" s="24"/>
      <c r="BC175" s="32"/>
      <c r="BD175" s="27"/>
      <c r="BE175" s="24"/>
      <c r="BF175" s="24"/>
      <c r="BG175" s="24"/>
      <c r="BH175" s="16"/>
      <c r="BI175" s="27"/>
      <c r="BJ175" s="24"/>
      <c r="BK175" s="24"/>
      <c r="BL175" s="24"/>
      <c r="BM175" s="16"/>
      <c r="BN175" s="61">
        <f t="shared" si="59"/>
        <v>0</v>
      </c>
      <c r="BO175" s="27"/>
      <c r="BP175" s="24"/>
      <c r="BQ175" s="24"/>
      <c r="BR175" s="16"/>
      <c r="BS175" s="61">
        <f t="shared" si="58"/>
        <v>0</v>
      </c>
      <c r="BT175" s="62"/>
      <c r="BU175" s="69" t="str">
        <f t="shared" ca="1" si="60"/>
        <v/>
      </c>
      <c r="BV175" s="33">
        <f t="shared" ca="1" si="54"/>
        <v>1</v>
      </c>
      <c r="BW175" s="33">
        <v>1</v>
      </c>
      <c r="BX175" s="60" t="str">
        <f t="shared" ca="1" si="55"/>
        <v/>
      </c>
      <c r="BY175" s="34" t="str">
        <f t="shared" si="56"/>
        <v/>
      </c>
      <c r="BZ175" s="21"/>
      <c r="CA175" s="35" t="str">
        <f t="shared" ca="1" si="61"/>
        <v/>
      </c>
      <c r="CB175" s="16"/>
    </row>
    <row r="176" spans="1:80" ht="15.75">
      <c r="A176" s="362"/>
      <c r="B176" s="17"/>
      <c r="C176" s="18"/>
      <c r="D176" s="17"/>
      <c r="E176" s="17"/>
      <c r="F176" s="17"/>
      <c r="G176" s="19"/>
      <c r="H176" s="16"/>
      <c r="I176" s="16"/>
      <c r="J176" s="16"/>
      <c r="K176" s="20"/>
      <c r="L176" s="16"/>
      <c r="M176" s="364"/>
      <c r="N176" s="365"/>
      <c r="O176" s="365"/>
      <c r="P176" s="23">
        <f t="shared" si="48"/>
        <v>0</v>
      </c>
      <c r="Q176" s="362"/>
      <c r="R176" s="366"/>
      <c r="S176" s="362"/>
      <c r="T176" s="366"/>
      <c r="U176" s="363"/>
      <c r="V176" s="17"/>
      <c r="W176" s="23" t="str">
        <f>IFERROR(VLOOKUP(V176,Listas!$A$1:$C$14,2,FALSE),"")</f>
        <v/>
      </c>
      <c r="X176" s="23" t="str">
        <f>IFERROR(VLOOKUP(V176,Listas!$A$1:$C$14,3,FALSE),"")</f>
        <v/>
      </c>
      <c r="Y176" s="17"/>
      <c r="Z176" s="17"/>
      <c r="AA176" s="23" t="str">
        <f>IFERROR(VLOOKUP(Z176,Listas!$AD$1:$AF$65,2,FALSE),"")</f>
        <v/>
      </c>
      <c r="AB176" s="23" t="str">
        <f>IFERROR(VLOOKUP(Z176,Listas!$AD$1:$AF$65,3,FALSE),"")</f>
        <v/>
      </c>
      <c r="AC176" s="17"/>
      <c r="AD176" s="17"/>
      <c r="AE176" s="17"/>
      <c r="AF176" s="27"/>
      <c r="AG176" s="19"/>
      <c r="AH176" s="27"/>
      <c r="AI176" s="16"/>
      <c r="AJ176" s="27"/>
      <c r="AK176" s="16"/>
      <c r="AL176" s="28">
        <f t="shared" si="49"/>
        <v>0</v>
      </c>
      <c r="AM176" s="29"/>
      <c r="AN176" s="27"/>
      <c r="AO176" s="30">
        <f t="shared" si="50"/>
        <v>0</v>
      </c>
      <c r="AP176" s="31">
        <f t="shared" si="51"/>
        <v>0</v>
      </c>
      <c r="AQ176" s="27"/>
      <c r="AR176" s="16"/>
      <c r="AS176" s="27"/>
      <c r="AT176" s="16"/>
      <c r="AU176" s="27"/>
      <c r="AV176" s="16"/>
      <c r="AW176" s="27"/>
      <c r="AX176" s="16"/>
      <c r="AY176" s="27"/>
      <c r="AZ176" s="24"/>
      <c r="BA176" s="24"/>
      <c r="BB176" s="24"/>
      <c r="BC176" s="32"/>
      <c r="BD176" s="27"/>
      <c r="BE176" s="24"/>
      <c r="BF176" s="24"/>
      <c r="BG176" s="24"/>
      <c r="BH176" s="16"/>
      <c r="BI176" s="27"/>
      <c r="BJ176" s="24"/>
      <c r="BK176" s="24"/>
      <c r="BL176" s="24"/>
      <c r="BM176" s="16"/>
      <c r="BN176" s="61">
        <f t="shared" si="59"/>
        <v>0</v>
      </c>
      <c r="BO176" s="27"/>
      <c r="BP176" s="24"/>
      <c r="BQ176" s="24"/>
      <c r="BR176" s="16"/>
      <c r="BS176" s="61">
        <f t="shared" ref="BS176:BS199" si="62">IF(U176=0,(T176+BN176),IF(U176&gt;0,(U176+BN176)))</f>
        <v>0</v>
      </c>
      <c r="BT176" s="62"/>
      <c r="BU176" s="69" t="str">
        <f t="shared" ca="1" si="60"/>
        <v/>
      </c>
      <c r="BV176" s="33">
        <f t="shared" ca="1" si="54"/>
        <v>1</v>
      </c>
      <c r="BW176" s="33">
        <v>1</v>
      </c>
      <c r="BX176" s="60" t="str">
        <f t="shared" ca="1" si="55"/>
        <v/>
      </c>
      <c r="BY176" s="34" t="str">
        <f t="shared" si="56"/>
        <v/>
      </c>
      <c r="BZ176" s="21"/>
      <c r="CA176" s="35" t="str">
        <f t="shared" ca="1" si="61"/>
        <v/>
      </c>
      <c r="CB176" s="16"/>
    </row>
    <row r="177" spans="1:80" ht="15.75">
      <c r="A177" s="362"/>
      <c r="B177" s="17"/>
      <c r="C177" s="18"/>
      <c r="D177" s="17"/>
      <c r="E177" s="17"/>
      <c r="F177" s="17"/>
      <c r="G177" s="19"/>
      <c r="H177" s="16"/>
      <c r="I177" s="16"/>
      <c r="J177" s="16"/>
      <c r="K177" s="20"/>
      <c r="L177" s="16"/>
      <c r="M177" s="364"/>
      <c r="N177" s="365"/>
      <c r="O177" s="365"/>
      <c r="P177" s="23">
        <f t="shared" si="48"/>
        <v>0</v>
      </c>
      <c r="Q177" s="362"/>
      <c r="R177" s="366"/>
      <c r="S177" s="362"/>
      <c r="T177" s="366"/>
      <c r="U177" s="363"/>
      <c r="V177" s="17"/>
      <c r="W177" s="23" t="str">
        <f>IFERROR(VLOOKUP(V177,Listas!$A$1:$C$14,2,FALSE),"")</f>
        <v/>
      </c>
      <c r="X177" s="23" t="str">
        <f>IFERROR(VLOOKUP(V177,Listas!$A$1:$C$14,3,FALSE),"")</f>
        <v/>
      </c>
      <c r="Y177" s="17"/>
      <c r="Z177" s="17"/>
      <c r="AA177" s="23" t="str">
        <f>IFERROR(VLOOKUP(Z177,Listas!$AD$1:$AF$65,2,FALSE),"")</f>
        <v/>
      </c>
      <c r="AB177" s="23" t="str">
        <f>IFERROR(VLOOKUP(Z177,Listas!$AD$1:$AF$65,3,FALSE),"")</f>
        <v/>
      </c>
      <c r="AC177" s="17"/>
      <c r="AD177" s="17"/>
      <c r="AE177" s="17"/>
      <c r="AF177" s="27"/>
      <c r="AG177" s="19"/>
      <c r="AH177" s="27"/>
      <c r="AI177" s="16"/>
      <c r="AJ177" s="27"/>
      <c r="AK177" s="16"/>
      <c r="AL177" s="28">
        <f t="shared" si="49"/>
        <v>0</v>
      </c>
      <c r="AM177" s="29"/>
      <c r="AN177" s="27"/>
      <c r="AO177" s="30">
        <f t="shared" si="50"/>
        <v>0</v>
      </c>
      <c r="AP177" s="31">
        <f t="shared" si="51"/>
        <v>0</v>
      </c>
      <c r="AQ177" s="27"/>
      <c r="AR177" s="16"/>
      <c r="AS177" s="27"/>
      <c r="AT177" s="16"/>
      <c r="AU177" s="27"/>
      <c r="AV177" s="16"/>
      <c r="AW177" s="27"/>
      <c r="AX177" s="16"/>
      <c r="AY177" s="27"/>
      <c r="AZ177" s="24"/>
      <c r="BA177" s="24"/>
      <c r="BB177" s="24"/>
      <c r="BC177" s="32"/>
      <c r="BD177" s="27"/>
      <c r="BE177" s="24"/>
      <c r="BF177" s="24"/>
      <c r="BG177" s="24"/>
      <c r="BH177" s="16"/>
      <c r="BI177" s="27"/>
      <c r="BJ177" s="24"/>
      <c r="BK177" s="24"/>
      <c r="BL177" s="24"/>
      <c r="BM177" s="16"/>
      <c r="BN177" s="61">
        <f t="shared" si="59"/>
        <v>0</v>
      </c>
      <c r="BO177" s="27"/>
      <c r="BP177" s="24"/>
      <c r="BQ177" s="24"/>
      <c r="BR177" s="16"/>
      <c r="BS177" s="61">
        <f t="shared" si="62"/>
        <v>0</v>
      </c>
      <c r="BT177" s="62"/>
      <c r="BU177" s="69" t="str">
        <f t="shared" ca="1" si="60"/>
        <v/>
      </c>
      <c r="BV177" s="33">
        <f t="shared" ca="1" si="54"/>
        <v>1</v>
      </c>
      <c r="BW177" s="33">
        <v>1</v>
      </c>
      <c r="BX177" s="60" t="str">
        <f t="shared" ca="1" si="55"/>
        <v/>
      </c>
      <c r="BY177" s="34" t="str">
        <f t="shared" si="56"/>
        <v/>
      </c>
      <c r="BZ177" s="21"/>
      <c r="CA177" s="35" t="str">
        <f t="shared" ca="1" si="61"/>
        <v/>
      </c>
      <c r="CB177" s="16"/>
    </row>
    <row r="178" spans="1:80" ht="15.75">
      <c r="A178" s="362"/>
      <c r="B178" s="17"/>
      <c r="C178" s="18"/>
      <c r="D178" s="17"/>
      <c r="E178" s="17"/>
      <c r="F178" s="17"/>
      <c r="G178" s="19"/>
      <c r="H178" s="16"/>
      <c r="I178" s="16"/>
      <c r="J178" s="16"/>
      <c r="K178" s="20"/>
      <c r="L178" s="16"/>
      <c r="M178" s="364"/>
      <c r="N178" s="365"/>
      <c r="O178" s="365"/>
      <c r="P178" s="23">
        <f t="shared" si="48"/>
        <v>0</v>
      </c>
      <c r="Q178" s="362"/>
      <c r="R178" s="366"/>
      <c r="S178" s="362"/>
      <c r="T178" s="366"/>
      <c r="U178" s="363"/>
      <c r="V178" s="17"/>
      <c r="W178" s="23" t="str">
        <f>IFERROR(VLOOKUP(V178,Listas!$A$1:$C$14,2,FALSE),"")</f>
        <v/>
      </c>
      <c r="X178" s="23" t="str">
        <f>IFERROR(VLOOKUP(V178,Listas!$A$1:$C$14,3,FALSE),"")</f>
        <v/>
      </c>
      <c r="Y178" s="17"/>
      <c r="Z178" s="17"/>
      <c r="AA178" s="23" t="str">
        <f>IFERROR(VLOOKUP(Z178,Listas!$AD$1:$AF$65,2,FALSE),"")</f>
        <v/>
      </c>
      <c r="AB178" s="23" t="str">
        <f>IFERROR(VLOOKUP(Z178,Listas!$AD$1:$AF$65,3,FALSE),"")</f>
        <v/>
      </c>
      <c r="AC178" s="17"/>
      <c r="AD178" s="17"/>
      <c r="AE178" s="17"/>
      <c r="AF178" s="27"/>
      <c r="AG178" s="19"/>
      <c r="AH178" s="27"/>
      <c r="AI178" s="16"/>
      <c r="AJ178" s="27"/>
      <c r="AK178" s="16"/>
      <c r="AL178" s="28">
        <f t="shared" si="49"/>
        <v>0</v>
      </c>
      <c r="AM178" s="29"/>
      <c r="AN178" s="27"/>
      <c r="AO178" s="30">
        <f t="shared" si="50"/>
        <v>0</v>
      </c>
      <c r="AP178" s="31">
        <f t="shared" si="51"/>
        <v>0</v>
      </c>
      <c r="AQ178" s="27"/>
      <c r="AR178" s="16"/>
      <c r="AS178" s="27"/>
      <c r="AT178" s="16"/>
      <c r="AU178" s="27"/>
      <c r="AV178" s="16"/>
      <c r="AW178" s="27"/>
      <c r="AX178" s="16"/>
      <c r="AY178" s="27"/>
      <c r="AZ178" s="24"/>
      <c r="BA178" s="24"/>
      <c r="BB178" s="24"/>
      <c r="BC178" s="32"/>
      <c r="BD178" s="27"/>
      <c r="BE178" s="24"/>
      <c r="BF178" s="24"/>
      <c r="BG178" s="24"/>
      <c r="BH178" s="16"/>
      <c r="BI178" s="27"/>
      <c r="BJ178" s="24"/>
      <c r="BK178" s="24"/>
      <c r="BL178" s="24"/>
      <c r="BM178" s="16"/>
      <c r="BN178" s="61">
        <f t="shared" si="59"/>
        <v>0</v>
      </c>
      <c r="BO178" s="27"/>
      <c r="BP178" s="24"/>
      <c r="BQ178" s="24"/>
      <c r="BR178" s="16"/>
      <c r="BS178" s="61">
        <f t="shared" si="62"/>
        <v>0</v>
      </c>
      <c r="BT178" s="62"/>
      <c r="BU178" s="69" t="str">
        <f t="shared" ca="1" si="60"/>
        <v/>
      </c>
      <c r="BV178" s="33">
        <f t="shared" ca="1" si="54"/>
        <v>1</v>
      </c>
      <c r="BW178" s="33">
        <v>1</v>
      </c>
      <c r="BX178" s="60" t="str">
        <f t="shared" ca="1" si="55"/>
        <v/>
      </c>
      <c r="BY178" s="34" t="str">
        <f t="shared" si="56"/>
        <v/>
      </c>
      <c r="BZ178" s="21"/>
      <c r="CA178" s="35" t="str">
        <f t="shared" ca="1" si="61"/>
        <v/>
      </c>
      <c r="CB178" s="16"/>
    </row>
    <row r="179" spans="1:80" ht="15.75">
      <c r="A179" s="362"/>
      <c r="B179" s="17"/>
      <c r="C179" s="18"/>
      <c r="D179" s="17"/>
      <c r="E179" s="17"/>
      <c r="F179" s="17"/>
      <c r="G179" s="19"/>
      <c r="H179" s="16"/>
      <c r="I179" s="16"/>
      <c r="J179" s="16"/>
      <c r="K179" s="20"/>
      <c r="L179" s="16"/>
      <c r="M179" s="364"/>
      <c r="N179" s="365"/>
      <c r="O179" s="365"/>
      <c r="P179" s="23">
        <f t="shared" si="48"/>
        <v>0</v>
      </c>
      <c r="Q179" s="362"/>
      <c r="R179" s="366"/>
      <c r="S179" s="362"/>
      <c r="T179" s="366"/>
      <c r="U179" s="363"/>
      <c r="V179" s="17"/>
      <c r="W179" s="23" t="str">
        <f>IFERROR(VLOOKUP(V179,Listas!$A$1:$C$14,2,FALSE),"")</f>
        <v/>
      </c>
      <c r="X179" s="23" t="str">
        <f>IFERROR(VLOOKUP(V179,Listas!$A$1:$C$14,3,FALSE),"")</f>
        <v/>
      </c>
      <c r="Y179" s="17"/>
      <c r="Z179" s="17"/>
      <c r="AA179" s="23" t="str">
        <f>IFERROR(VLOOKUP(Z179,Listas!$AD$1:$AF$65,2,FALSE),"")</f>
        <v/>
      </c>
      <c r="AB179" s="23" t="str">
        <f>IFERROR(VLOOKUP(Z179,Listas!$AD$1:$AF$65,3,FALSE),"")</f>
        <v/>
      </c>
      <c r="AC179" s="17"/>
      <c r="AD179" s="17"/>
      <c r="AE179" s="17"/>
      <c r="AF179" s="27"/>
      <c r="AG179" s="19"/>
      <c r="AH179" s="27"/>
      <c r="AI179" s="16"/>
      <c r="AJ179" s="27"/>
      <c r="AK179" s="16"/>
      <c r="AL179" s="28">
        <f t="shared" si="49"/>
        <v>0</v>
      </c>
      <c r="AM179" s="29"/>
      <c r="AN179" s="27"/>
      <c r="AO179" s="30">
        <f t="shared" si="50"/>
        <v>0</v>
      </c>
      <c r="AP179" s="31">
        <f t="shared" si="51"/>
        <v>0</v>
      </c>
      <c r="AQ179" s="27"/>
      <c r="AR179" s="16"/>
      <c r="AS179" s="27"/>
      <c r="AT179" s="16"/>
      <c r="AU179" s="27"/>
      <c r="AV179" s="16"/>
      <c r="AW179" s="27"/>
      <c r="AX179" s="16"/>
      <c r="AY179" s="27"/>
      <c r="AZ179" s="24"/>
      <c r="BA179" s="24"/>
      <c r="BB179" s="24"/>
      <c r="BC179" s="32"/>
      <c r="BD179" s="27"/>
      <c r="BE179" s="24"/>
      <c r="BF179" s="24"/>
      <c r="BG179" s="24"/>
      <c r="BH179" s="16"/>
      <c r="BI179" s="27"/>
      <c r="BJ179" s="24"/>
      <c r="BK179" s="24"/>
      <c r="BL179" s="24"/>
      <c r="BM179" s="16"/>
      <c r="BN179" s="61">
        <f t="shared" si="59"/>
        <v>0</v>
      </c>
      <c r="BO179" s="27"/>
      <c r="BP179" s="24"/>
      <c r="BQ179" s="24"/>
      <c r="BR179" s="16"/>
      <c r="BS179" s="61">
        <f t="shared" si="62"/>
        <v>0</v>
      </c>
      <c r="BT179" s="62"/>
      <c r="BU179" s="69" t="str">
        <f t="shared" ca="1" si="60"/>
        <v/>
      </c>
      <c r="BV179" s="33">
        <f t="shared" ca="1" si="54"/>
        <v>1</v>
      </c>
      <c r="BW179" s="33">
        <v>1</v>
      </c>
      <c r="BX179" s="60" t="str">
        <f t="shared" ca="1" si="55"/>
        <v/>
      </c>
      <c r="BY179" s="34" t="str">
        <f t="shared" si="56"/>
        <v/>
      </c>
      <c r="BZ179" s="21"/>
      <c r="CA179" s="35" t="str">
        <f t="shared" ca="1" si="61"/>
        <v/>
      </c>
      <c r="CB179" s="16"/>
    </row>
    <row r="180" spans="1:80" ht="15.75">
      <c r="A180" s="362"/>
      <c r="B180" s="17"/>
      <c r="C180" s="18"/>
      <c r="D180" s="17"/>
      <c r="E180" s="17"/>
      <c r="F180" s="17"/>
      <c r="G180" s="19"/>
      <c r="H180" s="16"/>
      <c r="I180" s="16"/>
      <c r="J180" s="16"/>
      <c r="K180" s="20"/>
      <c r="L180" s="16"/>
      <c r="M180" s="364"/>
      <c r="N180" s="365"/>
      <c r="O180" s="365"/>
      <c r="P180" s="23">
        <f t="shared" si="48"/>
        <v>0</v>
      </c>
      <c r="Q180" s="362"/>
      <c r="R180" s="366"/>
      <c r="S180" s="362"/>
      <c r="T180" s="366"/>
      <c r="U180" s="363"/>
      <c r="V180" s="17"/>
      <c r="W180" s="23" t="str">
        <f>IFERROR(VLOOKUP(V180,Listas!$A$1:$C$14,2,FALSE),"")</f>
        <v/>
      </c>
      <c r="X180" s="23" t="str">
        <f>IFERROR(VLOOKUP(V180,Listas!$A$1:$C$14,3,FALSE),"")</f>
        <v/>
      </c>
      <c r="Y180" s="17"/>
      <c r="Z180" s="17"/>
      <c r="AA180" s="23" t="str">
        <f>IFERROR(VLOOKUP(Z180,Listas!$AD$1:$AF$65,2,FALSE),"")</f>
        <v/>
      </c>
      <c r="AB180" s="23" t="str">
        <f>IFERROR(VLOOKUP(Z180,Listas!$AD$1:$AF$65,3,FALSE),"")</f>
        <v/>
      </c>
      <c r="AC180" s="17"/>
      <c r="AD180" s="17"/>
      <c r="AE180" s="17"/>
      <c r="AF180" s="27"/>
      <c r="AG180" s="19"/>
      <c r="AH180" s="27"/>
      <c r="AI180" s="16"/>
      <c r="AJ180" s="27"/>
      <c r="AK180" s="16"/>
      <c r="AL180" s="28">
        <f t="shared" si="49"/>
        <v>0</v>
      </c>
      <c r="AM180" s="29"/>
      <c r="AN180" s="27"/>
      <c r="AO180" s="30">
        <f t="shared" si="50"/>
        <v>0</v>
      </c>
      <c r="AP180" s="31">
        <f t="shared" si="51"/>
        <v>0</v>
      </c>
      <c r="AQ180" s="27"/>
      <c r="AR180" s="16"/>
      <c r="AS180" s="27"/>
      <c r="AT180" s="16"/>
      <c r="AU180" s="27"/>
      <c r="AV180" s="16"/>
      <c r="AW180" s="27"/>
      <c r="AX180" s="16"/>
      <c r="AY180" s="27"/>
      <c r="AZ180" s="24"/>
      <c r="BA180" s="24"/>
      <c r="BB180" s="24"/>
      <c r="BC180" s="32"/>
      <c r="BD180" s="27"/>
      <c r="BE180" s="24"/>
      <c r="BF180" s="24"/>
      <c r="BG180" s="24"/>
      <c r="BH180" s="16"/>
      <c r="BI180" s="27"/>
      <c r="BJ180" s="24"/>
      <c r="BK180" s="24"/>
      <c r="BL180" s="24"/>
      <c r="BM180" s="16"/>
      <c r="BN180" s="61">
        <f t="shared" si="59"/>
        <v>0</v>
      </c>
      <c r="BO180" s="27"/>
      <c r="BP180" s="24"/>
      <c r="BQ180" s="24"/>
      <c r="BR180" s="16"/>
      <c r="BS180" s="61">
        <f t="shared" si="62"/>
        <v>0</v>
      </c>
      <c r="BT180" s="62"/>
      <c r="BU180" s="69" t="str">
        <f t="shared" ca="1" si="60"/>
        <v/>
      </c>
      <c r="BV180" s="33">
        <f t="shared" ca="1" si="54"/>
        <v>1</v>
      </c>
      <c r="BW180" s="33">
        <v>1</v>
      </c>
      <c r="BX180" s="60" t="str">
        <f t="shared" ca="1" si="55"/>
        <v/>
      </c>
      <c r="BY180" s="34" t="str">
        <f t="shared" si="56"/>
        <v/>
      </c>
      <c r="BZ180" s="21"/>
      <c r="CA180" s="35" t="str">
        <f t="shared" ca="1" si="61"/>
        <v/>
      </c>
      <c r="CB180" s="16"/>
    </row>
    <row r="181" spans="1:80" ht="15.75">
      <c r="A181" s="362"/>
      <c r="B181" s="17"/>
      <c r="C181" s="18"/>
      <c r="D181" s="17"/>
      <c r="E181" s="17"/>
      <c r="F181" s="17"/>
      <c r="G181" s="19"/>
      <c r="H181" s="16"/>
      <c r="I181" s="16"/>
      <c r="J181" s="16"/>
      <c r="K181" s="20"/>
      <c r="L181" s="16"/>
      <c r="M181" s="364"/>
      <c r="N181" s="365"/>
      <c r="O181" s="365"/>
      <c r="P181" s="23">
        <f t="shared" si="48"/>
        <v>0</v>
      </c>
      <c r="Q181" s="362"/>
      <c r="R181" s="366"/>
      <c r="S181" s="362"/>
      <c r="T181" s="366"/>
      <c r="U181" s="363"/>
      <c r="V181" s="17"/>
      <c r="W181" s="23" t="str">
        <f>IFERROR(VLOOKUP(V181,Listas!$A$1:$C$14,2,FALSE),"")</f>
        <v/>
      </c>
      <c r="X181" s="23" t="str">
        <f>IFERROR(VLOOKUP(V181,Listas!$A$1:$C$14,3,FALSE),"")</f>
        <v/>
      </c>
      <c r="Y181" s="17"/>
      <c r="Z181" s="17"/>
      <c r="AA181" s="23" t="str">
        <f>IFERROR(VLOOKUP(Z181,Listas!$AD$1:$AF$65,2,FALSE),"")</f>
        <v/>
      </c>
      <c r="AB181" s="23" t="str">
        <f>IFERROR(VLOOKUP(Z181,Listas!$AD$1:$AF$65,3,FALSE),"")</f>
        <v/>
      </c>
      <c r="AC181" s="17"/>
      <c r="AD181" s="17"/>
      <c r="AE181" s="17"/>
      <c r="AF181" s="27"/>
      <c r="AG181" s="19"/>
      <c r="AH181" s="27"/>
      <c r="AI181" s="16"/>
      <c r="AJ181" s="27"/>
      <c r="AK181" s="16"/>
      <c r="AL181" s="28">
        <f t="shared" si="49"/>
        <v>0</v>
      </c>
      <c r="AM181" s="29"/>
      <c r="AN181" s="27"/>
      <c r="AO181" s="30">
        <f t="shared" si="50"/>
        <v>0</v>
      </c>
      <c r="AP181" s="31">
        <f t="shared" si="51"/>
        <v>0</v>
      </c>
      <c r="AQ181" s="27"/>
      <c r="AR181" s="16"/>
      <c r="AS181" s="27"/>
      <c r="AT181" s="16"/>
      <c r="AU181" s="27"/>
      <c r="AV181" s="16"/>
      <c r="AW181" s="27"/>
      <c r="AX181" s="16"/>
      <c r="AY181" s="27"/>
      <c r="AZ181" s="24"/>
      <c r="BA181" s="24"/>
      <c r="BB181" s="24"/>
      <c r="BC181" s="32"/>
      <c r="BD181" s="27"/>
      <c r="BE181" s="24"/>
      <c r="BF181" s="24"/>
      <c r="BG181" s="24"/>
      <c r="BH181" s="16"/>
      <c r="BI181" s="27"/>
      <c r="BJ181" s="24"/>
      <c r="BK181" s="24"/>
      <c r="BL181" s="24"/>
      <c r="BM181" s="16"/>
      <c r="BN181" s="61">
        <f t="shared" si="59"/>
        <v>0</v>
      </c>
      <c r="BO181" s="27"/>
      <c r="BP181" s="24"/>
      <c r="BQ181" s="24"/>
      <c r="BR181" s="16"/>
      <c r="BS181" s="61">
        <f t="shared" si="62"/>
        <v>0</v>
      </c>
      <c r="BT181" s="62"/>
      <c r="BU181" s="69" t="str">
        <f t="shared" ca="1" si="60"/>
        <v/>
      </c>
      <c r="BV181" s="33">
        <f t="shared" ca="1" si="54"/>
        <v>1</v>
      </c>
      <c r="BW181" s="33">
        <v>1</v>
      </c>
      <c r="BX181" s="60" t="str">
        <f t="shared" ca="1" si="55"/>
        <v/>
      </c>
      <c r="BY181" s="34" t="str">
        <f t="shared" si="56"/>
        <v/>
      </c>
      <c r="BZ181" s="21"/>
      <c r="CA181" s="35" t="str">
        <f t="shared" ca="1" si="61"/>
        <v/>
      </c>
      <c r="CB181" s="16"/>
    </row>
    <row r="182" spans="1:80" ht="15.75">
      <c r="A182" s="362"/>
      <c r="B182" s="17"/>
      <c r="C182" s="18"/>
      <c r="D182" s="17"/>
      <c r="E182" s="17"/>
      <c r="F182" s="17"/>
      <c r="G182" s="19"/>
      <c r="H182" s="16"/>
      <c r="I182" s="16"/>
      <c r="J182" s="16"/>
      <c r="K182" s="20"/>
      <c r="L182" s="16"/>
      <c r="M182" s="364"/>
      <c r="N182" s="365"/>
      <c r="O182" s="365"/>
      <c r="P182" s="23">
        <f t="shared" si="48"/>
        <v>0</v>
      </c>
      <c r="Q182" s="362"/>
      <c r="R182" s="366"/>
      <c r="S182" s="362"/>
      <c r="T182" s="366"/>
      <c r="U182" s="363"/>
      <c r="V182" s="17"/>
      <c r="W182" s="23" t="str">
        <f>IFERROR(VLOOKUP(V182,Listas!$A$1:$C$14,2,FALSE),"")</f>
        <v/>
      </c>
      <c r="X182" s="23" t="str">
        <f>IFERROR(VLOOKUP(V182,Listas!$A$1:$C$14,3,FALSE),"")</f>
        <v/>
      </c>
      <c r="Y182" s="17"/>
      <c r="Z182" s="17"/>
      <c r="AA182" s="23" t="str">
        <f>IFERROR(VLOOKUP(Z182,Listas!$AD$1:$AF$65,2,FALSE),"")</f>
        <v/>
      </c>
      <c r="AB182" s="23" t="str">
        <f>IFERROR(VLOOKUP(Z182,Listas!$AD$1:$AF$65,3,FALSE),"")</f>
        <v/>
      </c>
      <c r="AC182" s="17"/>
      <c r="AD182" s="17"/>
      <c r="AE182" s="17"/>
      <c r="AF182" s="27"/>
      <c r="AG182" s="19"/>
      <c r="AH182" s="27"/>
      <c r="AI182" s="16"/>
      <c r="AJ182" s="27"/>
      <c r="AK182" s="16"/>
      <c r="AL182" s="28">
        <f t="shared" si="49"/>
        <v>0</v>
      </c>
      <c r="AM182" s="29"/>
      <c r="AN182" s="27"/>
      <c r="AO182" s="30">
        <f t="shared" si="50"/>
        <v>0</v>
      </c>
      <c r="AP182" s="31">
        <f t="shared" si="51"/>
        <v>0</v>
      </c>
      <c r="AQ182" s="27"/>
      <c r="AR182" s="16"/>
      <c r="AS182" s="27"/>
      <c r="AT182" s="16"/>
      <c r="AU182" s="27"/>
      <c r="AV182" s="16"/>
      <c r="AW182" s="27"/>
      <c r="AX182" s="16"/>
      <c r="AY182" s="27"/>
      <c r="AZ182" s="24"/>
      <c r="BA182" s="24"/>
      <c r="BB182" s="24"/>
      <c r="BC182" s="32"/>
      <c r="BD182" s="27"/>
      <c r="BE182" s="24"/>
      <c r="BF182" s="24"/>
      <c r="BG182" s="24"/>
      <c r="BH182" s="16"/>
      <c r="BI182" s="27"/>
      <c r="BJ182" s="24"/>
      <c r="BK182" s="24"/>
      <c r="BL182" s="24"/>
      <c r="BM182" s="16"/>
      <c r="BN182" s="61">
        <f t="shared" si="59"/>
        <v>0</v>
      </c>
      <c r="BO182" s="27"/>
      <c r="BP182" s="24"/>
      <c r="BQ182" s="24"/>
      <c r="BR182" s="16"/>
      <c r="BS182" s="61">
        <f t="shared" si="62"/>
        <v>0</v>
      </c>
      <c r="BT182" s="62"/>
      <c r="BU182" s="69" t="str">
        <f t="shared" ca="1" si="60"/>
        <v/>
      </c>
      <c r="BV182" s="33">
        <f t="shared" ca="1" si="54"/>
        <v>1</v>
      </c>
      <c r="BW182" s="33">
        <v>1</v>
      </c>
      <c r="BX182" s="60" t="str">
        <f t="shared" ca="1" si="55"/>
        <v/>
      </c>
      <c r="BY182" s="34" t="str">
        <f t="shared" si="56"/>
        <v/>
      </c>
      <c r="BZ182" s="21"/>
      <c r="CA182" s="35" t="str">
        <f t="shared" ca="1" si="61"/>
        <v/>
      </c>
      <c r="CB182" s="16"/>
    </row>
    <row r="183" spans="1:80" ht="15.75">
      <c r="A183" s="362"/>
      <c r="B183" s="17"/>
      <c r="C183" s="18"/>
      <c r="D183" s="17"/>
      <c r="E183" s="17"/>
      <c r="F183" s="17"/>
      <c r="G183" s="19"/>
      <c r="H183" s="16"/>
      <c r="I183" s="16"/>
      <c r="J183" s="16"/>
      <c r="K183" s="20"/>
      <c r="L183" s="16"/>
      <c r="M183" s="364"/>
      <c r="N183" s="365"/>
      <c r="O183" s="365"/>
      <c r="P183" s="23">
        <f t="shared" si="48"/>
        <v>0</v>
      </c>
      <c r="Q183" s="362"/>
      <c r="R183" s="366"/>
      <c r="S183" s="362"/>
      <c r="T183" s="366"/>
      <c r="U183" s="363"/>
      <c r="V183" s="17"/>
      <c r="W183" s="23" t="str">
        <f>IFERROR(VLOOKUP(V183,Listas!$A$1:$C$14,2,FALSE),"")</f>
        <v/>
      </c>
      <c r="X183" s="23" t="str">
        <f>IFERROR(VLOOKUP(V183,Listas!$A$1:$C$14,3,FALSE),"")</f>
        <v/>
      </c>
      <c r="Y183" s="17"/>
      <c r="Z183" s="17"/>
      <c r="AA183" s="23" t="str">
        <f>IFERROR(VLOOKUP(Z183,Listas!$AD$1:$AF$65,2,FALSE),"")</f>
        <v/>
      </c>
      <c r="AB183" s="23" t="str">
        <f>IFERROR(VLOOKUP(Z183,Listas!$AD$1:$AF$65,3,FALSE),"")</f>
        <v/>
      </c>
      <c r="AC183" s="17"/>
      <c r="AD183" s="17"/>
      <c r="AE183" s="17"/>
      <c r="AF183" s="27"/>
      <c r="AG183" s="19"/>
      <c r="AH183" s="27"/>
      <c r="AI183" s="16"/>
      <c r="AJ183" s="27"/>
      <c r="AK183" s="16"/>
      <c r="AL183" s="28">
        <f t="shared" si="49"/>
        <v>0</v>
      </c>
      <c r="AM183" s="29"/>
      <c r="AN183" s="27"/>
      <c r="AO183" s="30">
        <f t="shared" si="50"/>
        <v>0</v>
      </c>
      <c r="AP183" s="31">
        <f t="shared" si="51"/>
        <v>0</v>
      </c>
      <c r="AQ183" s="27"/>
      <c r="AR183" s="16"/>
      <c r="AS183" s="27"/>
      <c r="AT183" s="16"/>
      <c r="AU183" s="27"/>
      <c r="AV183" s="16"/>
      <c r="AW183" s="27"/>
      <c r="AX183" s="16"/>
      <c r="AY183" s="27"/>
      <c r="AZ183" s="24"/>
      <c r="BA183" s="24"/>
      <c r="BB183" s="24"/>
      <c r="BC183" s="32"/>
      <c r="BD183" s="27"/>
      <c r="BE183" s="24"/>
      <c r="BF183" s="24"/>
      <c r="BG183" s="24"/>
      <c r="BH183" s="16"/>
      <c r="BI183" s="27"/>
      <c r="BJ183" s="24"/>
      <c r="BK183" s="24"/>
      <c r="BL183" s="24"/>
      <c r="BM183" s="16"/>
      <c r="BN183" s="61">
        <f t="shared" si="59"/>
        <v>0</v>
      </c>
      <c r="BO183" s="27"/>
      <c r="BP183" s="24"/>
      <c r="BQ183" s="24"/>
      <c r="BR183" s="16"/>
      <c r="BS183" s="61">
        <f t="shared" si="62"/>
        <v>0</v>
      </c>
      <c r="BT183" s="62"/>
      <c r="BU183" s="69" t="str">
        <f t="shared" ca="1" si="60"/>
        <v/>
      </c>
      <c r="BV183" s="33">
        <f t="shared" ca="1" si="54"/>
        <v>1</v>
      </c>
      <c r="BW183" s="33">
        <v>1</v>
      </c>
      <c r="BX183" s="60" t="str">
        <f t="shared" ca="1" si="55"/>
        <v/>
      </c>
      <c r="BY183" s="34" t="str">
        <f t="shared" si="56"/>
        <v/>
      </c>
      <c r="BZ183" s="21"/>
      <c r="CA183" s="35" t="str">
        <f t="shared" ca="1" si="61"/>
        <v/>
      </c>
      <c r="CB183" s="16"/>
    </row>
    <row r="184" spans="1:80" ht="15.75">
      <c r="A184" s="362"/>
      <c r="B184" s="17"/>
      <c r="C184" s="18"/>
      <c r="D184" s="17"/>
      <c r="E184" s="17"/>
      <c r="F184" s="17"/>
      <c r="G184" s="19"/>
      <c r="H184" s="16"/>
      <c r="I184" s="16"/>
      <c r="J184" s="16"/>
      <c r="K184" s="20"/>
      <c r="L184" s="16"/>
      <c r="M184" s="364"/>
      <c r="N184" s="365"/>
      <c r="O184" s="365"/>
      <c r="P184" s="23">
        <f t="shared" si="48"/>
        <v>0</v>
      </c>
      <c r="Q184" s="362"/>
      <c r="R184" s="366"/>
      <c r="S184" s="362"/>
      <c r="T184" s="366"/>
      <c r="U184" s="363"/>
      <c r="V184" s="17"/>
      <c r="W184" s="23" t="str">
        <f>IFERROR(VLOOKUP(V184,Listas!$A$1:$C$14,2,FALSE),"")</f>
        <v/>
      </c>
      <c r="X184" s="23" t="str">
        <f>IFERROR(VLOOKUP(V184,Listas!$A$1:$C$14,3,FALSE),"")</f>
        <v/>
      </c>
      <c r="Y184" s="17"/>
      <c r="Z184" s="17"/>
      <c r="AA184" s="23" t="str">
        <f>IFERROR(VLOOKUP(Z184,Listas!$AD$1:$AF$65,2,FALSE),"")</f>
        <v/>
      </c>
      <c r="AB184" s="23" t="str">
        <f>IFERROR(VLOOKUP(Z184,Listas!$AD$1:$AF$65,3,FALSE),"")</f>
        <v/>
      </c>
      <c r="AC184" s="17"/>
      <c r="AD184" s="17"/>
      <c r="AE184" s="17"/>
      <c r="AF184" s="27"/>
      <c r="AG184" s="19"/>
      <c r="AH184" s="27"/>
      <c r="AI184" s="16"/>
      <c r="AJ184" s="27"/>
      <c r="AK184" s="16"/>
      <c r="AL184" s="28">
        <f t="shared" si="49"/>
        <v>0</v>
      </c>
      <c r="AM184" s="29"/>
      <c r="AN184" s="27"/>
      <c r="AO184" s="30">
        <f t="shared" si="50"/>
        <v>0</v>
      </c>
      <c r="AP184" s="31">
        <f t="shared" si="51"/>
        <v>0</v>
      </c>
      <c r="AQ184" s="27"/>
      <c r="AR184" s="16"/>
      <c r="AS184" s="27"/>
      <c r="AT184" s="16"/>
      <c r="AU184" s="27"/>
      <c r="AV184" s="16"/>
      <c r="AW184" s="27"/>
      <c r="AX184" s="16"/>
      <c r="AY184" s="27"/>
      <c r="AZ184" s="24"/>
      <c r="BA184" s="24"/>
      <c r="BB184" s="24"/>
      <c r="BC184" s="32"/>
      <c r="BD184" s="27"/>
      <c r="BE184" s="24"/>
      <c r="BF184" s="24"/>
      <c r="BG184" s="24"/>
      <c r="BH184" s="16"/>
      <c r="BI184" s="27"/>
      <c r="BJ184" s="24"/>
      <c r="BK184" s="24"/>
      <c r="BL184" s="24"/>
      <c r="BM184" s="16"/>
      <c r="BN184" s="61">
        <f t="shared" si="59"/>
        <v>0</v>
      </c>
      <c r="BO184" s="27"/>
      <c r="BP184" s="24"/>
      <c r="BQ184" s="24"/>
      <c r="BR184" s="16"/>
      <c r="BS184" s="61">
        <f t="shared" si="62"/>
        <v>0</v>
      </c>
      <c r="BT184" s="62"/>
      <c r="BU184" s="69" t="str">
        <f t="shared" ca="1" si="60"/>
        <v/>
      </c>
      <c r="BV184" s="33">
        <f t="shared" ca="1" si="54"/>
        <v>1</v>
      </c>
      <c r="BW184" s="33">
        <v>1</v>
      </c>
      <c r="BX184" s="60" t="str">
        <f t="shared" ca="1" si="55"/>
        <v/>
      </c>
      <c r="BY184" s="34" t="str">
        <f t="shared" si="56"/>
        <v/>
      </c>
      <c r="BZ184" s="21"/>
      <c r="CA184" s="35" t="str">
        <f t="shared" ca="1" si="61"/>
        <v/>
      </c>
      <c r="CB184" s="16"/>
    </row>
    <row r="185" spans="1:80" ht="15.75">
      <c r="A185" s="362"/>
      <c r="B185" s="17"/>
      <c r="C185" s="18"/>
      <c r="D185" s="17"/>
      <c r="E185" s="17"/>
      <c r="F185" s="17"/>
      <c r="G185" s="19"/>
      <c r="H185" s="16"/>
      <c r="I185" s="16"/>
      <c r="J185" s="16"/>
      <c r="K185" s="20"/>
      <c r="L185" s="16"/>
      <c r="M185" s="364"/>
      <c r="N185" s="365"/>
      <c r="O185" s="365"/>
      <c r="P185" s="23">
        <f t="shared" si="48"/>
        <v>0</v>
      </c>
      <c r="Q185" s="362"/>
      <c r="R185" s="366"/>
      <c r="S185" s="362"/>
      <c r="T185" s="366"/>
      <c r="U185" s="363"/>
      <c r="V185" s="17"/>
      <c r="W185" s="23" t="str">
        <f>IFERROR(VLOOKUP(V185,Listas!$A$1:$C$14,2,FALSE),"")</f>
        <v/>
      </c>
      <c r="X185" s="23" t="str">
        <f>IFERROR(VLOOKUP(V185,Listas!$A$1:$C$14,3,FALSE),"")</f>
        <v/>
      </c>
      <c r="Y185" s="17"/>
      <c r="Z185" s="17"/>
      <c r="AA185" s="23" t="str">
        <f>IFERROR(VLOOKUP(Z185,Listas!$AD$1:$AF$65,2,FALSE),"")</f>
        <v/>
      </c>
      <c r="AB185" s="23" t="str">
        <f>IFERROR(VLOOKUP(Z185,Listas!$AD$1:$AF$65,3,FALSE),"")</f>
        <v/>
      </c>
      <c r="AC185" s="17"/>
      <c r="AD185" s="17"/>
      <c r="AE185" s="17"/>
      <c r="AF185" s="27"/>
      <c r="AG185" s="19"/>
      <c r="AH185" s="27"/>
      <c r="AI185" s="16"/>
      <c r="AJ185" s="27"/>
      <c r="AK185" s="16"/>
      <c r="AL185" s="28">
        <f t="shared" si="49"/>
        <v>0</v>
      </c>
      <c r="AM185" s="29"/>
      <c r="AN185" s="27"/>
      <c r="AO185" s="30">
        <f t="shared" si="50"/>
        <v>0</v>
      </c>
      <c r="AP185" s="31">
        <f t="shared" si="51"/>
        <v>0</v>
      </c>
      <c r="AQ185" s="27"/>
      <c r="AR185" s="16"/>
      <c r="AS185" s="27"/>
      <c r="AT185" s="16"/>
      <c r="AU185" s="27"/>
      <c r="AV185" s="16"/>
      <c r="AW185" s="27"/>
      <c r="AX185" s="16"/>
      <c r="AY185" s="27"/>
      <c r="AZ185" s="24"/>
      <c r="BA185" s="24"/>
      <c r="BB185" s="24"/>
      <c r="BC185" s="32"/>
      <c r="BD185" s="27"/>
      <c r="BE185" s="24"/>
      <c r="BF185" s="24"/>
      <c r="BG185" s="24"/>
      <c r="BH185" s="16"/>
      <c r="BI185" s="27"/>
      <c r="BJ185" s="24"/>
      <c r="BK185" s="24"/>
      <c r="BL185" s="24"/>
      <c r="BM185" s="16"/>
      <c r="BN185" s="61">
        <f t="shared" si="59"/>
        <v>0</v>
      </c>
      <c r="BO185" s="27"/>
      <c r="BP185" s="24"/>
      <c r="BQ185" s="24"/>
      <c r="BR185" s="16"/>
      <c r="BS185" s="61">
        <f t="shared" si="62"/>
        <v>0</v>
      </c>
      <c r="BT185" s="62"/>
      <c r="BU185" s="69" t="str">
        <f t="shared" ca="1" si="60"/>
        <v/>
      </c>
      <c r="BV185" s="33">
        <f t="shared" ca="1" si="54"/>
        <v>1</v>
      </c>
      <c r="BW185" s="33">
        <v>1</v>
      </c>
      <c r="BX185" s="60" t="str">
        <f t="shared" ca="1" si="55"/>
        <v/>
      </c>
      <c r="BY185" s="34" t="str">
        <f t="shared" si="56"/>
        <v/>
      </c>
      <c r="BZ185" s="21"/>
      <c r="CA185" s="35" t="str">
        <f t="shared" ca="1" si="61"/>
        <v/>
      </c>
      <c r="CB185" s="16"/>
    </row>
    <row r="186" spans="1:80" ht="15.75">
      <c r="A186" s="362"/>
      <c r="B186" s="17"/>
      <c r="C186" s="18"/>
      <c r="D186" s="17"/>
      <c r="E186" s="17"/>
      <c r="F186" s="17"/>
      <c r="G186" s="19"/>
      <c r="H186" s="16"/>
      <c r="I186" s="16"/>
      <c r="J186" s="16"/>
      <c r="K186" s="20"/>
      <c r="L186" s="16"/>
      <c r="M186" s="364"/>
      <c r="N186" s="365"/>
      <c r="O186" s="365"/>
      <c r="P186" s="23">
        <f t="shared" si="48"/>
        <v>0</v>
      </c>
      <c r="Q186" s="362"/>
      <c r="R186" s="366"/>
      <c r="S186" s="362"/>
      <c r="T186" s="366"/>
      <c r="U186" s="363"/>
      <c r="V186" s="17"/>
      <c r="W186" s="23" t="str">
        <f>IFERROR(VLOOKUP(V186,Listas!$A$1:$C$14,2,FALSE),"")</f>
        <v/>
      </c>
      <c r="X186" s="23" t="str">
        <f>IFERROR(VLOOKUP(V186,Listas!$A$1:$C$14,3,FALSE),"")</f>
        <v/>
      </c>
      <c r="Y186" s="17"/>
      <c r="Z186" s="17"/>
      <c r="AA186" s="23" t="str">
        <f>IFERROR(VLOOKUP(Z186,Listas!$AD$1:$AF$65,2,FALSE),"")</f>
        <v/>
      </c>
      <c r="AB186" s="23" t="str">
        <f>IFERROR(VLOOKUP(Z186,Listas!$AD$1:$AF$65,3,FALSE),"")</f>
        <v/>
      </c>
      <c r="AC186" s="17"/>
      <c r="AD186" s="17"/>
      <c r="AE186" s="17"/>
      <c r="AF186" s="27"/>
      <c r="AG186" s="19"/>
      <c r="AH186" s="27"/>
      <c r="AI186" s="16"/>
      <c r="AJ186" s="27"/>
      <c r="AK186" s="16"/>
      <c r="AL186" s="28">
        <f t="shared" si="49"/>
        <v>0</v>
      </c>
      <c r="AM186" s="29"/>
      <c r="AN186" s="27"/>
      <c r="AO186" s="30">
        <f t="shared" si="50"/>
        <v>0</v>
      </c>
      <c r="AP186" s="31">
        <f t="shared" si="51"/>
        <v>0</v>
      </c>
      <c r="AQ186" s="27"/>
      <c r="AR186" s="16"/>
      <c r="AS186" s="27"/>
      <c r="AT186" s="16"/>
      <c r="AU186" s="27"/>
      <c r="AV186" s="16"/>
      <c r="AW186" s="27"/>
      <c r="AX186" s="16"/>
      <c r="AY186" s="27"/>
      <c r="AZ186" s="24"/>
      <c r="BA186" s="24"/>
      <c r="BB186" s="24"/>
      <c r="BC186" s="32"/>
      <c r="BD186" s="27"/>
      <c r="BE186" s="24"/>
      <c r="BF186" s="24"/>
      <c r="BG186" s="24"/>
      <c r="BH186" s="16"/>
      <c r="BI186" s="27"/>
      <c r="BJ186" s="24"/>
      <c r="BK186" s="24"/>
      <c r="BL186" s="24"/>
      <c r="BM186" s="16"/>
      <c r="BN186" s="61">
        <f t="shared" si="59"/>
        <v>0</v>
      </c>
      <c r="BO186" s="27"/>
      <c r="BP186" s="24"/>
      <c r="BQ186" s="24"/>
      <c r="BR186" s="16"/>
      <c r="BS186" s="61">
        <f t="shared" si="62"/>
        <v>0</v>
      </c>
      <c r="BT186" s="62"/>
      <c r="BU186" s="69" t="str">
        <f t="shared" ca="1" si="60"/>
        <v/>
      </c>
      <c r="BV186" s="33">
        <f t="shared" ca="1" si="54"/>
        <v>1</v>
      </c>
      <c r="BW186" s="33">
        <v>1</v>
      </c>
      <c r="BX186" s="60" t="str">
        <f t="shared" ca="1" si="55"/>
        <v/>
      </c>
      <c r="BY186" s="34" t="str">
        <f t="shared" si="56"/>
        <v/>
      </c>
      <c r="BZ186" s="21"/>
      <c r="CA186" s="35" t="str">
        <f t="shared" ca="1" si="61"/>
        <v/>
      </c>
      <c r="CB186" s="16"/>
    </row>
    <row r="187" spans="1:80" ht="15.75">
      <c r="A187" s="362"/>
      <c r="B187" s="17"/>
      <c r="C187" s="18"/>
      <c r="D187" s="17"/>
      <c r="E187" s="17"/>
      <c r="F187" s="17"/>
      <c r="G187" s="19"/>
      <c r="H187" s="16"/>
      <c r="I187" s="16"/>
      <c r="J187" s="16"/>
      <c r="K187" s="20"/>
      <c r="L187" s="16"/>
      <c r="M187" s="364"/>
      <c r="N187" s="365"/>
      <c r="O187" s="365"/>
      <c r="P187" s="23">
        <f t="shared" si="48"/>
        <v>0</v>
      </c>
      <c r="Q187" s="362"/>
      <c r="R187" s="366"/>
      <c r="S187" s="362"/>
      <c r="T187" s="366"/>
      <c r="U187" s="363"/>
      <c r="V187" s="17"/>
      <c r="W187" s="23" t="str">
        <f>IFERROR(VLOOKUP(V187,Listas!$A$1:$C$14,2,FALSE),"")</f>
        <v/>
      </c>
      <c r="X187" s="23" t="str">
        <f>IFERROR(VLOOKUP(V187,Listas!$A$1:$C$14,3,FALSE),"")</f>
        <v/>
      </c>
      <c r="Y187" s="17"/>
      <c r="Z187" s="17"/>
      <c r="AA187" s="23" t="str">
        <f>IFERROR(VLOOKUP(Z187,Listas!$AD$1:$AF$65,2,FALSE),"")</f>
        <v/>
      </c>
      <c r="AB187" s="23" t="str">
        <f>IFERROR(VLOOKUP(Z187,Listas!$AD$1:$AF$65,3,FALSE),"")</f>
        <v/>
      </c>
      <c r="AC187" s="17"/>
      <c r="AD187" s="17"/>
      <c r="AE187" s="17"/>
      <c r="AF187" s="27"/>
      <c r="AG187" s="19"/>
      <c r="AH187" s="27"/>
      <c r="AI187" s="16"/>
      <c r="AJ187" s="27"/>
      <c r="AK187" s="16"/>
      <c r="AL187" s="28">
        <f t="shared" si="49"/>
        <v>0</v>
      </c>
      <c r="AM187" s="29"/>
      <c r="AN187" s="27"/>
      <c r="AO187" s="30">
        <f t="shared" si="50"/>
        <v>0</v>
      </c>
      <c r="AP187" s="31">
        <f t="shared" si="51"/>
        <v>0</v>
      </c>
      <c r="AQ187" s="27"/>
      <c r="AR187" s="16"/>
      <c r="AS187" s="27"/>
      <c r="AT187" s="16"/>
      <c r="AU187" s="27"/>
      <c r="AV187" s="16"/>
      <c r="AW187" s="27"/>
      <c r="AX187" s="16"/>
      <c r="AY187" s="27"/>
      <c r="AZ187" s="24"/>
      <c r="BA187" s="24"/>
      <c r="BB187" s="24"/>
      <c r="BC187" s="32"/>
      <c r="BD187" s="27"/>
      <c r="BE187" s="24"/>
      <c r="BF187" s="24"/>
      <c r="BG187" s="24"/>
      <c r="BH187" s="16"/>
      <c r="BI187" s="27"/>
      <c r="BJ187" s="24"/>
      <c r="BK187" s="24"/>
      <c r="BL187" s="24"/>
      <c r="BM187" s="16"/>
      <c r="BN187" s="61">
        <f t="shared" si="59"/>
        <v>0</v>
      </c>
      <c r="BO187" s="27"/>
      <c r="BP187" s="24"/>
      <c r="BQ187" s="24"/>
      <c r="BR187" s="16"/>
      <c r="BS187" s="61">
        <f t="shared" si="62"/>
        <v>0</v>
      </c>
      <c r="BT187" s="62"/>
      <c r="BU187" s="69" t="str">
        <f t="shared" ca="1" si="60"/>
        <v/>
      </c>
      <c r="BV187" s="33">
        <f t="shared" ca="1" si="54"/>
        <v>1</v>
      </c>
      <c r="BW187" s="33">
        <v>1</v>
      </c>
      <c r="BX187" s="60" t="str">
        <f t="shared" ca="1" si="55"/>
        <v/>
      </c>
      <c r="BY187" s="34" t="str">
        <f t="shared" si="56"/>
        <v/>
      </c>
      <c r="BZ187" s="21"/>
      <c r="CA187" s="35" t="str">
        <f t="shared" ca="1" si="61"/>
        <v/>
      </c>
      <c r="CB187" s="16"/>
    </row>
    <row r="188" spans="1:80" ht="15.75">
      <c r="A188" s="362"/>
      <c r="B188" s="17"/>
      <c r="C188" s="18"/>
      <c r="D188" s="17"/>
      <c r="E188" s="17"/>
      <c r="F188" s="17"/>
      <c r="G188" s="19"/>
      <c r="H188" s="16"/>
      <c r="I188" s="16"/>
      <c r="J188" s="16"/>
      <c r="K188" s="20"/>
      <c r="L188" s="16"/>
      <c r="M188" s="364"/>
      <c r="N188" s="365"/>
      <c r="O188" s="365"/>
      <c r="P188" s="23">
        <f t="shared" si="48"/>
        <v>0</v>
      </c>
      <c r="Q188" s="362"/>
      <c r="R188" s="366"/>
      <c r="S188" s="362"/>
      <c r="T188" s="366"/>
      <c r="U188" s="363"/>
      <c r="V188" s="17"/>
      <c r="W188" s="23" t="str">
        <f>IFERROR(VLOOKUP(V188,Listas!$A$1:$C$14,2,FALSE),"")</f>
        <v/>
      </c>
      <c r="X188" s="23" t="str">
        <f>IFERROR(VLOOKUP(V188,Listas!$A$1:$C$14,3,FALSE),"")</f>
        <v/>
      </c>
      <c r="Y188" s="17"/>
      <c r="Z188" s="17"/>
      <c r="AA188" s="23" t="str">
        <f>IFERROR(VLOOKUP(Z188,Listas!$AD$1:$AF$65,2,FALSE),"")</f>
        <v/>
      </c>
      <c r="AB188" s="23" t="str">
        <f>IFERROR(VLOOKUP(Z188,Listas!$AD$1:$AF$65,3,FALSE),"")</f>
        <v/>
      </c>
      <c r="AC188" s="17"/>
      <c r="AD188" s="17"/>
      <c r="AE188" s="17"/>
      <c r="AF188" s="27"/>
      <c r="AG188" s="19"/>
      <c r="AH188" s="27"/>
      <c r="AI188" s="16"/>
      <c r="AJ188" s="27"/>
      <c r="AK188" s="16"/>
      <c r="AL188" s="28">
        <f t="shared" si="49"/>
        <v>0</v>
      </c>
      <c r="AM188" s="29"/>
      <c r="AN188" s="27"/>
      <c r="AO188" s="30">
        <f t="shared" si="50"/>
        <v>0</v>
      </c>
      <c r="AP188" s="31">
        <f t="shared" si="51"/>
        <v>0</v>
      </c>
      <c r="AQ188" s="27"/>
      <c r="AR188" s="16"/>
      <c r="AS188" s="27"/>
      <c r="AT188" s="16"/>
      <c r="AU188" s="27"/>
      <c r="AV188" s="16"/>
      <c r="AW188" s="27"/>
      <c r="AX188" s="16"/>
      <c r="AY188" s="27"/>
      <c r="AZ188" s="24"/>
      <c r="BA188" s="24"/>
      <c r="BB188" s="24"/>
      <c r="BC188" s="32"/>
      <c r="BD188" s="27"/>
      <c r="BE188" s="24"/>
      <c r="BF188" s="24"/>
      <c r="BG188" s="24"/>
      <c r="BH188" s="16"/>
      <c r="BI188" s="27"/>
      <c r="BJ188" s="24"/>
      <c r="BK188" s="24"/>
      <c r="BL188" s="24"/>
      <c r="BM188" s="16"/>
      <c r="BN188" s="61">
        <f t="shared" si="59"/>
        <v>0</v>
      </c>
      <c r="BO188" s="27"/>
      <c r="BP188" s="24"/>
      <c r="BQ188" s="24"/>
      <c r="BR188" s="16"/>
      <c r="BS188" s="61">
        <f t="shared" si="62"/>
        <v>0</v>
      </c>
      <c r="BT188" s="62"/>
      <c r="BU188" s="69" t="str">
        <f t="shared" ca="1" si="60"/>
        <v/>
      </c>
      <c r="BV188" s="33">
        <f t="shared" ca="1" si="54"/>
        <v>1</v>
      </c>
      <c r="BW188" s="33">
        <v>1</v>
      </c>
      <c r="BX188" s="60" t="str">
        <f t="shared" ca="1" si="55"/>
        <v/>
      </c>
      <c r="BY188" s="34" t="str">
        <f t="shared" si="56"/>
        <v/>
      </c>
      <c r="BZ188" s="21"/>
      <c r="CA188" s="35" t="str">
        <f t="shared" ca="1" si="61"/>
        <v/>
      </c>
      <c r="CB188" s="16"/>
    </row>
    <row r="189" spans="1:80" ht="15.75">
      <c r="A189" s="362"/>
      <c r="B189" s="17"/>
      <c r="C189" s="18"/>
      <c r="D189" s="17"/>
      <c r="E189" s="17"/>
      <c r="F189" s="17"/>
      <c r="G189" s="19"/>
      <c r="H189" s="16"/>
      <c r="I189" s="16"/>
      <c r="J189" s="16"/>
      <c r="K189" s="20"/>
      <c r="L189" s="16"/>
      <c r="M189" s="364"/>
      <c r="N189" s="365"/>
      <c r="O189" s="365"/>
      <c r="P189" s="23">
        <f t="shared" si="48"/>
        <v>0</v>
      </c>
      <c r="Q189" s="362"/>
      <c r="R189" s="366"/>
      <c r="S189" s="362"/>
      <c r="T189" s="366"/>
      <c r="U189" s="363"/>
      <c r="V189" s="17"/>
      <c r="W189" s="23" t="str">
        <f>IFERROR(VLOOKUP(V189,Listas!$A$1:$C$14,2,FALSE),"")</f>
        <v/>
      </c>
      <c r="X189" s="23" t="str">
        <f>IFERROR(VLOOKUP(V189,Listas!$A$1:$C$14,3,FALSE),"")</f>
        <v/>
      </c>
      <c r="Y189" s="17"/>
      <c r="Z189" s="17"/>
      <c r="AA189" s="23" t="str">
        <f>IFERROR(VLOOKUP(Z189,Listas!$AD$1:$AF$65,2,FALSE),"")</f>
        <v/>
      </c>
      <c r="AB189" s="23" t="str">
        <f>IFERROR(VLOOKUP(Z189,Listas!$AD$1:$AF$65,3,FALSE),"")</f>
        <v/>
      </c>
      <c r="AC189" s="17"/>
      <c r="AD189" s="17"/>
      <c r="AE189" s="17"/>
      <c r="AF189" s="27"/>
      <c r="AG189" s="19"/>
      <c r="AH189" s="27"/>
      <c r="AI189" s="16"/>
      <c r="AJ189" s="27"/>
      <c r="AK189" s="16"/>
      <c r="AL189" s="28">
        <f t="shared" si="49"/>
        <v>0</v>
      </c>
      <c r="AM189" s="29"/>
      <c r="AN189" s="27"/>
      <c r="AO189" s="30">
        <f t="shared" si="50"/>
        <v>0</v>
      </c>
      <c r="AP189" s="31">
        <f t="shared" si="51"/>
        <v>0</v>
      </c>
      <c r="AQ189" s="27"/>
      <c r="AR189" s="16"/>
      <c r="AS189" s="27"/>
      <c r="AT189" s="16"/>
      <c r="AU189" s="27"/>
      <c r="AV189" s="16"/>
      <c r="AW189" s="27"/>
      <c r="AX189" s="16"/>
      <c r="AY189" s="27"/>
      <c r="AZ189" s="24"/>
      <c r="BA189" s="24"/>
      <c r="BB189" s="24"/>
      <c r="BC189" s="32"/>
      <c r="BD189" s="27"/>
      <c r="BE189" s="24"/>
      <c r="BF189" s="24"/>
      <c r="BG189" s="24"/>
      <c r="BH189" s="16"/>
      <c r="BI189" s="27"/>
      <c r="BJ189" s="24"/>
      <c r="BK189" s="24"/>
      <c r="BL189" s="24"/>
      <c r="BM189" s="16"/>
      <c r="BN189" s="61">
        <f t="shared" si="59"/>
        <v>0</v>
      </c>
      <c r="BO189" s="27"/>
      <c r="BP189" s="24"/>
      <c r="BQ189" s="24"/>
      <c r="BR189" s="16"/>
      <c r="BS189" s="61">
        <f t="shared" si="62"/>
        <v>0</v>
      </c>
      <c r="BT189" s="62"/>
      <c r="BU189" s="69" t="str">
        <f t="shared" ca="1" si="60"/>
        <v/>
      </c>
      <c r="BV189" s="33">
        <f t="shared" ca="1" si="54"/>
        <v>1</v>
      </c>
      <c r="BW189" s="33">
        <v>1</v>
      </c>
      <c r="BX189" s="60" t="str">
        <f t="shared" ca="1" si="55"/>
        <v/>
      </c>
      <c r="BY189" s="34" t="str">
        <f t="shared" si="56"/>
        <v/>
      </c>
      <c r="BZ189" s="21"/>
      <c r="CA189" s="35" t="str">
        <f t="shared" ca="1" si="61"/>
        <v/>
      </c>
      <c r="CB189" s="16"/>
    </row>
    <row r="190" spans="1:80" ht="15.75">
      <c r="A190" s="362"/>
      <c r="B190" s="17"/>
      <c r="C190" s="18"/>
      <c r="D190" s="17"/>
      <c r="E190" s="17"/>
      <c r="F190" s="17"/>
      <c r="G190" s="19"/>
      <c r="H190" s="16"/>
      <c r="I190" s="16"/>
      <c r="J190" s="16"/>
      <c r="K190" s="20"/>
      <c r="L190" s="16"/>
      <c r="M190" s="364"/>
      <c r="N190" s="365"/>
      <c r="O190" s="365"/>
      <c r="P190" s="23">
        <f t="shared" si="48"/>
        <v>0</v>
      </c>
      <c r="Q190" s="362"/>
      <c r="R190" s="366"/>
      <c r="S190" s="362"/>
      <c r="T190" s="366"/>
      <c r="U190" s="363"/>
      <c r="V190" s="17"/>
      <c r="W190" s="23" t="str">
        <f>IFERROR(VLOOKUP(V190,Listas!$A$1:$C$14,2,FALSE),"")</f>
        <v/>
      </c>
      <c r="X190" s="23" t="str">
        <f>IFERROR(VLOOKUP(V190,Listas!$A$1:$C$14,3,FALSE),"")</f>
        <v/>
      </c>
      <c r="Y190" s="17"/>
      <c r="Z190" s="17"/>
      <c r="AA190" s="23" t="str">
        <f>IFERROR(VLOOKUP(Z190,Listas!$AD$1:$AF$65,2,FALSE),"")</f>
        <v/>
      </c>
      <c r="AB190" s="23" t="str">
        <f>IFERROR(VLOOKUP(Z190,Listas!$AD$1:$AF$65,3,FALSE),"")</f>
        <v/>
      </c>
      <c r="AC190" s="17"/>
      <c r="AD190" s="17"/>
      <c r="AE190" s="17"/>
      <c r="AF190" s="27"/>
      <c r="AG190" s="19"/>
      <c r="AH190" s="27"/>
      <c r="AI190" s="16"/>
      <c r="AJ190" s="27"/>
      <c r="AK190" s="16"/>
      <c r="AL190" s="28">
        <f t="shared" si="49"/>
        <v>0</v>
      </c>
      <c r="AM190" s="29"/>
      <c r="AN190" s="27"/>
      <c r="AO190" s="30">
        <f t="shared" si="50"/>
        <v>0</v>
      </c>
      <c r="AP190" s="31">
        <f t="shared" si="51"/>
        <v>0</v>
      </c>
      <c r="AQ190" s="27"/>
      <c r="AR190" s="16"/>
      <c r="AS190" s="27"/>
      <c r="AT190" s="16"/>
      <c r="AU190" s="27"/>
      <c r="AV190" s="16"/>
      <c r="AW190" s="27"/>
      <c r="AX190" s="16"/>
      <c r="AY190" s="27"/>
      <c r="AZ190" s="24"/>
      <c r="BA190" s="24"/>
      <c r="BB190" s="24"/>
      <c r="BC190" s="32"/>
      <c r="BD190" s="27"/>
      <c r="BE190" s="24"/>
      <c r="BF190" s="24"/>
      <c r="BG190" s="24"/>
      <c r="BH190" s="16"/>
      <c r="BI190" s="27"/>
      <c r="BJ190" s="24"/>
      <c r="BK190" s="24"/>
      <c r="BL190" s="24"/>
      <c r="BM190" s="16"/>
      <c r="BN190" s="61">
        <f t="shared" si="59"/>
        <v>0</v>
      </c>
      <c r="BO190" s="27"/>
      <c r="BP190" s="24"/>
      <c r="BQ190" s="24"/>
      <c r="BR190" s="16"/>
      <c r="BS190" s="61">
        <f t="shared" si="62"/>
        <v>0</v>
      </c>
      <c r="BT190" s="62"/>
      <c r="BU190" s="69" t="str">
        <f t="shared" ca="1" si="60"/>
        <v/>
      </c>
      <c r="BV190" s="33">
        <f t="shared" ca="1" si="54"/>
        <v>1</v>
      </c>
      <c r="BW190" s="33">
        <v>1</v>
      </c>
      <c r="BX190" s="60" t="str">
        <f t="shared" ca="1" si="55"/>
        <v/>
      </c>
      <c r="BY190" s="34" t="str">
        <f t="shared" si="56"/>
        <v/>
      </c>
      <c r="BZ190" s="21"/>
      <c r="CA190" s="35" t="str">
        <f t="shared" ca="1" si="61"/>
        <v/>
      </c>
      <c r="CB190" s="16"/>
    </row>
    <row r="191" spans="1:80" ht="15.75">
      <c r="A191" s="362"/>
      <c r="B191" s="17"/>
      <c r="C191" s="18"/>
      <c r="D191" s="17"/>
      <c r="E191" s="17"/>
      <c r="F191" s="17"/>
      <c r="G191" s="19"/>
      <c r="H191" s="16"/>
      <c r="I191" s="16"/>
      <c r="J191" s="16"/>
      <c r="K191" s="20"/>
      <c r="L191" s="16"/>
      <c r="M191" s="364"/>
      <c r="N191" s="365"/>
      <c r="O191" s="365"/>
      <c r="P191" s="23">
        <f t="shared" si="48"/>
        <v>0</v>
      </c>
      <c r="Q191" s="362"/>
      <c r="R191" s="366"/>
      <c r="S191" s="362"/>
      <c r="T191" s="366"/>
      <c r="U191" s="363"/>
      <c r="V191" s="17"/>
      <c r="W191" s="23" t="str">
        <f>IFERROR(VLOOKUP(V191,Listas!$A$1:$C$14,2,FALSE),"")</f>
        <v/>
      </c>
      <c r="X191" s="23" t="str">
        <f>IFERROR(VLOOKUP(V191,Listas!$A$1:$C$14,3,FALSE),"")</f>
        <v/>
      </c>
      <c r="Y191" s="17"/>
      <c r="Z191" s="17"/>
      <c r="AA191" s="23" t="str">
        <f>IFERROR(VLOOKUP(Z191,Listas!$AD$1:$AF$65,2,FALSE),"")</f>
        <v/>
      </c>
      <c r="AB191" s="23" t="str">
        <f>IFERROR(VLOOKUP(Z191,Listas!$AD$1:$AF$65,3,FALSE),"")</f>
        <v/>
      </c>
      <c r="AC191" s="17"/>
      <c r="AD191" s="17"/>
      <c r="AE191" s="17"/>
      <c r="AF191" s="27"/>
      <c r="AG191" s="19"/>
      <c r="AH191" s="27"/>
      <c r="AI191" s="16"/>
      <c r="AJ191" s="27"/>
      <c r="AK191" s="16"/>
      <c r="AL191" s="28">
        <f t="shared" si="49"/>
        <v>0</v>
      </c>
      <c r="AM191" s="29"/>
      <c r="AN191" s="27"/>
      <c r="AO191" s="30">
        <f t="shared" si="50"/>
        <v>0</v>
      </c>
      <c r="AP191" s="31">
        <f t="shared" si="51"/>
        <v>0</v>
      </c>
      <c r="AQ191" s="27"/>
      <c r="AR191" s="16"/>
      <c r="AS191" s="27"/>
      <c r="AT191" s="16"/>
      <c r="AU191" s="27"/>
      <c r="AV191" s="16"/>
      <c r="AW191" s="27"/>
      <c r="AX191" s="16"/>
      <c r="AY191" s="27"/>
      <c r="AZ191" s="24"/>
      <c r="BA191" s="24"/>
      <c r="BB191" s="24"/>
      <c r="BC191" s="32"/>
      <c r="BD191" s="27"/>
      <c r="BE191" s="24"/>
      <c r="BF191" s="24"/>
      <c r="BG191" s="24"/>
      <c r="BH191" s="16"/>
      <c r="BI191" s="27"/>
      <c r="BJ191" s="24"/>
      <c r="BK191" s="24"/>
      <c r="BL191" s="24"/>
      <c r="BM191" s="16"/>
      <c r="BN191" s="61">
        <f t="shared" si="59"/>
        <v>0</v>
      </c>
      <c r="BO191" s="27"/>
      <c r="BP191" s="24"/>
      <c r="BQ191" s="24"/>
      <c r="BR191" s="16"/>
      <c r="BS191" s="61">
        <f t="shared" si="62"/>
        <v>0</v>
      </c>
      <c r="BT191" s="62"/>
      <c r="BU191" s="69" t="str">
        <f t="shared" ca="1" si="60"/>
        <v/>
      </c>
      <c r="BV191" s="33">
        <f t="shared" ca="1" si="54"/>
        <v>1</v>
      </c>
      <c r="BW191" s="33">
        <v>1</v>
      </c>
      <c r="BX191" s="60" t="str">
        <f t="shared" ca="1" si="55"/>
        <v/>
      </c>
      <c r="BY191" s="34" t="str">
        <f t="shared" si="56"/>
        <v/>
      </c>
      <c r="BZ191" s="21"/>
      <c r="CA191" s="35" t="str">
        <f t="shared" ca="1" si="61"/>
        <v/>
      </c>
      <c r="CB191" s="16"/>
    </row>
    <row r="192" spans="1:80" ht="15.75">
      <c r="A192" s="362"/>
      <c r="B192" s="17"/>
      <c r="C192" s="18"/>
      <c r="D192" s="17"/>
      <c r="E192" s="17"/>
      <c r="F192" s="17"/>
      <c r="G192" s="19"/>
      <c r="H192" s="16"/>
      <c r="I192" s="16"/>
      <c r="J192" s="16"/>
      <c r="K192" s="20"/>
      <c r="L192" s="16"/>
      <c r="M192" s="364"/>
      <c r="N192" s="365"/>
      <c r="O192" s="365"/>
      <c r="P192" s="23">
        <f t="shared" si="48"/>
        <v>0</v>
      </c>
      <c r="Q192" s="362"/>
      <c r="R192" s="366"/>
      <c r="S192" s="362"/>
      <c r="T192" s="366"/>
      <c r="U192" s="363"/>
      <c r="V192" s="17"/>
      <c r="W192" s="23" t="str">
        <f>IFERROR(VLOOKUP(V192,Listas!$A$1:$C$14,2,FALSE),"")</f>
        <v/>
      </c>
      <c r="X192" s="23" t="str">
        <f>IFERROR(VLOOKUP(V192,Listas!$A$1:$C$14,3,FALSE),"")</f>
        <v/>
      </c>
      <c r="Y192" s="17"/>
      <c r="Z192" s="17"/>
      <c r="AA192" s="23" t="str">
        <f>IFERROR(VLOOKUP(Z192,Listas!$AD$1:$AF$65,2,FALSE),"")</f>
        <v/>
      </c>
      <c r="AB192" s="23" t="str">
        <f>IFERROR(VLOOKUP(Z192,Listas!$AD$1:$AF$65,3,FALSE),"")</f>
        <v/>
      </c>
      <c r="AC192" s="17"/>
      <c r="AD192" s="17"/>
      <c r="AE192" s="17"/>
      <c r="AF192" s="27"/>
      <c r="AG192" s="19"/>
      <c r="AH192" s="27"/>
      <c r="AI192" s="16"/>
      <c r="AJ192" s="27"/>
      <c r="AK192" s="16"/>
      <c r="AL192" s="28">
        <f t="shared" si="49"/>
        <v>0</v>
      </c>
      <c r="AM192" s="29"/>
      <c r="AN192" s="27"/>
      <c r="AO192" s="30">
        <f t="shared" si="50"/>
        <v>0</v>
      </c>
      <c r="AP192" s="31">
        <f t="shared" si="51"/>
        <v>0</v>
      </c>
      <c r="AQ192" s="27"/>
      <c r="AR192" s="16"/>
      <c r="AS192" s="27"/>
      <c r="AT192" s="16"/>
      <c r="AU192" s="27"/>
      <c r="AV192" s="16"/>
      <c r="AW192" s="27"/>
      <c r="AX192" s="16"/>
      <c r="AY192" s="27"/>
      <c r="AZ192" s="24"/>
      <c r="BA192" s="24"/>
      <c r="BB192" s="24"/>
      <c r="BC192" s="32"/>
      <c r="BD192" s="27"/>
      <c r="BE192" s="24"/>
      <c r="BF192" s="24"/>
      <c r="BG192" s="24"/>
      <c r="BH192" s="16"/>
      <c r="BI192" s="27"/>
      <c r="BJ192" s="24"/>
      <c r="BK192" s="24"/>
      <c r="BL192" s="24"/>
      <c r="BM192" s="16"/>
      <c r="BN192" s="61">
        <f t="shared" si="59"/>
        <v>0</v>
      </c>
      <c r="BO192" s="27"/>
      <c r="BP192" s="24"/>
      <c r="BQ192" s="24"/>
      <c r="BR192" s="16"/>
      <c r="BS192" s="61">
        <f t="shared" si="62"/>
        <v>0</v>
      </c>
      <c r="BT192" s="62"/>
      <c r="BU192" s="69" t="str">
        <f t="shared" ca="1" si="60"/>
        <v/>
      </c>
      <c r="BV192" s="33">
        <f t="shared" ca="1" si="54"/>
        <v>1</v>
      </c>
      <c r="BW192" s="33">
        <v>1</v>
      </c>
      <c r="BX192" s="60" t="str">
        <f t="shared" ca="1" si="55"/>
        <v/>
      </c>
      <c r="BY192" s="34" t="str">
        <f t="shared" si="56"/>
        <v/>
      </c>
      <c r="BZ192" s="21"/>
      <c r="CA192" s="35" t="str">
        <f t="shared" ca="1" si="61"/>
        <v/>
      </c>
      <c r="CB192" s="16"/>
    </row>
    <row r="193" spans="1:80" ht="15.75">
      <c r="A193" s="362"/>
      <c r="B193" s="17"/>
      <c r="C193" s="18"/>
      <c r="D193" s="17"/>
      <c r="E193" s="17"/>
      <c r="F193" s="17"/>
      <c r="G193" s="19"/>
      <c r="H193" s="16"/>
      <c r="I193" s="16"/>
      <c r="J193" s="16"/>
      <c r="K193" s="20"/>
      <c r="L193" s="16"/>
      <c r="M193" s="364"/>
      <c r="N193" s="365"/>
      <c r="O193" s="365"/>
      <c r="P193" s="23">
        <f t="shared" si="48"/>
        <v>0</v>
      </c>
      <c r="Q193" s="362"/>
      <c r="R193" s="366"/>
      <c r="S193" s="362"/>
      <c r="T193" s="366"/>
      <c r="U193" s="363"/>
      <c r="V193" s="17"/>
      <c r="W193" s="23" t="str">
        <f>IFERROR(VLOOKUP(V193,Listas!$A$1:$C$14,2,FALSE),"")</f>
        <v/>
      </c>
      <c r="X193" s="23" t="str">
        <f>IFERROR(VLOOKUP(V193,Listas!$A$1:$C$14,3,FALSE),"")</f>
        <v/>
      </c>
      <c r="Y193" s="17"/>
      <c r="Z193" s="17"/>
      <c r="AA193" s="23" t="str">
        <f>IFERROR(VLOOKUP(Z193,Listas!$AD$1:$AF$65,2,FALSE),"")</f>
        <v/>
      </c>
      <c r="AB193" s="23" t="str">
        <f>IFERROR(VLOOKUP(Z193,Listas!$AD$1:$AF$65,3,FALSE),"")</f>
        <v/>
      </c>
      <c r="AC193" s="17"/>
      <c r="AD193" s="17"/>
      <c r="AE193" s="17"/>
      <c r="AF193" s="27"/>
      <c r="AG193" s="19"/>
      <c r="AH193" s="27"/>
      <c r="AI193" s="16"/>
      <c r="AJ193" s="27"/>
      <c r="AK193" s="16"/>
      <c r="AL193" s="28">
        <f t="shared" si="49"/>
        <v>0</v>
      </c>
      <c r="AM193" s="29"/>
      <c r="AN193" s="27"/>
      <c r="AO193" s="30">
        <f t="shared" si="50"/>
        <v>0</v>
      </c>
      <c r="AP193" s="31">
        <f t="shared" si="51"/>
        <v>0</v>
      </c>
      <c r="AQ193" s="27"/>
      <c r="AR193" s="16"/>
      <c r="AS193" s="27"/>
      <c r="AT193" s="16"/>
      <c r="AU193" s="27"/>
      <c r="AV193" s="16"/>
      <c r="AW193" s="27"/>
      <c r="AX193" s="16"/>
      <c r="AY193" s="27"/>
      <c r="AZ193" s="24"/>
      <c r="BA193" s="24"/>
      <c r="BB193" s="24"/>
      <c r="BC193" s="32"/>
      <c r="BD193" s="27"/>
      <c r="BE193" s="24"/>
      <c r="BF193" s="24"/>
      <c r="BG193" s="24"/>
      <c r="BH193" s="16"/>
      <c r="BI193" s="27"/>
      <c r="BJ193" s="24"/>
      <c r="BK193" s="24"/>
      <c r="BL193" s="24"/>
      <c r="BM193" s="16"/>
      <c r="BN193" s="61">
        <f t="shared" si="59"/>
        <v>0</v>
      </c>
      <c r="BO193" s="27"/>
      <c r="BP193" s="24"/>
      <c r="BQ193" s="24"/>
      <c r="BR193" s="16"/>
      <c r="BS193" s="61">
        <f t="shared" si="62"/>
        <v>0</v>
      </c>
      <c r="BT193" s="62"/>
      <c r="BU193" s="69" t="str">
        <f t="shared" ca="1" si="60"/>
        <v/>
      </c>
      <c r="BV193" s="33">
        <f t="shared" ca="1" si="54"/>
        <v>1</v>
      </c>
      <c r="BW193" s="33">
        <v>1</v>
      </c>
      <c r="BX193" s="60" t="str">
        <f t="shared" ca="1" si="55"/>
        <v/>
      </c>
      <c r="BY193" s="34" t="str">
        <f t="shared" si="56"/>
        <v/>
      </c>
      <c r="BZ193" s="21"/>
      <c r="CA193" s="35" t="str">
        <f t="shared" ca="1" si="61"/>
        <v/>
      </c>
      <c r="CB193" s="16"/>
    </row>
    <row r="194" spans="1:80" ht="15.75">
      <c r="A194" s="362"/>
      <c r="B194" s="17"/>
      <c r="C194" s="18"/>
      <c r="D194" s="17"/>
      <c r="E194" s="17"/>
      <c r="F194" s="17"/>
      <c r="G194" s="19"/>
      <c r="H194" s="16"/>
      <c r="I194" s="16"/>
      <c r="J194" s="16"/>
      <c r="K194" s="20"/>
      <c r="L194" s="16"/>
      <c r="M194" s="364"/>
      <c r="N194" s="365"/>
      <c r="O194" s="365"/>
      <c r="P194" s="23">
        <f t="shared" ref="P194:P199" si="63">O194-N194</f>
        <v>0</v>
      </c>
      <c r="Q194" s="362"/>
      <c r="R194" s="366"/>
      <c r="S194" s="362"/>
      <c r="T194" s="366"/>
      <c r="U194" s="363"/>
      <c r="V194" s="17"/>
      <c r="W194" s="23" t="str">
        <f>IFERROR(VLOOKUP(V194,Listas!$A$1:$C$14,2,FALSE),"")</f>
        <v/>
      </c>
      <c r="X194" s="23" t="str">
        <f>IFERROR(VLOOKUP(V194,Listas!$A$1:$C$14,3,FALSE),"")</f>
        <v/>
      </c>
      <c r="Y194" s="17"/>
      <c r="Z194" s="17"/>
      <c r="AA194" s="23" t="str">
        <f>IFERROR(VLOOKUP(Z194,Listas!$AD$1:$AF$65,2,FALSE),"")</f>
        <v/>
      </c>
      <c r="AB194" s="23" t="str">
        <f>IFERROR(VLOOKUP(Z194,Listas!$AD$1:$AF$65,3,FALSE),"")</f>
        <v/>
      </c>
      <c r="AC194" s="17"/>
      <c r="AD194" s="17"/>
      <c r="AE194" s="17"/>
      <c r="AF194" s="27"/>
      <c r="AG194" s="19"/>
      <c r="AH194" s="27"/>
      <c r="AI194" s="16"/>
      <c r="AJ194" s="27"/>
      <c r="AK194" s="16"/>
      <c r="AL194" s="28">
        <f t="shared" ref="AL194:AL199" si="64">AG194+AI194+AK194</f>
        <v>0</v>
      </c>
      <c r="AM194" s="29"/>
      <c r="AN194" s="27"/>
      <c r="AO194" s="30">
        <f t="shared" ref="AO194:AO199" si="65">(P194+AL194)-AM194</f>
        <v>0</v>
      </c>
      <c r="AP194" s="31">
        <f t="shared" ref="AP194:AP199" si="66">IF(AN194="",O194+AL194,AN194)</f>
        <v>0</v>
      </c>
      <c r="AQ194" s="27"/>
      <c r="AR194" s="16"/>
      <c r="AS194" s="27"/>
      <c r="AT194" s="16"/>
      <c r="AU194" s="27"/>
      <c r="AV194" s="16"/>
      <c r="AW194" s="27"/>
      <c r="AX194" s="16"/>
      <c r="AY194" s="27"/>
      <c r="AZ194" s="24"/>
      <c r="BA194" s="24"/>
      <c r="BB194" s="24"/>
      <c r="BC194" s="32"/>
      <c r="BD194" s="27"/>
      <c r="BE194" s="24"/>
      <c r="BF194" s="24"/>
      <c r="BG194" s="24"/>
      <c r="BH194" s="16"/>
      <c r="BI194" s="27"/>
      <c r="BJ194" s="24"/>
      <c r="BK194" s="24"/>
      <c r="BL194" s="24"/>
      <c r="BM194" s="16"/>
      <c r="BN194" s="61">
        <f t="shared" ref="BN194:BN199" si="67">BP194+BJ194+BE194+AZ194</f>
        <v>0</v>
      </c>
      <c r="BO194" s="27"/>
      <c r="BP194" s="24"/>
      <c r="BQ194" s="24"/>
      <c r="BR194" s="16"/>
      <c r="BS194" s="61">
        <f t="shared" si="62"/>
        <v>0</v>
      </c>
      <c r="BT194" s="62"/>
      <c r="BU194" s="69" t="str">
        <f t="shared" ref="BU194:BU199" ca="1" si="68">IFERROR(IF(((BS194/AO194)*(TODAY()-N194))&gt;BS194,BS194,((BS194/AO194)*(TODAY()-N194))),"")</f>
        <v/>
      </c>
      <c r="BV194" s="33">
        <f t="shared" ref="BV194:BV199" ca="1" si="69">IF(TODAY()&gt;AP194,1,+(DAYS360(N194,TODAY())/DAYS360(N194,AP194)))</f>
        <v>1</v>
      </c>
      <c r="BW194" s="33">
        <v>1</v>
      </c>
      <c r="BX194" s="60" t="str">
        <f t="shared" ref="BX194:BX199" ca="1" si="70">IFERROR(IF(((BU194/BS194)*100)&gt;100,100,((BU194/BS194)*100)),"")</f>
        <v/>
      </c>
      <c r="BY194" s="34" t="str">
        <f t="shared" ref="BY194:BY199" si="71">IFERROR((BT194/BS194)*100,"")</f>
        <v/>
      </c>
      <c r="BZ194" s="21"/>
      <c r="CA194" s="35" t="str">
        <f t="shared" ref="CA194:CA199" ca="1" si="72">IF(BZ194&gt;1/1/6,"LIQUIDADO",IF(AP194=0,"",IF(AP194&gt;=TODAY(),"VIGENTE",IF(AP194&lt;TODAY(),"TERMINADO",))))</f>
        <v/>
      </c>
      <c r="CB194" s="16"/>
    </row>
    <row r="195" spans="1:80" ht="15.75">
      <c r="A195" s="362"/>
      <c r="B195" s="17"/>
      <c r="C195" s="18"/>
      <c r="D195" s="17"/>
      <c r="E195" s="17"/>
      <c r="F195" s="17"/>
      <c r="G195" s="19"/>
      <c r="H195" s="16"/>
      <c r="I195" s="16"/>
      <c r="J195" s="16"/>
      <c r="K195" s="20"/>
      <c r="L195" s="16"/>
      <c r="M195" s="364"/>
      <c r="N195" s="365"/>
      <c r="O195" s="365"/>
      <c r="P195" s="23">
        <f t="shared" si="63"/>
        <v>0</v>
      </c>
      <c r="Q195" s="362"/>
      <c r="R195" s="366"/>
      <c r="S195" s="362"/>
      <c r="T195" s="366"/>
      <c r="U195" s="363"/>
      <c r="V195" s="17"/>
      <c r="W195" s="23" t="str">
        <f>IFERROR(VLOOKUP(V195,Listas!$A$1:$C$14,2,FALSE),"")</f>
        <v/>
      </c>
      <c r="X195" s="23" t="str">
        <f>IFERROR(VLOOKUP(V195,Listas!$A$1:$C$14,3,FALSE),"")</f>
        <v/>
      </c>
      <c r="Y195" s="17"/>
      <c r="Z195" s="17"/>
      <c r="AA195" s="23" t="str">
        <f>IFERROR(VLOOKUP(Z195,Listas!$AD$1:$AF$65,2,FALSE),"")</f>
        <v/>
      </c>
      <c r="AB195" s="23" t="str">
        <f>IFERROR(VLOOKUP(Z195,Listas!$AD$1:$AF$65,3,FALSE),"")</f>
        <v/>
      </c>
      <c r="AC195" s="17"/>
      <c r="AD195" s="17"/>
      <c r="AE195" s="17"/>
      <c r="AF195" s="27"/>
      <c r="AG195" s="19"/>
      <c r="AH195" s="27"/>
      <c r="AI195" s="16"/>
      <c r="AJ195" s="27"/>
      <c r="AK195" s="16"/>
      <c r="AL195" s="28">
        <f t="shared" si="64"/>
        <v>0</v>
      </c>
      <c r="AM195" s="29"/>
      <c r="AN195" s="27"/>
      <c r="AO195" s="30">
        <f t="shared" si="65"/>
        <v>0</v>
      </c>
      <c r="AP195" s="31">
        <f t="shared" si="66"/>
        <v>0</v>
      </c>
      <c r="AQ195" s="27"/>
      <c r="AR195" s="16"/>
      <c r="AS195" s="27"/>
      <c r="AT195" s="16"/>
      <c r="AU195" s="27"/>
      <c r="AV195" s="16"/>
      <c r="AW195" s="27"/>
      <c r="AX195" s="16"/>
      <c r="AY195" s="27"/>
      <c r="AZ195" s="24"/>
      <c r="BA195" s="24"/>
      <c r="BB195" s="24"/>
      <c r="BC195" s="32"/>
      <c r="BD195" s="27"/>
      <c r="BE195" s="24"/>
      <c r="BF195" s="24"/>
      <c r="BG195" s="24"/>
      <c r="BH195" s="16"/>
      <c r="BI195" s="27"/>
      <c r="BJ195" s="24"/>
      <c r="BK195" s="24"/>
      <c r="BL195" s="24"/>
      <c r="BM195" s="16"/>
      <c r="BN195" s="61">
        <f t="shared" si="67"/>
        <v>0</v>
      </c>
      <c r="BO195" s="27"/>
      <c r="BP195" s="24"/>
      <c r="BQ195" s="24"/>
      <c r="BR195" s="16"/>
      <c r="BS195" s="61">
        <f t="shared" si="62"/>
        <v>0</v>
      </c>
      <c r="BT195" s="62"/>
      <c r="BU195" s="69" t="str">
        <f t="shared" ca="1" si="68"/>
        <v/>
      </c>
      <c r="BV195" s="33">
        <f t="shared" ca="1" si="69"/>
        <v>1</v>
      </c>
      <c r="BW195" s="33">
        <v>1</v>
      </c>
      <c r="BX195" s="60" t="str">
        <f t="shared" ca="1" si="70"/>
        <v/>
      </c>
      <c r="BY195" s="34" t="str">
        <f t="shared" si="71"/>
        <v/>
      </c>
      <c r="BZ195" s="21"/>
      <c r="CA195" s="35" t="str">
        <f t="shared" ca="1" si="72"/>
        <v/>
      </c>
      <c r="CB195" s="16"/>
    </row>
    <row r="196" spans="1:80" ht="15.75">
      <c r="A196" s="362"/>
      <c r="B196" s="17"/>
      <c r="C196" s="18"/>
      <c r="D196" s="17"/>
      <c r="E196" s="17"/>
      <c r="F196" s="17"/>
      <c r="G196" s="19"/>
      <c r="H196" s="16"/>
      <c r="I196" s="16"/>
      <c r="J196" s="16"/>
      <c r="K196" s="20"/>
      <c r="L196" s="16"/>
      <c r="M196" s="364"/>
      <c r="N196" s="365"/>
      <c r="O196" s="365"/>
      <c r="P196" s="23">
        <f t="shared" si="63"/>
        <v>0</v>
      </c>
      <c r="Q196" s="362"/>
      <c r="R196" s="366"/>
      <c r="S196" s="362"/>
      <c r="T196" s="366"/>
      <c r="U196" s="363"/>
      <c r="V196" s="17"/>
      <c r="W196" s="23" t="str">
        <f>IFERROR(VLOOKUP(V196,Listas!$A$1:$C$14,2,FALSE),"")</f>
        <v/>
      </c>
      <c r="X196" s="23" t="str">
        <f>IFERROR(VLOOKUP(V196,Listas!$A$1:$C$14,3,FALSE),"")</f>
        <v/>
      </c>
      <c r="Y196" s="17"/>
      <c r="Z196" s="17"/>
      <c r="AA196" s="23" t="str">
        <f>IFERROR(VLOOKUP(Z196,Listas!$AD$1:$AF$65,2,FALSE),"")</f>
        <v/>
      </c>
      <c r="AB196" s="23" t="str">
        <f>IFERROR(VLOOKUP(Z196,Listas!$AD$1:$AF$65,3,FALSE),"")</f>
        <v/>
      </c>
      <c r="AC196" s="17"/>
      <c r="AD196" s="17"/>
      <c r="AE196" s="17"/>
      <c r="AF196" s="27"/>
      <c r="AG196" s="19"/>
      <c r="AH196" s="27"/>
      <c r="AI196" s="16"/>
      <c r="AJ196" s="27"/>
      <c r="AK196" s="16"/>
      <c r="AL196" s="28">
        <f t="shared" si="64"/>
        <v>0</v>
      </c>
      <c r="AM196" s="29"/>
      <c r="AN196" s="27"/>
      <c r="AO196" s="30">
        <f t="shared" si="65"/>
        <v>0</v>
      </c>
      <c r="AP196" s="31">
        <f t="shared" si="66"/>
        <v>0</v>
      </c>
      <c r="AQ196" s="27"/>
      <c r="AR196" s="16"/>
      <c r="AS196" s="27"/>
      <c r="AT196" s="16"/>
      <c r="AU196" s="27"/>
      <c r="AV196" s="16"/>
      <c r="AW196" s="27"/>
      <c r="AX196" s="16"/>
      <c r="AY196" s="27"/>
      <c r="AZ196" s="24"/>
      <c r="BA196" s="24"/>
      <c r="BB196" s="24"/>
      <c r="BC196" s="32"/>
      <c r="BD196" s="27"/>
      <c r="BE196" s="24"/>
      <c r="BF196" s="24"/>
      <c r="BG196" s="24"/>
      <c r="BH196" s="16"/>
      <c r="BI196" s="27"/>
      <c r="BJ196" s="24"/>
      <c r="BK196" s="24"/>
      <c r="BL196" s="24"/>
      <c r="BM196" s="16"/>
      <c r="BN196" s="61">
        <f t="shared" si="67"/>
        <v>0</v>
      </c>
      <c r="BO196" s="27"/>
      <c r="BP196" s="24"/>
      <c r="BQ196" s="24"/>
      <c r="BR196" s="16"/>
      <c r="BS196" s="61">
        <f t="shared" si="62"/>
        <v>0</v>
      </c>
      <c r="BT196" s="62"/>
      <c r="BU196" s="69" t="str">
        <f t="shared" ca="1" si="68"/>
        <v/>
      </c>
      <c r="BV196" s="33">
        <f t="shared" ca="1" si="69"/>
        <v>1</v>
      </c>
      <c r="BW196" s="33">
        <v>1</v>
      </c>
      <c r="BX196" s="60" t="str">
        <f t="shared" ca="1" si="70"/>
        <v/>
      </c>
      <c r="BY196" s="34" t="str">
        <f t="shared" si="71"/>
        <v/>
      </c>
      <c r="BZ196" s="21"/>
      <c r="CA196" s="35" t="str">
        <f t="shared" ca="1" si="72"/>
        <v/>
      </c>
      <c r="CB196" s="16"/>
    </row>
    <row r="197" spans="1:80" ht="15.75">
      <c r="A197" s="362"/>
      <c r="B197" s="17"/>
      <c r="C197" s="18"/>
      <c r="D197" s="17"/>
      <c r="E197" s="17"/>
      <c r="F197" s="17"/>
      <c r="G197" s="19"/>
      <c r="H197" s="16"/>
      <c r="I197" s="16"/>
      <c r="J197" s="16"/>
      <c r="K197" s="20"/>
      <c r="L197" s="16"/>
      <c r="M197" s="364"/>
      <c r="N197" s="365"/>
      <c r="O197" s="365"/>
      <c r="P197" s="23">
        <f t="shared" si="63"/>
        <v>0</v>
      </c>
      <c r="Q197" s="362"/>
      <c r="R197" s="366"/>
      <c r="S197" s="362"/>
      <c r="T197" s="366"/>
      <c r="U197" s="363"/>
      <c r="V197" s="17"/>
      <c r="W197" s="23" t="str">
        <f>IFERROR(VLOOKUP(V197,Listas!$A$1:$C$14,2,FALSE),"")</f>
        <v/>
      </c>
      <c r="X197" s="23" t="str">
        <f>IFERROR(VLOOKUP(V197,Listas!$A$1:$C$14,3,FALSE),"")</f>
        <v/>
      </c>
      <c r="Y197" s="17"/>
      <c r="Z197" s="17"/>
      <c r="AA197" s="23" t="str">
        <f>IFERROR(VLOOKUP(Z197,Listas!$AD$1:$AF$65,2,FALSE),"")</f>
        <v/>
      </c>
      <c r="AB197" s="23" t="str">
        <f>IFERROR(VLOOKUP(Z197,Listas!$AD$1:$AF$65,3,FALSE),"")</f>
        <v/>
      </c>
      <c r="AC197" s="17"/>
      <c r="AD197" s="17"/>
      <c r="AE197" s="17"/>
      <c r="AF197" s="27"/>
      <c r="AG197" s="19"/>
      <c r="AH197" s="27"/>
      <c r="AI197" s="16"/>
      <c r="AJ197" s="27"/>
      <c r="AK197" s="16"/>
      <c r="AL197" s="28">
        <f t="shared" si="64"/>
        <v>0</v>
      </c>
      <c r="AM197" s="29"/>
      <c r="AN197" s="27"/>
      <c r="AO197" s="30">
        <f t="shared" si="65"/>
        <v>0</v>
      </c>
      <c r="AP197" s="31">
        <f t="shared" si="66"/>
        <v>0</v>
      </c>
      <c r="AQ197" s="27"/>
      <c r="AR197" s="16"/>
      <c r="AS197" s="27"/>
      <c r="AT197" s="16"/>
      <c r="AU197" s="27"/>
      <c r="AV197" s="16"/>
      <c r="AW197" s="27"/>
      <c r="AX197" s="16"/>
      <c r="AY197" s="27"/>
      <c r="AZ197" s="24"/>
      <c r="BA197" s="24"/>
      <c r="BB197" s="24"/>
      <c r="BC197" s="32"/>
      <c r="BD197" s="27"/>
      <c r="BE197" s="24"/>
      <c r="BF197" s="24"/>
      <c r="BG197" s="24"/>
      <c r="BH197" s="16"/>
      <c r="BI197" s="27"/>
      <c r="BJ197" s="24"/>
      <c r="BK197" s="24"/>
      <c r="BL197" s="24"/>
      <c r="BM197" s="16"/>
      <c r="BN197" s="61">
        <f t="shared" si="67"/>
        <v>0</v>
      </c>
      <c r="BO197" s="27"/>
      <c r="BP197" s="24"/>
      <c r="BQ197" s="24"/>
      <c r="BR197" s="16"/>
      <c r="BS197" s="61">
        <f t="shared" si="62"/>
        <v>0</v>
      </c>
      <c r="BT197" s="62"/>
      <c r="BU197" s="69" t="str">
        <f t="shared" ca="1" si="68"/>
        <v/>
      </c>
      <c r="BV197" s="33">
        <f t="shared" ca="1" si="69"/>
        <v>1</v>
      </c>
      <c r="BW197" s="33">
        <v>1</v>
      </c>
      <c r="BX197" s="60" t="str">
        <f t="shared" ca="1" si="70"/>
        <v/>
      </c>
      <c r="BY197" s="34" t="str">
        <f t="shared" si="71"/>
        <v/>
      </c>
      <c r="BZ197" s="21"/>
      <c r="CA197" s="35" t="str">
        <f t="shared" ca="1" si="72"/>
        <v/>
      </c>
      <c r="CB197" s="16"/>
    </row>
    <row r="198" spans="1:80" ht="15.75">
      <c r="A198" s="362"/>
      <c r="B198" s="17"/>
      <c r="C198" s="18"/>
      <c r="D198" s="17"/>
      <c r="E198" s="17"/>
      <c r="F198" s="17"/>
      <c r="G198" s="19"/>
      <c r="H198" s="16"/>
      <c r="I198" s="16"/>
      <c r="J198" s="16"/>
      <c r="K198" s="20"/>
      <c r="L198" s="16"/>
      <c r="M198" s="364"/>
      <c r="N198" s="365"/>
      <c r="O198" s="365"/>
      <c r="P198" s="23">
        <f t="shared" si="63"/>
        <v>0</v>
      </c>
      <c r="Q198" s="362"/>
      <c r="R198" s="366"/>
      <c r="S198" s="362"/>
      <c r="T198" s="366"/>
      <c r="U198" s="363"/>
      <c r="V198" s="17"/>
      <c r="W198" s="23" t="str">
        <f>IFERROR(VLOOKUP(V198,Listas!$A$1:$C$14,2,FALSE),"")</f>
        <v/>
      </c>
      <c r="X198" s="23" t="str">
        <f>IFERROR(VLOOKUP(V198,Listas!$A$1:$C$14,3,FALSE),"")</f>
        <v/>
      </c>
      <c r="Y198" s="17"/>
      <c r="Z198" s="17"/>
      <c r="AA198" s="23" t="str">
        <f>IFERROR(VLOOKUP(Z198,Listas!$AD$1:$AF$65,2,FALSE),"")</f>
        <v/>
      </c>
      <c r="AB198" s="23" t="str">
        <f>IFERROR(VLOOKUP(Z198,Listas!$AD$1:$AF$65,3,FALSE),"")</f>
        <v/>
      </c>
      <c r="AC198" s="17"/>
      <c r="AD198" s="17"/>
      <c r="AE198" s="17"/>
      <c r="AF198" s="27"/>
      <c r="AG198" s="19"/>
      <c r="AH198" s="27"/>
      <c r="AI198" s="16"/>
      <c r="AJ198" s="27"/>
      <c r="AK198" s="16"/>
      <c r="AL198" s="28">
        <f t="shared" si="64"/>
        <v>0</v>
      </c>
      <c r="AM198" s="29"/>
      <c r="AN198" s="27"/>
      <c r="AO198" s="30">
        <f t="shared" si="65"/>
        <v>0</v>
      </c>
      <c r="AP198" s="31">
        <f t="shared" si="66"/>
        <v>0</v>
      </c>
      <c r="AQ198" s="27"/>
      <c r="AR198" s="16"/>
      <c r="AS198" s="27"/>
      <c r="AT198" s="16"/>
      <c r="AU198" s="27"/>
      <c r="AV198" s="16"/>
      <c r="AW198" s="27"/>
      <c r="AX198" s="16"/>
      <c r="AY198" s="27"/>
      <c r="AZ198" s="24"/>
      <c r="BA198" s="24"/>
      <c r="BB198" s="24"/>
      <c r="BC198" s="32"/>
      <c r="BD198" s="27"/>
      <c r="BE198" s="24"/>
      <c r="BF198" s="24"/>
      <c r="BG198" s="24"/>
      <c r="BH198" s="16"/>
      <c r="BI198" s="27"/>
      <c r="BJ198" s="24"/>
      <c r="BK198" s="24"/>
      <c r="BL198" s="24"/>
      <c r="BM198" s="16"/>
      <c r="BN198" s="61">
        <f t="shared" si="67"/>
        <v>0</v>
      </c>
      <c r="BO198" s="27"/>
      <c r="BP198" s="24"/>
      <c r="BQ198" s="24"/>
      <c r="BR198" s="16"/>
      <c r="BS198" s="61">
        <f t="shared" si="62"/>
        <v>0</v>
      </c>
      <c r="BT198" s="62"/>
      <c r="BU198" s="69" t="str">
        <f t="shared" ca="1" si="68"/>
        <v/>
      </c>
      <c r="BV198" s="33">
        <f t="shared" ca="1" si="69"/>
        <v>1</v>
      </c>
      <c r="BW198" s="33">
        <v>1</v>
      </c>
      <c r="BX198" s="60" t="str">
        <f t="shared" ca="1" si="70"/>
        <v/>
      </c>
      <c r="BY198" s="34" t="str">
        <f t="shared" si="71"/>
        <v/>
      </c>
      <c r="BZ198" s="21"/>
      <c r="CA198" s="35" t="str">
        <f t="shared" ca="1" si="72"/>
        <v/>
      </c>
      <c r="CB198" s="16"/>
    </row>
    <row r="199" spans="1:80" ht="15.75">
      <c r="A199" s="362"/>
      <c r="B199" s="17"/>
      <c r="C199" s="18"/>
      <c r="D199" s="17"/>
      <c r="E199" s="17"/>
      <c r="F199" s="17"/>
      <c r="G199" s="19"/>
      <c r="H199" s="16"/>
      <c r="I199" s="16"/>
      <c r="J199" s="16"/>
      <c r="K199" s="20"/>
      <c r="L199" s="16"/>
      <c r="M199" s="364"/>
      <c r="N199" s="365"/>
      <c r="O199" s="365"/>
      <c r="P199" s="23">
        <f t="shared" si="63"/>
        <v>0</v>
      </c>
      <c r="Q199" s="362"/>
      <c r="R199" s="366"/>
      <c r="S199" s="362"/>
      <c r="T199" s="366"/>
      <c r="U199" s="363"/>
      <c r="V199" s="17"/>
      <c r="W199" s="23" t="str">
        <f>IFERROR(VLOOKUP(V199,Listas!$A$1:$C$14,2,FALSE),"")</f>
        <v/>
      </c>
      <c r="X199" s="23" t="str">
        <f>IFERROR(VLOOKUP(V199,Listas!$A$1:$C$14,3,FALSE),"")</f>
        <v/>
      </c>
      <c r="Y199" s="17"/>
      <c r="Z199" s="17"/>
      <c r="AA199" s="23" t="str">
        <f>IFERROR(VLOOKUP(Z199,Listas!$AD$1:$AF$65,2,FALSE),"")</f>
        <v/>
      </c>
      <c r="AB199" s="23" t="str">
        <f>IFERROR(VLOOKUP(Z199,Listas!$AD$1:$AF$65,3,FALSE),"")</f>
        <v/>
      </c>
      <c r="AC199" s="17"/>
      <c r="AD199" s="17"/>
      <c r="AE199" s="17"/>
      <c r="AF199" s="27"/>
      <c r="AG199" s="19"/>
      <c r="AH199" s="27"/>
      <c r="AI199" s="16"/>
      <c r="AJ199" s="27"/>
      <c r="AK199" s="16"/>
      <c r="AL199" s="28">
        <f t="shared" si="64"/>
        <v>0</v>
      </c>
      <c r="AM199" s="29"/>
      <c r="AN199" s="27"/>
      <c r="AO199" s="30">
        <f t="shared" si="65"/>
        <v>0</v>
      </c>
      <c r="AP199" s="31">
        <f t="shared" si="66"/>
        <v>0</v>
      </c>
      <c r="AQ199" s="27"/>
      <c r="AR199" s="16"/>
      <c r="AS199" s="27"/>
      <c r="AT199" s="16"/>
      <c r="AU199" s="27"/>
      <c r="AV199" s="16"/>
      <c r="AW199" s="27"/>
      <c r="AX199" s="16"/>
      <c r="AY199" s="27"/>
      <c r="AZ199" s="24"/>
      <c r="BA199" s="24"/>
      <c r="BB199" s="24"/>
      <c r="BC199" s="32"/>
      <c r="BD199" s="27"/>
      <c r="BE199" s="24"/>
      <c r="BF199" s="24"/>
      <c r="BG199" s="24"/>
      <c r="BH199" s="16"/>
      <c r="BI199" s="27"/>
      <c r="BJ199" s="24"/>
      <c r="BK199" s="24"/>
      <c r="BL199" s="24"/>
      <c r="BM199" s="16"/>
      <c r="BN199" s="61">
        <f t="shared" si="67"/>
        <v>0</v>
      </c>
      <c r="BO199" s="27"/>
      <c r="BP199" s="24"/>
      <c r="BQ199" s="24"/>
      <c r="BR199" s="16"/>
      <c r="BS199" s="61">
        <f t="shared" si="62"/>
        <v>0</v>
      </c>
      <c r="BT199" s="62"/>
      <c r="BU199" s="69" t="str">
        <f t="shared" ca="1" si="68"/>
        <v/>
      </c>
      <c r="BV199" s="33">
        <f t="shared" ca="1" si="69"/>
        <v>1</v>
      </c>
      <c r="BW199" s="33">
        <v>1</v>
      </c>
      <c r="BX199" s="60" t="str">
        <f t="shared" ca="1" si="70"/>
        <v/>
      </c>
      <c r="BY199" s="34" t="str">
        <f t="shared" si="71"/>
        <v/>
      </c>
      <c r="BZ199" s="21"/>
      <c r="CA199" s="35" t="str">
        <f t="shared" ca="1" si="72"/>
        <v/>
      </c>
      <c r="CB199" s="16"/>
    </row>
    <row r="200" spans="1:80">
      <c r="A200" s="367"/>
      <c r="M200" s="368"/>
      <c r="N200" s="368"/>
      <c r="O200" s="368"/>
      <c r="P200" s="368"/>
      <c r="Q200" s="368"/>
      <c r="R200" s="369"/>
      <c r="S200" s="368"/>
      <c r="T200" s="369"/>
      <c r="U200" s="368"/>
    </row>
  </sheetData>
  <autoFilter ref="A1:CC199" xr:uid="{AB8A8E22-E54E-43A3-8052-DCBE06A32B46}"/>
  <dataValidations count="3">
    <dataValidation type="list" allowBlank="1" showInputMessage="1" showErrorMessage="1" sqref="Z2:Z199" xr:uid="{C156A16C-725A-45AA-8641-2FE907A5AD4C}">
      <formula1>INDIRECT(Y2)</formula1>
    </dataValidation>
    <dataValidation type="list" allowBlank="1" showInputMessage="1" showErrorMessage="1" sqref="Y2:Y199" xr:uid="{78CB660C-48DD-43B1-8B5B-850A2E8B9C9C}">
      <formula1>AREA_SOLICITANTE</formula1>
    </dataValidation>
    <dataValidation type="list" allowBlank="1" showInputMessage="1" showErrorMessage="1" sqref="V2:V199" xr:uid="{87BD8769-3351-48E6-8174-75D8820D40C6}">
      <formula1>AREA_ORDENADORA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D19AD9E5-55AF-4383-93C7-65B5686D8B68}">
          <x14:formula1>
            <xm:f>Listas!$AH$2:$AH$7</xm:f>
          </x14:formula1>
          <xm:sqref>B2 B5:B6 B10:B11 B13:B22 B39 B41:B45 B47:B53 B55:B199</xm:sqref>
        </x14:dataValidation>
        <x14:dataValidation type="list" allowBlank="1" showInputMessage="1" showErrorMessage="1" xr:uid="{022C4159-9D4C-4A40-B2AD-F3016675A14A}">
          <x14:formula1>
            <xm:f>Listas!$AK$2:$AK$4</xm:f>
          </x14:formula1>
          <xm:sqref>E2 E5:E6 E10:E11 E13:E22 E37:E39 E47:E53 E55:E199</xm:sqref>
        </x14:dataValidation>
        <x14:dataValidation type="list" allowBlank="1" showInputMessage="1" showErrorMessage="1" xr:uid="{185D90C7-BDE8-4081-A104-292761C65F24}">
          <x14:formula1>
            <xm:f>Listas!$AJ$2:$AJ$18</xm:f>
          </x14:formula1>
          <xm:sqref>D2 D5:D6 D10:D22 D37:D39 D41:D45 D47:D53 D55:D199</xm:sqref>
        </x14:dataValidation>
        <x14:dataValidation type="list" allowBlank="1" showInputMessage="1" showErrorMessage="1" xr:uid="{EFF57E7E-2338-49AE-953B-3A2A25364A0F}">
          <x14:formula1>
            <xm:f>Listas!$AL$2:$AL$5</xm:f>
          </x14:formula1>
          <xm:sqref>F2 F5:F6 F10:F11 F13:F22 F37:F39 F47:F53 F55:F199</xm:sqref>
        </x14:dataValidation>
        <x14:dataValidation type="list" allowBlank="1" showInputMessage="1" showErrorMessage="1" xr:uid="{285004F9-55F3-4094-BFDB-FBDBB5AB93C0}">
          <x14:formula1>
            <xm:f>Listas!$AV$2:$AV$9</xm:f>
          </x14:formula1>
          <xm:sqref>AD2:AD3 AD5:AD199</xm:sqref>
        </x14:dataValidation>
        <x14:dataValidation type="list" allowBlank="1" showInputMessage="1" showErrorMessage="1" xr:uid="{1E6AF60D-BC21-4A4C-B52F-F690A0F8A91C}">
          <x14:formula1>
            <xm:f>Listas!$BB$2:$BB$3</xm:f>
          </x14:formula1>
          <xm:sqref>AE2:AE199</xm:sqref>
        </x14:dataValidation>
        <x14:dataValidation type="list" allowBlank="1" showInputMessage="1" showErrorMessage="1" xr:uid="{93FF196E-52DD-4703-9D18-1CBC4A3ECA00}">
          <x14:formula1>
            <xm:f>Listas!$AZ$2:$AZ$12</xm:f>
          </x14:formula1>
          <xm:sqref>AC2:AC1048576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398D-9EE0-4D0A-9940-B34AF5188E9C}">
  <dimension ref="A1:BD65"/>
  <sheetViews>
    <sheetView topLeftCell="AP1" zoomScale="106" zoomScaleNormal="106" workbookViewId="0">
      <selection activeCell="AU1" sqref="AU1"/>
    </sheetView>
  </sheetViews>
  <sheetFormatPr defaultColWidth="11.42578125" defaultRowHeight="15"/>
  <cols>
    <col min="1" max="1" width="49.140625" bestFit="1" customWidth="1"/>
    <col min="2" max="2" width="36.7109375" bestFit="1" customWidth="1"/>
    <col min="3" max="3" width="41.5703125" bestFit="1" customWidth="1"/>
    <col min="5" max="5" width="49.140625" bestFit="1" customWidth="1"/>
    <col min="7" max="7" width="12.5703125" bestFit="1" customWidth="1"/>
    <col min="8" max="8" width="83.85546875" bestFit="1" customWidth="1"/>
    <col min="9" max="9" width="42.140625" bestFit="1" customWidth="1"/>
    <col min="10" max="10" width="49.140625" bestFit="1" customWidth="1"/>
    <col min="11" max="11" width="75.140625" bestFit="1" customWidth="1"/>
    <col min="12" max="12" width="87.140625" bestFit="1" customWidth="1"/>
    <col min="13" max="13" width="71" bestFit="1" customWidth="1"/>
    <col min="14" max="14" width="70.28515625" bestFit="1" customWidth="1"/>
    <col min="15" max="15" width="37.7109375" bestFit="1" customWidth="1"/>
    <col min="16" max="16" width="44.42578125" bestFit="1" customWidth="1"/>
    <col min="17" max="17" width="51.28515625" bestFit="1" customWidth="1"/>
    <col min="18" max="18" width="55.85546875" bestFit="1" customWidth="1"/>
    <col min="19" max="19" width="59.5703125" bestFit="1" customWidth="1"/>
    <col min="20" max="20" width="20.42578125" bestFit="1" customWidth="1"/>
    <col min="21" max="21" width="40.140625" bestFit="1" customWidth="1"/>
    <col min="22" max="22" width="39.5703125" bestFit="1" customWidth="1"/>
    <col min="23" max="23" width="33.140625" bestFit="1" customWidth="1"/>
    <col min="24" max="24" width="33.5703125" bestFit="1" customWidth="1"/>
    <col min="30" max="30" width="87.85546875" bestFit="1" customWidth="1"/>
    <col min="31" max="31" width="39.42578125" bestFit="1" customWidth="1"/>
    <col min="32" max="32" width="19.42578125" bestFit="1" customWidth="1"/>
    <col min="34" max="34" width="18.28515625" bestFit="1" customWidth="1"/>
    <col min="36" max="36" width="41.28515625" bestFit="1" customWidth="1"/>
    <col min="37" max="37" width="26.140625" bestFit="1" customWidth="1"/>
    <col min="38" max="38" width="33.85546875" bestFit="1" customWidth="1"/>
    <col min="40" max="40" width="31.28515625" bestFit="1" customWidth="1"/>
    <col min="42" max="42" width="35.140625" bestFit="1" customWidth="1"/>
    <col min="43" max="43" width="7" bestFit="1" customWidth="1"/>
    <col min="45" max="45" width="22" bestFit="1" customWidth="1"/>
    <col min="46" max="46" width="46.5703125" bestFit="1" customWidth="1"/>
    <col min="47" max="47" width="23.5703125" bestFit="1" customWidth="1"/>
    <col min="48" max="48" width="26.140625" bestFit="1" customWidth="1"/>
    <col min="50" max="50" width="23.140625" bestFit="1" customWidth="1"/>
    <col min="52" max="52" width="41.5703125" bestFit="1" customWidth="1"/>
    <col min="54" max="54" width="32" bestFit="1" customWidth="1"/>
    <col min="56" max="56" width="11.7109375" bestFit="1" customWidth="1"/>
  </cols>
  <sheetData>
    <row r="1" spans="1:56">
      <c r="A1" s="37" t="s">
        <v>32</v>
      </c>
      <c r="B1" s="37" t="s">
        <v>9705</v>
      </c>
      <c r="C1" s="37" t="s">
        <v>9706</v>
      </c>
      <c r="E1" s="37" t="s">
        <v>35</v>
      </c>
      <c r="G1" s="37" t="s">
        <v>304</v>
      </c>
      <c r="H1" s="37" t="s">
        <v>116</v>
      </c>
      <c r="I1" s="37" t="s">
        <v>406</v>
      </c>
      <c r="J1" s="37" t="s">
        <v>427</v>
      </c>
      <c r="K1" s="37" t="s">
        <v>816</v>
      </c>
      <c r="L1" s="37" t="s">
        <v>217</v>
      </c>
      <c r="M1" s="37" t="s">
        <v>577</v>
      </c>
      <c r="N1" s="37" t="s">
        <v>588</v>
      </c>
      <c r="O1" s="37" t="s">
        <v>1166</v>
      </c>
      <c r="P1" s="37" t="s">
        <v>607</v>
      </c>
      <c r="Q1" s="37" t="s">
        <v>282</v>
      </c>
      <c r="R1" s="37" t="s">
        <v>345</v>
      </c>
      <c r="S1" s="37" t="s">
        <v>951</v>
      </c>
      <c r="T1" s="37" t="s">
        <v>1533</v>
      </c>
      <c r="U1" s="37" t="s">
        <v>472</v>
      </c>
      <c r="V1" s="37" t="s">
        <v>559</v>
      </c>
      <c r="W1" s="37" t="s">
        <v>903</v>
      </c>
      <c r="X1" s="37" t="s">
        <v>1523</v>
      </c>
      <c r="AD1" s="37" t="s">
        <v>9707</v>
      </c>
      <c r="AE1" s="37" t="s">
        <v>9708</v>
      </c>
      <c r="AF1" s="37" t="s">
        <v>9709</v>
      </c>
      <c r="AH1" s="37" t="s">
        <v>8</v>
      </c>
      <c r="AJ1" s="37" t="s">
        <v>10</v>
      </c>
      <c r="AK1" s="37" t="s">
        <v>11</v>
      </c>
      <c r="AL1" s="37" t="s">
        <v>12</v>
      </c>
      <c r="AN1" s="37" t="s">
        <v>23</v>
      </c>
      <c r="AP1" s="37" t="s">
        <v>9710</v>
      </c>
      <c r="AQ1" s="37" t="s">
        <v>9711</v>
      </c>
      <c r="AS1" s="37" t="s">
        <v>9712</v>
      </c>
      <c r="AT1" s="37" t="s">
        <v>9713</v>
      </c>
      <c r="AU1" s="37" t="s">
        <v>9714</v>
      </c>
      <c r="AV1" s="37" t="s">
        <v>9715</v>
      </c>
      <c r="AX1" s="37" t="s">
        <v>9716</v>
      </c>
      <c r="AZ1" s="37" t="s">
        <v>9717</v>
      </c>
      <c r="BB1" s="37" t="s">
        <v>47</v>
      </c>
      <c r="BD1" s="37" t="s">
        <v>9718</v>
      </c>
    </row>
    <row r="2" spans="1:56">
      <c r="A2" t="s">
        <v>304</v>
      </c>
      <c r="B2" t="s">
        <v>8861</v>
      </c>
      <c r="C2">
        <v>80505520</v>
      </c>
      <c r="E2" t="s">
        <v>304</v>
      </c>
      <c r="G2" t="s">
        <v>305</v>
      </c>
      <c r="H2" t="s">
        <v>743</v>
      </c>
      <c r="I2" t="s">
        <v>504</v>
      </c>
      <c r="J2" t="s">
        <v>428</v>
      </c>
      <c r="K2" t="s">
        <v>1450</v>
      </c>
      <c r="L2" t="s">
        <v>265</v>
      </c>
      <c r="M2" t="s">
        <v>578</v>
      </c>
      <c r="N2" t="s">
        <v>589</v>
      </c>
      <c r="O2" t="s">
        <v>1167</v>
      </c>
      <c r="P2" t="s">
        <v>1155</v>
      </c>
      <c r="Q2" t="s">
        <v>2513</v>
      </c>
      <c r="R2" t="s">
        <v>346</v>
      </c>
      <c r="S2" t="s">
        <v>952</v>
      </c>
      <c r="T2" t="s">
        <v>1534</v>
      </c>
      <c r="U2" t="s">
        <v>473</v>
      </c>
      <c r="V2" t="s">
        <v>560</v>
      </c>
      <c r="W2" t="s">
        <v>904</v>
      </c>
      <c r="X2" t="s">
        <v>1524</v>
      </c>
      <c r="AD2" t="s">
        <v>305</v>
      </c>
      <c r="AE2" t="s">
        <v>8861</v>
      </c>
      <c r="AH2" s="1" t="s">
        <v>104</v>
      </c>
      <c r="AJ2" t="s">
        <v>2063</v>
      </c>
      <c r="AK2" t="s">
        <v>107</v>
      </c>
      <c r="AL2" t="s">
        <v>1427</v>
      </c>
      <c r="AN2" t="s">
        <v>242</v>
      </c>
      <c r="AP2" t="s">
        <v>118</v>
      </c>
      <c r="AQ2" s="1" t="s">
        <v>7633</v>
      </c>
      <c r="AS2" t="s">
        <v>119</v>
      </c>
      <c r="AT2" t="s">
        <v>120</v>
      </c>
      <c r="AU2" t="s">
        <v>9719</v>
      </c>
      <c r="AV2" t="s">
        <v>9229</v>
      </c>
      <c r="AX2" t="s">
        <v>8752</v>
      </c>
      <c r="AZ2" t="s">
        <v>9228</v>
      </c>
      <c r="BB2" t="s">
        <v>2937</v>
      </c>
      <c r="BD2" t="s">
        <v>123</v>
      </c>
    </row>
    <row r="3" spans="1:56">
      <c r="A3" t="s">
        <v>116</v>
      </c>
      <c r="B3" t="s">
        <v>4078</v>
      </c>
      <c r="C3">
        <v>93363483</v>
      </c>
      <c r="E3" t="s">
        <v>116</v>
      </c>
      <c r="H3" t="s">
        <v>9720</v>
      </c>
      <c r="I3" t="s">
        <v>9721</v>
      </c>
      <c r="J3" t="s">
        <v>1802</v>
      </c>
      <c r="K3" t="s">
        <v>817</v>
      </c>
      <c r="L3" t="s">
        <v>9722</v>
      </c>
      <c r="M3" t="s">
        <v>1599</v>
      </c>
      <c r="N3" t="s">
        <v>9723</v>
      </c>
      <c r="O3" t="s">
        <v>9724</v>
      </c>
      <c r="P3" t="s">
        <v>608</v>
      </c>
      <c r="Q3" t="s">
        <v>7148</v>
      </c>
      <c r="R3" t="s">
        <v>921</v>
      </c>
      <c r="S3" t="s">
        <v>9725</v>
      </c>
      <c r="AD3" t="s">
        <v>473</v>
      </c>
      <c r="AE3" t="s">
        <v>9726</v>
      </c>
      <c r="AF3">
        <v>7544385</v>
      </c>
      <c r="AH3" s="1" t="s">
        <v>6292</v>
      </c>
      <c r="AJ3" t="s">
        <v>6709</v>
      </c>
      <c r="AK3" t="s">
        <v>1426</v>
      </c>
      <c r="AL3" t="s">
        <v>6960</v>
      </c>
      <c r="AN3" t="s">
        <v>112</v>
      </c>
      <c r="AP3" t="s">
        <v>2936</v>
      </c>
      <c r="AQ3" s="1"/>
      <c r="AS3" t="s">
        <v>4370</v>
      </c>
      <c r="AT3" t="s">
        <v>9727</v>
      </c>
      <c r="AU3" t="s">
        <v>347</v>
      </c>
      <c r="AV3" t="s">
        <v>347</v>
      </c>
      <c r="AX3" t="s">
        <v>8739</v>
      </c>
      <c r="AZ3" t="s">
        <v>9504</v>
      </c>
      <c r="BB3" t="s">
        <v>121</v>
      </c>
      <c r="BD3" t="s">
        <v>142</v>
      </c>
    </row>
    <row r="4" spans="1:56">
      <c r="A4" t="s">
        <v>406</v>
      </c>
      <c r="B4" t="s">
        <v>9728</v>
      </c>
      <c r="C4">
        <v>72133921</v>
      </c>
      <c r="E4" t="s">
        <v>406</v>
      </c>
      <c r="H4" t="s">
        <v>325</v>
      </c>
      <c r="I4" t="s">
        <v>407</v>
      </c>
      <c r="J4" t="s">
        <v>1390</v>
      </c>
      <c r="K4" t="s">
        <v>867</v>
      </c>
      <c r="L4" t="s">
        <v>6422</v>
      </c>
      <c r="Q4" t="s">
        <v>283</v>
      </c>
      <c r="R4" t="s">
        <v>632</v>
      </c>
      <c r="AD4" t="s">
        <v>904</v>
      </c>
      <c r="AE4" t="s">
        <v>9729</v>
      </c>
      <c r="AF4">
        <v>32794946</v>
      </c>
      <c r="AH4" s="1" t="s">
        <v>5814</v>
      </c>
      <c r="AJ4" t="s">
        <v>6959</v>
      </c>
      <c r="AK4" t="s">
        <v>9406</v>
      </c>
      <c r="AL4" t="s">
        <v>108</v>
      </c>
      <c r="AN4" t="s">
        <v>9730</v>
      </c>
      <c r="AP4" t="s">
        <v>6266</v>
      </c>
      <c r="AQ4" s="1" t="s">
        <v>8401</v>
      </c>
      <c r="AS4" t="s">
        <v>1435</v>
      </c>
      <c r="AT4" t="s">
        <v>9731</v>
      </c>
      <c r="AU4" t="s">
        <v>1641</v>
      </c>
      <c r="AV4" t="s">
        <v>515</v>
      </c>
      <c r="AX4" t="s">
        <v>8881</v>
      </c>
      <c r="AZ4" t="s">
        <v>9238</v>
      </c>
    </row>
    <row r="5" spans="1:56">
      <c r="A5" t="s">
        <v>427</v>
      </c>
      <c r="B5" t="s">
        <v>9732</v>
      </c>
      <c r="C5">
        <v>52220857</v>
      </c>
      <c r="E5" t="s">
        <v>427</v>
      </c>
      <c r="H5" t="s">
        <v>117</v>
      </c>
      <c r="J5" t="s">
        <v>2561</v>
      </c>
      <c r="K5" t="s">
        <v>3787</v>
      </c>
      <c r="L5" t="s">
        <v>218</v>
      </c>
      <c r="Q5" t="s">
        <v>293</v>
      </c>
      <c r="R5" t="s">
        <v>1062</v>
      </c>
      <c r="AD5" t="s">
        <v>1524</v>
      </c>
      <c r="AE5" t="s">
        <v>9733</v>
      </c>
      <c r="AF5">
        <v>38285903</v>
      </c>
      <c r="AH5" s="1" t="s">
        <v>1423</v>
      </c>
      <c r="AJ5" t="s">
        <v>8840</v>
      </c>
      <c r="AL5" t="s">
        <v>5731</v>
      </c>
      <c r="AN5" t="s">
        <v>2934</v>
      </c>
      <c r="AP5" t="s">
        <v>5821</v>
      </c>
      <c r="AQ5" s="1" t="s">
        <v>8363</v>
      </c>
      <c r="AT5" t="s">
        <v>2071</v>
      </c>
      <c r="AU5" t="s">
        <v>3501</v>
      </c>
      <c r="AV5" t="s">
        <v>9734</v>
      </c>
      <c r="AX5" t="s">
        <v>8745</v>
      </c>
      <c r="AZ5" t="s">
        <v>9368</v>
      </c>
    </row>
    <row r="6" spans="1:56">
      <c r="A6" t="s">
        <v>816</v>
      </c>
      <c r="B6" t="s">
        <v>8845</v>
      </c>
      <c r="C6">
        <v>52423537</v>
      </c>
      <c r="E6" t="s">
        <v>816</v>
      </c>
      <c r="H6" t="s">
        <v>2309</v>
      </c>
      <c r="J6" t="s">
        <v>9735</v>
      </c>
      <c r="K6" t="s">
        <v>2450</v>
      </c>
      <c r="L6" t="s">
        <v>539</v>
      </c>
      <c r="AD6" t="s">
        <v>560</v>
      </c>
      <c r="AE6" t="s">
        <v>9736</v>
      </c>
      <c r="AF6">
        <v>6103856</v>
      </c>
      <c r="AH6" s="1" t="s">
        <v>2927</v>
      </c>
      <c r="AJ6" t="s">
        <v>9422</v>
      </c>
      <c r="AP6" t="s">
        <v>1434</v>
      </c>
      <c r="AQ6" s="73"/>
      <c r="AU6" t="s">
        <v>1272</v>
      </c>
      <c r="AV6" t="s">
        <v>3508</v>
      </c>
      <c r="AX6" t="s">
        <v>9014</v>
      </c>
      <c r="AZ6" t="s">
        <v>9261</v>
      </c>
    </row>
    <row r="7" spans="1:56">
      <c r="A7" t="s">
        <v>217</v>
      </c>
      <c r="B7" t="s">
        <v>8855</v>
      </c>
      <c r="C7">
        <v>2231755</v>
      </c>
      <c r="E7" t="s">
        <v>217</v>
      </c>
      <c r="H7" t="s">
        <v>484</v>
      </c>
      <c r="J7" t="s">
        <v>2341</v>
      </c>
      <c r="K7" t="s">
        <v>2577</v>
      </c>
      <c r="L7" t="s">
        <v>9737</v>
      </c>
      <c r="AD7" t="s">
        <v>1534</v>
      </c>
      <c r="AE7" t="s">
        <v>9738</v>
      </c>
      <c r="AF7">
        <v>1032460552</v>
      </c>
      <c r="AH7" s="1" t="s">
        <v>1583</v>
      </c>
      <c r="AJ7" t="s">
        <v>9739</v>
      </c>
      <c r="AP7" t="s">
        <v>3186</v>
      </c>
      <c r="AQ7" s="1" t="s">
        <v>7691</v>
      </c>
      <c r="AU7" t="s">
        <v>819</v>
      </c>
      <c r="AV7" t="s">
        <v>367</v>
      </c>
      <c r="AX7" t="s">
        <v>8886</v>
      </c>
      <c r="AZ7" t="s">
        <v>9282</v>
      </c>
    </row>
    <row r="8" spans="1:56">
      <c r="A8" t="s">
        <v>577</v>
      </c>
      <c r="B8" t="s">
        <v>9740</v>
      </c>
      <c r="C8">
        <v>79537198</v>
      </c>
      <c r="E8" t="s">
        <v>577</v>
      </c>
      <c r="H8" t="s">
        <v>659</v>
      </c>
      <c r="J8" t="s">
        <v>2198</v>
      </c>
      <c r="K8" t="s">
        <v>6614</v>
      </c>
      <c r="L8" t="s">
        <v>381</v>
      </c>
      <c r="AD8" t="s">
        <v>2513</v>
      </c>
      <c r="AE8" t="s">
        <v>9350</v>
      </c>
      <c r="AF8">
        <v>51917861</v>
      </c>
      <c r="AJ8" t="s">
        <v>6197</v>
      </c>
      <c r="AQ8" s="1"/>
      <c r="AU8" t="s">
        <v>2938</v>
      </c>
      <c r="AX8" t="s">
        <v>9741</v>
      </c>
      <c r="AZ8" t="s">
        <v>9742</v>
      </c>
    </row>
    <row r="9" spans="1:56">
      <c r="A9" t="s">
        <v>588</v>
      </c>
      <c r="B9" t="s">
        <v>9743</v>
      </c>
      <c r="C9">
        <v>51743499</v>
      </c>
      <c r="E9" t="s">
        <v>588</v>
      </c>
      <c r="H9" t="s">
        <v>9744</v>
      </c>
      <c r="K9" t="s">
        <v>2835</v>
      </c>
      <c r="L9" t="s">
        <v>9745</v>
      </c>
      <c r="AD9" s="38" t="s">
        <v>743</v>
      </c>
      <c r="AE9" s="38" t="s">
        <v>4078</v>
      </c>
      <c r="AF9" s="38">
        <v>93363483</v>
      </c>
      <c r="AJ9" t="s">
        <v>9746</v>
      </c>
      <c r="AQ9" s="1"/>
      <c r="AU9" t="s">
        <v>367</v>
      </c>
      <c r="AZ9" t="s">
        <v>9289</v>
      </c>
    </row>
    <row r="10" spans="1:56">
      <c r="A10" t="s">
        <v>1166</v>
      </c>
      <c r="B10" t="s">
        <v>9747</v>
      </c>
      <c r="C10">
        <v>79791177</v>
      </c>
      <c r="E10" t="s">
        <v>1166</v>
      </c>
      <c r="H10" t="s">
        <v>940</v>
      </c>
      <c r="K10" t="s">
        <v>4513</v>
      </c>
      <c r="L10" t="s">
        <v>9748</v>
      </c>
      <c r="AD10" s="38" t="s">
        <v>9720</v>
      </c>
      <c r="AE10" s="38" t="s">
        <v>9749</v>
      </c>
      <c r="AF10" s="38">
        <v>52964360</v>
      </c>
      <c r="AJ10" t="s">
        <v>106</v>
      </c>
      <c r="AU10" t="s">
        <v>3067</v>
      </c>
      <c r="AZ10" t="s">
        <v>9403</v>
      </c>
    </row>
    <row r="11" spans="1:56">
      <c r="A11" t="s">
        <v>607</v>
      </c>
      <c r="B11" t="s">
        <v>8848</v>
      </c>
      <c r="C11">
        <v>53062608</v>
      </c>
      <c r="E11" t="s">
        <v>607</v>
      </c>
      <c r="H11" t="s">
        <v>972</v>
      </c>
      <c r="K11" t="s">
        <v>3578</v>
      </c>
      <c r="AD11" s="38" t="s">
        <v>325</v>
      </c>
      <c r="AE11" s="38" t="s">
        <v>9750</v>
      </c>
      <c r="AF11" s="38">
        <v>52487587</v>
      </c>
      <c r="AJ11" t="s">
        <v>5866</v>
      </c>
      <c r="AU11" t="s">
        <v>3453</v>
      </c>
      <c r="AZ11" t="s">
        <v>9580</v>
      </c>
    </row>
    <row r="12" spans="1:56">
      <c r="A12" t="s">
        <v>282</v>
      </c>
      <c r="B12" t="s">
        <v>9751</v>
      </c>
      <c r="C12">
        <v>52832635</v>
      </c>
      <c r="E12" t="s">
        <v>282</v>
      </c>
      <c r="K12" t="s">
        <v>3343</v>
      </c>
      <c r="AD12" s="38" t="s">
        <v>117</v>
      </c>
      <c r="AE12" s="38" t="s">
        <v>9749</v>
      </c>
      <c r="AF12" s="38">
        <v>52964360</v>
      </c>
      <c r="AJ12" t="s">
        <v>3178</v>
      </c>
      <c r="AU12" t="s">
        <v>3133</v>
      </c>
    </row>
    <row r="13" spans="1:56">
      <c r="A13" t="s">
        <v>345</v>
      </c>
      <c r="B13" t="s">
        <v>9752</v>
      </c>
      <c r="C13">
        <v>79672493</v>
      </c>
      <c r="E13" t="s">
        <v>345</v>
      </c>
      <c r="AD13" s="38" t="s">
        <v>2309</v>
      </c>
      <c r="AE13" s="38" t="s">
        <v>9753</v>
      </c>
      <c r="AF13" s="38">
        <v>1013587191</v>
      </c>
      <c r="AJ13" t="s">
        <v>1425</v>
      </c>
      <c r="AU13" t="s">
        <v>409</v>
      </c>
    </row>
    <row r="14" spans="1:56">
      <c r="A14" t="s">
        <v>951</v>
      </c>
      <c r="B14" t="s">
        <v>9754</v>
      </c>
      <c r="C14">
        <v>11443937</v>
      </c>
      <c r="E14" t="s">
        <v>951</v>
      </c>
      <c r="AD14" s="38" t="s">
        <v>484</v>
      </c>
      <c r="AE14" s="38" t="s">
        <v>9755</v>
      </c>
      <c r="AF14" s="38">
        <v>98622827</v>
      </c>
      <c r="AJ14" t="s">
        <v>2929</v>
      </c>
      <c r="AU14" t="s">
        <v>122</v>
      </c>
    </row>
    <row r="15" spans="1:56">
      <c r="E15" t="s">
        <v>1533</v>
      </c>
      <c r="AD15" s="38" t="s">
        <v>659</v>
      </c>
      <c r="AE15" s="38" t="s">
        <v>8859</v>
      </c>
      <c r="AF15" s="38">
        <v>1072446921</v>
      </c>
      <c r="AJ15" t="s">
        <v>5941</v>
      </c>
      <c r="AU15" t="s">
        <v>4526</v>
      </c>
    </row>
    <row r="16" spans="1:56">
      <c r="E16" t="s">
        <v>472</v>
      </c>
      <c r="AD16" s="38" t="s">
        <v>9744</v>
      </c>
      <c r="AE16" s="38" t="s">
        <v>9756</v>
      </c>
      <c r="AF16" s="38">
        <v>80220595</v>
      </c>
      <c r="AJ16" t="s">
        <v>9757</v>
      </c>
      <c r="AU16" t="s">
        <v>3437</v>
      </c>
    </row>
    <row r="17" spans="5:47">
      <c r="E17" t="s">
        <v>559</v>
      </c>
      <c r="AD17" s="38" t="s">
        <v>940</v>
      </c>
      <c r="AE17" s="38" t="s">
        <v>9758</v>
      </c>
      <c r="AF17" s="38">
        <v>79466595</v>
      </c>
      <c r="AJ17" t="s">
        <v>6608</v>
      </c>
      <c r="AU17" t="s">
        <v>220</v>
      </c>
    </row>
    <row r="18" spans="5:47">
      <c r="E18" t="s">
        <v>903</v>
      </c>
      <c r="AD18" s="38" t="s">
        <v>972</v>
      </c>
      <c r="AE18" s="38" t="s">
        <v>9759</v>
      </c>
      <c r="AF18" s="38">
        <v>24497384</v>
      </c>
      <c r="AJ18" t="s">
        <v>4162</v>
      </c>
      <c r="AU18" t="s">
        <v>515</v>
      </c>
    </row>
    <row r="19" spans="5:47">
      <c r="E19" t="s">
        <v>1523</v>
      </c>
      <c r="AD19" s="39" t="s">
        <v>504</v>
      </c>
      <c r="AE19" s="39" t="s">
        <v>9728</v>
      </c>
      <c r="AF19" s="39">
        <v>72133921</v>
      </c>
      <c r="AJ19" t="s">
        <v>6134</v>
      </c>
      <c r="AU19" t="s">
        <v>327</v>
      </c>
    </row>
    <row r="20" spans="5:47">
      <c r="AD20" s="39" t="s">
        <v>9721</v>
      </c>
      <c r="AE20" s="39" t="s">
        <v>9760</v>
      </c>
      <c r="AF20" s="39">
        <v>79744666</v>
      </c>
      <c r="AU20" t="s">
        <v>486</v>
      </c>
    </row>
    <row r="21" spans="5:47">
      <c r="AD21" s="39" t="s">
        <v>407</v>
      </c>
      <c r="AE21" s="39" t="s">
        <v>9761</v>
      </c>
      <c r="AF21" s="39">
        <v>52496497</v>
      </c>
      <c r="AU21" t="s">
        <v>285</v>
      </c>
    </row>
    <row r="22" spans="5:47">
      <c r="AD22" s="40" t="s">
        <v>428</v>
      </c>
      <c r="AE22" s="40" t="s">
        <v>9732</v>
      </c>
      <c r="AF22" s="40">
        <v>52220857</v>
      </c>
      <c r="AU22" t="s">
        <v>886</v>
      </c>
    </row>
    <row r="23" spans="5:47">
      <c r="AD23" s="40" t="s">
        <v>1802</v>
      </c>
      <c r="AE23" s="40" t="s">
        <v>9762</v>
      </c>
      <c r="AF23" s="40">
        <v>53036984</v>
      </c>
      <c r="AU23" t="s">
        <v>9229</v>
      </c>
    </row>
    <row r="24" spans="5:47">
      <c r="AD24" s="40" t="s">
        <v>1390</v>
      </c>
      <c r="AE24" s="40" t="s">
        <v>9763</v>
      </c>
      <c r="AF24" s="40">
        <v>51613966</v>
      </c>
      <c r="AU24" t="s">
        <v>3508</v>
      </c>
    </row>
    <row r="25" spans="5:47">
      <c r="AD25" s="40" t="s">
        <v>2561</v>
      </c>
      <c r="AE25" s="40" t="s">
        <v>9764</v>
      </c>
      <c r="AF25" s="40">
        <v>51803256</v>
      </c>
    </row>
    <row r="26" spans="5:47">
      <c r="K26" t="s">
        <v>2835</v>
      </c>
      <c r="AD26" s="40" t="s">
        <v>9735</v>
      </c>
      <c r="AE26" s="40" t="s">
        <v>9765</v>
      </c>
      <c r="AF26" s="40">
        <v>1016003642</v>
      </c>
    </row>
    <row r="27" spans="5:47">
      <c r="K27" t="s">
        <v>4513</v>
      </c>
      <c r="AD27" s="40" t="s">
        <v>2341</v>
      </c>
      <c r="AE27" s="40" t="s">
        <v>9766</v>
      </c>
      <c r="AF27" s="40">
        <v>79719453</v>
      </c>
    </row>
    <row r="28" spans="5:47">
      <c r="K28" t="s">
        <v>3578</v>
      </c>
      <c r="AD28" s="40" t="s">
        <v>2198</v>
      </c>
      <c r="AE28" s="40" t="s">
        <v>9767</v>
      </c>
      <c r="AF28" s="40">
        <v>1018418424</v>
      </c>
    </row>
    <row r="29" spans="5:47">
      <c r="K29" t="s">
        <v>3343</v>
      </c>
      <c r="AD29" s="41" t="s">
        <v>1450</v>
      </c>
      <c r="AE29" s="41" t="s">
        <v>8845</v>
      </c>
      <c r="AF29" s="41">
        <v>52423537</v>
      </c>
    </row>
    <row r="30" spans="5:47">
      <c r="AD30" s="41" t="s">
        <v>817</v>
      </c>
      <c r="AE30" s="41" t="s">
        <v>9768</v>
      </c>
      <c r="AF30" s="41">
        <v>79434805</v>
      </c>
    </row>
    <row r="31" spans="5:47">
      <c r="AD31" s="41" t="s">
        <v>867</v>
      </c>
      <c r="AE31" s="41" t="s">
        <v>9769</v>
      </c>
      <c r="AF31" s="41">
        <v>79451906</v>
      </c>
    </row>
    <row r="32" spans="5:47">
      <c r="AD32" s="41" t="s">
        <v>3787</v>
      </c>
      <c r="AE32" s="41" t="s">
        <v>9770</v>
      </c>
      <c r="AF32" s="41">
        <v>80006563</v>
      </c>
    </row>
    <row r="33" spans="30:32">
      <c r="AD33" s="41" t="s">
        <v>2450</v>
      </c>
      <c r="AE33" s="41" t="s">
        <v>9771</v>
      </c>
      <c r="AF33" s="41">
        <v>76322322</v>
      </c>
    </row>
    <row r="34" spans="30:32">
      <c r="AD34" s="41" t="s">
        <v>2577</v>
      </c>
      <c r="AE34" s="41" t="s">
        <v>9359</v>
      </c>
      <c r="AF34" s="41">
        <v>79352968</v>
      </c>
    </row>
    <row r="35" spans="30:32">
      <c r="AD35" s="41" t="s">
        <v>6614</v>
      </c>
      <c r="AE35" s="41" t="s">
        <v>9359</v>
      </c>
      <c r="AF35" s="41">
        <v>79352968</v>
      </c>
    </row>
    <row r="36" spans="30:32">
      <c r="AD36" s="41" t="s">
        <v>2835</v>
      </c>
      <c r="AE36" s="41" t="s">
        <v>9772</v>
      </c>
      <c r="AF36" s="41">
        <v>80018909</v>
      </c>
    </row>
    <row r="37" spans="30:32">
      <c r="AD37" s="41" t="s">
        <v>4513</v>
      </c>
      <c r="AE37" s="41" t="s">
        <v>9773</v>
      </c>
      <c r="AF37" s="41">
        <v>19490879</v>
      </c>
    </row>
    <row r="38" spans="30:32">
      <c r="AD38" s="41" t="s">
        <v>3578</v>
      </c>
      <c r="AE38" s="41" t="s">
        <v>9774</v>
      </c>
      <c r="AF38" s="41">
        <v>52193887</v>
      </c>
    </row>
    <row r="39" spans="30:32">
      <c r="AD39" s="41" t="s">
        <v>3343</v>
      </c>
      <c r="AE39" s="41" t="s">
        <v>9775</v>
      </c>
      <c r="AF39" s="41">
        <v>80865138</v>
      </c>
    </row>
    <row r="40" spans="30:32">
      <c r="AD40" s="42" t="s">
        <v>265</v>
      </c>
      <c r="AE40" s="42" t="s">
        <v>8855</v>
      </c>
      <c r="AF40" s="42">
        <v>2231755</v>
      </c>
    </row>
    <row r="41" spans="30:32">
      <c r="AD41" s="42" t="s">
        <v>9722</v>
      </c>
      <c r="AE41" s="42" t="s">
        <v>9776</v>
      </c>
      <c r="AF41" s="42">
        <v>52414936</v>
      </c>
    </row>
    <row r="42" spans="30:32">
      <c r="AD42" s="42" t="s">
        <v>6422</v>
      </c>
      <c r="AE42" s="42" t="s">
        <v>9777</v>
      </c>
      <c r="AF42" s="42">
        <v>4488888</v>
      </c>
    </row>
    <row r="43" spans="30:32">
      <c r="AD43" s="42" t="s">
        <v>218</v>
      </c>
      <c r="AE43" s="42" t="s">
        <v>212</v>
      </c>
      <c r="AF43" s="42">
        <v>1015408521</v>
      </c>
    </row>
    <row r="44" spans="30:32">
      <c r="AD44" s="42" t="s">
        <v>539</v>
      </c>
      <c r="AE44" s="42" t="s">
        <v>8857</v>
      </c>
      <c r="AF44" s="42">
        <v>52049845</v>
      </c>
    </row>
    <row r="45" spans="30:32">
      <c r="AD45" s="42" t="s">
        <v>9737</v>
      </c>
      <c r="AE45" s="42" t="s">
        <v>9778</v>
      </c>
      <c r="AF45" s="42">
        <v>79523387</v>
      </c>
    </row>
    <row r="46" spans="30:32">
      <c r="AD46" s="42" t="s">
        <v>381</v>
      </c>
      <c r="AE46" s="42" t="s">
        <v>4079</v>
      </c>
      <c r="AF46" s="42">
        <v>51842510</v>
      </c>
    </row>
    <row r="47" spans="30:32">
      <c r="AD47" s="42" t="s">
        <v>9745</v>
      </c>
      <c r="AE47" s="42" t="s">
        <v>9779</v>
      </c>
      <c r="AF47" s="42">
        <v>51899000</v>
      </c>
    </row>
    <row r="48" spans="30:32">
      <c r="AD48" s="42" t="s">
        <v>9748</v>
      </c>
      <c r="AE48" s="42" t="s">
        <v>9780</v>
      </c>
      <c r="AF48" s="42">
        <v>80366655</v>
      </c>
    </row>
    <row r="49" spans="30:32">
      <c r="AD49" s="40" t="s">
        <v>952</v>
      </c>
      <c r="AE49" s="40" t="s">
        <v>9754</v>
      </c>
      <c r="AF49" s="40">
        <v>11443937</v>
      </c>
    </row>
    <row r="50" spans="30:32">
      <c r="AD50" s="40" t="s">
        <v>9725</v>
      </c>
      <c r="AE50" s="40" t="s">
        <v>9781</v>
      </c>
      <c r="AF50" s="40">
        <v>1020730635</v>
      </c>
    </row>
    <row r="51" spans="30:32">
      <c r="AD51" s="43" t="s">
        <v>578</v>
      </c>
      <c r="AE51" s="43" t="s">
        <v>9740</v>
      </c>
      <c r="AF51" s="43">
        <v>79537198</v>
      </c>
    </row>
    <row r="52" spans="30:32">
      <c r="AD52" s="43" t="s">
        <v>1599</v>
      </c>
      <c r="AE52" s="43" t="s">
        <v>9782</v>
      </c>
      <c r="AF52" s="43">
        <v>63513648</v>
      </c>
    </row>
    <row r="53" spans="30:32">
      <c r="AD53" s="44" t="s">
        <v>589</v>
      </c>
      <c r="AE53" s="44" t="s">
        <v>9743</v>
      </c>
      <c r="AF53" s="44">
        <v>51743499</v>
      </c>
    </row>
    <row r="54" spans="30:32">
      <c r="AD54" s="44" t="s">
        <v>9723</v>
      </c>
      <c r="AE54" s="44" t="s">
        <v>9783</v>
      </c>
      <c r="AF54" s="44">
        <v>52759531</v>
      </c>
    </row>
    <row r="55" spans="30:32">
      <c r="AD55" s="45" t="s">
        <v>1167</v>
      </c>
      <c r="AE55" s="45"/>
      <c r="AF55" s="45"/>
    </row>
    <row r="56" spans="30:32">
      <c r="AD56" s="45" t="s">
        <v>9724</v>
      </c>
      <c r="AE56" s="45" t="s">
        <v>9784</v>
      </c>
      <c r="AF56" s="45">
        <v>79366274</v>
      </c>
    </row>
    <row r="57" spans="30:32">
      <c r="AD57" s="46" t="s">
        <v>1155</v>
      </c>
      <c r="AE57" s="46" t="s">
        <v>8848</v>
      </c>
      <c r="AF57" s="46">
        <v>53062608</v>
      </c>
    </row>
    <row r="58" spans="30:32">
      <c r="AD58" s="46" t="s">
        <v>608</v>
      </c>
      <c r="AE58" s="46" t="s">
        <v>9785</v>
      </c>
      <c r="AF58" s="46">
        <v>79321982</v>
      </c>
    </row>
    <row r="59" spans="30:32">
      <c r="AD59" s="47" t="s">
        <v>7148</v>
      </c>
      <c r="AE59" s="47" t="s">
        <v>9751</v>
      </c>
      <c r="AF59" s="47">
        <v>52832635</v>
      </c>
    </row>
    <row r="60" spans="30:32">
      <c r="AD60" s="47" t="s">
        <v>283</v>
      </c>
      <c r="AE60" s="47" t="s">
        <v>9786</v>
      </c>
      <c r="AF60" s="47">
        <v>51774925</v>
      </c>
    </row>
    <row r="61" spans="30:32">
      <c r="AD61" s="47" t="s">
        <v>293</v>
      </c>
      <c r="AE61" s="47" t="s">
        <v>9787</v>
      </c>
      <c r="AF61" s="47">
        <v>52867207</v>
      </c>
    </row>
    <row r="62" spans="30:32">
      <c r="AD62" s="38" t="s">
        <v>346</v>
      </c>
      <c r="AE62" s="38" t="s">
        <v>9752</v>
      </c>
      <c r="AF62" s="38">
        <v>79672493</v>
      </c>
    </row>
    <row r="63" spans="30:32">
      <c r="AD63" s="38" t="s">
        <v>921</v>
      </c>
      <c r="AE63" s="38" t="s">
        <v>9788</v>
      </c>
      <c r="AF63" s="38">
        <v>63392036</v>
      </c>
    </row>
    <row r="64" spans="30:32">
      <c r="AD64" s="38" t="s">
        <v>632</v>
      </c>
      <c r="AE64" s="38" t="s">
        <v>9789</v>
      </c>
      <c r="AF64" s="38">
        <v>79940034</v>
      </c>
    </row>
    <row r="65" spans="30:32">
      <c r="AD65" s="38" t="s">
        <v>1062</v>
      </c>
      <c r="AE65" s="38" t="s">
        <v>9790</v>
      </c>
      <c r="AF65" s="38">
        <v>52207089</v>
      </c>
    </row>
  </sheetData>
  <pageMargins left="0.7" right="0.7" top="0.75" bottom="0.75" header="0.3" footer="0.3"/>
  <pageSetup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B08F-6B6A-4F87-A8EB-52579ACE7A82}">
  <dimension ref="A1:CT44"/>
  <sheetViews>
    <sheetView workbookViewId="0">
      <pane xSplit="2" ySplit="1" topLeftCell="C4" activePane="bottomRight" state="frozen"/>
      <selection pane="bottomRight" activeCell="B4" sqref="B4"/>
      <selection pane="bottomLeft"/>
      <selection pane="topRight"/>
    </sheetView>
  </sheetViews>
  <sheetFormatPr defaultColWidth="9.140625" defaultRowHeight="15"/>
  <cols>
    <col min="1" max="1" width="17.5703125" style="210" customWidth="1"/>
    <col min="2" max="2" width="15.7109375" style="88" customWidth="1"/>
    <col min="4" max="4" width="12.85546875" customWidth="1"/>
    <col min="5" max="5" width="16" customWidth="1"/>
    <col min="6" max="6" width="14" customWidth="1"/>
    <col min="9" max="9" width="27.85546875" customWidth="1"/>
    <col min="10" max="10" width="18.42578125" customWidth="1"/>
    <col min="11" max="11" width="17.85546875" customWidth="1"/>
    <col min="12" max="12" width="48.5703125" customWidth="1"/>
    <col min="14" max="14" width="18.140625" customWidth="1"/>
    <col min="15" max="15" width="14.5703125" customWidth="1"/>
    <col min="16" max="16" width="13" customWidth="1"/>
    <col min="18" max="18" width="20" customWidth="1"/>
    <col min="19" max="19" width="19.85546875" customWidth="1"/>
    <col min="20" max="20" width="21.5703125" customWidth="1"/>
    <col min="21" max="21" width="24.28515625" customWidth="1"/>
    <col min="22" max="22" width="14.7109375" customWidth="1"/>
    <col min="23" max="23" width="20.85546875" customWidth="1"/>
    <col min="24" max="24" width="16.7109375" customWidth="1"/>
    <col min="27" max="27" width="29.5703125" customWidth="1"/>
    <col min="28" max="28" width="23.28515625" customWidth="1"/>
    <col min="29" max="29" width="20.28515625" customWidth="1"/>
    <col min="30" max="30" width="26.28515625" customWidth="1"/>
    <col min="31" max="31" width="25.28515625" customWidth="1"/>
    <col min="32" max="32" width="21.5703125" customWidth="1"/>
    <col min="33" max="33" width="9.85546875" bestFit="1" customWidth="1"/>
    <col min="34" max="34" width="15.28515625" customWidth="1"/>
    <col min="42" max="42" width="35.7109375" customWidth="1"/>
    <col min="43" max="43" width="22.42578125" customWidth="1"/>
    <col min="62" max="62" width="25.5703125" customWidth="1"/>
    <col min="63" max="63" width="18.140625" customWidth="1"/>
    <col min="64" max="64" width="18.5703125" customWidth="1"/>
    <col min="65" max="65" width="15.140625" customWidth="1"/>
    <col min="71" max="71" width="14" customWidth="1"/>
    <col min="72" max="72" width="12" customWidth="1"/>
    <col min="76" max="76" width="25.5703125" customWidth="1"/>
    <col min="77" max="77" width="14.85546875" customWidth="1"/>
    <col min="83" max="83" width="23" customWidth="1"/>
    <col min="85" max="85" width="26.5703125" customWidth="1"/>
  </cols>
  <sheetData>
    <row r="1" spans="1:98" ht="146.25">
      <c r="A1" s="208" t="s">
        <v>9791</v>
      </c>
      <c r="B1" s="2" t="s">
        <v>9792</v>
      </c>
      <c r="C1" s="2" t="s">
        <v>8</v>
      </c>
      <c r="D1" s="2" t="s">
        <v>9</v>
      </c>
      <c r="E1" s="2" t="s">
        <v>10</v>
      </c>
      <c r="F1" s="2" t="s">
        <v>11</v>
      </c>
      <c r="G1" s="2" t="s">
        <v>12</v>
      </c>
      <c r="H1" s="55" t="s">
        <v>13</v>
      </c>
      <c r="I1" s="2" t="s">
        <v>9793</v>
      </c>
      <c r="J1" s="2" t="s">
        <v>15</v>
      </c>
      <c r="K1" s="2" t="s">
        <v>16</v>
      </c>
      <c r="L1" s="2" t="s">
        <v>17</v>
      </c>
      <c r="M1" s="2" t="s">
        <v>18</v>
      </c>
      <c r="N1" s="2" t="s">
        <v>19</v>
      </c>
      <c r="O1" s="2" t="s">
        <v>20</v>
      </c>
      <c r="P1" s="2" t="s">
        <v>21</v>
      </c>
      <c r="Q1" s="2" t="s">
        <v>22</v>
      </c>
      <c r="R1" s="2" t="s">
        <v>23</v>
      </c>
      <c r="S1" s="2" t="s">
        <v>24</v>
      </c>
      <c r="T1" s="2" t="s">
        <v>25</v>
      </c>
      <c r="U1" s="2" t="s">
        <v>26</v>
      </c>
      <c r="V1" s="2" t="s">
        <v>27</v>
      </c>
      <c r="W1" s="2" t="s">
        <v>28</v>
      </c>
      <c r="X1" s="2" t="s">
        <v>29</v>
      </c>
      <c r="Y1" s="2" t="s">
        <v>30</v>
      </c>
      <c r="Z1" s="2" t="s">
        <v>31</v>
      </c>
      <c r="AA1" s="2" t="s">
        <v>32</v>
      </c>
      <c r="AB1" s="2" t="s">
        <v>33</v>
      </c>
      <c r="AC1" s="2" t="s">
        <v>34</v>
      </c>
      <c r="AD1" s="2" t="s">
        <v>35</v>
      </c>
      <c r="AE1" s="2" t="s">
        <v>36</v>
      </c>
      <c r="AF1" s="2" t="s">
        <v>37</v>
      </c>
      <c r="AG1" s="2" t="s">
        <v>38</v>
      </c>
      <c r="AH1" s="2" t="s">
        <v>39</v>
      </c>
      <c r="AI1" s="2" t="s">
        <v>40</v>
      </c>
      <c r="AJ1" s="2" t="s">
        <v>41</v>
      </c>
      <c r="AK1" s="2" t="s">
        <v>42</v>
      </c>
      <c r="AL1" s="2" t="s">
        <v>43</v>
      </c>
      <c r="AM1" s="2" t="s">
        <v>44</v>
      </c>
      <c r="AN1" s="2" t="s">
        <v>45</v>
      </c>
      <c r="AO1" s="2" t="s">
        <v>46</v>
      </c>
      <c r="AP1" s="2" t="s">
        <v>47</v>
      </c>
      <c r="AQ1" s="2" t="s">
        <v>8871</v>
      </c>
      <c r="AR1" s="2" t="s">
        <v>49</v>
      </c>
      <c r="AS1" s="2" t="s">
        <v>9794</v>
      </c>
      <c r="AT1" s="3" t="s">
        <v>51</v>
      </c>
      <c r="AU1" s="55" t="s">
        <v>52</v>
      </c>
      <c r="AV1" s="2" t="s">
        <v>53</v>
      </c>
      <c r="AW1" s="2" t="s">
        <v>54</v>
      </c>
      <c r="AX1" s="2" t="s">
        <v>9795</v>
      </c>
      <c r="AY1" s="2" t="s">
        <v>56</v>
      </c>
      <c r="AZ1" s="2" t="s">
        <v>57</v>
      </c>
      <c r="BA1" s="2" t="s">
        <v>58</v>
      </c>
      <c r="BB1" s="2" t="s">
        <v>59</v>
      </c>
      <c r="BC1" s="98" t="s">
        <v>60</v>
      </c>
      <c r="BD1" s="2" t="s">
        <v>61</v>
      </c>
      <c r="BE1" s="2" t="s">
        <v>62</v>
      </c>
      <c r="BF1" s="2" t="s">
        <v>63</v>
      </c>
      <c r="BG1" s="2" t="s">
        <v>64</v>
      </c>
      <c r="BH1" s="2" t="s">
        <v>65</v>
      </c>
      <c r="BI1" s="2" t="s">
        <v>66</v>
      </c>
      <c r="BJ1" s="2" t="s">
        <v>67</v>
      </c>
      <c r="BK1" s="2" t="s">
        <v>9796</v>
      </c>
      <c r="BL1" s="2" t="s">
        <v>69</v>
      </c>
      <c r="BM1" s="2" t="s">
        <v>9213</v>
      </c>
      <c r="BN1" s="2" t="s">
        <v>71</v>
      </c>
      <c r="BO1" s="2" t="s">
        <v>9214</v>
      </c>
      <c r="BP1" s="2" t="s">
        <v>73</v>
      </c>
      <c r="BQ1" s="2" t="s">
        <v>74</v>
      </c>
      <c r="BR1" s="2" t="s">
        <v>75</v>
      </c>
      <c r="BS1" s="2" t="s">
        <v>76</v>
      </c>
      <c r="BT1" s="2" t="s">
        <v>77</v>
      </c>
      <c r="BU1" s="2" t="s">
        <v>78</v>
      </c>
      <c r="BV1" s="2" t="s">
        <v>79</v>
      </c>
      <c r="BW1" s="2" t="s">
        <v>80</v>
      </c>
      <c r="BX1" s="2" t="s">
        <v>81</v>
      </c>
      <c r="BY1" s="2" t="s">
        <v>82</v>
      </c>
      <c r="BZ1" s="2" t="s">
        <v>83</v>
      </c>
      <c r="CA1" s="2" t="s">
        <v>84</v>
      </c>
      <c r="CB1" s="2" t="s">
        <v>85</v>
      </c>
      <c r="CC1" s="2" t="s">
        <v>86</v>
      </c>
      <c r="CD1" s="2" t="s">
        <v>87</v>
      </c>
      <c r="CE1" s="2" t="s">
        <v>88</v>
      </c>
      <c r="CF1" s="2" t="s">
        <v>89</v>
      </c>
      <c r="CG1" s="2" t="s">
        <v>90</v>
      </c>
      <c r="CH1" s="2" t="s">
        <v>91</v>
      </c>
      <c r="CI1" s="2" t="s">
        <v>92</v>
      </c>
      <c r="CJ1" s="2" t="s">
        <v>93</v>
      </c>
      <c r="CK1" s="2" t="s">
        <v>94</v>
      </c>
      <c r="CL1" s="2" t="s">
        <v>95</v>
      </c>
      <c r="CM1" s="2" t="s">
        <v>96</v>
      </c>
      <c r="CN1" s="81" t="s">
        <v>97</v>
      </c>
      <c r="CO1" s="144" t="s">
        <v>9797</v>
      </c>
      <c r="CP1" s="2" t="s">
        <v>9718</v>
      </c>
      <c r="CQ1" s="84" t="s">
        <v>100</v>
      </c>
      <c r="CR1" s="84" t="s">
        <v>101</v>
      </c>
      <c r="CS1" s="152"/>
      <c r="CT1" s="152"/>
    </row>
    <row r="2" spans="1:98" ht="30" customHeight="1">
      <c r="A2" s="209" t="s">
        <v>9798</v>
      </c>
      <c r="B2" s="207" t="s">
        <v>9799</v>
      </c>
      <c r="C2" s="180" t="s">
        <v>104</v>
      </c>
      <c r="D2" s="189" t="s">
        <v>9800</v>
      </c>
      <c r="E2" s="180" t="s">
        <v>8840</v>
      </c>
      <c r="F2" s="180" t="s">
        <v>1426</v>
      </c>
      <c r="G2" s="180" t="s">
        <v>1427</v>
      </c>
      <c r="H2" s="138" t="s">
        <v>9801</v>
      </c>
      <c r="I2" s="138" t="s">
        <v>9802</v>
      </c>
      <c r="J2" s="138" t="s">
        <v>9803</v>
      </c>
      <c r="K2" s="188">
        <v>72144723</v>
      </c>
      <c r="L2" s="190" t="s">
        <v>9804</v>
      </c>
      <c r="M2" s="138"/>
      <c r="N2" s="192">
        <v>44448</v>
      </c>
      <c r="O2" s="192">
        <v>44448</v>
      </c>
      <c r="P2" s="192">
        <v>44993</v>
      </c>
      <c r="Q2" s="193">
        <v>545</v>
      </c>
      <c r="R2" s="180" t="s">
        <v>242</v>
      </c>
      <c r="S2" s="138" t="s">
        <v>9805</v>
      </c>
      <c r="T2" s="138"/>
      <c r="U2" s="138" t="s">
        <v>9806</v>
      </c>
      <c r="V2" s="138" t="s">
        <v>9807</v>
      </c>
      <c r="W2" s="24">
        <v>2426170239</v>
      </c>
      <c r="X2" s="284"/>
      <c r="Y2" s="138"/>
      <c r="Z2" s="138"/>
      <c r="AA2" s="180" t="s">
        <v>9808</v>
      </c>
      <c r="AB2" s="193" t="s">
        <v>9809</v>
      </c>
      <c r="AC2" s="193"/>
      <c r="AD2" s="180" t="s">
        <v>116</v>
      </c>
      <c r="AE2" s="180" t="s">
        <v>9810</v>
      </c>
      <c r="AF2" s="193" t="s">
        <v>9811</v>
      </c>
      <c r="AG2" s="193" t="s">
        <v>9812</v>
      </c>
      <c r="AH2" s="180" t="s">
        <v>9813</v>
      </c>
      <c r="AI2" s="180"/>
      <c r="AJ2" s="194" t="s">
        <v>1435</v>
      </c>
      <c r="AK2" s="194" t="s">
        <v>1435</v>
      </c>
      <c r="AL2" s="194" t="s">
        <v>1435</v>
      </c>
      <c r="AM2" s="180" t="s">
        <v>1435</v>
      </c>
      <c r="AN2" s="195" t="e">
        <v>#N/A</v>
      </c>
      <c r="AO2" s="196" t="e">
        <v>#N/A</v>
      </c>
      <c r="AP2" s="180" t="s">
        <v>121</v>
      </c>
      <c r="AQ2" s="180" t="s">
        <v>9814</v>
      </c>
      <c r="AR2" s="138"/>
      <c r="AS2" s="138"/>
      <c r="AT2" s="138"/>
      <c r="AU2" s="284"/>
      <c r="AV2" s="284"/>
      <c r="AW2" s="284"/>
      <c r="AX2" s="284"/>
      <c r="AY2" s="284"/>
      <c r="AZ2" s="284"/>
      <c r="BA2" s="284"/>
      <c r="BB2" s="284"/>
      <c r="BC2" s="284"/>
      <c r="BD2" s="284"/>
      <c r="BE2" s="284"/>
      <c r="BF2" s="197">
        <v>0</v>
      </c>
      <c r="BG2" s="138"/>
      <c r="BH2" s="138"/>
      <c r="BI2" s="197">
        <v>545</v>
      </c>
      <c r="BJ2" s="198">
        <v>44993</v>
      </c>
      <c r="BK2" s="192">
        <v>44560</v>
      </c>
      <c r="BL2" s="138" t="s">
        <v>9815</v>
      </c>
      <c r="BM2" s="192">
        <v>44925</v>
      </c>
      <c r="BN2" s="138" t="s">
        <v>9816</v>
      </c>
      <c r="BO2" s="138"/>
      <c r="BP2" s="138"/>
      <c r="BQ2" s="138"/>
      <c r="BR2" s="138"/>
      <c r="BS2" s="192">
        <v>44560</v>
      </c>
      <c r="BT2" s="188">
        <v>90852600</v>
      </c>
      <c r="BU2" s="138" t="s">
        <v>9817</v>
      </c>
      <c r="BV2" s="138"/>
      <c r="BW2" s="138" t="s">
        <v>9815</v>
      </c>
      <c r="BX2" s="192">
        <v>44925</v>
      </c>
      <c r="BY2" s="138" t="s">
        <v>9818</v>
      </c>
      <c r="BZ2" s="138" t="s">
        <v>9819</v>
      </c>
      <c r="CA2" s="138"/>
      <c r="CB2" s="138" t="s">
        <v>9820</v>
      </c>
      <c r="CC2" s="138"/>
      <c r="CD2" s="138"/>
      <c r="CE2" s="197" t="s">
        <v>9821</v>
      </c>
      <c r="CF2" s="199" t="s">
        <v>9822</v>
      </c>
      <c r="CG2" s="197" t="s">
        <v>9823</v>
      </c>
      <c r="CH2" s="201">
        <v>1</v>
      </c>
      <c r="CI2" s="201">
        <v>1</v>
      </c>
      <c r="CJ2" s="214">
        <v>100</v>
      </c>
      <c r="CK2" s="200">
        <v>1</v>
      </c>
      <c r="CL2" s="284"/>
      <c r="CM2" s="203" t="s">
        <v>9824</v>
      </c>
      <c r="CN2" s="204"/>
      <c r="CP2" s="177"/>
      <c r="CQ2" s="307"/>
      <c r="CR2" s="94"/>
      <c r="CS2" s="206"/>
      <c r="CT2" s="206"/>
    </row>
    <row r="3" spans="1:98" ht="30" customHeight="1">
      <c r="A3" s="218" t="s">
        <v>9825</v>
      </c>
      <c r="B3" s="207" t="s">
        <v>9826</v>
      </c>
      <c r="C3" s="180" t="s">
        <v>104</v>
      </c>
      <c r="D3" s="189" t="s">
        <v>9827</v>
      </c>
      <c r="E3" s="180" t="s">
        <v>9422</v>
      </c>
      <c r="F3" s="180" t="s">
        <v>1426</v>
      </c>
      <c r="G3" s="180" t="s">
        <v>1427</v>
      </c>
      <c r="H3" s="138" t="s">
        <v>9828</v>
      </c>
      <c r="I3" s="138" t="s">
        <v>9829</v>
      </c>
      <c r="J3" s="138" t="s">
        <v>9830</v>
      </c>
      <c r="K3" s="138" t="s">
        <v>9831</v>
      </c>
      <c r="L3" s="190" t="s">
        <v>9832</v>
      </c>
      <c r="M3" s="138"/>
      <c r="N3" s="216">
        <v>44557</v>
      </c>
      <c r="O3" s="191">
        <v>44578</v>
      </c>
      <c r="P3" s="192">
        <v>45490</v>
      </c>
      <c r="Q3" s="193">
        <v>912</v>
      </c>
      <c r="R3" s="180" t="s">
        <v>112</v>
      </c>
      <c r="S3" s="138" t="s">
        <v>9833</v>
      </c>
      <c r="T3" s="138"/>
      <c r="U3" s="138" t="s">
        <v>9834</v>
      </c>
      <c r="V3" s="138" t="s">
        <v>7433</v>
      </c>
      <c r="W3" s="24">
        <v>731850000</v>
      </c>
      <c r="X3" s="138"/>
      <c r="Y3" s="138"/>
      <c r="Z3" s="278"/>
      <c r="AA3" s="180" t="s">
        <v>9808</v>
      </c>
      <c r="AB3" s="193" t="s">
        <v>9809</v>
      </c>
      <c r="AC3" s="193"/>
      <c r="AD3" s="180" t="s">
        <v>9835</v>
      </c>
      <c r="AE3" s="180" t="s">
        <v>9836</v>
      </c>
      <c r="AF3" s="193" t="s">
        <v>9837</v>
      </c>
      <c r="AG3" s="193">
        <v>80033969</v>
      </c>
      <c r="AH3" s="180" t="s">
        <v>9838</v>
      </c>
      <c r="AI3" s="138"/>
      <c r="AJ3" s="194" t="s">
        <v>1435</v>
      </c>
      <c r="AK3" s="194" t="s">
        <v>2071</v>
      </c>
      <c r="AL3" s="194" t="s">
        <v>2071</v>
      </c>
      <c r="AM3" s="194"/>
      <c r="AN3" s="195"/>
      <c r="AO3" s="196"/>
      <c r="AP3" s="180" t="s">
        <v>121</v>
      </c>
      <c r="AQ3" s="180" t="s">
        <v>9839</v>
      </c>
      <c r="AR3" s="138"/>
      <c r="AS3" s="138"/>
      <c r="AT3" s="138">
        <v>0</v>
      </c>
      <c r="AU3" s="138"/>
      <c r="AV3" s="138"/>
      <c r="AW3" s="138">
        <v>912</v>
      </c>
      <c r="AX3" s="278">
        <v>45490</v>
      </c>
      <c r="AY3" s="278"/>
      <c r="AZ3" s="278"/>
      <c r="BA3" s="278"/>
      <c r="BB3" s="278"/>
      <c r="BC3" s="138"/>
      <c r="BD3" s="138"/>
      <c r="BE3" s="138"/>
      <c r="BF3" s="197"/>
      <c r="BG3" s="138"/>
      <c r="BH3" s="138"/>
      <c r="BI3" s="197"/>
      <c r="BJ3" s="198"/>
      <c r="BK3" s="138"/>
      <c r="BL3" s="138"/>
      <c r="BM3" s="138"/>
      <c r="BN3" s="138"/>
      <c r="BO3" s="138"/>
      <c r="BP3" s="138"/>
      <c r="BQ3" s="138"/>
      <c r="BR3" s="138"/>
      <c r="BS3" s="138"/>
      <c r="BT3" s="138"/>
      <c r="BU3" s="138"/>
      <c r="BV3" s="138"/>
      <c r="BW3" s="138"/>
      <c r="BX3" s="138"/>
      <c r="BY3" s="138"/>
      <c r="BZ3" s="138"/>
      <c r="CA3" s="278"/>
      <c r="CB3" s="278"/>
      <c r="CC3" s="197" t="s">
        <v>9840</v>
      </c>
      <c r="CD3" s="138"/>
      <c r="CE3" s="197" t="s">
        <v>9841</v>
      </c>
      <c r="CF3" s="199" t="s">
        <v>9842</v>
      </c>
      <c r="CG3" s="197" t="s">
        <v>9843</v>
      </c>
      <c r="CH3" s="201">
        <v>0.99</v>
      </c>
      <c r="CI3" s="201">
        <v>0.99</v>
      </c>
      <c r="CJ3" s="202">
        <v>99</v>
      </c>
      <c r="CK3" s="200">
        <v>0</v>
      </c>
      <c r="CL3" s="138"/>
      <c r="CM3" s="203" t="s">
        <v>4081</v>
      </c>
      <c r="CN3" s="278"/>
      <c r="CO3" s="206" t="s">
        <v>9844</v>
      </c>
      <c r="CP3" s="206"/>
      <c r="CQ3" s="288"/>
      <c r="CR3" s="206"/>
    </row>
    <row r="4" spans="1:98" ht="30" customHeight="1">
      <c r="A4" s="209">
        <v>4104</v>
      </c>
      <c r="B4" s="207" t="s">
        <v>9845</v>
      </c>
      <c r="C4" s="180" t="s">
        <v>104</v>
      </c>
      <c r="D4" s="189" t="s">
        <v>9846</v>
      </c>
      <c r="E4" s="180" t="s">
        <v>106</v>
      </c>
      <c r="F4" s="180" t="s">
        <v>1426</v>
      </c>
      <c r="G4" s="180" t="s">
        <v>1427</v>
      </c>
      <c r="H4" s="138" t="s">
        <v>9847</v>
      </c>
      <c r="I4" s="138" t="s">
        <v>9848</v>
      </c>
      <c r="J4" s="138" t="s">
        <v>9849</v>
      </c>
      <c r="K4" s="188">
        <v>51910468</v>
      </c>
      <c r="L4" s="190" t="s">
        <v>9850</v>
      </c>
      <c r="M4" s="138" t="s">
        <v>111</v>
      </c>
      <c r="N4" s="192">
        <v>44922</v>
      </c>
      <c r="O4" s="192">
        <v>44943</v>
      </c>
      <c r="P4" s="192">
        <v>46112</v>
      </c>
      <c r="Q4" s="193">
        <v>1169</v>
      </c>
      <c r="R4" s="180" t="s">
        <v>112</v>
      </c>
      <c r="S4" s="138" t="s">
        <v>9851</v>
      </c>
      <c r="T4" s="138" t="s">
        <v>848</v>
      </c>
      <c r="U4" s="138" t="s">
        <v>9852</v>
      </c>
      <c r="V4" s="138" t="s">
        <v>9853</v>
      </c>
      <c r="W4" s="24">
        <v>101760124202</v>
      </c>
      <c r="X4" s="138"/>
      <c r="Y4" s="138"/>
      <c r="Z4" s="284"/>
      <c r="AA4" s="180" t="s">
        <v>116</v>
      </c>
      <c r="AB4" s="193" t="s">
        <v>9854</v>
      </c>
      <c r="AC4" s="193">
        <v>63496290</v>
      </c>
      <c r="AD4" s="180" t="s">
        <v>345</v>
      </c>
      <c r="AE4" s="180" t="s">
        <v>346</v>
      </c>
      <c r="AF4" s="193" t="s">
        <v>9752</v>
      </c>
      <c r="AG4" s="193">
        <v>79672493</v>
      </c>
      <c r="AH4" s="180" t="s">
        <v>6266</v>
      </c>
      <c r="AI4" s="138"/>
      <c r="AJ4" s="194" t="s">
        <v>1435</v>
      </c>
      <c r="AK4" s="180" t="s">
        <v>2071</v>
      </c>
      <c r="AL4" s="180" t="s">
        <v>2071</v>
      </c>
      <c r="AM4" s="180" t="s">
        <v>1435</v>
      </c>
      <c r="AN4" s="195" t="e">
        <v>#N/A</v>
      </c>
      <c r="AO4" s="196" t="e">
        <v>#N/A</v>
      </c>
      <c r="AP4" s="180" t="s">
        <v>121</v>
      </c>
      <c r="AQ4" s="180" t="s">
        <v>9855</v>
      </c>
      <c r="AR4" s="138"/>
      <c r="AS4" s="138"/>
      <c r="AT4" s="138"/>
      <c r="AU4" s="138"/>
      <c r="AV4" s="138"/>
      <c r="AW4" s="138"/>
      <c r="AX4" s="284"/>
      <c r="AY4" s="284"/>
      <c r="AZ4" s="284"/>
      <c r="BA4" s="284"/>
      <c r="BB4" s="284"/>
      <c r="BC4" s="138"/>
      <c r="BD4" s="138"/>
      <c r="BE4" s="138"/>
      <c r="BF4" s="197">
        <v>0</v>
      </c>
      <c r="BG4" s="138"/>
      <c r="BH4" s="138"/>
      <c r="BI4" s="197">
        <v>1169</v>
      </c>
      <c r="BJ4" s="198">
        <v>46112</v>
      </c>
      <c r="BK4" s="138"/>
      <c r="BL4" s="138"/>
      <c r="BM4" s="138"/>
      <c r="BN4" s="138"/>
      <c r="BO4" s="138"/>
      <c r="BP4" s="138"/>
      <c r="BQ4" s="138"/>
      <c r="BR4" s="138"/>
      <c r="BS4" s="138"/>
      <c r="BT4" s="138"/>
      <c r="BU4" s="138"/>
      <c r="BV4" s="138"/>
      <c r="BW4" s="138"/>
      <c r="BX4" s="138"/>
      <c r="BY4" s="138"/>
      <c r="BZ4" s="138"/>
      <c r="CA4" s="284"/>
      <c r="CB4" s="284"/>
      <c r="CC4" s="197" t="s">
        <v>9856</v>
      </c>
      <c r="CD4" s="138"/>
      <c r="CE4" s="197" t="s">
        <v>9857</v>
      </c>
      <c r="CF4" s="199" t="s">
        <v>9858</v>
      </c>
      <c r="CG4" s="197" t="s">
        <v>9859</v>
      </c>
      <c r="CH4" s="201">
        <v>0.46</v>
      </c>
      <c r="CI4" s="201">
        <v>0.46</v>
      </c>
      <c r="CJ4" s="202">
        <v>48</v>
      </c>
      <c r="CK4" s="200">
        <v>0</v>
      </c>
      <c r="CL4" s="138"/>
      <c r="CM4" s="203" t="s">
        <v>4081</v>
      </c>
      <c r="CN4" s="301"/>
      <c r="CO4" s="304"/>
      <c r="CP4" s="94"/>
      <c r="CQ4" s="310"/>
      <c r="CR4" s="94"/>
      <c r="CS4" s="206"/>
      <c r="CT4" s="206"/>
    </row>
    <row r="5" spans="1:98" ht="30" customHeight="1">
      <c r="A5" s="218">
        <v>11119</v>
      </c>
      <c r="B5" s="207" t="s">
        <v>9860</v>
      </c>
      <c r="C5" s="180" t="s">
        <v>104</v>
      </c>
      <c r="D5" s="189" t="s">
        <v>9861</v>
      </c>
      <c r="E5" s="180" t="s">
        <v>106</v>
      </c>
      <c r="F5" s="180" t="s">
        <v>1426</v>
      </c>
      <c r="G5" s="180" t="s">
        <v>1427</v>
      </c>
      <c r="H5" s="138" t="s">
        <v>9862</v>
      </c>
      <c r="I5" s="138" t="s">
        <v>9863</v>
      </c>
      <c r="J5" s="138" t="s">
        <v>9864</v>
      </c>
      <c r="K5" s="204">
        <v>72225558</v>
      </c>
      <c r="L5" s="190" t="s">
        <v>9865</v>
      </c>
      <c r="M5" s="211" t="s">
        <v>111</v>
      </c>
      <c r="N5" s="216">
        <v>44924</v>
      </c>
      <c r="O5" s="191">
        <v>44945</v>
      </c>
      <c r="P5" s="192">
        <v>46131</v>
      </c>
      <c r="Q5" s="193">
        <v>1186</v>
      </c>
      <c r="R5" s="180" t="s">
        <v>242</v>
      </c>
      <c r="S5" s="138" t="s">
        <v>9866</v>
      </c>
      <c r="T5" s="138" t="s">
        <v>9867</v>
      </c>
      <c r="U5" s="138" t="s">
        <v>9868</v>
      </c>
      <c r="V5" s="138" t="s">
        <v>9869</v>
      </c>
      <c r="W5" s="24">
        <v>31398996858</v>
      </c>
      <c r="X5" s="278"/>
      <c r="Y5" s="138"/>
      <c r="Z5" s="138"/>
      <c r="AA5" s="180" t="s">
        <v>116</v>
      </c>
      <c r="AB5" s="193" t="s">
        <v>9854</v>
      </c>
      <c r="AC5" s="193">
        <v>63496290</v>
      </c>
      <c r="AD5" s="180" t="s">
        <v>816</v>
      </c>
      <c r="AE5" s="180" t="s">
        <v>2450</v>
      </c>
      <c r="AF5" s="193" t="s">
        <v>9870</v>
      </c>
      <c r="AG5" s="193">
        <v>80245871</v>
      </c>
      <c r="AH5" s="180" t="s">
        <v>118</v>
      </c>
      <c r="AI5" s="138"/>
      <c r="AJ5" s="194" t="s">
        <v>1435</v>
      </c>
      <c r="AK5" s="194" t="s">
        <v>2071</v>
      </c>
      <c r="AL5" s="194" t="s">
        <v>2071</v>
      </c>
      <c r="AM5" s="194" t="s">
        <v>1435</v>
      </c>
      <c r="AN5" s="195"/>
      <c r="AO5" s="196"/>
      <c r="AP5" s="180" t="s">
        <v>121</v>
      </c>
      <c r="AQ5" s="180" t="s">
        <v>9855</v>
      </c>
      <c r="AR5" s="138"/>
      <c r="AS5" s="138"/>
      <c r="AT5" s="138"/>
      <c r="AU5" s="278"/>
      <c r="AV5" s="278"/>
      <c r="AW5" s="278"/>
      <c r="AX5" s="278"/>
      <c r="AY5" s="278"/>
      <c r="AZ5" s="278"/>
      <c r="BA5" s="278"/>
      <c r="BB5" s="278"/>
      <c r="BC5" s="278"/>
      <c r="BD5" s="278"/>
      <c r="BE5" s="278"/>
      <c r="BF5" s="197">
        <v>0</v>
      </c>
      <c r="BG5" s="138"/>
      <c r="BH5" s="138"/>
      <c r="BI5" s="197">
        <v>1186</v>
      </c>
      <c r="BJ5" s="198">
        <v>46131</v>
      </c>
      <c r="BK5" s="138"/>
      <c r="BL5" s="138"/>
      <c r="BM5" s="138"/>
      <c r="BN5" s="138"/>
      <c r="BO5" s="138"/>
      <c r="BP5" s="138"/>
      <c r="BQ5" s="138"/>
      <c r="BR5" s="138"/>
      <c r="BS5" s="138"/>
      <c r="BT5" s="138"/>
      <c r="BU5" s="138"/>
      <c r="BV5" s="138"/>
      <c r="BW5" s="138"/>
      <c r="BX5" s="138"/>
      <c r="BY5" s="138"/>
      <c r="BZ5" s="138"/>
      <c r="CA5" s="138" t="s">
        <v>9856</v>
      </c>
      <c r="CB5" s="138"/>
      <c r="CC5" s="197"/>
      <c r="CD5" s="138"/>
      <c r="CE5" s="197" t="s">
        <v>9871</v>
      </c>
      <c r="CF5" s="213" t="s">
        <v>9858</v>
      </c>
      <c r="CG5" s="212" t="s">
        <v>9872</v>
      </c>
      <c r="CH5" s="201">
        <v>0.46</v>
      </c>
      <c r="CI5" s="201">
        <v>0.46</v>
      </c>
      <c r="CJ5" s="202">
        <v>47</v>
      </c>
      <c r="CK5" s="200">
        <v>0</v>
      </c>
      <c r="CL5" s="278"/>
      <c r="CM5" s="203" t="s">
        <v>4081</v>
      </c>
      <c r="CN5" s="138"/>
      <c r="CO5" s="206"/>
      <c r="CP5" s="305"/>
      <c r="CQ5" s="308"/>
      <c r="CR5" s="206"/>
    </row>
    <row r="6" spans="1:98" ht="30" customHeight="1">
      <c r="A6" s="218">
        <v>11119</v>
      </c>
      <c r="B6" s="207" t="s">
        <v>9860</v>
      </c>
      <c r="C6" s="180" t="s">
        <v>104</v>
      </c>
      <c r="D6" s="189" t="s">
        <v>9861</v>
      </c>
      <c r="E6" s="180" t="s">
        <v>106</v>
      </c>
      <c r="F6" s="180" t="s">
        <v>1426</v>
      </c>
      <c r="G6" s="180" t="s">
        <v>1427</v>
      </c>
      <c r="H6" s="138" t="s">
        <v>9862</v>
      </c>
      <c r="I6" s="138" t="s">
        <v>9863</v>
      </c>
      <c r="J6" s="138" t="s">
        <v>9864</v>
      </c>
      <c r="K6" s="204">
        <v>72225558</v>
      </c>
      <c r="L6" s="190" t="s">
        <v>9865</v>
      </c>
      <c r="M6" s="211" t="s">
        <v>111</v>
      </c>
      <c r="N6" s="216">
        <v>44924</v>
      </c>
      <c r="O6" s="191">
        <v>44945</v>
      </c>
      <c r="P6" s="192">
        <v>46131</v>
      </c>
      <c r="Q6" s="193">
        <v>1186</v>
      </c>
      <c r="R6" s="180" t="s">
        <v>242</v>
      </c>
      <c r="S6" s="138" t="s">
        <v>9866</v>
      </c>
      <c r="T6" s="138" t="s">
        <v>9867</v>
      </c>
      <c r="U6" s="138" t="s">
        <v>9868</v>
      </c>
      <c r="V6" s="138" t="s">
        <v>9869</v>
      </c>
      <c r="W6" s="24" t="s">
        <v>9873</v>
      </c>
      <c r="X6" s="278"/>
      <c r="Y6" s="138"/>
      <c r="Z6" s="138"/>
      <c r="AA6" s="180" t="s">
        <v>116</v>
      </c>
      <c r="AB6" s="193" t="s">
        <v>9854</v>
      </c>
      <c r="AC6" s="193">
        <v>63496290</v>
      </c>
      <c r="AD6" s="180" t="s">
        <v>816</v>
      </c>
      <c r="AE6" s="180" t="s">
        <v>2450</v>
      </c>
      <c r="AF6" s="193" t="s">
        <v>9870</v>
      </c>
      <c r="AG6" s="193">
        <v>80245871</v>
      </c>
      <c r="AH6" s="180" t="s">
        <v>118</v>
      </c>
      <c r="AI6" s="138"/>
      <c r="AJ6" s="194" t="s">
        <v>1435</v>
      </c>
      <c r="AK6" s="194" t="s">
        <v>2071</v>
      </c>
      <c r="AL6" s="194" t="s">
        <v>2071</v>
      </c>
      <c r="AM6" s="194" t="s">
        <v>1435</v>
      </c>
      <c r="AN6" s="195"/>
      <c r="AO6" s="196"/>
      <c r="AP6" s="180" t="s">
        <v>121</v>
      </c>
      <c r="AQ6" s="180" t="s">
        <v>9855</v>
      </c>
      <c r="AR6" s="138"/>
      <c r="AS6" s="138"/>
      <c r="AT6" s="138"/>
      <c r="AU6" s="278"/>
      <c r="AV6" s="278"/>
      <c r="AW6" s="278"/>
      <c r="AX6" s="278">
        <v>0</v>
      </c>
      <c r="AY6" s="278"/>
      <c r="AZ6" s="278"/>
      <c r="BA6" s="278">
        <v>1186</v>
      </c>
      <c r="BB6" s="278">
        <v>46131</v>
      </c>
      <c r="BC6" s="278"/>
      <c r="BD6" s="278"/>
      <c r="BE6" s="278"/>
      <c r="BF6" s="197"/>
      <c r="BG6" s="138"/>
      <c r="BH6" s="138"/>
      <c r="BI6" s="197"/>
      <c r="BJ6" s="198"/>
      <c r="BK6" s="138"/>
      <c r="BL6" s="138"/>
      <c r="BM6" s="138"/>
      <c r="BN6" s="138"/>
      <c r="BO6" s="138"/>
      <c r="BP6" s="138"/>
      <c r="BQ6" s="138"/>
      <c r="BR6" s="138"/>
      <c r="BS6" s="138"/>
      <c r="BT6" s="138"/>
      <c r="BU6" s="138"/>
      <c r="BV6" s="138"/>
      <c r="BW6" s="138"/>
      <c r="BX6" s="138"/>
      <c r="BY6" s="138"/>
      <c r="BZ6" s="138"/>
      <c r="CA6" s="138" t="s">
        <v>9856</v>
      </c>
      <c r="CB6" s="138"/>
      <c r="CC6" s="197" t="s">
        <v>9871</v>
      </c>
      <c r="CD6" s="138" t="s">
        <v>9858</v>
      </c>
      <c r="CE6" s="197" t="s">
        <v>9874</v>
      </c>
      <c r="CF6" s="213">
        <v>0.46</v>
      </c>
      <c r="CG6" s="212">
        <v>0.46</v>
      </c>
      <c r="CH6" s="201">
        <v>48</v>
      </c>
      <c r="CI6" s="201">
        <v>0</v>
      </c>
      <c r="CJ6" s="202"/>
      <c r="CK6" s="200" t="s">
        <v>4081</v>
      </c>
      <c r="CL6" s="278"/>
      <c r="CM6" s="203"/>
      <c r="CN6" s="138"/>
      <c r="CO6" s="206"/>
      <c r="CP6" s="305"/>
      <c r="CQ6" s="308"/>
      <c r="CR6" s="206"/>
    </row>
    <row r="7" spans="1:98" ht="30" customHeight="1">
      <c r="A7" s="138" t="s">
        <v>9875</v>
      </c>
      <c r="B7" s="207" t="s">
        <v>9876</v>
      </c>
      <c r="C7" s="180" t="s">
        <v>1423</v>
      </c>
      <c r="D7" s="189" t="s">
        <v>1424</v>
      </c>
      <c r="E7" s="180" t="s">
        <v>106</v>
      </c>
      <c r="F7" s="180" t="s">
        <v>1426</v>
      </c>
      <c r="G7" s="180" t="s">
        <v>1427</v>
      </c>
      <c r="H7" s="138">
        <v>9014440763</v>
      </c>
      <c r="I7" s="138" t="s">
        <v>9877</v>
      </c>
      <c r="J7" s="138" t="s">
        <v>9878</v>
      </c>
      <c r="K7" s="138"/>
      <c r="L7" s="190" t="s">
        <v>9879</v>
      </c>
      <c r="M7" s="138" t="s">
        <v>111</v>
      </c>
      <c r="N7" s="216">
        <v>44994</v>
      </c>
      <c r="O7" s="191">
        <v>44994</v>
      </c>
      <c r="P7" s="192">
        <v>45290</v>
      </c>
      <c r="Q7" s="193">
        <v>296</v>
      </c>
      <c r="R7" s="180" t="s">
        <v>242</v>
      </c>
      <c r="S7" s="138" t="s">
        <v>9880</v>
      </c>
      <c r="T7" s="138" t="s">
        <v>9881</v>
      </c>
      <c r="U7" s="138" t="s">
        <v>9882</v>
      </c>
      <c r="V7" s="138" t="s">
        <v>9883</v>
      </c>
      <c r="W7" s="24">
        <v>6924238915</v>
      </c>
      <c r="X7" s="138"/>
      <c r="Y7" s="138"/>
      <c r="Z7" s="138"/>
      <c r="AA7" s="180" t="s">
        <v>116</v>
      </c>
      <c r="AB7" s="193" t="s">
        <v>9854</v>
      </c>
      <c r="AC7" s="193">
        <v>63496290</v>
      </c>
      <c r="AD7" s="180" t="s">
        <v>406</v>
      </c>
      <c r="AE7" s="180" t="s">
        <v>407</v>
      </c>
      <c r="AF7" s="193" t="s">
        <v>9761</v>
      </c>
      <c r="AG7" s="193">
        <v>52496497</v>
      </c>
      <c r="AH7" s="180" t="s">
        <v>118</v>
      </c>
      <c r="AI7" s="138"/>
      <c r="AJ7" s="194" t="s">
        <v>119</v>
      </c>
      <c r="AK7" s="194" t="s">
        <v>1435</v>
      </c>
      <c r="AL7" s="194" t="s">
        <v>1435</v>
      </c>
      <c r="AM7" s="194" t="s">
        <v>1435</v>
      </c>
      <c r="AN7" s="195" t="e">
        <v>#N/A</v>
      </c>
      <c r="AO7" s="196" t="e">
        <v>#N/A</v>
      </c>
      <c r="AP7" s="180" t="s">
        <v>121</v>
      </c>
      <c r="AQ7" s="180" t="s">
        <v>1272</v>
      </c>
      <c r="AR7" s="138"/>
      <c r="AS7" s="138"/>
      <c r="AT7" s="138"/>
      <c r="AU7" s="138"/>
      <c r="AV7" s="138"/>
      <c r="AW7" s="138"/>
      <c r="AX7" s="138"/>
      <c r="AY7" s="138"/>
      <c r="AZ7" s="138"/>
      <c r="BA7" s="138"/>
      <c r="BB7" s="138"/>
      <c r="BC7" s="138"/>
      <c r="BD7" s="138"/>
      <c r="BE7" s="138"/>
      <c r="BF7" s="197">
        <v>0</v>
      </c>
      <c r="BG7" s="138"/>
      <c r="BH7" s="138"/>
      <c r="BI7" s="197">
        <v>296</v>
      </c>
      <c r="BJ7" s="198">
        <v>45290</v>
      </c>
      <c r="BK7" s="138"/>
      <c r="BL7" s="138"/>
      <c r="BM7" s="138"/>
      <c r="BN7" s="138"/>
      <c r="BO7" s="138"/>
      <c r="BP7" s="138"/>
      <c r="BQ7" s="138"/>
      <c r="BR7" s="138"/>
      <c r="BS7" s="138"/>
      <c r="BT7" s="138"/>
      <c r="BU7" s="138"/>
      <c r="BV7" s="138"/>
      <c r="BW7" s="138"/>
      <c r="BX7" s="138"/>
      <c r="BY7" s="138"/>
      <c r="BZ7" s="138"/>
      <c r="CA7" s="138"/>
      <c r="CB7" s="138"/>
      <c r="CC7" s="197" t="s">
        <v>9856</v>
      </c>
      <c r="CD7" s="138"/>
      <c r="CE7" s="197" t="s">
        <v>9884</v>
      </c>
      <c r="CF7" s="199"/>
      <c r="CG7" s="197" t="s">
        <v>9884</v>
      </c>
      <c r="CH7" s="201">
        <v>1</v>
      </c>
      <c r="CI7" s="201">
        <v>1</v>
      </c>
      <c r="CJ7" s="202">
        <v>100</v>
      </c>
      <c r="CK7" s="200">
        <v>0</v>
      </c>
      <c r="CL7" s="138"/>
      <c r="CM7" s="203" t="s">
        <v>9824</v>
      </c>
      <c r="CN7" s="204"/>
      <c r="CO7" s="215"/>
      <c r="CP7" s="176" t="s">
        <v>1424</v>
      </c>
      <c r="CQ7" s="217">
        <v>61471</v>
      </c>
      <c r="CR7" s="176" t="s">
        <v>9885</v>
      </c>
      <c r="CS7" s="206"/>
      <c r="CT7" s="206"/>
    </row>
    <row r="8" spans="1:98" ht="30" customHeight="1">
      <c r="A8" s="209">
        <v>11129</v>
      </c>
      <c r="B8" s="207" t="s">
        <v>8780</v>
      </c>
      <c r="C8" s="180" t="s">
        <v>104</v>
      </c>
      <c r="D8" s="189" t="s">
        <v>9886</v>
      </c>
      <c r="E8" s="180" t="s">
        <v>106</v>
      </c>
      <c r="F8" s="180" t="s">
        <v>1426</v>
      </c>
      <c r="G8" s="180" t="s">
        <v>1427</v>
      </c>
      <c r="H8" s="138" t="s">
        <v>8781</v>
      </c>
      <c r="I8" s="138" t="s">
        <v>9887</v>
      </c>
      <c r="J8" s="138" t="s">
        <v>9888</v>
      </c>
      <c r="K8" s="188">
        <v>19467223</v>
      </c>
      <c r="L8" s="190" t="s">
        <v>9889</v>
      </c>
      <c r="M8" s="138" t="s">
        <v>111</v>
      </c>
      <c r="N8" s="191">
        <v>45002</v>
      </c>
      <c r="O8" s="191">
        <v>45001</v>
      </c>
      <c r="P8" s="192">
        <v>45428</v>
      </c>
      <c r="Q8" s="193">
        <v>427</v>
      </c>
      <c r="R8" s="180" t="s">
        <v>242</v>
      </c>
      <c r="S8" s="138" t="s">
        <v>9890</v>
      </c>
      <c r="T8" s="138" t="s">
        <v>7488</v>
      </c>
      <c r="U8" s="138" t="s">
        <v>9891</v>
      </c>
      <c r="V8" s="138" t="s">
        <v>9892</v>
      </c>
      <c r="W8" s="24">
        <v>4197071097</v>
      </c>
      <c r="X8" s="138" t="s">
        <v>1424</v>
      </c>
      <c r="Y8" s="138"/>
      <c r="Z8" s="138"/>
      <c r="AA8" s="180" t="s">
        <v>116</v>
      </c>
      <c r="AB8" s="193" t="s">
        <v>9854</v>
      </c>
      <c r="AC8" s="193">
        <v>63496290</v>
      </c>
      <c r="AD8" s="180" t="s">
        <v>116</v>
      </c>
      <c r="AE8" s="180" t="s">
        <v>659</v>
      </c>
      <c r="AF8" s="193" t="s">
        <v>9893</v>
      </c>
      <c r="AG8" s="193">
        <v>79949836</v>
      </c>
      <c r="AH8" s="180" t="s">
        <v>6266</v>
      </c>
      <c r="AI8" s="138"/>
      <c r="AJ8" s="194" t="s">
        <v>1435</v>
      </c>
      <c r="AK8" s="194" t="s">
        <v>1435</v>
      </c>
      <c r="AL8" s="194" t="s">
        <v>1435</v>
      </c>
      <c r="AM8" s="180" t="s">
        <v>1435</v>
      </c>
      <c r="AN8" s="195" t="e">
        <v>#N/A</v>
      </c>
      <c r="AO8" s="196" t="e">
        <v>#N/A</v>
      </c>
      <c r="AP8" s="180" t="s">
        <v>121</v>
      </c>
      <c r="AQ8" s="180" t="s">
        <v>327</v>
      </c>
      <c r="AR8" s="138"/>
      <c r="AS8" s="138"/>
      <c r="AT8" s="138"/>
      <c r="AU8" s="138"/>
      <c r="AV8" s="138"/>
      <c r="AW8" s="138"/>
      <c r="AX8" s="138"/>
      <c r="AY8" s="138"/>
      <c r="AZ8" s="138"/>
      <c r="BA8" s="138"/>
      <c r="BB8" s="138"/>
      <c r="BC8" s="138"/>
      <c r="BD8" s="138"/>
      <c r="BE8" s="138"/>
      <c r="BF8" s="197">
        <v>0</v>
      </c>
      <c r="BG8" s="138"/>
      <c r="BH8" s="138"/>
      <c r="BI8" s="197">
        <v>427</v>
      </c>
      <c r="BJ8" s="198">
        <v>45428</v>
      </c>
      <c r="BK8" s="138"/>
      <c r="BL8" s="138"/>
      <c r="BM8" s="138"/>
      <c r="BN8" s="138"/>
      <c r="BO8" s="138"/>
      <c r="BP8" s="138"/>
      <c r="BQ8" s="138"/>
      <c r="BR8" s="138"/>
      <c r="BS8" s="138"/>
      <c r="BT8" s="138"/>
      <c r="BU8" s="138"/>
      <c r="BV8" s="138"/>
      <c r="BW8" s="138"/>
      <c r="BX8" s="138"/>
      <c r="BY8" s="138"/>
      <c r="BZ8" s="138"/>
      <c r="CA8" s="138"/>
      <c r="CB8" s="138"/>
      <c r="CC8" s="197" t="s">
        <v>9856</v>
      </c>
      <c r="CD8" s="138"/>
      <c r="CE8" s="197" t="s">
        <v>9894</v>
      </c>
      <c r="CF8" s="199"/>
      <c r="CG8" s="197" t="s">
        <v>9894</v>
      </c>
      <c r="CH8" s="201">
        <v>1</v>
      </c>
      <c r="CI8" s="201">
        <v>1</v>
      </c>
      <c r="CJ8" s="202">
        <v>100</v>
      </c>
      <c r="CK8" s="200">
        <v>0</v>
      </c>
      <c r="CL8" s="138"/>
      <c r="CM8" s="203" t="s">
        <v>9824</v>
      </c>
      <c r="CN8" s="204"/>
      <c r="CO8" s="215"/>
      <c r="CP8" s="176" t="s">
        <v>1424</v>
      </c>
      <c r="CQ8" s="239">
        <v>78353</v>
      </c>
      <c r="CR8" s="176" t="s">
        <v>9895</v>
      </c>
      <c r="CS8" s="206"/>
      <c r="CT8" s="206"/>
    </row>
    <row r="9" spans="1:98" ht="30" customHeight="1">
      <c r="A9" s="209" t="s">
        <v>9896</v>
      </c>
      <c r="B9" s="207" t="s">
        <v>8751</v>
      </c>
      <c r="C9" s="180" t="s">
        <v>104</v>
      </c>
      <c r="D9" s="189" t="s">
        <v>9897</v>
      </c>
      <c r="E9" s="180" t="s">
        <v>106</v>
      </c>
      <c r="F9" s="180" t="s">
        <v>1426</v>
      </c>
      <c r="G9" s="180" t="s">
        <v>1427</v>
      </c>
      <c r="H9" s="138" t="s">
        <v>8753</v>
      </c>
      <c r="I9" s="138" t="s">
        <v>8754</v>
      </c>
      <c r="J9" s="138" t="s">
        <v>9898</v>
      </c>
      <c r="K9" s="188">
        <v>79576294</v>
      </c>
      <c r="L9" s="190" t="s">
        <v>9899</v>
      </c>
      <c r="M9" s="138" t="s">
        <v>111</v>
      </c>
      <c r="N9" s="192">
        <v>45061</v>
      </c>
      <c r="O9" s="192">
        <v>45108</v>
      </c>
      <c r="P9" s="192">
        <v>46203</v>
      </c>
      <c r="Q9" s="193">
        <v>1095</v>
      </c>
      <c r="R9" s="180" t="s">
        <v>242</v>
      </c>
      <c r="S9" s="138" t="s">
        <v>9900</v>
      </c>
      <c r="T9" s="138" t="s">
        <v>9901</v>
      </c>
      <c r="U9" s="138" t="s">
        <v>9902</v>
      </c>
      <c r="V9" s="138" t="s">
        <v>9903</v>
      </c>
      <c r="W9" s="24">
        <v>25286640397</v>
      </c>
      <c r="X9" s="284"/>
      <c r="Y9" s="138"/>
      <c r="Z9" s="138"/>
      <c r="AA9" s="180" t="s">
        <v>116</v>
      </c>
      <c r="AB9" s="193" t="s">
        <v>9854</v>
      </c>
      <c r="AC9" s="193">
        <v>63496290</v>
      </c>
      <c r="AD9" s="180" t="s">
        <v>406</v>
      </c>
      <c r="AE9" s="180" t="s">
        <v>407</v>
      </c>
      <c r="AF9" s="193" t="s">
        <v>9761</v>
      </c>
      <c r="AG9" s="193">
        <v>52496497</v>
      </c>
      <c r="AH9" s="180" t="s">
        <v>6266</v>
      </c>
      <c r="AI9" s="180"/>
      <c r="AJ9" s="194" t="s">
        <v>1435</v>
      </c>
      <c r="AK9" s="194" t="s">
        <v>2071</v>
      </c>
      <c r="AL9" s="194" t="s">
        <v>2071</v>
      </c>
      <c r="AM9" s="180" t="s">
        <v>1435</v>
      </c>
      <c r="AN9" s="195" t="e">
        <v>#N/A</v>
      </c>
      <c r="AO9" s="196" t="e">
        <v>#N/A</v>
      </c>
      <c r="AP9" s="180" t="s">
        <v>121</v>
      </c>
      <c r="AQ9" s="180" t="s">
        <v>9855</v>
      </c>
      <c r="AR9" s="138"/>
      <c r="AS9" s="138"/>
      <c r="AT9" s="138"/>
      <c r="AU9" s="284"/>
      <c r="AV9" s="284"/>
      <c r="AW9" s="284"/>
      <c r="AX9" s="284"/>
      <c r="AY9" s="284"/>
      <c r="AZ9" s="284"/>
      <c r="BA9" s="284"/>
      <c r="BB9" s="284"/>
      <c r="BC9" s="284"/>
      <c r="BD9" s="284"/>
      <c r="BE9" s="284"/>
      <c r="BF9" s="197">
        <v>0</v>
      </c>
      <c r="BG9" s="138"/>
      <c r="BH9" s="138"/>
      <c r="BI9" s="197">
        <v>1095</v>
      </c>
      <c r="BJ9" s="198">
        <v>46203</v>
      </c>
      <c r="BK9" s="192"/>
      <c r="BL9" s="138"/>
      <c r="BM9" s="192"/>
      <c r="BN9" s="138"/>
      <c r="BO9" s="138"/>
      <c r="BP9" s="138"/>
      <c r="BQ9" s="138"/>
      <c r="BR9" s="138"/>
      <c r="BS9" s="192"/>
      <c r="BT9" s="188"/>
      <c r="BU9" s="138"/>
      <c r="BV9" s="138"/>
      <c r="BW9" s="138"/>
      <c r="BX9" s="192"/>
      <c r="BY9" s="138"/>
      <c r="BZ9" s="138"/>
      <c r="CA9" s="138"/>
      <c r="CB9" s="138"/>
      <c r="CC9" s="138" t="s">
        <v>9856</v>
      </c>
      <c r="CD9" s="138"/>
      <c r="CE9" s="197" t="s">
        <v>9904</v>
      </c>
      <c r="CF9" s="199"/>
      <c r="CG9" s="197" t="s">
        <v>9905</v>
      </c>
      <c r="CH9" s="201">
        <v>0.34</v>
      </c>
      <c r="CI9" s="201">
        <v>0.34</v>
      </c>
      <c r="CJ9" s="214">
        <v>39</v>
      </c>
      <c r="CK9" s="200">
        <v>0</v>
      </c>
      <c r="CL9" s="284"/>
      <c r="CM9" s="203" t="s">
        <v>4081</v>
      </c>
      <c r="CN9" s="204"/>
      <c r="CO9" s="304"/>
      <c r="CP9" s="177"/>
      <c r="CQ9" s="307">
        <v>96563</v>
      </c>
      <c r="CR9" s="94" t="s">
        <v>9906</v>
      </c>
      <c r="CS9" s="206"/>
      <c r="CT9" s="206"/>
    </row>
    <row r="10" spans="1:98" ht="30" customHeight="1">
      <c r="A10" s="209">
        <v>11167</v>
      </c>
      <c r="B10" s="207" t="s">
        <v>8839</v>
      </c>
      <c r="C10" s="180" t="s">
        <v>104</v>
      </c>
      <c r="D10" s="189" t="s">
        <v>9907</v>
      </c>
      <c r="E10" s="180" t="s">
        <v>106</v>
      </c>
      <c r="F10" s="180" t="s">
        <v>1426</v>
      </c>
      <c r="G10" s="180" t="s">
        <v>1427</v>
      </c>
      <c r="H10" s="138" t="s">
        <v>8841</v>
      </c>
      <c r="I10" s="138" t="s">
        <v>8842</v>
      </c>
      <c r="J10" s="138" t="s">
        <v>9908</v>
      </c>
      <c r="K10" s="138">
        <v>1061686657</v>
      </c>
      <c r="L10" s="190" t="s">
        <v>8843</v>
      </c>
      <c r="M10" s="138" t="s">
        <v>111</v>
      </c>
      <c r="N10" s="191">
        <v>45075</v>
      </c>
      <c r="O10" s="191">
        <v>45078</v>
      </c>
      <c r="P10" s="192">
        <v>46172</v>
      </c>
      <c r="Q10" s="193">
        <v>1094</v>
      </c>
      <c r="R10" s="180" t="s">
        <v>242</v>
      </c>
      <c r="S10" s="138" t="s">
        <v>8844</v>
      </c>
      <c r="T10" s="138" t="s">
        <v>6897</v>
      </c>
      <c r="U10" s="138" t="s">
        <v>9909</v>
      </c>
      <c r="V10" s="138" t="s">
        <v>939</v>
      </c>
      <c r="W10" s="24">
        <v>8584170986</v>
      </c>
      <c r="X10" s="138"/>
      <c r="Y10" s="138"/>
      <c r="Z10" s="138"/>
      <c r="AA10" s="180" t="s">
        <v>116</v>
      </c>
      <c r="AB10" s="193" t="s">
        <v>9854</v>
      </c>
      <c r="AC10" s="193">
        <v>63496290</v>
      </c>
      <c r="AD10" s="180" t="s">
        <v>116</v>
      </c>
      <c r="AE10" s="180" t="s">
        <v>940</v>
      </c>
      <c r="AF10" s="193" t="s">
        <v>9758</v>
      </c>
      <c r="AG10" s="193">
        <v>79466595</v>
      </c>
      <c r="AH10" s="180" t="s">
        <v>118</v>
      </c>
      <c r="AI10" s="138"/>
      <c r="AJ10" s="194" t="s">
        <v>1435</v>
      </c>
      <c r="AK10" s="180" t="s">
        <v>2071</v>
      </c>
      <c r="AL10" s="180" t="s">
        <v>2071</v>
      </c>
      <c r="AM10" s="180" t="s">
        <v>1435</v>
      </c>
      <c r="AN10" s="195" t="e">
        <v>#N/A</v>
      </c>
      <c r="AO10" s="196" t="e">
        <v>#N/A</v>
      </c>
      <c r="AP10" s="180" t="s">
        <v>121</v>
      </c>
      <c r="AQ10" s="180" t="s">
        <v>9855</v>
      </c>
      <c r="AR10" s="138"/>
      <c r="AS10" s="138"/>
      <c r="AT10" s="138"/>
      <c r="AU10" s="138"/>
      <c r="AV10" s="138"/>
      <c r="AW10" s="138"/>
      <c r="AX10" s="138"/>
      <c r="AY10" s="138"/>
      <c r="AZ10" s="138"/>
      <c r="BA10" s="138"/>
      <c r="BB10" s="138"/>
      <c r="BC10" s="138"/>
      <c r="BD10" s="138"/>
      <c r="BE10" s="138"/>
      <c r="BF10" s="197">
        <v>0</v>
      </c>
      <c r="BG10" s="138"/>
      <c r="BH10" s="138"/>
      <c r="BI10" s="197">
        <v>1094</v>
      </c>
      <c r="BJ10" s="198">
        <v>46172</v>
      </c>
      <c r="BK10" s="138"/>
      <c r="BL10" s="138"/>
      <c r="BM10" s="138"/>
      <c r="BN10" s="138"/>
      <c r="BO10" s="138"/>
      <c r="BP10" s="138"/>
      <c r="BQ10" s="138"/>
      <c r="BR10" s="138"/>
      <c r="BS10" s="138"/>
      <c r="BT10" s="138"/>
      <c r="BU10" s="138"/>
      <c r="BV10" s="138"/>
      <c r="BW10" s="138"/>
      <c r="BX10" s="138"/>
      <c r="BY10" s="138"/>
      <c r="BZ10" s="138"/>
      <c r="CA10" s="138"/>
      <c r="CB10" s="138"/>
      <c r="CC10" s="197" t="s">
        <v>9856</v>
      </c>
      <c r="CD10" s="138"/>
      <c r="CE10" s="197" t="s">
        <v>9910</v>
      </c>
      <c r="CF10" s="199"/>
      <c r="CG10" s="197" t="s">
        <v>9911</v>
      </c>
      <c r="CH10" s="201">
        <v>0.37</v>
      </c>
      <c r="CI10" s="201">
        <v>0.37</v>
      </c>
      <c r="CJ10" s="202">
        <v>37</v>
      </c>
      <c r="CK10" s="200">
        <v>0</v>
      </c>
      <c r="CL10" s="138"/>
      <c r="CM10" s="203" t="s">
        <v>4081</v>
      </c>
      <c r="CN10" s="204"/>
      <c r="CO10" s="303" t="s">
        <v>9912</v>
      </c>
      <c r="CP10" s="176"/>
      <c r="CQ10" s="205">
        <v>97420</v>
      </c>
      <c r="CR10" s="176" t="s">
        <v>9913</v>
      </c>
      <c r="CS10" s="206"/>
      <c r="CT10" s="206"/>
    </row>
    <row r="11" spans="1:98" ht="30" customHeight="1">
      <c r="A11" s="218">
        <v>10206</v>
      </c>
      <c r="B11" s="207" t="s">
        <v>9914</v>
      </c>
      <c r="C11" s="180" t="s">
        <v>6292</v>
      </c>
      <c r="D11" s="189" t="s">
        <v>9915</v>
      </c>
      <c r="E11" s="180" t="s">
        <v>8840</v>
      </c>
      <c r="F11" s="180" t="s">
        <v>1426</v>
      </c>
      <c r="G11" s="180" t="s">
        <v>1427</v>
      </c>
      <c r="H11" s="138" t="s">
        <v>9916</v>
      </c>
      <c r="I11" s="138" t="s">
        <v>9917</v>
      </c>
      <c r="J11" s="138" t="s">
        <v>9918</v>
      </c>
      <c r="K11" s="138">
        <v>19458790</v>
      </c>
      <c r="L11" s="190" t="s">
        <v>9919</v>
      </c>
      <c r="M11" s="138" t="s">
        <v>111</v>
      </c>
      <c r="N11" s="216">
        <v>45128</v>
      </c>
      <c r="O11" s="191"/>
      <c r="P11" s="192">
        <v>46588</v>
      </c>
      <c r="Q11" s="193">
        <v>46588</v>
      </c>
      <c r="R11" s="180" t="s">
        <v>2934</v>
      </c>
      <c r="S11" s="138" t="s">
        <v>1424</v>
      </c>
      <c r="T11" s="138" t="s">
        <v>1424</v>
      </c>
      <c r="U11" s="138" t="s">
        <v>9920</v>
      </c>
      <c r="V11" s="138"/>
      <c r="W11" s="24" t="s">
        <v>9921</v>
      </c>
      <c r="X11" s="138"/>
      <c r="Y11" s="138"/>
      <c r="Z11" s="138"/>
      <c r="AA11" s="180" t="s">
        <v>116</v>
      </c>
      <c r="AB11" s="193" t="s">
        <v>9854</v>
      </c>
      <c r="AC11" s="193">
        <v>63496290</v>
      </c>
      <c r="AD11" s="180" t="s">
        <v>816</v>
      </c>
      <c r="AE11" s="180" t="s">
        <v>2577</v>
      </c>
      <c r="AF11" s="193" t="s">
        <v>9359</v>
      </c>
      <c r="AG11" s="193">
        <v>79352968</v>
      </c>
      <c r="AH11" s="180" t="s">
        <v>118</v>
      </c>
      <c r="AI11" s="138"/>
      <c r="AJ11" s="194" t="s">
        <v>1435</v>
      </c>
      <c r="AK11" s="194" t="s">
        <v>1435</v>
      </c>
      <c r="AL11" s="194" t="s">
        <v>1435</v>
      </c>
      <c r="AM11" s="194" t="s">
        <v>1435</v>
      </c>
      <c r="AN11" s="195" t="e">
        <v>#N/A</v>
      </c>
      <c r="AO11" s="196" t="e">
        <v>#N/A</v>
      </c>
      <c r="AP11" s="180" t="s">
        <v>121</v>
      </c>
      <c r="AQ11" s="180" t="s">
        <v>9855</v>
      </c>
      <c r="AR11" s="138"/>
      <c r="AS11" s="138"/>
      <c r="AT11" s="138"/>
      <c r="AU11" s="138"/>
      <c r="AV11" s="138"/>
      <c r="AW11" s="138"/>
      <c r="AX11" s="138"/>
      <c r="AY11" s="138"/>
      <c r="AZ11" s="138"/>
      <c r="BA11" s="138"/>
      <c r="BB11" s="138"/>
      <c r="BC11" s="138"/>
      <c r="BD11" s="138"/>
      <c r="BE11" s="138"/>
      <c r="BF11" s="197">
        <v>0</v>
      </c>
      <c r="BG11" s="138"/>
      <c r="BH11" s="138"/>
      <c r="BI11" s="197">
        <v>46588</v>
      </c>
      <c r="BJ11" s="198">
        <v>46588</v>
      </c>
      <c r="BK11" s="138"/>
      <c r="BL11" s="138"/>
      <c r="BM11" s="138"/>
      <c r="BN11" s="138"/>
      <c r="BO11" s="138"/>
      <c r="BP11" s="138"/>
      <c r="BQ11" s="138"/>
      <c r="BR11" s="138"/>
      <c r="BS11" s="138"/>
      <c r="BT11" s="138"/>
      <c r="BU11" s="138"/>
      <c r="BV11" s="138"/>
      <c r="BW11" s="138"/>
      <c r="BX11" s="138"/>
      <c r="BY11" s="138"/>
      <c r="BZ11" s="138"/>
      <c r="CA11" s="138"/>
      <c r="CB11" s="138"/>
      <c r="CC11" s="197" t="s">
        <v>9856</v>
      </c>
      <c r="CD11" s="138"/>
      <c r="CE11" s="197" t="s">
        <v>9922</v>
      </c>
      <c r="CF11" s="199"/>
      <c r="CG11" s="197" t="s">
        <v>9922</v>
      </c>
      <c r="CH11" s="201">
        <v>0.98</v>
      </c>
      <c r="CI11" s="201">
        <v>0.98</v>
      </c>
      <c r="CJ11" s="202"/>
      <c r="CK11" s="200"/>
      <c r="CL11" s="138"/>
      <c r="CM11" s="203" t="s">
        <v>4081</v>
      </c>
      <c r="CN11" s="204"/>
      <c r="CO11" s="215" t="s">
        <v>9923</v>
      </c>
      <c r="CP11" s="176" t="s">
        <v>1424</v>
      </c>
      <c r="CQ11" s="217"/>
      <c r="CR11" s="176"/>
      <c r="CS11" s="206"/>
      <c r="CT11" s="206"/>
    </row>
    <row r="12" spans="1:98" ht="30" customHeight="1">
      <c r="A12" s="218">
        <v>10171</v>
      </c>
      <c r="B12" s="207" t="s">
        <v>9924</v>
      </c>
      <c r="C12" s="180" t="s">
        <v>104</v>
      </c>
      <c r="D12" s="189" t="s">
        <v>9925</v>
      </c>
      <c r="E12" s="180" t="s">
        <v>106</v>
      </c>
      <c r="F12" s="180" t="s">
        <v>1426</v>
      </c>
      <c r="G12" s="180" t="s">
        <v>1427</v>
      </c>
      <c r="H12" s="138" t="s">
        <v>9926</v>
      </c>
      <c r="I12" s="138" t="s">
        <v>9927</v>
      </c>
      <c r="J12" s="138" t="s">
        <v>4533</v>
      </c>
      <c r="K12" s="138">
        <v>52056284</v>
      </c>
      <c r="L12" s="190" t="s">
        <v>9928</v>
      </c>
      <c r="M12" s="138" t="s">
        <v>111</v>
      </c>
      <c r="N12" s="216">
        <v>45132</v>
      </c>
      <c r="O12" s="191">
        <v>45146</v>
      </c>
      <c r="P12" s="192">
        <v>45498</v>
      </c>
      <c r="Q12" s="193">
        <v>352</v>
      </c>
      <c r="R12" s="180" t="s">
        <v>242</v>
      </c>
      <c r="S12" s="138" t="s">
        <v>9929</v>
      </c>
      <c r="T12" s="138" t="s">
        <v>2811</v>
      </c>
      <c r="U12" s="138" t="s">
        <v>9930</v>
      </c>
      <c r="V12" s="138" t="s">
        <v>9931</v>
      </c>
      <c r="W12" s="24" t="s">
        <v>9930</v>
      </c>
      <c r="X12" s="138"/>
      <c r="Y12" s="138"/>
      <c r="Z12" s="138"/>
      <c r="AA12" s="180" t="s">
        <v>116</v>
      </c>
      <c r="AB12" s="193" t="s">
        <v>9854</v>
      </c>
      <c r="AC12" s="193">
        <v>63496290</v>
      </c>
      <c r="AD12" s="180" t="s">
        <v>816</v>
      </c>
      <c r="AE12" s="180" t="s">
        <v>2577</v>
      </c>
      <c r="AF12" s="193" t="s">
        <v>9359</v>
      </c>
      <c r="AG12" s="193">
        <v>79352968</v>
      </c>
      <c r="AH12" s="180" t="s">
        <v>118</v>
      </c>
      <c r="AI12" s="138" t="s">
        <v>9932</v>
      </c>
      <c r="AJ12" s="194" t="s">
        <v>1435</v>
      </c>
      <c r="AK12" s="194" t="s">
        <v>1435</v>
      </c>
      <c r="AL12" s="194" t="s">
        <v>1435</v>
      </c>
      <c r="AM12" s="194" t="s">
        <v>1435</v>
      </c>
      <c r="AN12" s="195" t="e">
        <v>#N/A</v>
      </c>
      <c r="AO12" s="196" t="e">
        <v>#N/A</v>
      </c>
      <c r="AP12" s="180" t="s">
        <v>121</v>
      </c>
      <c r="AQ12" s="180" t="s">
        <v>327</v>
      </c>
      <c r="AR12" s="138"/>
      <c r="AS12" s="138"/>
      <c r="AT12" s="138"/>
      <c r="AU12" s="138"/>
      <c r="AV12" s="138"/>
      <c r="AW12" s="138"/>
      <c r="AX12" s="138"/>
      <c r="AY12" s="138"/>
      <c r="AZ12" s="138"/>
      <c r="BA12" s="138"/>
      <c r="BB12" s="138"/>
      <c r="BC12" s="138"/>
      <c r="BD12" s="138"/>
      <c r="BE12" s="138"/>
      <c r="BF12" s="197">
        <v>0</v>
      </c>
      <c r="BG12" s="138"/>
      <c r="BH12" s="138"/>
      <c r="BI12" s="197">
        <v>352</v>
      </c>
      <c r="BJ12" s="198">
        <v>45498</v>
      </c>
      <c r="BK12" s="138"/>
      <c r="BL12" s="138"/>
      <c r="BM12" s="138"/>
      <c r="BN12" s="138"/>
      <c r="BO12" s="138"/>
      <c r="BP12" s="138"/>
      <c r="BQ12" s="138"/>
      <c r="BR12" s="138"/>
      <c r="BS12" s="138"/>
      <c r="BT12" s="138"/>
      <c r="BU12" s="138"/>
      <c r="BV12" s="138"/>
      <c r="BW12" s="138"/>
      <c r="BX12" s="138"/>
      <c r="BY12" s="138"/>
      <c r="BZ12" s="138"/>
      <c r="CA12" s="138"/>
      <c r="CB12" s="138"/>
      <c r="CC12" s="197" t="s">
        <v>9856</v>
      </c>
      <c r="CD12" s="138"/>
      <c r="CE12" s="197" t="s">
        <v>9933</v>
      </c>
      <c r="CF12" s="199"/>
      <c r="CG12" s="197" t="s">
        <v>9933</v>
      </c>
      <c r="CH12" s="201">
        <v>0.98</v>
      </c>
      <c r="CI12" s="201">
        <v>0.98</v>
      </c>
      <c r="CJ12" s="202">
        <v>100</v>
      </c>
      <c r="CK12" s="200">
        <v>0</v>
      </c>
      <c r="CL12" s="138"/>
      <c r="CM12" s="203" t="s">
        <v>4081</v>
      </c>
      <c r="CN12" s="204"/>
      <c r="CO12" s="215" t="s">
        <v>9934</v>
      </c>
      <c r="CP12" s="176" t="s">
        <v>1424</v>
      </c>
      <c r="CQ12" s="217">
        <v>129517</v>
      </c>
      <c r="CR12" s="176"/>
      <c r="CS12" s="206"/>
      <c r="CT12" s="206"/>
    </row>
    <row r="13" spans="1:98" ht="30" customHeight="1">
      <c r="A13" s="218">
        <v>10156</v>
      </c>
      <c r="B13" s="207" t="s">
        <v>9935</v>
      </c>
      <c r="C13" s="180" t="s">
        <v>6292</v>
      </c>
      <c r="D13" s="189" t="s">
        <v>9936</v>
      </c>
      <c r="E13" s="180" t="s">
        <v>8840</v>
      </c>
      <c r="F13" s="180" t="s">
        <v>1426</v>
      </c>
      <c r="G13" s="180" t="s">
        <v>1427</v>
      </c>
      <c r="H13" s="138" t="s">
        <v>9916</v>
      </c>
      <c r="I13" s="138" t="s">
        <v>9937</v>
      </c>
      <c r="J13" s="138" t="s">
        <v>9918</v>
      </c>
      <c r="K13" s="138">
        <v>71679434</v>
      </c>
      <c r="L13" s="190" t="s">
        <v>9938</v>
      </c>
      <c r="M13" s="138" t="s">
        <v>111</v>
      </c>
      <c r="N13" s="216">
        <v>45167</v>
      </c>
      <c r="O13" s="191">
        <v>45188</v>
      </c>
      <c r="P13" s="192">
        <v>46283</v>
      </c>
      <c r="Q13" s="193">
        <v>1095</v>
      </c>
      <c r="R13" s="180" t="s">
        <v>242</v>
      </c>
      <c r="S13" s="138" t="s">
        <v>9939</v>
      </c>
      <c r="T13" s="138" t="s">
        <v>9940</v>
      </c>
      <c r="U13" s="138" t="s">
        <v>9941</v>
      </c>
      <c r="V13" s="138" t="s">
        <v>9942</v>
      </c>
      <c r="W13" s="24">
        <v>8343883175</v>
      </c>
      <c r="X13" s="138" t="s">
        <v>9943</v>
      </c>
      <c r="Y13" s="138"/>
      <c r="Z13" s="138"/>
      <c r="AA13" s="180" t="s">
        <v>116</v>
      </c>
      <c r="AB13" s="193" t="s">
        <v>9854</v>
      </c>
      <c r="AC13" s="193">
        <v>63496290</v>
      </c>
      <c r="AD13" s="180" t="s">
        <v>816</v>
      </c>
      <c r="AE13" s="180" t="s">
        <v>2450</v>
      </c>
      <c r="AF13" s="193" t="s">
        <v>9870</v>
      </c>
      <c r="AG13" s="193">
        <v>80245871</v>
      </c>
      <c r="AH13" s="180" t="s">
        <v>118</v>
      </c>
      <c r="AI13" s="138"/>
      <c r="AJ13" s="194" t="s">
        <v>1435</v>
      </c>
      <c r="AK13" s="194" t="s">
        <v>2071</v>
      </c>
      <c r="AL13" s="194" t="s">
        <v>2071</v>
      </c>
      <c r="AM13" s="194" t="s">
        <v>1435</v>
      </c>
      <c r="AN13" s="195"/>
      <c r="AO13" s="196" t="s">
        <v>848</v>
      </c>
      <c r="AP13" s="180" t="s">
        <v>121</v>
      </c>
      <c r="AQ13" s="180" t="s">
        <v>9855</v>
      </c>
      <c r="AR13" s="138"/>
      <c r="AS13" s="138"/>
      <c r="AT13" s="138"/>
      <c r="AU13" s="138"/>
      <c r="AV13" s="138"/>
      <c r="AW13" s="138"/>
      <c r="AX13" s="138"/>
      <c r="AY13" s="138"/>
      <c r="AZ13" s="138"/>
      <c r="BA13" s="138"/>
      <c r="BB13" s="138"/>
      <c r="BC13" s="138"/>
      <c r="BD13" s="138"/>
      <c r="BE13" s="138"/>
      <c r="BF13" s="197">
        <v>0</v>
      </c>
      <c r="BG13" s="138"/>
      <c r="BH13" s="138"/>
      <c r="BI13" s="197">
        <v>1095</v>
      </c>
      <c r="BJ13" s="198">
        <v>46283</v>
      </c>
      <c r="BK13" s="138"/>
      <c r="BL13" s="138"/>
      <c r="BM13" s="138"/>
      <c r="BN13" s="138"/>
      <c r="BO13" s="138"/>
      <c r="BP13" s="138"/>
      <c r="BQ13" s="138"/>
      <c r="BR13" s="138"/>
      <c r="BS13" s="138"/>
      <c r="BT13" s="138"/>
      <c r="BU13" s="138"/>
      <c r="BV13" s="138"/>
      <c r="BW13" s="138"/>
      <c r="BX13" s="138"/>
      <c r="BY13" s="138"/>
      <c r="BZ13" s="138"/>
      <c r="CA13" s="138"/>
      <c r="CB13" s="138"/>
      <c r="CC13" s="197" t="s">
        <v>9856</v>
      </c>
      <c r="CD13" s="138"/>
      <c r="CE13" s="197" t="s">
        <v>9944</v>
      </c>
      <c r="CF13" s="199"/>
      <c r="CG13" s="197" t="s">
        <v>9945</v>
      </c>
      <c r="CH13" s="201">
        <v>0.27</v>
      </c>
      <c r="CI13" s="201">
        <v>0.27</v>
      </c>
      <c r="CJ13" s="202">
        <v>29</v>
      </c>
      <c r="CK13" s="200">
        <v>0</v>
      </c>
      <c r="CL13" s="138"/>
      <c r="CM13" s="203" t="s">
        <v>4081</v>
      </c>
      <c r="CN13" s="204"/>
      <c r="CO13" s="215"/>
      <c r="CP13" s="176" t="s">
        <v>9946</v>
      </c>
      <c r="CQ13" s="217"/>
      <c r="CR13" s="176"/>
      <c r="CS13" s="206"/>
      <c r="CT13" s="206"/>
    </row>
    <row r="14" spans="1:98" s="85" customFormat="1" ht="30" customHeight="1">
      <c r="A14" s="272">
        <v>10156</v>
      </c>
      <c r="B14" s="274" t="s">
        <v>9935</v>
      </c>
      <c r="C14" s="275" t="s">
        <v>6292</v>
      </c>
      <c r="D14" s="277" t="s">
        <v>9936</v>
      </c>
      <c r="E14" s="275" t="s">
        <v>8840</v>
      </c>
      <c r="F14" s="275" t="s">
        <v>1426</v>
      </c>
      <c r="G14" s="275" t="s">
        <v>1427</v>
      </c>
      <c r="H14" s="278" t="s">
        <v>9916</v>
      </c>
      <c r="I14" s="278" t="s">
        <v>9937</v>
      </c>
      <c r="J14" s="278" t="s">
        <v>9918</v>
      </c>
      <c r="K14" s="278">
        <v>71679434</v>
      </c>
      <c r="L14" s="279" t="s">
        <v>9938</v>
      </c>
      <c r="M14" s="278" t="s">
        <v>111</v>
      </c>
      <c r="N14" s="280">
        <v>45167</v>
      </c>
      <c r="O14" s="281">
        <v>45188</v>
      </c>
      <c r="P14" s="282">
        <v>46283</v>
      </c>
      <c r="Q14" s="283">
        <v>1095</v>
      </c>
      <c r="R14" s="275" t="s">
        <v>242</v>
      </c>
      <c r="S14" s="278" t="s">
        <v>9939</v>
      </c>
      <c r="T14" s="278" t="s">
        <v>9940</v>
      </c>
      <c r="U14" s="278" t="s">
        <v>9941</v>
      </c>
      <c r="V14" s="278" t="s">
        <v>9942</v>
      </c>
      <c r="W14" s="24" t="s">
        <v>9947</v>
      </c>
      <c r="X14" s="278" t="s">
        <v>9943</v>
      </c>
      <c r="Y14" s="278"/>
      <c r="Z14" s="278"/>
      <c r="AA14" s="275" t="s">
        <v>116</v>
      </c>
      <c r="AB14" s="283" t="s">
        <v>9854</v>
      </c>
      <c r="AC14" s="283">
        <v>63496290</v>
      </c>
      <c r="AD14" s="275" t="s">
        <v>816</v>
      </c>
      <c r="AE14" s="275" t="s">
        <v>2450</v>
      </c>
      <c r="AF14" s="283" t="s">
        <v>9870</v>
      </c>
      <c r="AG14" s="283">
        <v>80245871</v>
      </c>
      <c r="AH14" s="275" t="s">
        <v>118</v>
      </c>
      <c r="AI14" s="278"/>
      <c r="AJ14" s="285" t="s">
        <v>1435</v>
      </c>
      <c r="AK14" s="285" t="s">
        <v>2071</v>
      </c>
      <c r="AL14" s="285" t="s">
        <v>2071</v>
      </c>
      <c r="AM14" s="285" t="s">
        <v>1435</v>
      </c>
      <c r="AN14" s="288"/>
      <c r="AO14" s="291" t="s">
        <v>848</v>
      </c>
      <c r="AP14" s="275" t="s">
        <v>121</v>
      </c>
      <c r="AQ14" s="275" t="s">
        <v>9855</v>
      </c>
      <c r="AR14" s="278"/>
      <c r="AS14" s="278"/>
      <c r="AT14" s="278"/>
      <c r="AU14" s="278"/>
      <c r="AV14" s="278"/>
      <c r="AW14" s="278"/>
      <c r="AX14" s="278"/>
      <c r="AY14" s="278"/>
      <c r="AZ14" s="278"/>
      <c r="BA14" s="278"/>
      <c r="BB14" s="278"/>
      <c r="BC14" s="278"/>
      <c r="BD14" s="278"/>
      <c r="BE14" s="278"/>
      <c r="BF14" s="293">
        <v>0</v>
      </c>
      <c r="BG14" s="278"/>
      <c r="BH14" s="278"/>
      <c r="BI14" s="293">
        <v>1095</v>
      </c>
      <c r="BJ14" s="294">
        <v>46283</v>
      </c>
      <c r="BK14" s="278"/>
      <c r="BL14" s="278"/>
      <c r="BM14" s="278"/>
      <c r="BN14" s="278"/>
      <c r="BO14" s="278"/>
      <c r="BP14" s="278"/>
      <c r="BQ14" s="278"/>
      <c r="BR14" s="278"/>
      <c r="BS14" s="278"/>
      <c r="BT14" s="278"/>
      <c r="BU14" s="278"/>
      <c r="BV14" s="278"/>
      <c r="BW14" s="278"/>
      <c r="BX14" s="278"/>
      <c r="BY14" s="278"/>
      <c r="BZ14" s="278"/>
      <c r="CA14" s="278"/>
      <c r="CB14" s="278"/>
      <c r="CC14" s="293" t="s">
        <v>9856</v>
      </c>
      <c r="CD14" s="278"/>
      <c r="CE14" s="293" t="s">
        <v>9944</v>
      </c>
      <c r="CF14" s="295"/>
      <c r="CG14" s="293" t="s">
        <v>9948</v>
      </c>
      <c r="CH14" s="297">
        <v>0.28000000000000003</v>
      </c>
      <c r="CI14" s="297">
        <v>0.28000000000000003</v>
      </c>
      <c r="CJ14" s="298">
        <v>30</v>
      </c>
      <c r="CK14" s="299">
        <v>0</v>
      </c>
      <c r="CL14" s="278"/>
      <c r="CM14" s="300" t="s">
        <v>4081</v>
      </c>
      <c r="CN14" s="278"/>
      <c r="CO14" s="206"/>
      <c r="CP14" s="206" t="s">
        <v>9946</v>
      </c>
      <c r="CQ14" s="288"/>
      <c r="CR14" s="206"/>
    </row>
    <row r="15" spans="1:98" ht="30" customHeight="1">
      <c r="A15" s="218">
        <v>10149</v>
      </c>
      <c r="B15" s="207" t="s">
        <v>9949</v>
      </c>
      <c r="C15" s="180" t="s">
        <v>1423</v>
      </c>
      <c r="D15" s="189" t="s">
        <v>9950</v>
      </c>
      <c r="E15" s="180" t="s">
        <v>1425</v>
      </c>
      <c r="F15" s="180" t="s">
        <v>1426</v>
      </c>
      <c r="G15" s="180" t="s">
        <v>1427</v>
      </c>
      <c r="H15" s="138">
        <v>901373456</v>
      </c>
      <c r="I15" s="138" t="s">
        <v>9951</v>
      </c>
      <c r="J15" s="138" t="s">
        <v>9952</v>
      </c>
      <c r="K15" s="138"/>
      <c r="L15" s="190" t="s">
        <v>9953</v>
      </c>
      <c r="M15" s="138" t="s">
        <v>111</v>
      </c>
      <c r="N15" s="216">
        <v>45168</v>
      </c>
      <c r="O15" s="191">
        <v>45181</v>
      </c>
      <c r="P15" s="192">
        <v>45534</v>
      </c>
      <c r="Q15" s="193">
        <v>353</v>
      </c>
      <c r="R15" s="180" t="s">
        <v>242</v>
      </c>
      <c r="S15" s="138" t="s">
        <v>9954</v>
      </c>
      <c r="T15" s="138" t="s">
        <v>9955</v>
      </c>
      <c r="U15" s="138" t="s">
        <v>9956</v>
      </c>
      <c r="V15" s="138" t="s">
        <v>9957</v>
      </c>
      <c r="W15" s="24" t="s">
        <v>9958</v>
      </c>
      <c r="X15" s="138"/>
      <c r="Y15" s="138"/>
      <c r="Z15" s="138"/>
      <c r="AA15" s="180" t="s">
        <v>116</v>
      </c>
      <c r="AB15" s="193" t="s">
        <v>9854</v>
      </c>
      <c r="AC15" s="193">
        <v>63496290</v>
      </c>
      <c r="AD15" s="180" t="s">
        <v>816</v>
      </c>
      <c r="AE15" s="180" t="s">
        <v>2577</v>
      </c>
      <c r="AF15" s="193" t="s">
        <v>9359</v>
      </c>
      <c r="AG15" s="193">
        <v>79352968</v>
      </c>
      <c r="AH15" s="180" t="s">
        <v>9959</v>
      </c>
      <c r="AI15" s="138"/>
      <c r="AJ15" s="194" t="s">
        <v>1435</v>
      </c>
      <c r="AK15" s="194" t="s">
        <v>2071</v>
      </c>
      <c r="AL15" s="194" t="s">
        <v>2071</v>
      </c>
      <c r="AM15" s="194" t="s">
        <v>1435</v>
      </c>
      <c r="AN15" s="195"/>
      <c r="AO15" s="196" t="s">
        <v>848</v>
      </c>
      <c r="AP15" s="180" t="s">
        <v>121</v>
      </c>
      <c r="AQ15" s="180" t="s">
        <v>9855</v>
      </c>
      <c r="AR15" s="138"/>
      <c r="AS15" s="138"/>
      <c r="AT15" s="138"/>
      <c r="AU15" s="138"/>
      <c r="AV15" s="138"/>
      <c r="AW15" s="138"/>
      <c r="AX15" s="138"/>
      <c r="AY15" s="138"/>
      <c r="AZ15" s="138"/>
      <c r="BA15" s="138"/>
      <c r="BB15" s="138"/>
      <c r="BC15" s="138"/>
      <c r="BD15" s="138"/>
      <c r="BE15" s="138"/>
      <c r="BF15" s="197">
        <v>0</v>
      </c>
      <c r="BG15" s="138"/>
      <c r="BH15" s="138"/>
      <c r="BI15" s="197">
        <v>353</v>
      </c>
      <c r="BJ15" s="198">
        <v>45534</v>
      </c>
      <c r="BK15" s="138"/>
      <c r="BL15" s="138"/>
      <c r="BM15" s="138"/>
      <c r="BN15" s="138"/>
      <c r="BO15" s="138"/>
      <c r="BP15" s="138"/>
      <c r="BQ15" s="138"/>
      <c r="BR15" s="138"/>
      <c r="BS15" s="138"/>
      <c r="BT15" s="138"/>
      <c r="BU15" s="138"/>
      <c r="BV15" s="138"/>
      <c r="BW15" s="138"/>
      <c r="BX15" s="138"/>
      <c r="BY15" s="138"/>
      <c r="BZ15" s="138"/>
      <c r="CA15" s="138"/>
      <c r="CB15" s="138"/>
      <c r="CC15" s="197" t="s">
        <v>9856</v>
      </c>
      <c r="CD15" s="138"/>
      <c r="CE15" s="197" t="s">
        <v>9960</v>
      </c>
      <c r="CF15" s="199"/>
      <c r="CG15" s="197" t="s">
        <v>9961</v>
      </c>
      <c r="CH15" s="201">
        <v>0.88</v>
      </c>
      <c r="CI15" s="201">
        <v>0.88</v>
      </c>
      <c r="CJ15" s="202">
        <v>92</v>
      </c>
      <c r="CK15" s="200">
        <v>0</v>
      </c>
      <c r="CL15" s="138"/>
      <c r="CM15" s="203" t="s">
        <v>4081</v>
      </c>
      <c r="CN15" s="204"/>
      <c r="CO15" s="215"/>
      <c r="CP15" s="176" t="s">
        <v>1424</v>
      </c>
      <c r="CQ15" s="217"/>
      <c r="CR15" s="176"/>
      <c r="CS15" s="206"/>
      <c r="CT15" s="206"/>
    </row>
    <row r="16" spans="1:98" ht="30" customHeight="1">
      <c r="A16" s="218">
        <v>10159</v>
      </c>
      <c r="B16" s="207" t="s">
        <v>9962</v>
      </c>
      <c r="C16" s="180" t="s">
        <v>6292</v>
      </c>
      <c r="D16" s="189" t="s">
        <v>9963</v>
      </c>
      <c r="E16" s="180" t="s">
        <v>8840</v>
      </c>
      <c r="F16" s="180" t="s">
        <v>1426</v>
      </c>
      <c r="G16" s="180" t="s">
        <v>1427</v>
      </c>
      <c r="H16" s="138" t="s">
        <v>9916</v>
      </c>
      <c r="I16" s="138" t="s">
        <v>9917</v>
      </c>
      <c r="J16" s="138" t="s">
        <v>9918</v>
      </c>
      <c r="K16" s="138">
        <v>71679434</v>
      </c>
      <c r="L16" s="190" t="s">
        <v>9964</v>
      </c>
      <c r="M16" s="138" t="s">
        <v>111</v>
      </c>
      <c r="N16" s="216">
        <v>45183</v>
      </c>
      <c r="O16" s="191">
        <v>45198</v>
      </c>
      <c r="P16" s="192">
        <v>46280</v>
      </c>
      <c r="Q16" s="193">
        <v>1082</v>
      </c>
      <c r="R16" s="180" t="s">
        <v>112</v>
      </c>
      <c r="S16" s="138" t="s">
        <v>9965</v>
      </c>
      <c r="T16" s="138" t="s">
        <v>9966</v>
      </c>
      <c r="U16" s="138" t="s">
        <v>9967</v>
      </c>
      <c r="V16" s="138" t="s">
        <v>9968</v>
      </c>
      <c r="W16" s="24">
        <v>15112867850</v>
      </c>
      <c r="X16" s="138"/>
      <c r="Y16" s="138"/>
      <c r="Z16" s="138"/>
      <c r="AA16" s="180" t="s">
        <v>116</v>
      </c>
      <c r="AB16" s="193" t="s">
        <v>9854</v>
      </c>
      <c r="AC16" s="193">
        <v>63496290</v>
      </c>
      <c r="AD16" s="180" t="s">
        <v>816</v>
      </c>
      <c r="AE16" s="180" t="s">
        <v>2835</v>
      </c>
      <c r="AF16" s="193" t="s">
        <v>9772</v>
      </c>
      <c r="AG16" s="193">
        <v>80018909</v>
      </c>
      <c r="AH16" s="180" t="s">
        <v>118</v>
      </c>
      <c r="AI16" s="138"/>
      <c r="AJ16" s="194" t="s">
        <v>1435</v>
      </c>
      <c r="AK16" s="194" t="s">
        <v>2071</v>
      </c>
      <c r="AL16" s="194" t="s">
        <v>2071</v>
      </c>
      <c r="AM16" s="194" t="s">
        <v>1435</v>
      </c>
      <c r="AN16" s="195"/>
      <c r="AO16" s="196" t="s">
        <v>848</v>
      </c>
      <c r="AP16" s="180" t="s">
        <v>121</v>
      </c>
      <c r="AQ16" s="180" t="s">
        <v>9855</v>
      </c>
      <c r="AR16" s="138"/>
      <c r="AS16" s="138"/>
      <c r="AT16" s="138"/>
      <c r="AU16" s="138"/>
      <c r="AV16" s="138"/>
      <c r="AW16" s="138"/>
      <c r="AX16" s="138"/>
      <c r="AY16" s="138"/>
      <c r="AZ16" s="138"/>
      <c r="BA16" s="138"/>
      <c r="BB16" s="138"/>
      <c r="BC16" s="138"/>
      <c r="BD16" s="138"/>
      <c r="BE16" s="138"/>
      <c r="BF16" s="197">
        <v>0</v>
      </c>
      <c r="BG16" s="138"/>
      <c r="BH16" s="138"/>
      <c r="BI16" s="197">
        <v>1082</v>
      </c>
      <c r="BJ16" s="198">
        <v>46280</v>
      </c>
      <c r="BK16" s="138"/>
      <c r="BL16" s="138"/>
      <c r="BM16" s="138"/>
      <c r="BN16" s="138"/>
      <c r="BO16" s="138"/>
      <c r="BP16" s="138"/>
      <c r="BQ16" s="138"/>
      <c r="BR16" s="138"/>
      <c r="BS16" s="138"/>
      <c r="BT16" s="138"/>
      <c r="BU16" s="138"/>
      <c r="BV16" s="138"/>
      <c r="BW16" s="138"/>
      <c r="BX16" s="138"/>
      <c r="BY16" s="138"/>
      <c r="BZ16" s="138"/>
      <c r="CA16" s="138"/>
      <c r="CB16" s="138"/>
      <c r="CC16" s="197" t="s">
        <v>9856</v>
      </c>
      <c r="CD16" s="138"/>
      <c r="CE16" s="197" t="s">
        <v>9969</v>
      </c>
      <c r="CF16" s="199"/>
      <c r="CG16" s="197" t="s">
        <v>9970</v>
      </c>
      <c r="CH16" s="201">
        <v>0.27</v>
      </c>
      <c r="CI16" s="201">
        <v>0.27</v>
      </c>
      <c r="CJ16" s="202">
        <v>28</v>
      </c>
      <c r="CK16" s="200">
        <v>0</v>
      </c>
      <c r="CL16" s="138"/>
      <c r="CM16" s="203" t="s">
        <v>4081</v>
      </c>
      <c r="CN16" s="204"/>
      <c r="CO16" s="215"/>
      <c r="CP16" s="176"/>
      <c r="CQ16" s="217"/>
      <c r="CR16" s="176"/>
      <c r="CS16" s="206"/>
      <c r="CT16" s="206"/>
    </row>
    <row r="17" spans="1:98" ht="30" customHeight="1">
      <c r="A17" s="218">
        <v>10159</v>
      </c>
      <c r="B17" s="207" t="s">
        <v>9962</v>
      </c>
      <c r="C17" s="180" t="s">
        <v>6292</v>
      </c>
      <c r="D17" s="189" t="s">
        <v>9963</v>
      </c>
      <c r="E17" s="180" t="s">
        <v>8840</v>
      </c>
      <c r="F17" s="180" t="s">
        <v>1426</v>
      </c>
      <c r="G17" s="180" t="s">
        <v>1427</v>
      </c>
      <c r="H17" s="138" t="s">
        <v>9916</v>
      </c>
      <c r="I17" s="138" t="s">
        <v>9917</v>
      </c>
      <c r="J17" s="138" t="s">
        <v>9918</v>
      </c>
      <c r="K17" s="138">
        <v>71679434</v>
      </c>
      <c r="L17" s="190" t="s">
        <v>9964</v>
      </c>
      <c r="M17" s="138" t="s">
        <v>111</v>
      </c>
      <c r="N17" s="216">
        <v>45183</v>
      </c>
      <c r="O17" s="191">
        <v>45198</v>
      </c>
      <c r="P17" s="192">
        <v>46280</v>
      </c>
      <c r="Q17" s="193">
        <v>1082</v>
      </c>
      <c r="R17" s="180" t="s">
        <v>112</v>
      </c>
      <c r="S17" s="138" t="s">
        <v>9965</v>
      </c>
      <c r="T17" s="138" t="s">
        <v>9966</v>
      </c>
      <c r="U17" s="138" t="s">
        <v>9967</v>
      </c>
      <c r="V17" s="138" t="s">
        <v>9968</v>
      </c>
      <c r="W17" s="24" t="s">
        <v>9971</v>
      </c>
      <c r="X17" s="138"/>
      <c r="Y17" s="138"/>
      <c r="Z17" s="138"/>
      <c r="AA17" s="180" t="s">
        <v>116</v>
      </c>
      <c r="AB17" s="193" t="s">
        <v>9854</v>
      </c>
      <c r="AC17" s="193">
        <v>63496290</v>
      </c>
      <c r="AD17" s="180" t="s">
        <v>816</v>
      </c>
      <c r="AE17" s="180" t="s">
        <v>2835</v>
      </c>
      <c r="AF17" s="193" t="s">
        <v>9772</v>
      </c>
      <c r="AG17" s="193">
        <v>80018909</v>
      </c>
      <c r="AH17" s="180" t="s">
        <v>118</v>
      </c>
      <c r="AI17" s="138"/>
      <c r="AJ17" s="194" t="s">
        <v>1435</v>
      </c>
      <c r="AK17" s="194" t="s">
        <v>2071</v>
      </c>
      <c r="AL17" s="194" t="s">
        <v>2071</v>
      </c>
      <c r="AM17" s="194" t="s">
        <v>1435</v>
      </c>
      <c r="AN17" s="195"/>
      <c r="AO17" s="196" t="s">
        <v>848</v>
      </c>
      <c r="AP17" s="180" t="s">
        <v>121</v>
      </c>
      <c r="AQ17" s="180" t="s">
        <v>9855</v>
      </c>
      <c r="AR17" s="138"/>
      <c r="AS17" s="138"/>
      <c r="AT17" s="138"/>
      <c r="AU17" s="138"/>
      <c r="AV17" s="138"/>
      <c r="AW17" s="138"/>
      <c r="AX17" s="138"/>
      <c r="AY17" s="138"/>
      <c r="AZ17" s="138"/>
      <c r="BA17" s="138"/>
      <c r="BB17" s="138"/>
      <c r="BC17" s="138"/>
      <c r="BD17" s="138"/>
      <c r="BE17" s="138"/>
      <c r="BF17" s="197">
        <v>0</v>
      </c>
      <c r="BG17" s="138"/>
      <c r="BH17" s="138"/>
      <c r="BI17" s="197">
        <v>1082</v>
      </c>
      <c r="BJ17" s="198">
        <v>46280</v>
      </c>
      <c r="BK17" s="138"/>
      <c r="BL17" s="138"/>
      <c r="BM17" s="138"/>
      <c r="BN17" s="138"/>
      <c r="BO17" s="138"/>
      <c r="BP17" s="138"/>
      <c r="BQ17" s="138"/>
      <c r="BR17" s="138"/>
      <c r="BS17" s="138"/>
      <c r="BT17" s="138"/>
      <c r="BU17" s="138"/>
      <c r="BV17" s="138"/>
      <c r="BW17" s="138"/>
      <c r="BX17" s="138"/>
      <c r="BY17" s="138"/>
      <c r="BZ17" s="138"/>
      <c r="CA17" s="138"/>
      <c r="CB17" s="138"/>
      <c r="CC17" s="197" t="s">
        <v>9856</v>
      </c>
      <c r="CD17" s="138"/>
      <c r="CE17" s="197" t="s">
        <v>9969</v>
      </c>
      <c r="CF17" s="199"/>
      <c r="CG17" s="197" t="s">
        <v>9972</v>
      </c>
      <c r="CH17" s="201">
        <v>0.27</v>
      </c>
      <c r="CI17" s="201">
        <v>0.27</v>
      </c>
      <c r="CJ17" s="202">
        <v>28</v>
      </c>
      <c r="CK17" s="200">
        <v>0</v>
      </c>
      <c r="CL17" s="138"/>
      <c r="CM17" s="203" t="s">
        <v>4081</v>
      </c>
      <c r="CN17" s="204"/>
      <c r="CO17" s="215"/>
      <c r="CP17" s="176"/>
      <c r="CQ17" s="217"/>
      <c r="CR17" s="176"/>
      <c r="CS17" s="206"/>
      <c r="CT17" s="206"/>
    </row>
    <row r="18" spans="1:98" ht="30" customHeight="1">
      <c r="A18" s="218">
        <v>10160</v>
      </c>
      <c r="B18" s="207" t="s">
        <v>9973</v>
      </c>
      <c r="C18" s="180" t="s">
        <v>104</v>
      </c>
      <c r="D18" s="189" t="s">
        <v>9974</v>
      </c>
      <c r="E18" s="180" t="s">
        <v>106</v>
      </c>
      <c r="F18" s="180" t="s">
        <v>1426</v>
      </c>
      <c r="G18" s="180" t="s">
        <v>1427</v>
      </c>
      <c r="H18" s="138" t="s">
        <v>9975</v>
      </c>
      <c r="I18" s="138" t="s">
        <v>9976</v>
      </c>
      <c r="J18" s="138" t="s">
        <v>9977</v>
      </c>
      <c r="K18" s="138">
        <v>80076591</v>
      </c>
      <c r="L18" s="190" t="s">
        <v>9978</v>
      </c>
      <c r="M18" s="138" t="s">
        <v>111</v>
      </c>
      <c r="N18" s="216">
        <v>45183</v>
      </c>
      <c r="O18" s="191">
        <v>45189</v>
      </c>
      <c r="P18" s="192">
        <v>46284</v>
      </c>
      <c r="Q18" s="193">
        <v>1095</v>
      </c>
      <c r="R18" s="180" t="s">
        <v>242</v>
      </c>
      <c r="S18" s="138" t="s">
        <v>9979</v>
      </c>
      <c r="T18" s="138" t="s">
        <v>9980</v>
      </c>
      <c r="U18" s="138" t="s">
        <v>9981</v>
      </c>
      <c r="V18" s="138" t="s">
        <v>9968</v>
      </c>
      <c r="W18" s="24">
        <v>8377538750</v>
      </c>
      <c r="X18" s="138"/>
      <c r="Y18" s="138"/>
      <c r="Z18" s="138"/>
      <c r="AA18" s="180" t="s">
        <v>116</v>
      </c>
      <c r="AB18" s="193" t="s">
        <v>9854</v>
      </c>
      <c r="AC18" s="193">
        <v>63496290</v>
      </c>
      <c r="AD18" s="180" t="s">
        <v>816</v>
      </c>
      <c r="AE18" s="180" t="s">
        <v>2835</v>
      </c>
      <c r="AF18" s="193" t="s">
        <v>9772</v>
      </c>
      <c r="AG18" s="193">
        <v>80018909</v>
      </c>
      <c r="AH18" s="180" t="s">
        <v>118</v>
      </c>
      <c r="AI18" s="138"/>
      <c r="AJ18" s="194" t="s">
        <v>1435</v>
      </c>
      <c r="AK18" s="194" t="s">
        <v>2071</v>
      </c>
      <c r="AL18" s="194" t="s">
        <v>2071</v>
      </c>
      <c r="AM18" s="194" t="s">
        <v>1435</v>
      </c>
      <c r="AN18" s="195"/>
      <c r="AO18" s="196" t="s">
        <v>848</v>
      </c>
      <c r="AP18" s="180" t="s">
        <v>121</v>
      </c>
      <c r="AQ18" s="180" t="s">
        <v>9855</v>
      </c>
      <c r="AR18" s="138"/>
      <c r="AS18" s="138"/>
      <c r="AT18" s="138"/>
      <c r="AU18" s="138"/>
      <c r="AV18" s="138"/>
      <c r="AW18" s="138"/>
      <c r="AX18" s="138"/>
      <c r="AY18" s="138"/>
      <c r="AZ18" s="138"/>
      <c r="BA18" s="138"/>
      <c r="BB18" s="138"/>
      <c r="BC18" s="138"/>
      <c r="BD18" s="138"/>
      <c r="BE18" s="138"/>
      <c r="BF18" s="197">
        <v>0</v>
      </c>
      <c r="BG18" s="138"/>
      <c r="BH18" s="138"/>
      <c r="BI18" s="197">
        <v>1095</v>
      </c>
      <c r="BJ18" s="198">
        <v>46284</v>
      </c>
      <c r="BK18" s="138"/>
      <c r="BL18" s="138"/>
      <c r="BM18" s="138"/>
      <c r="BN18" s="138"/>
      <c r="BO18" s="138"/>
      <c r="BP18" s="138"/>
      <c r="BQ18" s="138"/>
      <c r="BR18" s="138"/>
      <c r="BS18" s="138"/>
      <c r="BT18" s="138"/>
      <c r="BU18" s="138"/>
      <c r="BV18" s="138"/>
      <c r="BW18" s="138"/>
      <c r="BX18" s="138"/>
      <c r="BY18" s="138"/>
      <c r="BZ18" s="138"/>
      <c r="CA18" s="138"/>
      <c r="CB18" s="138"/>
      <c r="CC18" s="197" t="s">
        <v>9856</v>
      </c>
      <c r="CD18" s="138"/>
      <c r="CE18" s="197" t="s">
        <v>9982</v>
      </c>
      <c r="CF18" s="199"/>
      <c r="CG18" s="197" t="s">
        <v>9983</v>
      </c>
      <c r="CH18" s="201">
        <v>0.27</v>
      </c>
      <c r="CI18" s="201">
        <v>0.27</v>
      </c>
      <c r="CJ18" s="202">
        <v>28</v>
      </c>
      <c r="CK18" s="200">
        <v>0</v>
      </c>
      <c r="CL18" s="138"/>
      <c r="CM18" s="203" t="s">
        <v>4081</v>
      </c>
      <c r="CN18" s="204"/>
      <c r="CO18" s="215"/>
      <c r="CP18" s="176"/>
      <c r="CQ18" s="217"/>
      <c r="CR18" s="176"/>
      <c r="CS18" s="206"/>
      <c r="CT18" s="206"/>
    </row>
    <row r="19" spans="1:98" ht="30" customHeight="1">
      <c r="A19" s="218">
        <v>10160</v>
      </c>
      <c r="B19" s="207" t="s">
        <v>9973</v>
      </c>
      <c r="C19" s="180" t="s">
        <v>104</v>
      </c>
      <c r="D19" s="189" t="s">
        <v>9974</v>
      </c>
      <c r="E19" s="180" t="s">
        <v>106</v>
      </c>
      <c r="F19" s="180" t="s">
        <v>1426</v>
      </c>
      <c r="G19" s="180" t="s">
        <v>1427</v>
      </c>
      <c r="H19" s="138" t="s">
        <v>9975</v>
      </c>
      <c r="I19" s="138" t="s">
        <v>9976</v>
      </c>
      <c r="J19" s="138" t="s">
        <v>9977</v>
      </c>
      <c r="K19" s="138">
        <v>80076591</v>
      </c>
      <c r="L19" s="190" t="s">
        <v>9978</v>
      </c>
      <c r="M19" s="138" t="s">
        <v>111</v>
      </c>
      <c r="N19" s="216">
        <v>45183</v>
      </c>
      <c r="O19" s="191">
        <v>45189</v>
      </c>
      <c r="P19" s="192">
        <v>46284</v>
      </c>
      <c r="Q19" s="193">
        <v>1095</v>
      </c>
      <c r="R19" s="180" t="s">
        <v>242</v>
      </c>
      <c r="S19" s="138" t="s">
        <v>9979</v>
      </c>
      <c r="T19" s="138" t="s">
        <v>9980</v>
      </c>
      <c r="U19" s="138" t="s">
        <v>9981</v>
      </c>
      <c r="V19" s="138" t="s">
        <v>9968</v>
      </c>
      <c r="W19" s="24" t="s">
        <v>9984</v>
      </c>
      <c r="X19" s="138"/>
      <c r="Y19" s="138"/>
      <c r="Z19" s="138"/>
      <c r="AA19" s="180" t="s">
        <v>116</v>
      </c>
      <c r="AB19" s="193" t="s">
        <v>9854</v>
      </c>
      <c r="AC19" s="193">
        <v>63496290</v>
      </c>
      <c r="AD19" s="180" t="s">
        <v>816</v>
      </c>
      <c r="AE19" s="180" t="s">
        <v>2835</v>
      </c>
      <c r="AF19" s="193" t="s">
        <v>9772</v>
      </c>
      <c r="AG19" s="193">
        <v>80018909</v>
      </c>
      <c r="AH19" s="180" t="s">
        <v>118</v>
      </c>
      <c r="AI19" s="138"/>
      <c r="AJ19" s="194" t="s">
        <v>1435</v>
      </c>
      <c r="AK19" s="194" t="s">
        <v>2071</v>
      </c>
      <c r="AL19" s="194" t="s">
        <v>2071</v>
      </c>
      <c r="AM19" s="194" t="s">
        <v>1435</v>
      </c>
      <c r="AN19" s="195"/>
      <c r="AO19" s="196" t="s">
        <v>848</v>
      </c>
      <c r="AP19" s="180" t="s">
        <v>121</v>
      </c>
      <c r="AQ19" s="180" t="s">
        <v>9855</v>
      </c>
      <c r="AR19" s="138"/>
      <c r="AS19" s="138"/>
      <c r="AT19" s="138"/>
      <c r="AU19" s="138"/>
      <c r="AV19" s="138"/>
      <c r="AW19" s="138"/>
      <c r="AX19" s="138"/>
      <c r="AY19" s="138"/>
      <c r="AZ19" s="138"/>
      <c r="BA19" s="138"/>
      <c r="BB19" s="138"/>
      <c r="BC19" s="138"/>
      <c r="BD19" s="138"/>
      <c r="BE19" s="138"/>
      <c r="BF19" s="197">
        <v>0</v>
      </c>
      <c r="BG19" s="138"/>
      <c r="BH19" s="138"/>
      <c r="BI19" s="197">
        <v>1095</v>
      </c>
      <c r="BJ19" s="198">
        <v>46284</v>
      </c>
      <c r="BK19" s="138"/>
      <c r="BL19" s="138"/>
      <c r="BM19" s="138"/>
      <c r="BN19" s="138"/>
      <c r="BO19" s="138"/>
      <c r="BP19" s="138"/>
      <c r="BQ19" s="138"/>
      <c r="BR19" s="138"/>
      <c r="BS19" s="138"/>
      <c r="BT19" s="138"/>
      <c r="BU19" s="138"/>
      <c r="BV19" s="138"/>
      <c r="BW19" s="138"/>
      <c r="BX19" s="138"/>
      <c r="BY19" s="138"/>
      <c r="BZ19" s="138"/>
      <c r="CA19" s="138"/>
      <c r="CB19" s="138"/>
      <c r="CC19" s="197" t="s">
        <v>9856</v>
      </c>
      <c r="CD19" s="138"/>
      <c r="CE19" s="197" t="s">
        <v>9982</v>
      </c>
      <c r="CF19" s="199"/>
      <c r="CG19" s="197" t="s">
        <v>9985</v>
      </c>
      <c r="CH19" s="201">
        <v>0.28000000000000003</v>
      </c>
      <c r="CI19" s="201">
        <v>0.28000000000000003</v>
      </c>
      <c r="CJ19" s="202">
        <v>28</v>
      </c>
      <c r="CK19" s="200">
        <v>0</v>
      </c>
      <c r="CL19" s="138"/>
      <c r="CM19" s="203" t="s">
        <v>4081</v>
      </c>
      <c r="CN19" s="204"/>
      <c r="CO19" s="215"/>
      <c r="CP19" s="176"/>
      <c r="CQ19" s="217"/>
      <c r="CR19" s="176"/>
      <c r="CS19" s="206"/>
      <c r="CT19" s="206"/>
    </row>
    <row r="20" spans="1:98" ht="30" customHeight="1">
      <c r="A20" s="218">
        <v>10136</v>
      </c>
      <c r="B20" s="207" t="s">
        <v>9986</v>
      </c>
      <c r="C20" s="180" t="s">
        <v>104</v>
      </c>
      <c r="D20" s="189" t="s">
        <v>9987</v>
      </c>
      <c r="E20" s="180" t="s">
        <v>106</v>
      </c>
      <c r="F20" s="180" t="s">
        <v>1426</v>
      </c>
      <c r="G20" s="180" t="s">
        <v>1427</v>
      </c>
      <c r="H20" s="138" t="s">
        <v>9307</v>
      </c>
      <c r="I20" s="138" t="s">
        <v>9988</v>
      </c>
      <c r="J20" s="138" t="s">
        <v>9989</v>
      </c>
      <c r="K20" s="138">
        <v>45691119</v>
      </c>
      <c r="L20" s="190" t="s">
        <v>9990</v>
      </c>
      <c r="M20" s="138" t="s">
        <v>111</v>
      </c>
      <c r="N20" s="216">
        <v>45188</v>
      </c>
      <c r="O20" s="191">
        <v>45194</v>
      </c>
      <c r="P20" s="192">
        <v>45555</v>
      </c>
      <c r="Q20" s="193">
        <v>361</v>
      </c>
      <c r="R20" s="180" t="s">
        <v>242</v>
      </c>
      <c r="S20" s="138" t="s">
        <v>9991</v>
      </c>
      <c r="T20" s="138" t="s">
        <v>9955</v>
      </c>
      <c r="U20" s="138" t="s">
        <v>9992</v>
      </c>
      <c r="V20" s="138" t="s">
        <v>9957</v>
      </c>
      <c r="W20" s="24" t="s">
        <v>9993</v>
      </c>
      <c r="X20" s="138"/>
      <c r="Y20" s="138"/>
      <c r="Z20" s="138"/>
      <c r="AA20" s="180" t="s">
        <v>116</v>
      </c>
      <c r="AB20" s="193" t="s">
        <v>9854</v>
      </c>
      <c r="AC20" s="193">
        <v>63496290</v>
      </c>
      <c r="AD20" s="180" t="s">
        <v>816</v>
      </c>
      <c r="AE20" s="180" t="s">
        <v>2577</v>
      </c>
      <c r="AF20" s="193" t="s">
        <v>9359</v>
      </c>
      <c r="AG20" s="193">
        <v>79352968</v>
      </c>
      <c r="AH20" s="180" t="s">
        <v>118</v>
      </c>
      <c r="AI20" s="138"/>
      <c r="AJ20" s="194" t="s">
        <v>1435</v>
      </c>
      <c r="AK20" s="194" t="s">
        <v>2071</v>
      </c>
      <c r="AL20" s="194" t="s">
        <v>2071</v>
      </c>
      <c r="AM20" s="194" t="s">
        <v>1435</v>
      </c>
      <c r="AN20" s="195"/>
      <c r="AO20" s="196" t="s">
        <v>848</v>
      </c>
      <c r="AP20" s="180" t="s">
        <v>121</v>
      </c>
      <c r="AQ20" s="180" t="s">
        <v>9994</v>
      </c>
      <c r="AR20" s="138"/>
      <c r="AS20" s="138"/>
      <c r="AT20" s="138"/>
      <c r="AU20" s="138"/>
      <c r="AV20" s="138"/>
      <c r="AW20" s="138"/>
      <c r="AX20" s="138"/>
      <c r="AY20" s="138"/>
      <c r="AZ20" s="138"/>
      <c r="BA20" s="138"/>
      <c r="BB20" s="138"/>
      <c r="BC20" s="138"/>
      <c r="BD20" s="138"/>
      <c r="BE20" s="138"/>
      <c r="BF20" s="197">
        <v>0</v>
      </c>
      <c r="BG20" s="138"/>
      <c r="BH20" s="138"/>
      <c r="BI20" s="197">
        <v>361</v>
      </c>
      <c r="BJ20" s="198">
        <v>45555</v>
      </c>
      <c r="BK20" s="138"/>
      <c r="BL20" s="138"/>
      <c r="BM20" s="138"/>
      <c r="BN20" s="138"/>
      <c r="BO20" s="138"/>
      <c r="BP20" s="138"/>
      <c r="BQ20" s="138"/>
      <c r="BR20" s="138"/>
      <c r="BS20" s="138"/>
      <c r="BT20" s="138"/>
      <c r="BU20" s="138"/>
      <c r="BV20" s="138"/>
      <c r="BW20" s="138"/>
      <c r="BX20" s="138"/>
      <c r="BY20" s="138"/>
      <c r="BZ20" s="138"/>
      <c r="CA20" s="138"/>
      <c r="CB20" s="138"/>
      <c r="CC20" s="197" t="s">
        <v>9856</v>
      </c>
      <c r="CD20" s="138"/>
      <c r="CE20" s="197" t="s">
        <v>9995</v>
      </c>
      <c r="CF20" s="199"/>
      <c r="CG20" s="197" t="s">
        <v>9996</v>
      </c>
      <c r="CH20" s="201">
        <v>0.83</v>
      </c>
      <c r="CI20" s="201">
        <v>0.83</v>
      </c>
      <c r="CJ20" s="202">
        <v>84</v>
      </c>
      <c r="CK20" s="200">
        <v>0</v>
      </c>
      <c r="CL20" s="138"/>
      <c r="CM20" s="203" t="s">
        <v>4081</v>
      </c>
      <c r="CN20" s="204"/>
      <c r="CO20" s="215"/>
      <c r="CP20" s="176"/>
      <c r="CQ20" s="217"/>
      <c r="CR20" s="176"/>
      <c r="CS20" s="206"/>
      <c r="CT20" s="206"/>
    </row>
    <row r="21" spans="1:98" ht="30" customHeight="1">
      <c r="A21" s="218">
        <v>10205</v>
      </c>
      <c r="B21" s="207" t="s">
        <v>8828</v>
      </c>
      <c r="C21" s="180" t="s">
        <v>1423</v>
      </c>
      <c r="D21" s="189" t="s">
        <v>1424</v>
      </c>
      <c r="E21" s="180" t="s">
        <v>1425</v>
      </c>
      <c r="F21" s="180" t="s">
        <v>1426</v>
      </c>
      <c r="G21" s="180" t="s">
        <v>1427</v>
      </c>
      <c r="H21" s="138" t="s">
        <v>8829</v>
      </c>
      <c r="I21" s="138" t="s">
        <v>8830</v>
      </c>
      <c r="J21" s="138" t="s">
        <v>9997</v>
      </c>
      <c r="K21" s="138"/>
      <c r="L21" s="190" t="s">
        <v>8831</v>
      </c>
      <c r="M21" s="138" t="s">
        <v>111</v>
      </c>
      <c r="N21" s="216">
        <v>45208</v>
      </c>
      <c r="O21" s="191">
        <v>45216</v>
      </c>
      <c r="P21" s="192">
        <v>45580</v>
      </c>
      <c r="Q21" s="193">
        <v>364</v>
      </c>
      <c r="R21" s="180" t="s">
        <v>242</v>
      </c>
      <c r="S21" s="138" t="s">
        <v>8832</v>
      </c>
      <c r="T21" s="138" t="s">
        <v>9998</v>
      </c>
      <c r="U21" s="138" t="s">
        <v>9999</v>
      </c>
      <c r="V21" s="138"/>
      <c r="W21" s="24" t="s">
        <v>10000</v>
      </c>
      <c r="X21" s="138"/>
      <c r="Y21" s="138"/>
      <c r="Z21" s="138"/>
      <c r="AA21" s="180" t="s">
        <v>116</v>
      </c>
      <c r="AB21" s="193" t="s">
        <v>9854</v>
      </c>
      <c r="AC21" s="193">
        <v>63496290</v>
      </c>
      <c r="AD21" s="180" t="s">
        <v>816</v>
      </c>
      <c r="AE21" s="180" t="s">
        <v>4513</v>
      </c>
      <c r="AF21" s="193" t="s">
        <v>9773</v>
      </c>
      <c r="AG21" s="193">
        <v>19490879</v>
      </c>
      <c r="AH21" s="180" t="s">
        <v>9959</v>
      </c>
      <c r="AI21" s="138"/>
      <c r="AJ21" s="194" t="s">
        <v>1435</v>
      </c>
      <c r="AK21" s="194" t="s">
        <v>2071</v>
      </c>
      <c r="AL21" s="194" t="s">
        <v>2071</v>
      </c>
      <c r="AM21" s="194" t="s">
        <v>1435</v>
      </c>
      <c r="AN21" s="195"/>
      <c r="AO21" s="196" t="s">
        <v>848</v>
      </c>
      <c r="AP21" s="180" t="s">
        <v>121</v>
      </c>
      <c r="AQ21" s="180" t="s">
        <v>220</v>
      </c>
      <c r="AR21" s="138"/>
      <c r="AS21" s="138"/>
      <c r="AT21" s="138"/>
      <c r="AU21" s="138"/>
      <c r="AV21" s="138"/>
      <c r="AW21" s="138"/>
      <c r="AX21" s="138"/>
      <c r="AY21" s="138"/>
      <c r="AZ21" s="138"/>
      <c r="BA21" s="138"/>
      <c r="BB21" s="138"/>
      <c r="BC21" s="138"/>
      <c r="BD21" s="138"/>
      <c r="BE21" s="138"/>
      <c r="BF21" s="197">
        <v>0</v>
      </c>
      <c r="BG21" s="138"/>
      <c r="BH21" s="138"/>
      <c r="BI21" s="197">
        <v>364</v>
      </c>
      <c r="BJ21" s="198">
        <v>45580</v>
      </c>
      <c r="BK21" s="138"/>
      <c r="BL21" s="138"/>
      <c r="BM21" s="138"/>
      <c r="BN21" s="138"/>
      <c r="BO21" s="138"/>
      <c r="BP21" s="138"/>
      <c r="BQ21" s="138"/>
      <c r="BR21" s="138"/>
      <c r="BS21" s="138"/>
      <c r="BT21" s="138"/>
      <c r="BU21" s="138"/>
      <c r="BV21" s="138"/>
      <c r="BW21" s="138"/>
      <c r="BX21" s="138"/>
      <c r="BY21" s="138"/>
      <c r="BZ21" s="138"/>
      <c r="CA21" s="138"/>
      <c r="CB21" s="138"/>
      <c r="CC21" s="197" t="s">
        <v>9856</v>
      </c>
      <c r="CD21" s="138"/>
      <c r="CE21" s="197" t="s">
        <v>10001</v>
      </c>
      <c r="CF21" s="199"/>
      <c r="CG21" s="197" t="s">
        <v>10002</v>
      </c>
      <c r="CH21" s="201">
        <v>0.76</v>
      </c>
      <c r="CI21" s="201">
        <v>0.76</v>
      </c>
      <c r="CJ21" s="202">
        <v>78</v>
      </c>
      <c r="CK21" s="200">
        <v>0</v>
      </c>
      <c r="CL21" s="138"/>
      <c r="CM21" s="203" t="s">
        <v>4081</v>
      </c>
      <c r="CN21" s="204"/>
      <c r="CO21" s="215"/>
      <c r="CP21" s="176"/>
      <c r="CQ21" s="217"/>
      <c r="CR21" s="176"/>
      <c r="CS21" s="206"/>
      <c r="CT21" s="206"/>
    </row>
    <row r="22" spans="1:98" ht="30" customHeight="1">
      <c r="A22" s="218">
        <v>10139</v>
      </c>
      <c r="B22" s="207" t="s">
        <v>10003</v>
      </c>
      <c r="C22" s="180" t="s">
        <v>104</v>
      </c>
      <c r="D22" s="189" t="s">
        <v>10004</v>
      </c>
      <c r="E22" s="180" t="s">
        <v>106</v>
      </c>
      <c r="F22" s="180" t="s">
        <v>1426</v>
      </c>
      <c r="G22" s="180" t="s">
        <v>1427</v>
      </c>
      <c r="H22" s="138" t="s">
        <v>10005</v>
      </c>
      <c r="I22" s="138" t="s">
        <v>9976</v>
      </c>
      <c r="J22" s="138" t="s">
        <v>9977</v>
      </c>
      <c r="K22" s="138">
        <v>80076591</v>
      </c>
      <c r="L22" s="190" t="s">
        <v>10006</v>
      </c>
      <c r="M22" s="138" t="s">
        <v>111</v>
      </c>
      <c r="N22" s="216">
        <v>45238</v>
      </c>
      <c r="O22" s="191"/>
      <c r="P22" s="192" t="s">
        <v>10007</v>
      </c>
      <c r="Q22" s="193" t="e">
        <v>#VALUE!</v>
      </c>
      <c r="R22" s="180" t="s">
        <v>242</v>
      </c>
      <c r="S22" s="138" t="s">
        <v>10008</v>
      </c>
      <c r="T22" s="138" t="s">
        <v>2811</v>
      </c>
      <c r="U22" s="138" t="s">
        <v>10009</v>
      </c>
      <c r="V22" s="138" t="s">
        <v>2812</v>
      </c>
      <c r="W22" s="24" t="s">
        <v>10009</v>
      </c>
      <c r="X22" s="138"/>
      <c r="Y22" s="138"/>
      <c r="Z22" s="138"/>
      <c r="AA22" s="180" t="s">
        <v>116</v>
      </c>
      <c r="AB22" s="193" t="s">
        <v>9854</v>
      </c>
      <c r="AC22" s="193">
        <v>63496290</v>
      </c>
      <c r="AD22" s="180" t="s">
        <v>816</v>
      </c>
      <c r="AE22" s="180" t="s">
        <v>2450</v>
      </c>
      <c r="AF22" s="193" t="s">
        <v>9870</v>
      </c>
      <c r="AG22" s="193">
        <v>80245871</v>
      </c>
      <c r="AH22" s="180" t="s">
        <v>118</v>
      </c>
      <c r="AI22" s="138"/>
      <c r="AJ22" s="194" t="s">
        <v>1435</v>
      </c>
      <c r="AK22" s="194" t="s">
        <v>2071</v>
      </c>
      <c r="AL22" s="194" t="s">
        <v>2071</v>
      </c>
      <c r="AM22" s="194" t="s">
        <v>1435</v>
      </c>
      <c r="AN22" s="195"/>
      <c r="AO22" s="196" t="s">
        <v>848</v>
      </c>
      <c r="AP22" s="180" t="s">
        <v>121</v>
      </c>
      <c r="AQ22" s="180" t="s">
        <v>9855</v>
      </c>
      <c r="AR22" s="138"/>
      <c r="AS22" s="138"/>
      <c r="AT22" s="138"/>
      <c r="AU22" s="138"/>
      <c r="AV22" s="138"/>
      <c r="AW22" s="138"/>
      <c r="AX22" s="138"/>
      <c r="AY22" s="138"/>
      <c r="AZ22" s="138"/>
      <c r="BA22" s="138"/>
      <c r="BB22" s="138"/>
      <c r="BC22" s="138"/>
      <c r="BD22" s="138"/>
      <c r="BE22" s="138"/>
      <c r="BF22" s="197">
        <v>0</v>
      </c>
      <c r="BG22" s="138"/>
      <c r="BH22" s="138"/>
      <c r="BI22" s="197" t="e">
        <v>#VALUE!</v>
      </c>
      <c r="BJ22" s="198" t="e">
        <v>#VALUE!</v>
      </c>
      <c r="BK22" s="138"/>
      <c r="BL22" s="138"/>
      <c r="BM22" s="138"/>
      <c r="BN22" s="138"/>
      <c r="BO22" s="138"/>
      <c r="BP22" s="138"/>
      <c r="BQ22" s="138"/>
      <c r="BR22" s="138"/>
      <c r="BS22" s="138"/>
      <c r="BT22" s="138"/>
      <c r="BU22" s="138"/>
      <c r="BV22" s="138"/>
      <c r="BW22" s="138"/>
      <c r="BX22" s="138"/>
      <c r="BY22" s="138"/>
      <c r="BZ22" s="138"/>
      <c r="CA22" s="138"/>
      <c r="CB22" s="138"/>
      <c r="CC22" s="197" t="s">
        <v>9856</v>
      </c>
      <c r="CD22" s="138"/>
      <c r="CE22" s="197" t="s">
        <v>10010</v>
      </c>
      <c r="CF22" s="199"/>
      <c r="CG22" s="197" t="s">
        <v>10011</v>
      </c>
      <c r="CH22" s="201" t="e">
        <v>#VALUE!</v>
      </c>
      <c r="CI22" s="201" t="e">
        <v>#VALUE!</v>
      </c>
      <c r="CJ22" s="202"/>
      <c r="CK22" s="200">
        <v>0</v>
      </c>
      <c r="CL22" s="138"/>
      <c r="CM22" s="203" t="e">
        <v>#VALUE!</v>
      </c>
      <c r="CN22" s="204"/>
      <c r="CO22" s="215"/>
      <c r="CP22" s="176"/>
      <c r="CQ22" s="217"/>
      <c r="CR22" s="176"/>
      <c r="CS22" s="206"/>
      <c r="CT22" s="206"/>
    </row>
    <row r="23" spans="1:98" ht="30" customHeight="1">
      <c r="A23" s="218">
        <v>10212</v>
      </c>
      <c r="B23" s="207" t="s">
        <v>10012</v>
      </c>
      <c r="C23" s="180" t="s">
        <v>104</v>
      </c>
      <c r="D23" s="189" t="s">
        <v>10013</v>
      </c>
      <c r="E23" s="180" t="s">
        <v>106</v>
      </c>
      <c r="F23" s="180" t="s">
        <v>1426</v>
      </c>
      <c r="G23" s="180" t="s">
        <v>1427</v>
      </c>
      <c r="H23" s="138" t="s">
        <v>10014</v>
      </c>
      <c r="I23" s="138" t="s">
        <v>10015</v>
      </c>
      <c r="J23" s="138" t="s">
        <v>10016</v>
      </c>
      <c r="K23" s="138">
        <v>79569401</v>
      </c>
      <c r="L23" s="190" t="s">
        <v>10017</v>
      </c>
      <c r="M23" s="138" t="s">
        <v>111</v>
      </c>
      <c r="N23" s="216">
        <v>45240</v>
      </c>
      <c r="O23" s="191"/>
      <c r="P23" s="192" t="s">
        <v>10007</v>
      </c>
      <c r="Q23" s="193" t="e">
        <v>#VALUE!</v>
      </c>
      <c r="R23" s="180" t="s">
        <v>242</v>
      </c>
      <c r="S23" s="138" t="s">
        <v>10018</v>
      </c>
      <c r="T23" s="138" t="s">
        <v>10019</v>
      </c>
      <c r="U23" s="138" t="s">
        <v>10020</v>
      </c>
      <c r="V23" s="138" t="s">
        <v>10021</v>
      </c>
      <c r="W23" s="24" t="s">
        <v>10022</v>
      </c>
      <c r="X23" s="138"/>
      <c r="Y23" s="138"/>
      <c r="Z23" s="138"/>
      <c r="AA23" s="180" t="s">
        <v>116</v>
      </c>
      <c r="AB23" s="193" t="s">
        <v>9854</v>
      </c>
      <c r="AC23" s="193">
        <v>63496290</v>
      </c>
      <c r="AD23" s="180" t="s">
        <v>816</v>
      </c>
      <c r="AE23" s="180" t="s">
        <v>2577</v>
      </c>
      <c r="AF23" s="193" t="s">
        <v>9359</v>
      </c>
      <c r="AG23" s="193">
        <v>79352968</v>
      </c>
      <c r="AH23" s="180" t="s">
        <v>118</v>
      </c>
      <c r="AI23" s="138"/>
      <c r="AJ23" s="194" t="s">
        <v>1435</v>
      </c>
      <c r="AK23" s="194" t="s">
        <v>2071</v>
      </c>
      <c r="AL23" s="194" t="s">
        <v>2071</v>
      </c>
      <c r="AM23" s="194" t="s">
        <v>1435</v>
      </c>
      <c r="AN23" s="195"/>
      <c r="AO23" s="196" t="s">
        <v>848</v>
      </c>
      <c r="AP23" s="180" t="s">
        <v>121</v>
      </c>
      <c r="AQ23" s="180" t="s">
        <v>409</v>
      </c>
      <c r="AR23" s="138"/>
      <c r="AS23" s="138"/>
      <c r="AT23" s="138"/>
      <c r="AU23" s="138"/>
      <c r="AV23" s="138"/>
      <c r="AW23" s="138"/>
      <c r="AX23" s="138"/>
      <c r="AY23" s="138"/>
      <c r="AZ23" s="138"/>
      <c r="BA23" s="138"/>
      <c r="BB23" s="138"/>
      <c r="BC23" s="138"/>
      <c r="BD23" s="138"/>
      <c r="BE23" s="138"/>
      <c r="BF23" s="197">
        <v>0</v>
      </c>
      <c r="BG23" s="138"/>
      <c r="BH23" s="138"/>
      <c r="BI23" s="197" t="e">
        <v>#VALUE!</v>
      </c>
      <c r="BJ23" s="198" t="e">
        <v>#VALUE!</v>
      </c>
      <c r="BK23" s="138"/>
      <c r="BL23" s="138"/>
      <c r="BM23" s="138"/>
      <c r="BN23" s="138"/>
      <c r="BO23" s="138"/>
      <c r="BP23" s="138"/>
      <c r="BQ23" s="138"/>
      <c r="BR23" s="138"/>
      <c r="BS23" s="138"/>
      <c r="BT23" s="138"/>
      <c r="BU23" s="138"/>
      <c r="BV23" s="138"/>
      <c r="BW23" s="138"/>
      <c r="BX23" s="138"/>
      <c r="BY23" s="138"/>
      <c r="BZ23" s="138"/>
      <c r="CA23" s="138"/>
      <c r="CB23" s="138"/>
      <c r="CC23" s="197" t="s">
        <v>9856</v>
      </c>
      <c r="CD23" s="138"/>
      <c r="CE23" s="197" t="s">
        <v>10023</v>
      </c>
      <c r="CF23" s="199"/>
      <c r="CG23" s="197" t="s">
        <v>10011</v>
      </c>
      <c r="CH23" s="201" t="e">
        <v>#VALUE!</v>
      </c>
      <c r="CI23" s="201" t="e">
        <v>#VALUE!</v>
      </c>
      <c r="CJ23" s="202"/>
      <c r="CK23" s="200">
        <v>0</v>
      </c>
      <c r="CL23" s="138"/>
      <c r="CM23" s="203" t="e">
        <v>#VALUE!</v>
      </c>
      <c r="CN23" s="204"/>
      <c r="CO23" s="215"/>
      <c r="CP23" s="176"/>
      <c r="CQ23" s="217"/>
      <c r="CR23" s="176"/>
      <c r="CS23" s="206"/>
      <c r="CT23" s="206"/>
    </row>
    <row r="24" spans="1:98" ht="30" customHeight="1">
      <c r="A24" s="218">
        <v>10141</v>
      </c>
      <c r="B24" s="207" t="s">
        <v>10024</v>
      </c>
      <c r="C24" s="180" t="s">
        <v>104</v>
      </c>
      <c r="D24" s="189" t="s">
        <v>10025</v>
      </c>
      <c r="E24" s="180" t="s">
        <v>106</v>
      </c>
      <c r="F24" s="180" t="s">
        <v>1426</v>
      </c>
      <c r="G24" s="180" t="s">
        <v>1427</v>
      </c>
      <c r="H24" s="138" t="s">
        <v>10026</v>
      </c>
      <c r="I24" s="138" t="s">
        <v>10027</v>
      </c>
      <c r="J24" s="138" t="s">
        <v>9486</v>
      </c>
      <c r="K24" s="138">
        <v>80410786</v>
      </c>
      <c r="L24" s="190" t="s">
        <v>7452</v>
      </c>
      <c r="M24" s="138" t="s">
        <v>111</v>
      </c>
      <c r="N24" s="216">
        <v>45260</v>
      </c>
      <c r="O24" s="191">
        <v>45273</v>
      </c>
      <c r="P24" s="192">
        <v>45638</v>
      </c>
      <c r="Q24" s="193">
        <v>365</v>
      </c>
      <c r="R24" s="180" t="s">
        <v>242</v>
      </c>
      <c r="S24" s="138" t="s">
        <v>10028</v>
      </c>
      <c r="T24" s="138" t="s">
        <v>10019</v>
      </c>
      <c r="U24" s="138" t="s">
        <v>10029</v>
      </c>
      <c r="V24" s="138" t="s">
        <v>5996</v>
      </c>
      <c r="W24" s="24" t="s">
        <v>10030</v>
      </c>
      <c r="X24" s="138"/>
      <c r="Y24" s="138"/>
      <c r="Z24" s="138"/>
      <c r="AA24" s="180" t="s">
        <v>588</v>
      </c>
      <c r="AB24" s="193" t="s">
        <v>9743</v>
      </c>
      <c r="AC24" s="193">
        <v>51743499</v>
      </c>
      <c r="AD24" s="180" t="s">
        <v>816</v>
      </c>
      <c r="AE24" s="180" t="s">
        <v>2577</v>
      </c>
      <c r="AF24" s="193" t="s">
        <v>9359</v>
      </c>
      <c r="AG24" s="193">
        <v>79352968</v>
      </c>
      <c r="AH24" s="180" t="s">
        <v>118</v>
      </c>
      <c r="AI24" s="138"/>
      <c r="AJ24" s="194" t="s">
        <v>1435</v>
      </c>
      <c r="AK24" s="194" t="s">
        <v>2071</v>
      </c>
      <c r="AL24" s="194" t="s">
        <v>2071</v>
      </c>
      <c r="AM24" s="194" t="s">
        <v>1435</v>
      </c>
      <c r="AN24" s="195"/>
      <c r="AO24" s="196" t="s">
        <v>848</v>
      </c>
      <c r="AP24" s="180" t="s">
        <v>121</v>
      </c>
      <c r="AQ24" s="180" t="s">
        <v>9994</v>
      </c>
      <c r="AR24" s="138"/>
      <c r="AS24" s="138"/>
      <c r="AT24" s="138"/>
      <c r="AU24" s="138"/>
      <c r="AV24" s="138"/>
      <c r="AW24" s="138"/>
      <c r="AX24" s="138"/>
      <c r="AY24" s="138"/>
      <c r="AZ24" s="138"/>
      <c r="BA24" s="138"/>
      <c r="BB24" s="138"/>
      <c r="BC24" s="138"/>
      <c r="BD24" s="138"/>
      <c r="BE24" s="138"/>
      <c r="BF24" s="197">
        <v>0</v>
      </c>
      <c r="BG24" s="138"/>
      <c r="BH24" s="138"/>
      <c r="BI24" s="197">
        <v>365</v>
      </c>
      <c r="BJ24" s="198">
        <v>45638</v>
      </c>
      <c r="BK24" s="138"/>
      <c r="BL24" s="138"/>
      <c r="BM24" s="138"/>
      <c r="BN24" s="138"/>
      <c r="BO24" s="138"/>
      <c r="BP24" s="138"/>
      <c r="BQ24" s="138"/>
      <c r="BR24" s="138"/>
      <c r="BS24" s="138"/>
      <c r="BT24" s="138"/>
      <c r="BU24" s="138"/>
      <c r="BV24" s="138"/>
      <c r="BW24" s="138"/>
      <c r="BX24" s="138"/>
      <c r="BY24" s="138"/>
      <c r="BZ24" s="138"/>
      <c r="CA24" s="138"/>
      <c r="CB24" s="138"/>
      <c r="CC24" s="197" t="s">
        <v>9856</v>
      </c>
      <c r="CD24" s="138"/>
      <c r="CE24" s="197" t="s">
        <v>10031</v>
      </c>
      <c r="CF24" s="199"/>
      <c r="CG24" s="197" t="s">
        <v>10032</v>
      </c>
      <c r="CH24" s="201">
        <v>0.6</v>
      </c>
      <c r="CI24" s="201">
        <v>0.6</v>
      </c>
      <c r="CJ24" s="202">
        <v>63</v>
      </c>
      <c r="CK24" s="200">
        <v>0</v>
      </c>
      <c r="CL24" s="138"/>
      <c r="CM24" s="203" t="s">
        <v>4081</v>
      </c>
      <c r="CN24" s="204"/>
      <c r="CO24" s="215"/>
      <c r="CP24" s="176"/>
      <c r="CQ24" s="217"/>
      <c r="CR24" s="176"/>
      <c r="CS24" s="206"/>
      <c r="CT24" s="206"/>
    </row>
    <row r="25" spans="1:98" ht="30" customHeight="1">
      <c r="A25" s="218">
        <v>10151</v>
      </c>
      <c r="B25" s="207" t="s">
        <v>10033</v>
      </c>
      <c r="C25" s="180" t="s">
        <v>104</v>
      </c>
      <c r="D25" s="189" t="s">
        <v>10034</v>
      </c>
      <c r="E25" s="180" t="s">
        <v>106</v>
      </c>
      <c r="F25" s="180" t="s">
        <v>1426</v>
      </c>
      <c r="G25" s="180" t="s">
        <v>1427</v>
      </c>
      <c r="H25" s="138" t="s">
        <v>9554</v>
      </c>
      <c r="I25" s="138" t="s">
        <v>10035</v>
      </c>
      <c r="J25" s="138" t="s">
        <v>10036</v>
      </c>
      <c r="K25" s="138">
        <v>8742265</v>
      </c>
      <c r="L25" s="190" t="s">
        <v>10037</v>
      </c>
      <c r="M25" s="138" t="s">
        <v>111</v>
      </c>
      <c r="N25" s="216">
        <v>45274</v>
      </c>
      <c r="O25" s="191">
        <v>45287</v>
      </c>
      <c r="P25" s="192">
        <v>45656</v>
      </c>
      <c r="Q25" s="193">
        <v>369</v>
      </c>
      <c r="R25" s="180" t="s">
        <v>242</v>
      </c>
      <c r="S25" s="138" t="s">
        <v>10038</v>
      </c>
      <c r="T25" s="138" t="s">
        <v>10019</v>
      </c>
      <c r="U25" s="138" t="s">
        <v>10039</v>
      </c>
      <c r="V25" s="138" t="s">
        <v>5996</v>
      </c>
      <c r="W25" s="24" t="s">
        <v>10040</v>
      </c>
      <c r="X25" s="138"/>
      <c r="Y25" s="138"/>
      <c r="Z25" s="138"/>
      <c r="AA25" s="180" t="s">
        <v>588</v>
      </c>
      <c r="AB25" s="193" t="s">
        <v>9743</v>
      </c>
      <c r="AC25" s="193">
        <v>51743499</v>
      </c>
      <c r="AD25" s="180" t="s">
        <v>816</v>
      </c>
      <c r="AE25" s="180" t="s">
        <v>2450</v>
      </c>
      <c r="AF25" s="193" t="s">
        <v>9870</v>
      </c>
      <c r="AG25" s="193">
        <v>80245871</v>
      </c>
      <c r="AH25" s="180" t="s">
        <v>118</v>
      </c>
      <c r="AI25" s="138"/>
      <c r="AJ25" s="194" t="s">
        <v>1435</v>
      </c>
      <c r="AK25" s="194" t="s">
        <v>2071</v>
      </c>
      <c r="AL25" s="194" t="s">
        <v>2071</v>
      </c>
      <c r="AM25" s="194" t="s">
        <v>1435</v>
      </c>
      <c r="AN25" s="195"/>
      <c r="AO25" s="196" t="s">
        <v>848</v>
      </c>
      <c r="AP25" s="180" t="s">
        <v>121</v>
      </c>
      <c r="AQ25" s="180" t="s">
        <v>409</v>
      </c>
      <c r="AR25" s="138"/>
      <c r="AS25" s="138"/>
      <c r="AT25" s="138"/>
      <c r="AU25" s="138"/>
      <c r="AV25" s="138"/>
      <c r="AW25" s="138"/>
      <c r="AX25" s="138"/>
      <c r="AY25" s="138"/>
      <c r="AZ25" s="138"/>
      <c r="BA25" s="138"/>
      <c r="BB25" s="138"/>
      <c r="BC25" s="138"/>
      <c r="BD25" s="138"/>
      <c r="BE25" s="138"/>
      <c r="BF25" s="197">
        <v>0</v>
      </c>
      <c r="BG25" s="138"/>
      <c r="BH25" s="138"/>
      <c r="BI25" s="197">
        <v>369</v>
      </c>
      <c r="BJ25" s="198">
        <v>45656</v>
      </c>
      <c r="BK25" s="138"/>
      <c r="BL25" s="138"/>
      <c r="BM25" s="138"/>
      <c r="BN25" s="138"/>
      <c r="BO25" s="138"/>
      <c r="BP25" s="138"/>
      <c r="BQ25" s="138"/>
      <c r="BR25" s="138"/>
      <c r="BS25" s="138"/>
      <c r="BT25" s="138"/>
      <c r="BU25" s="138"/>
      <c r="BV25" s="138"/>
      <c r="BW25" s="138"/>
      <c r="BX25" s="138"/>
      <c r="BY25" s="138"/>
      <c r="BZ25" s="138"/>
      <c r="CA25" s="138"/>
      <c r="CB25" s="138"/>
      <c r="CC25" s="197" t="s">
        <v>9856</v>
      </c>
      <c r="CD25" s="138"/>
      <c r="CE25" s="197" t="s">
        <v>10041</v>
      </c>
      <c r="CF25" s="199">
        <v>46621944</v>
      </c>
      <c r="CG25" s="197" t="s">
        <v>10042</v>
      </c>
      <c r="CH25" s="201">
        <v>0.55000000000000004</v>
      </c>
      <c r="CI25" s="201">
        <v>0.55000000000000004</v>
      </c>
      <c r="CJ25" s="202">
        <v>59</v>
      </c>
      <c r="CK25" s="200">
        <v>100</v>
      </c>
      <c r="CL25" s="138"/>
      <c r="CM25" s="203" t="s">
        <v>4081</v>
      </c>
      <c r="CN25" s="204"/>
      <c r="CO25" s="215"/>
      <c r="CP25" s="176"/>
      <c r="CQ25" s="217"/>
      <c r="CR25" s="176"/>
      <c r="CS25" s="206"/>
      <c r="CT25" s="206"/>
    </row>
    <row r="26" spans="1:98" ht="30" customHeight="1">
      <c r="A26" s="218">
        <v>10164</v>
      </c>
      <c r="B26" s="207" t="s">
        <v>10043</v>
      </c>
      <c r="C26" s="180" t="s">
        <v>1423</v>
      </c>
      <c r="D26" s="189" t="s">
        <v>10044</v>
      </c>
      <c r="E26" s="180" t="s">
        <v>1425</v>
      </c>
      <c r="F26" s="180" t="s">
        <v>1426</v>
      </c>
      <c r="G26" s="180" t="s">
        <v>1427</v>
      </c>
      <c r="H26" s="138" t="s">
        <v>10045</v>
      </c>
      <c r="I26" s="138" t="s">
        <v>10046</v>
      </c>
      <c r="J26" s="138" t="s">
        <v>10047</v>
      </c>
      <c r="K26" s="138"/>
      <c r="L26" s="190" t="s">
        <v>10048</v>
      </c>
      <c r="M26" s="138" t="s">
        <v>111</v>
      </c>
      <c r="N26" s="216">
        <v>45286</v>
      </c>
      <c r="O26" s="191">
        <v>45287</v>
      </c>
      <c r="P26" s="192">
        <v>45652</v>
      </c>
      <c r="Q26" s="193">
        <v>365</v>
      </c>
      <c r="R26" s="180" t="s">
        <v>242</v>
      </c>
      <c r="S26" s="138" t="s">
        <v>10049</v>
      </c>
      <c r="T26" s="138" t="s">
        <v>10019</v>
      </c>
      <c r="U26" s="138" t="s">
        <v>10050</v>
      </c>
      <c r="V26" s="138" t="s">
        <v>2812</v>
      </c>
      <c r="W26" s="24" t="s">
        <v>10051</v>
      </c>
      <c r="X26" s="138"/>
      <c r="Y26" s="138"/>
      <c r="Z26" s="138"/>
      <c r="AA26" s="180" t="s">
        <v>588</v>
      </c>
      <c r="AB26" s="193" t="s">
        <v>9743</v>
      </c>
      <c r="AC26" s="193">
        <v>51743499</v>
      </c>
      <c r="AD26" s="180" t="s">
        <v>816</v>
      </c>
      <c r="AE26" s="180" t="s">
        <v>2577</v>
      </c>
      <c r="AF26" s="193" t="s">
        <v>9359</v>
      </c>
      <c r="AG26" s="193">
        <v>79352968</v>
      </c>
      <c r="AH26" s="180" t="s">
        <v>9959</v>
      </c>
      <c r="AI26" s="138"/>
      <c r="AJ26" s="194" t="s">
        <v>1435</v>
      </c>
      <c r="AK26" s="194" t="s">
        <v>2071</v>
      </c>
      <c r="AL26" s="194" t="s">
        <v>2071</v>
      </c>
      <c r="AM26" s="194" t="s">
        <v>1435</v>
      </c>
      <c r="AN26" s="195"/>
      <c r="AO26" s="196" t="s">
        <v>848</v>
      </c>
      <c r="AP26" s="180" t="s">
        <v>121</v>
      </c>
      <c r="AQ26" s="180" t="s">
        <v>486</v>
      </c>
      <c r="AR26" s="138"/>
      <c r="AS26" s="138"/>
      <c r="AT26" s="138"/>
      <c r="AU26" s="138"/>
      <c r="AV26" s="138"/>
      <c r="AW26" s="138"/>
      <c r="AX26" s="138"/>
      <c r="AY26" s="138"/>
      <c r="AZ26" s="138"/>
      <c r="BA26" s="138"/>
      <c r="BB26" s="138"/>
      <c r="BC26" s="138"/>
      <c r="BD26" s="138"/>
      <c r="BE26" s="138"/>
      <c r="BF26" s="197">
        <v>0</v>
      </c>
      <c r="BG26" s="138"/>
      <c r="BH26" s="138"/>
      <c r="BI26" s="197">
        <v>365</v>
      </c>
      <c r="BJ26" s="198">
        <v>45652</v>
      </c>
      <c r="BK26" s="138"/>
      <c r="BL26" s="138"/>
      <c r="BM26" s="138"/>
      <c r="BN26" s="138"/>
      <c r="BO26" s="138"/>
      <c r="BP26" s="138"/>
      <c r="BQ26" s="138"/>
      <c r="BR26" s="138"/>
      <c r="BS26" s="138"/>
      <c r="BT26" s="138"/>
      <c r="BU26" s="138"/>
      <c r="BV26" s="138"/>
      <c r="BW26" s="138"/>
      <c r="BX26" s="138"/>
      <c r="BY26" s="138"/>
      <c r="BZ26" s="138"/>
      <c r="CA26" s="138"/>
      <c r="CB26" s="138"/>
      <c r="CC26" s="197" t="s">
        <v>9856</v>
      </c>
      <c r="CD26" s="138"/>
      <c r="CE26" s="197" t="s">
        <v>10052</v>
      </c>
      <c r="CF26" s="199">
        <v>9996000</v>
      </c>
      <c r="CG26" s="197" t="s">
        <v>10053</v>
      </c>
      <c r="CH26" s="201">
        <v>0.56000000000000005</v>
      </c>
      <c r="CI26" s="201">
        <v>0.56000000000000005</v>
      </c>
      <c r="CJ26" s="202">
        <v>56</v>
      </c>
      <c r="CK26" s="200">
        <v>100</v>
      </c>
      <c r="CL26" s="138"/>
      <c r="CM26" s="203" t="s">
        <v>4081</v>
      </c>
      <c r="CN26" s="204"/>
      <c r="CO26" s="215"/>
      <c r="CP26" s="176"/>
      <c r="CQ26" s="217"/>
      <c r="CR26" s="176"/>
      <c r="CS26" s="206"/>
      <c r="CT26" s="206"/>
    </row>
    <row r="27" spans="1:98" ht="30" customHeight="1">
      <c r="A27" s="48" t="s">
        <v>2805</v>
      </c>
      <c r="B27" s="77" t="s">
        <v>2806</v>
      </c>
      <c r="C27" s="17" t="s">
        <v>1423</v>
      </c>
      <c r="D27" s="18" t="s">
        <v>1424</v>
      </c>
      <c r="E27" s="17" t="s">
        <v>1425</v>
      </c>
      <c r="F27" s="17" t="s">
        <v>1426</v>
      </c>
      <c r="G27" s="17" t="s">
        <v>1427</v>
      </c>
      <c r="H27" s="78" t="s">
        <v>2807</v>
      </c>
      <c r="I27" s="74" t="s">
        <v>2808</v>
      </c>
      <c r="J27" s="16"/>
      <c r="K27" s="16"/>
      <c r="L27" s="20" t="s">
        <v>2809</v>
      </c>
      <c r="M27" s="16" t="s">
        <v>111</v>
      </c>
      <c r="N27" s="22">
        <v>45316</v>
      </c>
      <c r="O27" s="22">
        <v>45316</v>
      </c>
      <c r="P27" s="115">
        <v>45675</v>
      </c>
      <c r="Q27" s="23">
        <f t="shared" ref="Q27:Q34" si="0">P27-O27</f>
        <v>359</v>
      </c>
      <c r="R27" s="17" t="s">
        <v>242</v>
      </c>
      <c r="S27" s="110" t="s">
        <v>2810</v>
      </c>
      <c r="T27" s="16" t="s">
        <v>2811</v>
      </c>
      <c r="U27" s="67">
        <v>949729040</v>
      </c>
      <c r="V27" s="16" t="s">
        <v>2812</v>
      </c>
      <c r="W27" s="67">
        <v>949729040</v>
      </c>
      <c r="X27" s="24"/>
      <c r="Y27" s="24"/>
      <c r="Z27" s="24"/>
      <c r="AA27" s="17" t="s">
        <v>116</v>
      </c>
      <c r="AB27" s="23" t="str">
        <f>IFERROR(VLOOKUP(AA27,Listas!$A$1:$C$14,2,FALSE),"")</f>
        <v>FREDY CÉSPEDES VILLA</v>
      </c>
      <c r="AC27" s="23"/>
      <c r="AD27" s="17" t="s">
        <v>816</v>
      </c>
      <c r="AE27" s="17" t="s">
        <v>2577</v>
      </c>
      <c r="AF27" s="23" t="str">
        <f>IFERROR(VLOOKUP(AE27,Listas!$AD$1:$AF$66,2,FALSE),"")</f>
        <v>VICTOR RAUL BAUTISTA GALINDO</v>
      </c>
      <c r="AG27" s="23">
        <f>IFERROR(VLOOKUP(AE27,Listas!$AD$1:$AF$65,3,FALSE),"")</f>
        <v>79352968</v>
      </c>
      <c r="AH27" s="17" t="s">
        <v>1434</v>
      </c>
      <c r="AI27" s="65"/>
      <c r="AJ27" s="25" t="s">
        <v>1435</v>
      </c>
      <c r="AK27" s="26" t="s">
        <v>2071</v>
      </c>
      <c r="AL27" s="26" t="s">
        <v>2071</v>
      </c>
      <c r="AM27" s="26" t="s">
        <v>1435</v>
      </c>
      <c r="AN27" s="105"/>
      <c r="AO27" s="289" t="str">
        <f t="shared" ref="AO27:AO34" ca="1" si="1">IF(YEAR(TODAY())-YEAR(AN27)&gt;100," ",YEAR(TODAY())-YEAR(AN27))</f>
        <v xml:space="preserve"> </v>
      </c>
      <c r="AP27" s="26" t="s">
        <v>121</v>
      </c>
      <c r="AQ27" s="26" t="s">
        <v>220</v>
      </c>
      <c r="AR27" s="89"/>
      <c r="AS27" s="27"/>
      <c r="AT27" s="16"/>
      <c r="AU27" s="27"/>
      <c r="AV27" s="86"/>
      <c r="AW27" s="27"/>
      <c r="AX27" s="27"/>
      <c r="AY27" s="27"/>
      <c r="AZ27" s="27"/>
      <c r="BA27" s="27"/>
      <c r="BB27" s="27"/>
      <c r="BC27" s="97"/>
      <c r="BD27" s="27"/>
      <c r="BE27" s="16"/>
      <c r="BF27" s="28"/>
      <c r="BG27" s="29"/>
      <c r="BH27" s="27"/>
      <c r="BI27" s="30"/>
      <c r="BJ27" s="31"/>
      <c r="BK27" s="27"/>
      <c r="BL27" s="16"/>
      <c r="BM27" s="27"/>
      <c r="BN27" s="16"/>
      <c r="BO27" s="27"/>
      <c r="BP27" s="16"/>
      <c r="BQ27" s="27"/>
      <c r="BR27" s="24"/>
      <c r="BS27" s="24"/>
      <c r="BT27" s="32"/>
      <c r="BU27" s="27"/>
      <c r="BV27" s="24"/>
      <c r="BW27" s="24"/>
      <c r="BX27" s="16"/>
      <c r="BY27" s="27"/>
      <c r="BZ27" s="24"/>
      <c r="CA27" s="24"/>
      <c r="CB27" s="16"/>
      <c r="CC27" s="49"/>
      <c r="CD27" s="24"/>
      <c r="CE27" s="49"/>
      <c r="CF27" s="50"/>
      <c r="CG27" s="49"/>
      <c r="CH27" s="33"/>
      <c r="CI27" s="33"/>
      <c r="CJ27" s="36"/>
      <c r="CK27" s="34"/>
      <c r="CL27" s="21"/>
      <c r="CM27" s="35"/>
      <c r="CN27" s="82"/>
      <c r="CO27" s="302"/>
      <c r="CP27" s="306"/>
      <c r="CQ27" s="309"/>
      <c r="CR27" s="83"/>
      <c r="CS27" s="206"/>
      <c r="CT27" s="206"/>
    </row>
    <row r="28" spans="1:98" ht="30" customHeight="1">
      <c r="A28" s="109" t="s">
        <v>4528</v>
      </c>
      <c r="B28" s="77" t="s">
        <v>4529</v>
      </c>
      <c r="C28" s="17" t="s">
        <v>104</v>
      </c>
      <c r="D28" s="18" t="s">
        <v>4530</v>
      </c>
      <c r="E28" s="17" t="s">
        <v>106</v>
      </c>
      <c r="F28" s="17" t="s">
        <v>1426</v>
      </c>
      <c r="G28" s="17" t="s">
        <v>1427</v>
      </c>
      <c r="H28" s="78" t="s">
        <v>4531</v>
      </c>
      <c r="I28" s="74" t="s">
        <v>4532</v>
      </c>
      <c r="J28" s="16" t="s">
        <v>4533</v>
      </c>
      <c r="K28" s="16">
        <v>52056284</v>
      </c>
      <c r="L28" s="20" t="s">
        <v>4534</v>
      </c>
      <c r="M28" s="16" t="s">
        <v>111</v>
      </c>
      <c r="N28" s="115">
        <v>45335</v>
      </c>
      <c r="O28" s="22">
        <v>45362</v>
      </c>
      <c r="P28" s="115">
        <v>45726</v>
      </c>
      <c r="Q28" s="23">
        <f t="shared" si="0"/>
        <v>364</v>
      </c>
      <c r="R28" s="17" t="s">
        <v>242</v>
      </c>
      <c r="S28" s="110" t="s">
        <v>4535</v>
      </c>
      <c r="T28" s="16" t="s">
        <v>4536</v>
      </c>
      <c r="U28" s="67">
        <v>238523600</v>
      </c>
      <c r="V28" s="16" t="s">
        <v>2812</v>
      </c>
      <c r="W28" s="67">
        <v>238523600</v>
      </c>
      <c r="X28" s="24"/>
      <c r="Y28" s="24"/>
      <c r="Z28" s="24"/>
      <c r="AA28" s="17" t="s">
        <v>116</v>
      </c>
      <c r="AB28" s="23" t="str">
        <f>IFERROR(VLOOKUP(AA28,Listas!$A$1:$C$14,2,FALSE),"")</f>
        <v>FREDY CÉSPEDES VILLA</v>
      </c>
      <c r="AC28" s="23">
        <f>IFERROR(VLOOKUP(AA28,Listas!$A$1:$C$14,3,FALSE),"")</f>
        <v>93363483</v>
      </c>
      <c r="AD28" s="17" t="s">
        <v>816</v>
      </c>
      <c r="AE28" s="17" t="s">
        <v>2577</v>
      </c>
      <c r="AF28" s="23" t="str">
        <f>IFERROR(VLOOKUP(AE28,Listas!$AD$1:$AF$65,2,FALSE),"")</f>
        <v>VICTOR RAUL BAUTISTA GALINDO</v>
      </c>
      <c r="AG28" s="23">
        <f>IFERROR(VLOOKUP(AE28,Listas!$AD$1:$AF$65,3,FALSE),"")</f>
        <v>79352968</v>
      </c>
      <c r="AH28" s="17" t="s">
        <v>118</v>
      </c>
      <c r="AI28" s="65"/>
      <c r="AJ28" s="25" t="s">
        <v>1435</v>
      </c>
      <c r="AK28" s="26" t="s">
        <v>2071</v>
      </c>
      <c r="AL28" s="26" t="s">
        <v>2071</v>
      </c>
      <c r="AM28" s="26" t="s">
        <v>1435</v>
      </c>
      <c r="AN28" s="105" t="s">
        <v>1424</v>
      </c>
      <c r="AO28" s="289" t="e">
        <f t="shared" ca="1" si="1"/>
        <v>#VALUE!</v>
      </c>
      <c r="AP28" s="26" t="s">
        <v>121</v>
      </c>
      <c r="AQ28" s="26" t="s">
        <v>327</v>
      </c>
      <c r="AR28" s="89"/>
      <c r="AS28" s="27"/>
      <c r="AT28" s="16"/>
      <c r="AU28" s="27"/>
      <c r="AV28" s="86"/>
      <c r="AW28" s="27"/>
      <c r="AX28" s="27"/>
      <c r="AY28" s="27"/>
      <c r="AZ28" s="27"/>
      <c r="BA28" s="27"/>
      <c r="BB28" s="27"/>
      <c r="BC28" s="97"/>
      <c r="BD28" s="27"/>
      <c r="BE28" s="16"/>
      <c r="BF28" s="28">
        <f t="shared" ref="BF28:BF34" si="2">BC28+BE28</f>
        <v>0</v>
      </c>
      <c r="BG28" s="29"/>
      <c r="BH28" s="27"/>
      <c r="BI28" s="30">
        <f t="shared" ref="BI28:BI34" si="3">BF28+Q28</f>
        <v>364</v>
      </c>
      <c r="BJ28" s="31">
        <f t="shared" ref="BJ28:BJ34" si="4">IF(BH28="",P28+BF28,BH28)</f>
        <v>45726</v>
      </c>
      <c r="BK28" s="27"/>
      <c r="BL28" s="16"/>
      <c r="BM28" s="27"/>
      <c r="BN28" s="16"/>
      <c r="BO28" s="27"/>
      <c r="BP28" s="16"/>
      <c r="BQ28" s="27"/>
      <c r="BR28" s="24"/>
      <c r="BS28" s="24"/>
      <c r="BT28" s="32"/>
      <c r="BU28" s="27"/>
      <c r="BV28" s="24"/>
      <c r="BW28" s="24"/>
      <c r="BX28" s="16"/>
      <c r="BY28" s="27"/>
      <c r="BZ28" s="24"/>
      <c r="CA28" s="24"/>
      <c r="CB28" s="16"/>
      <c r="CC28" s="49">
        <f t="shared" ref="CC28:CC34" si="5">BR28+BV28+BZ28</f>
        <v>0</v>
      </c>
      <c r="CD28" s="24"/>
      <c r="CE28" s="49">
        <f t="shared" ref="CE28:CE34" si="6">IF(Y28=0,(W28+CC28)-CD28,IF(Y28&gt;0,(Y28+CC28)-CD28))</f>
        <v>238523600</v>
      </c>
      <c r="CF28" s="50"/>
      <c r="CG28" s="49">
        <f t="shared" ref="CG28:CG34" ca="1" si="7">IFERROR(IF(((CE28/BI28)*(TODAY()-N28))&gt;CE28,CE28,((CE28/BI28)*(TODAY()-N28))),"")</f>
        <v>238523600</v>
      </c>
      <c r="CH28" s="33">
        <f t="shared" ref="CH28:CH34" ca="1" si="8">IF(TODAY()&gt;BJ28,1,+(DAYS360(O28,TODAY())/DAYS360(O28,BJ28)))</f>
        <v>1</v>
      </c>
      <c r="CI28" s="33">
        <f t="shared" ref="CI28:CI34" ca="1" si="9">+IF(CL28&gt;0,DAYS360(O28,CL28)/DAYS360(O28,BJ28),CH28)</f>
        <v>1</v>
      </c>
      <c r="CJ28" s="36">
        <f t="shared" ref="CJ28:CJ34" ca="1" si="10">IFERROR(IF(((CG28/CE28)*100)&gt;100,100,((CG28/CE28)*100)),"")</f>
        <v>100</v>
      </c>
      <c r="CK28" s="34">
        <f t="shared" ref="CK28:CK34" si="11">IFERROR((CF28/CE28)*100,"")</f>
        <v>0</v>
      </c>
      <c r="CL28" s="21"/>
      <c r="CM28" s="35" t="str">
        <f t="shared" ref="CM28:CM34" ca="1" si="12">IF(CL28&gt;1/1/6,"LIQUIDADO",IF(BJ28=$BE$20001,"",IF(BJ28&gt;=TODAY(),"VIGENTE",IF(BJ28&lt;TODAY(),"TERMINADO",))))</f>
        <v>TERMINADO</v>
      </c>
      <c r="CN28" s="82"/>
      <c r="CO28" s="302" t="s">
        <v>4537</v>
      </c>
      <c r="CP28" s="306"/>
      <c r="CQ28" s="309"/>
      <c r="CR28" s="83"/>
      <c r="CS28" s="206"/>
      <c r="CT28" s="206"/>
    </row>
    <row r="29" spans="1:98" ht="30" customHeight="1">
      <c r="A29" s="109" t="s">
        <v>5322</v>
      </c>
      <c r="B29" s="77" t="s">
        <v>5323</v>
      </c>
      <c r="C29" s="17" t="s">
        <v>104</v>
      </c>
      <c r="D29" s="18" t="s">
        <v>5324</v>
      </c>
      <c r="E29" s="17" t="s">
        <v>106</v>
      </c>
      <c r="F29" s="17" t="s">
        <v>1426</v>
      </c>
      <c r="G29" s="17" t="s">
        <v>1427</v>
      </c>
      <c r="H29" s="78" t="s">
        <v>5325</v>
      </c>
      <c r="I29" s="74" t="s">
        <v>5326</v>
      </c>
      <c r="J29" s="16" t="s">
        <v>5327</v>
      </c>
      <c r="K29" s="16">
        <v>88159098</v>
      </c>
      <c r="L29" s="20" t="s">
        <v>5328</v>
      </c>
      <c r="M29" s="16" t="s">
        <v>111</v>
      </c>
      <c r="N29" s="115">
        <v>45350</v>
      </c>
      <c r="O29" s="22">
        <v>45352</v>
      </c>
      <c r="P29" s="115">
        <v>46446</v>
      </c>
      <c r="Q29" s="23">
        <f t="shared" si="0"/>
        <v>1094</v>
      </c>
      <c r="R29" s="17" t="s">
        <v>112</v>
      </c>
      <c r="S29" s="110" t="s">
        <v>5329</v>
      </c>
      <c r="T29" s="16" t="s">
        <v>5330</v>
      </c>
      <c r="U29" s="67">
        <v>42696918820</v>
      </c>
      <c r="V29" s="16" t="s">
        <v>5331</v>
      </c>
      <c r="W29" s="67">
        <v>41891078820</v>
      </c>
      <c r="X29" s="24"/>
      <c r="Y29" s="24"/>
      <c r="Z29" s="24"/>
      <c r="AA29" s="17" t="s">
        <v>116</v>
      </c>
      <c r="AB29" s="23" t="str">
        <f>IFERROR(VLOOKUP(AA29,Listas!$A$1:$C$14,2,FALSE),"")</f>
        <v>FREDY CÉSPEDES VILLA</v>
      </c>
      <c r="AC29" s="23">
        <f>IFERROR(VLOOKUP(AA29,Listas!$A$1:$C$14,3,FALSE),"")</f>
        <v>93363483</v>
      </c>
      <c r="AD29" s="17" t="s">
        <v>816</v>
      </c>
      <c r="AE29" s="17" t="s">
        <v>1450</v>
      </c>
      <c r="AF29" s="23" t="str">
        <f>IFERROR(VLOOKUP(AE29,Listas!$AD$1:$AF$65,2,FALSE),"")</f>
        <v>LINA MARIA CRUZ SILVA</v>
      </c>
      <c r="AG29" s="23">
        <f>IFERROR(VLOOKUP(AE29,Listas!$AD$1:$AF$65,3,FALSE),"")</f>
        <v>52423537</v>
      </c>
      <c r="AH29" s="17" t="s">
        <v>118</v>
      </c>
      <c r="AI29" s="65"/>
      <c r="AJ29" s="25" t="s">
        <v>1435</v>
      </c>
      <c r="AK29" s="26" t="s">
        <v>2071</v>
      </c>
      <c r="AL29" s="26" t="s">
        <v>2071</v>
      </c>
      <c r="AM29" s="26" t="s">
        <v>1435</v>
      </c>
      <c r="AN29" s="105"/>
      <c r="AO29" s="289" t="str">
        <f t="shared" ca="1" si="1"/>
        <v xml:space="preserve"> </v>
      </c>
      <c r="AP29" s="26" t="s">
        <v>121</v>
      </c>
      <c r="AQ29" s="26" t="s">
        <v>1272</v>
      </c>
      <c r="AR29" s="89"/>
      <c r="AS29" s="27"/>
      <c r="AT29" s="16"/>
      <c r="AU29" s="27"/>
      <c r="AV29" s="86"/>
      <c r="AW29" s="27"/>
      <c r="AX29" s="27"/>
      <c r="AY29" s="27"/>
      <c r="AZ29" s="27"/>
      <c r="BA29" s="27"/>
      <c r="BB29" s="27"/>
      <c r="BC29" s="97"/>
      <c r="BD29" s="27"/>
      <c r="BE29" s="16"/>
      <c r="BF29" s="28">
        <f t="shared" si="2"/>
        <v>0</v>
      </c>
      <c r="BG29" s="29"/>
      <c r="BH29" s="27"/>
      <c r="BI29" s="30">
        <f t="shared" si="3"/>
        <v>1094</v>
      </c>
      <c r="BJ29" s="31">
        <f t="shared" si="4"/>
        <v>46446</v>
      </c>
      <c r="BK29" s="27"/>
      <c r="BL29" s="16"/>
      <c r="BM29" s="27"/>
      <c r="BN29" s="16"/>
      <c r="BO29" s="27"/>
      <c r="BP29" s="16"/>
      <c r="BQ29" s="27"/>
      <c r="BR29" s="24"/>
      <c r="BS29" s="24"/>
      <c r="BT29" s="32"/>
      <c r="BU29" s="27"/>
      <c r="BV29" s="24"/>
      <c r="BW29" s="24"/>
      <c r="BX29" s="16"/>
      <c r="BY29" s="27"/>
      <c r="BZ29" s="24"/>
      <c r="CA29" s="24"/>
      <c r="CB29" s="16"/>
      <c r="CC29" s="49">
        <f t="shared" si="5"/>
        <v>0</v>
      </c>
      <c r="CD29" s="24"/>
      <c r="CE29" s="49">
        <f t="shared" si="6"/>
        <v>41891078820</v>
      </c>
      <c r="CF29" s="50"/>
      <c r="CG29" s="49">
        <f t="shared" ca="1" si="7"/>
        <v>22974997524.680073</v>
      </c>
      <c r="CH29" s="33">
        <f t="shared" ca="1" si="8"/>
        <v>0.5468895078922934</v>
      </c>
      <c r="CI29" s="33">
        <f t="shared" ca="1" si="9"/>
        <v>0.5468895078922934</v>
      </c>
      <c r="CJ29" s="36">
        <f t="shared" ca="1" si="10"/>
        <v>54.844606946983546</v>
      </c>
      <c r="CK29" s="34">
        <f t="shared" si="11"/>
        <v>0</v>
      </c>
      <c r="CL29" s="21"/>
      <c r="CM29" s="35" t="str">
        <f t="shared" ca="1" si="12"/>
        <v>VIGENTE</v>
      </c>
      <c r="CN29" s="82"/>
      <c r="CO29" s="302" t="s">
        <v>5332</v>
      </c>
      <c r="CP29" s="306"/>
      <c r="CQ29" s="309"/>
      <c r="CR29" s="83"/>
      <c r="CS29" s="206"/>
      <c r="CT29" s="206"/>
    </row>
    <row r="30" spans="1:98" ht="30" customHeight="1">
      <c r="A30" s="48" t="s">
        <v>7372</v>
      </c>
      <c r="B30" s="77" t="s">
        <v>5629</v>
      </c>
      <c r="C30" s="17" t="s">
        <v>104</v>
      </c>
      <c r="D30" s="18" t="s">
        <v>10054</v>
      </c>
      <c r="E30" s="17" t="s">
        <v>106</v>
      </c>
      <c r="F30" s="17" t="s">
        <v>1426</v>
      </c>
      <c r="G30" s="17" t="s">
        <v>1427</v>
      </c>
      <c r="H30" s="78">
        <v>8300422441</v>
      </c>
      <c r="I30" s="74" t="s">
        <v>10055</v>
      </c>
      <c r="J30" s="16" t="s">
        <v>5630</v>
      </c>
      <c r="K30" s="16">
        <v>51704713</v>
      </c>
      <c r="L30" s="20" t="s">
        <v>5631</v>
      </c>
      <c r="M30" s="16" t="s">
        <v>111</v>
      </c>
      <c r="N30" s="22">
        <v>45364</v>
      </c>
      <c r="O30" s="181"/>
      <c r="P30" s="22">
        <v>45657</v>
      </c>
      <c r="Q30" s="23">
        <f t="shared" si="0"/>
        <v>45657</v>
      </c>
      <c r="R30" s="17" t="s">
        <v>242</v>
      </c>
      <c r="S30" s="117" t="s">
        <v>10056</v>
      </c>
      <c r="T30" s="116" t="s">
        <v>7379</v>
      </c>
      <c r="U30" s="67">
        <v>90860450</v>
      </c>
      <c r="V30" s="16" t="s">
        <v>3076</v>
      </c>
      <c r="W30" s="67">
        <v>90860450</v>
      </c>
      <c r="X30" s="24"/>
      <c r="Y30" s="24"/>
      <c r="Z30" s="24"/>
      <c r="AA30" s="17" t="s">
        <v>116</v>
      </c>
      <c r="AB30" s="23" t="str">
        <f>IFERROR(VLOOKUP(AA30,Listas!$A$1:$C$14,2,FALSE),"")</f>
        <v>FREDY CÉSPEDES VILLA</v>
      </c>
      <c r="AC30" s="23">
        <f>IFERROR(VLOOKUP(AA30,Listas!$A$1:$C$14,3,FALSE),"")</f>
        <v>93363483</v>
      </c>
      <c r="AD30" s="17" t="s">
        <v>816</v>
      </c>
      <c r="AE30" s="17" t="s">
        <v>2835</v>
      </c>
      <c r="AF30" s="23" t="str">
        <f>IFERROR(VLOOKUP(AE30,Listas!$AD$1:$AF$65,2,FALSE),"")</f>
        <v>GUILLERMO ANDRES CARDONA HERRERA</v>
      </c>
      <c r="AG30" s="23">
        <f>IFERROR(VLOOKUP(AE30,Listas!$AD$1:$AF$65,3,FALSE),"")</f>
        <v>80018909</v>
      </c>
      <c r="AH30" s="17" t="s">
        <v>118</v>
      </c>
      <c r="AI30" s="65" t="s">
        <v>10057</v>
      </c>
      <c r="AJ30" s="25" t="s">
        <v>119</v>
      </c>
      <c r="AK30" s="26" t="s">
        <v>120</v>
      </c>
      <c r="AL30" s="26" t="s">
        <v>120</v>
      </c>
      <c r="AM30" s="90" t="s">
        <v>119</v>
      </c>
      <c r="AN30" s="105"/>
      <c r="AO30" s="91" t="str">
        <f t="shared" ca="1" si="1"/>
        <v xml:space="preserve"> </v>
      </c>
      <c r="AP30" s="26" t="s">
        <v>121</v>
      </c>
      <c r="AQ30" s="26" t="s">
        <v>220</v>
      </c>
      <c r="AR30" s="89"/>
      <c r="AS30" s="27"/>
      <c r="AT30" s="16"/>
      <c r="AU30" s="27"/>
      <c r="AV30" s="86"/>
      <c r="AW30" s="27"/>
      <c r="AX30" s="27"/>
      <c r="AY30" s="27"/>
      <c r="AZ30" s="27"/>
      <c r="BA30" s="27"/>
      <c r="BB30" s="27"/>
      <c r="BC30" s="97"/>
      <c r="BD30" s="27"/>
      <c r="BE30" s="16"/>
      <c r="BF30" s="28">
        <f t="shared" si="2"/>
        <v>0</v>
      </c>
      <c r="BG30" s="29"/>
      <c r="BH30" s="27"/>
      <c r="BI30" s="30">
        <f t="shared" si="3"/>
        <v>45657</v>
      </c>
      <c r="BJ30" s="31">
        <f t="shared" si="4"/>
        <v>45657</v>
      </c>
      <c r="BK30" s="27"/>
      <c r="BL30" s="16"/>
      <c r="BM30" s="27"/>
      <c r="BN30" s="16"/>
      <c r="BO30" s="27"/>
      <c r="BP30" s="16"/>
      <c r="BQ30" s="27"/>
      <c r="BR30" s="24"/>
      <c r="BS30" s="24"/>
      <c r="BT30" s="32"/>
      <c r="BU30" s="27"/>
      <c r="BV30" s="24"/>
      <c r="BW30" s="24"/>
      <c r="BX30" s="16"/>
      <c r="BY30" s="27"/>
      <c r="BZ30" s="24"/>
      <c r="CA30" s="24"/>
      <c r="CB30" s="16"/>
      <c r="CC30" s="49">
        <f t="shared" si="5"/>
        <v>0</v>
      </c>
      <c r="CD30" s="24"/>
      <c r="CE30" s="49">
        <f t="shared" si="6"/>
        <v>90860450</v>
      </c>
      <c r="CF30" s="50"/>
      <c r="CG30" s="49">
        <f t="shared" ca="1" si="7"/>
        <v>1166178.7611976259</v>
      </c>
      <c r="CH30" s="33">
        <f t="shared" ca="1" si="8"/>
        <v>1</v>
      </c>
      <c r="CI30" s="33">
        <f t="shared" ca="1" si="9"/>
        <v>1</v>
      </c>
      <c r="CJ30" s="36">
        <f t="shared" ca="1" si="10"/>
        <v>1.2834833650918809</v>
      </c>
      <c r="CK30" s="34">
        <f t="shared" si="11"/>
        <v>0</v>
      </c>
      <c r="CL30" s="21"/>
      <c r="CM30" s="35" t="str">
        <f t="shared" ca="1" si="12"/>
        <v>TERMINADO</v>
      </c>
      <c r="CN30" s="82"/>
      <c r="CO30" s="145" t="s">
        <v>5632</v>
      </c>
      <c r="CP30" s="26"/>
      <c r="CQ30" s="83"/>
      <c r="CR30" s="83"/>
      <c r="CS30" s="151"/>
      <c r="CT30" s="151"/>
    </row>
    <row r="31" spans="1:98" ht="30" customHeight="1">
      <c r="A31" s="48" t="s">
        <v>5793</v>
      </c>
      <c r="B31" s="77" t="s">
        <v>5794</v>
      </c>
      <c r="C31" s="17" t="s">
        <v>104</v>
      </c>
      <c r="D31" s="18" t="s">
        <v>5795</v>
      </c>
      <c r="E31" s="17" t="s">
        <v>106</v>
      </c>
      <c r="F31" s="17" t="s">
        <v>1426</v>
      </c>
      <c r="G31" s="17" t="s">
        <v>1427</v>
      </c>
      <c r="H31" s="78" t="s">
        <v>5796</v>
      </c>
      <c r="I31" s="74" t="s">
        <v>5797</v>
      </c>
      <c r="J31" s="16" t="s">
        <v>5798</v>
      </c>
      <c r="K31" s="16">
        <v>8127774</v>
      </c>
      <c r="L31" s="20" t="s">
        <v>5799</v>
      </c>
      <c r="M31" s="16" t="s">
        <v>111</v>
      </c>
      <c r="N31" s="22">
        <v>45385</v>
      </c>
      <c r="O31" s="22">
        <v>45411</v>
      </c>
      <c r="P31" s="22">
        <v>45656</v>
      </c>
      <c r="Q31" s="23">
        <f t="shared" si="0"/>
        <v>245</v>
      </c>
      <c r="R31" s="17" t="s">
        <v>242</v>
      </c>
      <c r="S31" s="117" t="s">
        <v>5800</v>
      </c>
      <c r="T31" s="16" t="s">
        <v>5801</v>
      </c>
      <c r="U31" s="67">
        <v>228667181</v>
      </c>
      <c r="V31" s="16" t="s">
        <v>5802</v>
      </c>
      <c r="W31" s="67">
        <v>222649432</v>
      </c>
      <c r="X31" s="24">
        <v>20059164</v>
      </c>
      <c r="Y31" s="24"/>
      <c r="Z31" s="24"/>
      <c r="AA31" s="17" t="s">
        <v>116</v>
      </c>
      <c r="AB31" s="23" t="str">
        <f>IFERROR(VLOOKUP(AA31,Listas!$A$1:$C$14,2,FALSE),"")</f>
        <v>FREDY CÉSPEDES VILLA</v>
      </c>
      <c r="AC31" s="23">
        <f>IFERROR(VLOOKUP(AA31,Listas!$A$1:$C$14,3,FALSE),"")</f>
        <v>93363483</v>
      </c>
      <c r="AD31" s="17" t="s">
        <v>816</v>
      </c>
      <c r="AE31" s="17" t="s">
        <v>3787</v>
      </c>
      <c r="AF31" s="23" t="str">
        <f>IFERROR(VLOOKUP(AE31,Listas!$AD$1:$AF$65,2,FALSE),"")</f>
        <v>FREDY GONZALO FONTECHA BERNAL</v>
      </c>
      <c r="AG31" s="23">
        <f>IFERROR(VLOOKUP(AE31,Listas!$AD$1:$AF$65,3,FALSE),"")</f>
        <v>80006563</v>
      </c>
      <c r="AH31" s="17" t="s">
        <v>118</v>
      </c>
      <c r="AI31" s="65"/>
      <c r="AJ31" s="25" t="s">
        <v>1435</v>
      </c>
      <c r="AK31" s="26" t="s">
        <v>2071</v>
      </c>
      <c r="AL31" s="26" t="s">
        <v>2071</v>
      </c>
      <c r="AM31" s="90" t="s">
        <v>1435</v>
      </c>
      <c r="AN31" s="105"/>
      <c r="AO31" s="91" t="str">
        <f t="shared" ca="1" si="1"/>
        <v xml:space="preserve"> </v>
      </c>
      <c r="AP31" s="26" t="s">
        <v>121</v>
      </c>
      <c r="AQ31" s="26" t="s">
        <v>327</v>
      </c>
      <c r="AR31" s="89"/>
      <c r="AS31" s="27"/>
      <c r="AT31" s="16"/>
      <c r="AU31" s="27"/>
      <c r="AV31" s="86"/>
      <c r="AW31" s="27"/>
      <c r="AX31" s="27"/>
      <c r="AY31" s="27"/>
      <c r="AZ31" s="27"/>
      <c r="BA31" s="27"/>
      <c r="BB31" s="27"/>
      <c r="BC31" s="97"/>
      <c r="BD31" s="27"/>
      <c r="BE31" s="16"/>
      <c r="BF31" s="28">
        <f t="shared" si="2"/>
        <v>0</v>
      </c>
      <c r="BG31" s="29"/>
      <c r="BH31" s="27"/>
      <c r="BI31" s="30">
        <f t="shared" si="3"/>
        <v>245</v>
      </c>
      <c r="BJ31" s="31">
        <f t="shared" si="4"/>
        <v>45656</v>
      </c>
      <c r="BK31" s="27"/>
      <c r="BL31" s="16"/>
      <c r="BM31" s="27"/>
      <c r="BN31" s="16"/>
      <c r="BO31" s="27"/>
      <c r="BP31" s="16"/>
      <c r="BQ31" s="27"/>
      <c r="BR31" s="24"/>
      <c r="BS31" s="24"/>
      <c r="BT31" s="32"/>
      <c r="BU31" s="27"/>
      <c r="BV31" s="24"/>
      <c r="BW31" s="24"/>
      <c r="BX31" s="16"/>
      <c r="BY31" s="27"/>
      <c r="BZ31" s="24"/>
      <c r="CA31" s="24"/>
      <c r="CB31" s="16"/>
      <c r="CC31" s="49">
        <f t="shared" si="5"/>
        <v>0</v>
      </c>
      <c r="CD31" s="24"/>
      <c r="CE31" s="49">
        <f t="shared" si="6"/>
        <v>222649432</v>
      </c>
      <c r="CF31" s="50"/>
      <c r="CG31" s="49">
        <f t="shared" ca="1" si="7"/>
        <v>222649432</v>
      </c>
      <c r="CH31" s="33">
        <f t="shared" ca="1" si="8"/>
        <v>1</v>
      </c>
      <c r="CI31" s="33">
        <f t="shared" ca="1" si="9"/>
        <v>1</v>
      </c>
      <c r="CJ31" s="36">
        <f t="shared" ca="1" si="10"/>
        <v>100</v>
      </c>
      <c r="CK31" s="34">
        <f t="shared" si="11"/>
        <v>0</v>
      </c>
      <c r="CL31" s="21"/>
      <c r="CM31" s="35" t="str">
        <f t="shared" ca="1" si="12"/>
        <v>TERMINADO</v>
      </c>
      <c r="CN31" s="82"/>
      <c r="CO31" s="145" t="s">
        <v>5803</v>
      </c>
      <c r="CP31" s="26"/>
      <c r="CQ31" s="83"/>
      <c r="CR31" s="83"/>
      <c r="CS31" s="151"/>
      <c r="CT31" s="151"/>
    </row>
    <row r="32" spans="1:98" ht="30" customHeight="1">
      <c r="A32" s="48" t="s">
        <v>5812</v>
      </c>
      <c r="B32" s="77" t="s">
        <v>5813</v>
      </c>
      <c r="C32" s="17" t="s">
        <v>5814</v>
      </c>
      <c r="D32" s="18" t="s">
        <v>5815</v>
      </c>
      <c r="E32" s="17" t="s">
        <v>106</v>
      </c>
      <c r="F32" s="17" t="s">
        <v>1426</v>
      </c>
      <c r="G32" s="17" t="s">
        <v>1427</v>
      </c>
      <c r="H32" s="78" t="s">
        <v>5816</v>
      </c>
      <c r="I32" s="74" t="s">
        <v>5817</v>
      </c>
      <c r="J32" s="16" t="s">
        <v>5818</v>
      </c>
      <c r="K32" s="16">
        <v>1037572523</v>
      </c>
      <c r="L32" s="20" t="s">
        <v>5819</v>
      </c>
      <c r="M32" s="16" t="s">
        <v>111</v>
      </c>
      <c r="N32" s="22">
        <v>45386</v>
      </c>
      <c r="O32" s="22">
        <v>45397</v>
      </c>
      <c r="P32" s="22">
        <v>45657</v>
      </c>
      <c r="Q32" s="23">
        <f t="shared" si="0"/>
        <v>260</v>
      </c>
      <c r="R32" s="17" t="s">
        <v>242</v>
      </c>
      <c r="S32" s="117" t="s">
        <v>5820</v>
      </c>
      <c r="T32" s="16" t="s">
        <v>364</v>
      </c>
      <c r="U32" s="67">
        <v>20691720</v>
      </c>
      <c r="V32" s="16" t="s">
        <v>2812</v>
      </c>
      <c r="W32" s="67">
        <v>14832530</v>
      </c>
      <c r="X32" s="24"/>
      <c r="Y32" s="24"/>
      <c r="Z32" s="24"/>
      <c r="AA32" s="17" t="s">
        <v>116</v>
      </c>
      <c r="AB32" s="23" t="str">
        <f>IFERROR(VLOOKUP(AA32,Listas!$A$1:$C$14,2,FALSE),"")</f>
        <v>FREDY CÉSPEDES VILLA</v>
      </c>
      <c r="AC32" s="23">
        <f>IFERROR(VLOOKUP(AA32,Listas!$A$1:$C$14,3,FALSE),"")</f>
        <v>93363483</v>
      </c>
      <c r="AD32" s="17" t="s">
        <v>816</v>
      </c>
      <c r="AE32" s="17" t="s">
        <v>2577</v>
      </c>
      <c r="AF32" s="23" t="str">
        <f>IFERROR(VLOOKUP(AE32,Listas!$AD$1:$AF$65,2,FALSE),"")</f>
        <v>VICTOR RAUL BAUTISTA GALINDO</v>
      </c>
      <c r="AG32" s="23">
        <f>IFERROR(VLOOKUP(AE32,Listas!$AD$1:$AF$65,3,FALSE),"")</f>
        <v>79352968</v>
      </c>
      <c r="AH32" s="17" t="s">
        <v>5821</v>
      </c>
      <c r="AI32" s="65"/>
      <c r="AJ32" s="25" t="s">
        <v>1435</v>
      </c>
      <c r="AK32" s="26" t="s">
        <v>2071</v>
      </c>
      <c r="AL32" s="26" t="s">
        <v>2071</v>
      </c>
      <c r="AM32" s="90" t="s">
        <v>1435</v>
      </c>
      <c r="AN32" s="105"/>
      <c r="AO32" s="91" t="str">
        <f t="shared" ca="1" si="1"/>
        <v xml:space="preserve"> </v>
      </c>
      <c r="AP32" s="26" t="s">
        <v>121</v>
      </c>
      <c r="AQ32" s="26" t="s">
        <v>1641</v>
      </c>
      <c r="AR32" s="89"/>
      <c r="AS32" s="27"/>
      <c r="AT32" s="16"/>
      <c r="AU32" s="27"/>
      <c r="AV32" s="86"/>
      <c r="AW32" s="27"/>
      <c r="AX32" s="27"/>
      <c r="AY32" s="27"/>
      <c r="AZ32" s="27"/>
      <c r="BA32" s="27"/>
      <c r="BB32" s="27"/>
      <c r="BC32" s="97"/>
      <c r="BD32" s="27"/>
      <c r="BE32" s="16"/>
      <c r="BF32" s="28">
        <f t="shared" si="2"/>
        <v>0</v>
      </c>
      <c r="BG32" s="29"/>
      <c r="BH32" s="27"/>
      <c r="BI32" s="30">
        <f t="shared" si="3"/>
        <v>260</v>
      </c>
      <c r="BJ32" s="31">
        <f t="shared" si="4"/>
        <v>45657</v>
      </c>
      <c r="BK32" s="27"/>
      <c r="BL32" s="16"/>
      <c r="BM32" s="27"/>
      <c r="BN32" s="16"/>
      <c r="BO32" s="27"/>
      <c r="BP32" s="16"/>
      <c r="BQ32" s="27"/>
      <c r="BR32" s="24"/>
      <c r="BS32" s="24"/>
      <c r="BT32" s="32"/>
      <c r="BU32" s="27"/>
      <c r="BV32" s="24"/>
      <c r="BW32" s="24"/>
      <c r="BX32" s="16"/>
      <c r="BY32" s="27"/>
      <c r="BZ32" s="24"/>
      <c r="CA32" s="24"/>
      <c r="CB32" s="16"/>
      <c r="CC32" s="49">
        <f t="shared" si="5"/>
        <v>0</v>
      </c>
      <c r="CD32" s="24"/>
      <c r="CE32" s="49">
        <f t="shared" si="6"/>
        <v>14832530</v>
      </c>
      <c r="CF32" s="50"/>
      <c r="CG32" s="49">
        <f t="shared" ca="1" si="7"/>
        <v>14832530</v>
      </c>
      <c r="CH32" s="33">
        <f t="shared" ca="1" si="8"/>
        <v>1</v>
      </c>
      <c r="CI32" s="33">
        <f t="shared" ca="1" si="9"/>
        <v>1</v>
      </c>
      <c r="CJ32" s="36">
        <f t="shared" ca="1" si="10"/>
        <v>100</v>
      </c>
      <c r="CK32" s="34">
        <f t="shared" si="11"/>
        <v>0</v>
      </c>
      <c r="CL32" s="21"/>
      <c r="CM32" s="35" t="str">
        <f t="shared" ca="1" si="12"/>
        <v>TERMINADO</v>
      </c>
      <c r="CN32" s="82"/>
      <c r="CO32" s="145"/>
      <c r="CP32" s="26"/>
      <c r="CQ32" s="83"/>
      <c r="CR32" s="83"/>
      <c r="CS32" s="151"/>
      <c r="CT32" s="151"/>
    </row>
    <row r="33" spans="1:98" ht="30" customHeight="1">
      <c r="A33" s="48" t="s">
        <v>5990</v>
      </c>
      <c r="B33" s="77" t="s">
        <v>5991</v>
      </c>
      <c r="C33" s="17" t="s">
        <v>1423</v>
      </c>
      <c r="D33" s="18">
        <v>0</v>
      </c>
      <c r="E33" s="17" t="s">
        <v>1425</v>
      </c>
      <c r="F33" s="17" t="s">
        <v>1426</v>
      </c>
      <c r="G33" s="17" t="s">
        <v>1427</v>
      </c>
      <c r="H33" s="78" t="s">
        <v>5992</v>
      </c>
      <c r="I33" s="74" t="s">
        <v>5993</v>
      </c>
      <c r="J33" s="16" t="s">
        <v>5994</v>
      </c>
      <c r="K33" s="16"/>
      <c r="L33" s="20" t="s">
        <v>5995</v>
      </c>
      <c r="M33" s="16" t="s">
        <v>111</v>
      </c>
      <c r="N33" s="22">
        <v>45407</v>
      </c>
      <c r="O33" s="22">
        <v>45412</v>
      </c>
      <c r="P33" s="22">
        <v>45777</v>
      </c>
      <c r="Q33" s="23">
        <f t="shared" si="0"/>
        <v>365</v>
      </c>
      <c r="R33" s="17" t="s">
        <v>242</v>
      </c>
      <c r="S33" s="82"/>
      <c r="T33" s="16" t="s">
        <v>2811</v>
      </c>
      <c r="U33" s="67">
        <v>975252739</v>
      </c>
      <c r="V33" s="16" t="s">
        <v>5996</v>
      </c>
      <c r="W33" s="67">
        <v>975252739</v>
      </c>
      <c r="X33" s="24"/>
      <c r="Y33" s="24"/>
      <c r="Z33" s="24"/>
      <c r="AA33" s="17" t="s">
        <v>116</v>
      </c>
      <c r="AB33" s="23" t="str">
        <f>IFERROR(VLOOKUP(AA33,Listas!$A$1:$C$14,2,FALSE),"")</f>
        <v>FREDY CÉSPEDES VILLA</v>
      </c>
      <c r="AC33" s="23">
        <f>IFERROR(VLOOKUP(AA33,Listas!$A$1:$C$14,3,FALSE),"")</f>
        <v>93363483</v>
      </c>
      <c r="AD33" s="17" t="s">
        <v>816</v>
      </c>
      <c r="AE33" s="17" t="s">
        <v>2577</v>
      </c>
      <c r="AF33" s="23" t="str">
        <f>IFERROR(VLOOKUP(AE33,Listas!$AD$1:$AF$65,2,FALSE),"")</f>
        <v>VICTOR RAUL BAUTISTA GALINDO</v>
      </c>
      <c r="AG33" s="23">
        <f>IFERROR(VLOOKUP(AE33,Listas!$AD$1:$AF$65,3,FALSE),"")</f>
        <v>79352968</v>
      </c>
      <c r="AH33" s="17" t="s">
        <v>1434</v>
      </c>
      <c r="AI33" s="65"/>
      <c r="AJ33" s="25" t="s">
        <v>1435</v>
      </c>
      <c r="AK33" s="26" t="s">
        <v>2071</v>
      </c>
      <c r="AL33" s="26" t="s">
        <v>2071</v>
      </c>
      <c r="AM33" s="90" t="s">
        <v>1435</v>
      </c>
      <c r="AN33" s="105"/>
      <c r="AO33" s="91" t="str">
        <f t="shared" ca="1" si="1"/>
        <v xml:space="preserve"> </v>
      </c>
      <c r="AP33" s="26" t="s">
        <v>121</v>
      </c>
      <c r="AQ33" s="26" t="s">
        <v>122</v>
      </c>
      <c r="AR33" s="89"/>
      <c r="AS33" s="27"/>
      <c r="AT33" s="16"/>
      <c r="AU33" s="27"/>
      <c r="AV33" s="86"/>
      <c r="AW33" s="27"/>
      <c r="AX33" s="27"/>
      <c r="AY33" s="27"/>
      <c r="AZ33" s="27"/>
      <c r="BA33" s="27"/>
      <c r="BB33" s="27"/>
      <c r="BC33" s="97"/>
      <c r="BD33" s="27"/>
      <c r="BE33" s="16"/>
      <c r="BF33" s="28">
        <f t="shared" si="2"/>
        <v>0</v>
      </c>
      <c r="BG33" s="29"/>
      <c r="BH33" s="27"/>
      <c r="BI33" s="30">
        <f t="shared" si="3"/>
        <v>365</v>
      </c>
      <c r="BJ33" s="31">
        <f t="shared" si="4"/>
        <v>45777</v>
      </c>
      <c r="BK33" s="27"/>
      <c r="BL33" s="16"/>
      <c r="BM33" s="27"/>
      <c r="BN33" s="16"/>
      <c r="BO33" s="27"/>
      <c r="BP33" s="16"/>
      <c r="BQ33" s="27"/>
      <c r="BR33" s="24"/>
      <c r="BS33" s="24"/>
      <c r="BT33" s="32"/>
      <c r="BU33" s="27"/>
      <c r="BV33" s="24"/>
      <c r="BW33" s="24"/>
      <c r="BX33" s="16"/>
      <c r="BY33" s="27"/>
      <c r="BZ33" s="24"/>
      <c r="CA33" s="24"/>
      <c r="CB33" s="16"/>
      <c r="CC33" s="49">
        <f t="shared" si="5"/>
        <v>0</v>
      </c>
      <c r="CD33" s="24"/>
      <c r="CE33" s="49">
        <f t="shared" si="6"/>
        <v>975252739</v>
      </c>
      <c r="CF33" s="50"/>
      <c r="CG33" s="49">
        <f t="shared" ca="1" si="7"/>
        <v>975252739</v>
      </c>
      <c r="CH33" s="33">
        <f t="shared" ca="1" si="8"/>
        <v>1</v>
      </c>
      <c r="CI33" s="33">
        <f t="shared" ca="1" si="9"/>
        <v>1</v>
      </c>
      <c r="CJ33" s="36">
        <f t="shared" ca="1" si="10"/>
        <v>100</v>
      </c>
      <c r="CK33" s="34">
        <f t="shared" si="11"/>
        <v>0</v>
      </c>
      <c r="CL33" s="21"/>
      <c r="CM33" s="35" t="str">
        <f t="shared" ca="1" si="12"/>
        <v>TERMINADO</v>
      </c>
      <c r="CN33" s="82"/>
      <c r="CO33" s="145" t="s">
        <v>5997</v>
      </c>
      <c r="CP33" s="26"/>
      <c r="CQ33" s="83"/>
      <c r="CR33" s="83"/>
      <c r="CS33" s="151"/>
      <c r="CT33" s="151"/>
    </row>
    <row r="34" spans="1:98" ht="30" customHeight="1">
      <c r="A34" s="48" t="s">
        <v>6298</v>
      </c>
      <c r="B34" s="77" t="s">
        <v>6299</v>
      </c>
      <c r="C34" s="17" t="s">
        <v>104</v>
      </c>
      <c r="D34" s="18" t="s">
        <v>6300</v>
      </c>
      <c r="E34" s="17" t="s">
        <v>106</v>
      </c>
      <c r="F34" s="17" t="s">
        <v>1426</v>
      </c>
      <c r="G34" s="17" t="s">
        <v>1427</v>
      </c>
      <c r="H34" s="78" t="s">
        <v>6301</v>
      </c>
      <c r="I34" s="74" t="s">
        <v>6302</v>
      </c>
      <c r="J34" s="16" t="s">
        <v>6303</v>
      </c>
      <c r="K34" s="16">
        <v>80220141</v>
      </c>
      <c r="L34" s="20" t="s">
        <v>6304</v>
      </c>
      <c r="M34" s="16" t="s">
        <v>6305</v>
      </c>
      <c r="N34" s="22">
        <v>45464</v>
      </c>
      <c r="O34" s="22"/>
      <c r="P34" s="22">
        <v>45657</v>
      </c>
      <c r="Q34" s="23">
        <f t="shared" si="0"/>
        <v>45657</v>
      </c>
      <c r="R34" s="17" t="s">
        <v>242</v>
      </c>
      <c r="S34" s="82" t="s">
        <v>6306</v>
      </c>
      <c r="T34" s="16" t="s">
        <v>2811</v>
      </c>
      <c r="U34" s="67">
        <v>13582660</v>
      </c>
      <c r="V34" s="16" t="s">
        <v>2812</v>
      </c>
      <c r="W34" s="67">
        <v>13582660</v>
      </c>
      <c r="X34" s="24"/>
      <c r="Y34" s="24"/>
      <c r="Z34" s="24"/>
      <c r="AA34" s="17" t="s">
        <v>116</v>
      </c>
      <c r="AB34" s="23" t="str">
        <f>IFERROR(VLOOKUP(AA34,Listas!$A$1:$C$14,2,FALSE),"")</f>
        <v>FREDY CÉSPEDES VILLA</v>
      </c>
      <c r="AC34" s="23">
        <f>IFERROR(VLOOKUP(AA34,Listas!$A$1:$C$14,3,FALSE),"")</f>
        <v>93363483</v>
      </c>
      <c r="AD34" s="17" t="s">
        <v>816</v>
      </c>
      <c r="AE34" s="17" t="s">
        <v>2450</v>
      </c>
      <c r="AF34" s="23" t="str">
        <f>IFERROR(VLOOKUP(AE34,Listas!$AD$1:$AF$65,2,FALSE),"")</f>
        <v>VICTOR MANUEL MONDRAGÓN MACA</v>
      </c>
      <c r="AG34" s="23">
        <f>IFERROR(VLOOKUP(AE34,Listas!$AD$1:$AF$65,3,FALSE),"")</f>
        <v>76322322</v>
      </c>
      <c r="AH34" s="17" t="s">
        <v>118</v>
      </c>
      <c r="AI34" s="65" t="s">
        <v>6307</v>
      </c>
      <c r="AJ34" s="25" t="s">
        <v>4370</v>
      </c>
      <c r="AK34" s="26" t="s">
        <v>120</v>
      </c>
      <c r="AL34" s="26" t="s">
        <v>120</v>
      </c>
      <c r="AM34" s="90" t="s">
        <v>119</v>
      </c>
      <c r="AN34" s="105"/>
      <c r="AO34" s="91" t="str">
        <f t="shared" ca="1" si="1"/>
        <v xml:space="preserve"> </v>
      </c>
      <c r="AP34" s="26" t="s">
        <v>121</v>
      </c>
      <c r="AQ34" s="26" t="s">
        <v>1641</v>
      </c>
      <c r="AR34" s="89"/>
      <c r="AS34" s="27"/>
      <c r="AT34" s="16"/>
      <c r="AU34" s="27"/>
      <c r="AV34" s="86"/>
      <c r="AW34" s="27"/>
      <c r="AX34" s="27"/>
      <c r="AY34" s="27"/>
      <c r="AZ34" s="27"/>
      <c r="BA34" s="27"/>
      <c r="BB34" s="27"/>
      <c r="BC34" s="97"/>
      <c r="BD34" s="27"/>
      <c r="BE34" s="16"/>
      <c r="BF34" s="28">
        <f t="shared" si="2"/>
        <v>0</v>
      </c>
      <c r="BG34" s="29"/>
      <c r="BH34" s="27"/>
      <c r="BI34" s="30">
        <f t="shared" si="3"/>
        <v>45657</v>
      </c>
      <c r="BJ34" s="31">
        <f t="shared" si="4"/>
        <v>45657</v>
      </c>
      <c r="BK34" s="27"/>
      <c r="BL34" s="16"/>
      <c r="BM34" s="27"/>
      <c r="BN34" s="16"/>
      <c r="BO34" s="27"/>
      <c r="BP34" s="16"/>
      <c r="BQ34" s="27"/>
      <c r="BR34" s="24"/>
      <c r="BS34" s="24"/>
      <c r="BT34" s="32"/>
      <c r="BU34" s="27"/>
      <c r="BV34" s="24"/>
      <c r="BW34" s="24"/>
      <c r="BX34" s="16"/>
      <c r="BY34" s="27"/>
      <c r="BZ34" s="24"/>
      <c r="CA34" s="24"/>
      <c r="CB34" s="16"/>
      <c r="CC34" s="49">
        <f t="shared" si="5"/>
        <v>0</v>
      </c>
      <c r="CD34" s="24"/>
      <c r="CE34" s="49">
        <f t="shared" si="6"/>
        <v>13582660</v>
      </c>
      <c r="CF34" s="50">
        <v>0</v>
      </c>
      <c r="CG34" s="49">
        <f t="shared" ca="1" si="7"/>
        <v>144581.83323477232</v>
      </c>
      <c r="CH34" s="33">
        <f t="shared" ca="1" si="8"/>
        <v>1</v>
      </c>
      <c r="CI34" s="33">
        <f t="shared" ca="1" si="9"/>
        <v>1</v>
      </c>
      <c r="CJ34" s="36">
        <f t="shared" ca="1" si="10"/>
        <v>1.0644589000591365</v>
      </c>
      <c r="CK34" s="34">
        <f t="shared" si="11"/>
        <v>0</v>
      </c>
      <c r="CL34" s="21"/>
      <c r="CM34" s="35" t="str">
        <f t="shared" ca="1" si="12"/>
        <v>TERMINADO</v>
      </c>
      <c r="CN34" s="82"/>
      <c r="CO34" s="145"/>
      <c r="CP34" s="26"/>
      <c r="CQ34" s="83"/>
      <c r="CR34" s="83"/>
      <c r="CS34" s="151"/>
      <c r="CT34" s="151"/>
    </row>
    <row r="35" spans="1:98" ht="30" customHeight="1">
      <c r="A35" s="218"/>
      <c r="B35" s="207"/>
      <c r="C35" s="180"/>
      <c r="D35" s="189"/>
      <c r="E35" s="180"/>
      <c r="F35" s="180"/>
      <c r="G35" s="180"/>
      <c r="H35" s="138"/>
      <c r="I35" s="138"/>
      <c r="J35" s="138"/>
      <c r="K35" s="138"/>
      <c r="L35" s="190"/>
      <c r="M35" s="138"/>
      <c r="N35" s="216"/>
      <c r="O35" s="191"/>
      <c r="P35" s="192"/>
      <c r="Q35" s="193"/>
      <c r="R35" s="180"/>
      <c r="S35" s="204"/>
      <c r="T35" s="138"/>
      <c r="U35" s="138"/>
      <c r="V35" s="138" t="s">
        <v>10058</v>
      </c>
      <c r="W35" s="24">
        <v>2578576437</v>
      </c>
      <c r="X35" s="138"/>
      <c r="Y35" s="138"/>
      <c r="Z35" s="138"/>
      <c r="AA35" s="180"/>
      <c r="AB35" s="193"/>
      <c r="AC35" s="193"/>
      <c r="AD35" s="180"/>
      <c r="AE35" s="180"/>
      <c r="AF35" s="193"/>
      <c r="AG35" s="193"/>
      <c r="AH35" s="180"/>
      <c r="AI35" s="138"/>
      <c r="AJ35" s="194"/>
      <c r="AK35" s="194"/>
      <c r="AL35" s="194"/>
      <c r="AM35" s="286"/>
      <c r="AN35" s="195"/>
      <c r="AO35" s="290"/>
      <c r="AP35" s="180"/>
      <c r="AQ35" s="180"/>
      <c r="AR35" s="138"/>
      <c r="AS35" s="138"/>
      <c r="AT35" s="138"/>
      <c r="AU35" s="138"/>
      <c r="AV35" s="138"/>
      <c r="AW35" s="138"/>
      <c r="AX35" s="138"/>
      <c r="AY35" s="138"/>
      <c r="AZ35" s="138"/>
      <c r="BA35" s="138"/>
      <c r="BB35" s="138"/>
      <c r="BC35" s="138"/>
      <c r="BD35" s="138"/>
      <c r="BE35" s="138"/>
      <c r="BF35" s="197"/>
      <c r="BG35" s="138"/>
      <c r="BH35" s="138"/>
      <c r="BI35" s="197"/>
      <c r="BJ35" s="198"/>
      <c r="BK35" s="138"/>
      <c r="BL35" s="138"/>
      <c r="BM35" s="138"/>
      <c r="BN35" s="138"/>
      <c r="BO35" s="138"/>
      <c r="BP35" s="138"/>
      <c r="BQ35" s="138"/>
      <c r="BR35" s="138"/>
      <c r="BS35" s="138"/>
      <c r="BT35" s="138"/>
      <c r="BU35" s="138"/>
      <c r="BV35" s="138"/>
      <c r="BW35" s="138"/>
      <c r="BX35" s="138"/>
      <c r="BY35" s="138"/>
      <c r="BZ35" s="138"/>
      <c r="CA35" s="138"/>
      <c r="CB35" s="138"/>
      <c r="CC35" s="197"/>
      <c r="CD35" s="138"/>
      <c r="CE35" s="197"/>
      <c r="CF35" s="199"/>
      <c r="CG35" s="197"/>
      <c r="CH35" s="201"/>
      <c r="CI35" s="201"/>
      <c r="CJ35" s="202"/>
      <c r="CK35" s="200"/>
      <c r="CL35" s="138"/>
      <c r="CM35" s="203"/>
      <c r="CN35" s="204"/>
      <c r="CO35" s="176"/>
      <c r="CP35" s="305"/>
      <c r="CQ35" s="195"/>
      <c r="CR35" s="176"/>
      <c r="CS35" s="151"/>
      <c r="CT35" s="151"/>
    </row>
    <row r="36" spans="1:98" ht="30" customHeight="1">
      <c r="A36" s="218"/>
      <c r="B36" s="207"/>
      <c r="C36" s="180"/>
      <c r="D36" s="189"/>
      <c r="E36" s="180"/>
      <c r="F36" s="180"/>
      <c r="G36" s="180"/>
      <c r="H36" s="138"/>
      <c r="I36" s="138"/>
      <c r="J36" s="138"/>
      <c r="K36" s="138"/>
      <c r="L36" s="190"/>
      <c r="M36" s="138"/>
      <c r="N36" s="216"/>
      <c r="O36" s="191"/>
      <c r="P36" s="192"/>
      <c r="Q36" s="193"/>
      <c r="R36" s="180"/>
      <c r="S36" s="138"/>
      <c r="T36" s="138"/>
      <c r="U36" s="138"/>
      <c r="V36" s="138" t="s">
        <v>10059</v>
      </c>
      <c r="W36" s="24">
        <v>40997846</v>
      </c>
      <c r="X36" s="138"/>
      <c r="Y36" s="138"/>
      <c r="Z36" s="138"/>
      <c r="AA36" s="180"/>
      <c r="AB36" s="193"/>
      <c r="AC36" s="193"/>
      <c r="AD36" s="180"/>
      <c r="AE36" s="180"/>
      <c r="AF36" s="193"/>
      <c r="AG36" s="193"/>
      <c r="AH36" s="180"/>
      <c r="AI36" s="138"/>
      <c r="AJ36" s="194"/>
      <c r="AK36" s="194"/>
      <c r="AL36" s="194"/>
      <c r="AM36" s="286"/>
      <c r="AN36" s="195"/>
      <c r="AO36" s="290"/>
      <c r="AP36" s="180"/>
      <c r="AQ36" s="180"/>
      <c r="AR36" s="138"/>
      <c r="AS36" s="138"/>
      <c r="AT36" s="138"/>
      <c r="AU36" s="138"/>
      <c r="AV36" s="138"/>
      <c r="AW36" s="138"/>
      <c r="AX36" s="138"/>
      <c r="AY36" s="138"/>
      <c r="AZ36" s="138"/>
      <c r="BA36" s="138"/>
      <c r="BB36" s="138"/>
      <c r="BC36" s="138"/>
      <c r="BD36" s="138"/>
      <c r="BE36" s="138"/>
      <c r="BF36" s="197"/>
      <c r="BG36" s="138"/>
      <c r="BH36" s="138"/>
      <c r="BI36" s="197"/>
      <c r="BJ36" s="198"/>
      <c r="BK36" s="138"/>
      <c r="BL36" s="138"/>
      <c r="BM36" s="138"/>
      <c r="BN36" s="138"/>
      <c r="BO36" s="138"/>
      <c r="BP36" s="138"/>
      <c r="BQ36" s="138"/>
      <c r="BR36" s="138"/>
      <c r="BS36" s="138"/>
      <c r="BT36" s="138"/>
      <c r="BU36" s="138"/>
      <c r="BV36" s="138"/>
      <c r="BW36" s="138"/>
      <c r="BX36" s="138"/>
      <c r="BY36" s="138"/>
      <c r="BZ36" s="138"/>
      <c r="CA36" s="138"/>
      <c r="CB36" s="138"/>
      <c r="CC36" s="197"/>
      <c r="CD36" s="138"/>
      <c r="CE36" s="197"/>
      <c r="CF36" s="199"/>
      <c r="CG36" s="197"/>
      <c r="CH36" s="201"/>
      <c r="CI36" s="201"/>
      <c r="CJ36" s="202"/>
      <c r="CK36" s="200"/>
      <c r="CL36" s="138"/>
      <c r="CM36" s="203"/>
      <c r="CN36" s="204"/>
      <c r="CO36" s="176"/>
      <c r="CP36" s="305"/>
      <c r="CQ36" s="195"/>
      <c r="CR36" s="176"/>
      <c r="CS36" s="151"/>
      <c r="CT36" s="151"/>
    </row>
    <row r="37" spans="1:98" ht="30" customHeight="1">
      <c r="A37" s="273"/>
      <c r="B37" s="237"/>
      <c r="C37" s="276"/>
      <c r="D37" s="276"/>
      <c r="E37" s="276"/>
      <c r="F37" s="276"/>
      <c r="G37" s="276"/>
      <c r="H37" s="276"/>
      <c r="I37" s="276"/>
      <c r="J37" s="276"/>
      <c r="K37" s="276"/>
      <c r="L37" s="276"/>
      <c r="M37" s="276"/>
      <c r="N37" s="276"/>
      <c r="O37" s="276"/>
      <c r="P37" s="276"/>
      <c r="Q37" s="276"/>
      <c r="R37" s="276"/>
      <c r="S37" s="276"/>
      <c r="T37" s="276"/>
      <c r="U37" s="276"/>
      <c r="V37" s="276" t="s">
        <v>10060</v>
      </c>
      <c r="W37" s="219">
        <v>41891078820</v>
      </c>
      <c r="X37" s="276" t="s">
        <v>10061</v>
      </c>
      <c r="Y37" s="276"/>
      <c r="Z37" s="276"/>
      <c r="AA37" s="276"/>
      <c r="AB37" s="276"/>
      <c r="AC37" s="276"/>
      <c r="AD37" s="276"/>
      <c r="AE37" s="276"/>
      <c r="AF37" s="276"/>
      <c r="AG37" s="276"/>
      <c r="AH37" s="276"/>
      <c r="AI37" s="276"/>
      <c r="AJ37" s="276"/>
      <c r="AK37" s="276"/>
      <c r="AL37" s="276"/>
      <c r="AM37" s="287"/>
      <c r="AN37" s="123"/>
      <c r="AO37" s="292"/>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6"/>
      <c r="BP37" s="276"/>
      <c r="BQ37" s="276"/>
      <c r="BR37" s="276"/>
      <c r="BS37" s="276"/>
      <c r="BT37" s="276"/>
      <c r="BU37" s="276"/>
      <c r="BV37" s="276"/>
      <c r="BW37" s="276"/>
      <c r="BX37" s="276"/>
      <c r="BY37" s="276"/>
      <c r="BZ37" s="276"/>
      <c r="CA37" s="276"/>
      <c r="CB37" s="276"/>
      <c r="CC37" s="276"/>
      <c r="CD37" s="276"/>
      <c r="CE37" s="276"/>
      <c r="CF37" s="296"/>
      <c r="CG37" s="276"/>
      <c r="CH37" s="276"/>
      <c r="CI37" s="276"/>
      <c r="CJ37" s="276"/>
      <c r="CK37" s="276"/>
      <c r="CL37" s="276"/>
      <c r="CM37" s="287"/>
      <c r="CN37" s="287"/>
      <c r="CO37" s="123"/>
      <c r="CP37" s="276"/>
      <c r="CQ37" s="123"/>
      <c r="CR37" s="123"/>
      <c r="CS37" s="151"/>
      <c r="CT37" s="151"/>
    </row>
    <row r="38" spans="1:98" ht="15.75">
      <c r="A38" s="218"/>
      <c r="B38" s="207"/>
      <c r="C38" s="180"/>
      <c r="D38" s="189"/>
      <c r="E38" s="180"/>
      <c r="F38" s="180"/>
      <c r="G38" s="180"/>
      <c r="H38" s="138"/>
      <c r="I38" s="138"/>
      <c r="J38" s="138"/>
      <c r="K38" s="138"/>
      <c r="L38" s="190"/>
      <c r="M38" s="138"/>
      <c r="N38" s="216"/>
      <c r="O38" s="191"/>
      <c r="P38" s="192"/>
      <c r="Q38" s="193"/>
      <c r="R38" s="180"/>
      <c r="S38" s="138"/>
      <c r="T38" s="138"/>
      <c r="U38" s="138"/>
      <c r="V38" s="138"/>
      <c r="W38" s="24"/>
      <c r="X38" s="138"/>
      <c r="Y38" s="138"/>
      <c r="Z38" s="138"/>
      <c r="AA38" s="180"/>
      <c r="AB38" s="193"/>
      <c r="AC38" s="193"/>
      <c r="AD38" s="180"/>
      <c r="AE38" s="180"/>
      <c r="AF38" s="193"/>
      <c r="AG38" s="193"/>
      <c r="AH38" s="180"/>
      <c r="AI38" s="138"/>
      <c r="AJ38" s="194"/>
      <c r="AK38" s="194"/>
      <c r="AL38" s="194"/>
      <c r="AM38" s="194"/>
      <c r="AN38" s="195"/>
      <c r="AO38" s="196"/>
      <c r="AP38" s="180"/>
      <c r="AQ38" s="180"/>
      <c r="AR38" s="138"/>
      <c r="AS38" s="138"/>
      <c r="AT38" s="138"/>
      <c r="AU38" s="138"/>
      <c r="AV38" s="138"/>
      <c r="AW38" s="138"/>
      <c r="AX38" s="138"/>
      <c r="AY38" s="138"/>
      <c r="AZ38" s="138"/>
      <c r="BA38" s="138"/>
      <c r="BB38" s="138"/>
      <c r="BC38" s="138"/>
      <c r="BD38" s="138"/>
      <c r="BE38" s="138"/>
      <c r="BF38" s="197"/>
      <c r="BG38" s="138"/>
      <c r="BH38" s="138"/>
      <c r="BI38" s="197"/>
      <c r="BJ38" s="198"/>
      <c r="BK38" s="138"/>
      <c r="BL38" s="138"/>
      <c r="BM38" s="138"/>
      <c r="BN38" s="138"/>
      <c r="BO38" s="138"/>
      <c r="BP38" s="138"/>
      <c r="BQ38" s="138"/>
      <c r="BR38" s="138"/>
      <c r="BS38" s="138"/>
      <c r="BT38" s="138"/>
      <c r="BU38" s="138"/>
      <c r="BV38" s="138"/>
      <c r="BW38" s="138"/>
      <c r="BX38" s="138"/>
      <c r="BY38" s="138"/>
      <c r="BZ38" s="138"/>
      <c r="CA38" s="138"/>
      <c r="CB38" s="138"/>
      <c r="CC38" s="197"/>
      <c r="CD38" s="138"/>
      <c r="CE38" s="197"/>
      <c r="CF38" s="199"/>
      <c r="CG38" s="197"/>
      <c r="CH38" s="201"/>
      <c r="CI38" s="201"/>
      <c r="CJ38" s="202"/>
      <c r="CK38" s="200"/>
      <c r="CL38" s="138"/>
      <c r="CM38" s="203"/>
      <c r="CN38" s="204"/>
      <c r="CO38" s="215"/>
      <c r="CP38" s="176"/>
      <c r="CQ38" s="217"/>
      <c r="CR38" s="176"/>
      <c r="CS38" s="206"/>
      <c r="CT38" s="206"/>
    </row>
    <row r="39" spans="1:98" ht="15.75">
      <c r="A39" s="218"/>
      <c r="B39" s="207"/>
      <c r="C39" s="180"/>
      <c r="D39" s="189"/>
      <c r="E39" s="180"/>
      <c r="F39" s="180"/>
      <c r="G39" s="180"/>
      <c r="H39" s="138"/>
      <c r="I39" s="138"/>
      <c r="J39" s="138"/>
      <c r="K39" s="138"/>
      <c r="L39" s="190"/>
      <c r="M39" s="138"/>
      <c r="N39" s="216"/>
      <c r="O39" s="191"/>
      <c r="P39" s="192"/>
      <c r="Q39" s="193"/>
      <c r="R39" s="180"/>
      <c r="S39" s="138"/>
      <c r="T39" s="138"/>
      <c r="U39" s="138"/>
      <c r="V39" s="138"/>
      <c r="W39" s="24"/>
      <c r="X39" s="138"/>
      <c r="Y39" s="138"/>
      <c r="Z39" s="138"/>
      <c r="AA39" s="180"/>
      <c r="AB39" s="193"/>
      <c r="AC39" s="193"/>
      <c r="AD39" s="180"/>
      <c r="AE39" s="180"/>
      <c r="AF39" s="193"/>
      <c r="AG39" s="193"/>
      <c r="AH39" s="180"/>
      <c r="AI39" s="138"/>
      <c r="AJ39" s="194"/>
      <c r="AK39" s="194"/>
      <c r="AL39" s="194"/>
      <c r="AM39" s="194"/>
      <c r="AN39" s="195"/>
      <c r="AO39" s="196"/>
      <c r="AP39" s="180"/>
      <c r="AQ39" s="180"/>
      <c r="AR39" s="138"/>
      <c r="AS39" s="138"/>
      <c r="AT39" s="138"/>
      <c r="AU39" s="138"/>
      <c r="AV39" s="138"/>
      <c r="AW39" s="138"/>
      <c r="AX39" s="138"/>
      <c r="AY39" s="138"/>
      <c r="AZ39" s="138"/>
      <c r="BA39" s="138"/>
      <c r="BB39" s="138"/>
      <c r="BC39" s="138"/>
      <c r="BD39" s="138"/>
      <c r="BE39" s="138"/>
      <c r="BF39" s="197"/>
      <c r="BG39" s="138"/>
      <c r="BH39" s="138"/>
      <c r="BI39" s="197"/>
      <c r="BJ39" s="198"/>
      <c r="BK39" s="138"/>
      <c r="BL39" s="138"/>
      <c r="BM39" s="138"/>
      <c r="BN39" s="138"/>
      <c r="BO39" s="138"/>
      <c r="BP39" s="138"/>
      <c r="BQ39" s="138"/>
      <c r="BR39" s="138"/>
      <c r="BS39" s="138"/>
      <c r="BT39" s="138"/>
      <c r="BU39" s="138"/>
      <c r="BV39" s="138"/>
      <c r="BW39" s="138"/>
      <c r="BX39" s="138"/>
      <c r="BY39" s="138"/>
      <c r="BZ39" s="138"/>
      <c r="CA39" s="138"/>
      <c r="CB39" s="138"/>
      <c r="CC39" s="197"/>
      <c r="CD39" s="138"/>
      <c r="CE39" s="197"/>
      <c r="CF39" s="199"/>
      <c r="CG39" s="197"/>
      <c r="CH39" s="201"/>
      <c r="CI39" s="201"/>
      <c r="CJ39" s="202"/>
      <c r="CK39" s="200"/>
      <c r="CL39" s="138"/>
      <c r="CM39" s="203"/>
      <c r="CN39" s="204"/>
      <c r="CO39" s="215"/>
      <c r="CP39" s="176"/>
      <c r="CQ39" s="217"/>
      <c r="CR39" s="176"/>
      <c r="CS39" s="206"/>
      <c r="CT39" s="206"/>
    </row>
    <row r="40" spans="1:98" ht="15.75">
      <c r="A40" s="218"/>
      <c r="B40" s="207"/>
      <c r="C40" s="180"/>
      <c r="D40" s="189"/>
      <c r="E40" s="180"/>
      <c r="F40" s="180"/>
      <c r="G40" s="180"/>
      <c r="H40" s="138"/>
      <c r="I40" s="138"/>
      <c r="J40" s="138"/>
      <c r="K40" s="138"/>
      <c r="L40" s="190"/>
      <c r="M40" s="138"/>
      <c r="N40" s="216"/>
      <c r="O40" s="191"/>
      <c r="P40" s="192"/>
      <c r="Q40" s="193"/>
      <c r="R40" s="180"/>
      <c r="S40" s="138"/>
      <c r="T40" s="138"/>
      <c r="U40" s="138"/>
      <c r="V40" s="138"/>
      <c r="W40" s="24"/>
      <c r="X40" s="138"/>
      <c r="Y40" s="138"/>
      <c r="Z40" s="138"/>
      <c r="AA40" s="180"/>
      <c r="AB40" s="193"/>
      <c r="AC40" s="193"/>
      <c r="AD40" s="180"/>
      <c r="AE40" s="180"/>
      <c r="AF40" s="193"/>
      <c r="AG40" s="193"/>
      <c r="AH40" s="180"/>
      <c r="AI40" s="138"/>
      <c r="AJ40" s="194"/>
      <c r="AK40" s="194"/>
      <c r="AL40" s="194"/>
      <c r="AM40" s="194"/>
      <c r="AN40" s="195"/>
      <c r="AO40" s="196"/>
      <c r="AP40" s="180"/>
      <c r="AQ40" s="180"/>
      <c r="AR40" s="138"/>
      <c r="AS40" s="138"/>
      <c r="AT40" s="138"/>
      <c r="AU40" s="138"/>
      <c r="AV40" s="138"/>
      <c r="AW40" s="138"/>
      <c r="AX40" s="138"/>
      <c r="AY40" s="138"/>
      <c r="AZ40" s="138"/>
      <c r="BA40" s="138"/>
      <c r="BB40" s="138"/>
      <c r="BC40" s="138"/>
      <c r="BD40" s="138"/>
      <c r="BE40" s="138"/>
      <c r="BF40" s="197"/>
      <c r="BG40" s="138"/>
      <c r="BH40" s="138"/>
      <c r="BI40" s="197"/>
      <c r="BJ40" s="198"/>
      <c r="BK40" s="138"/>
      <c r="BL40" s="138"/>
      <c r="BM40" s="138"/>
      <c r="BN40" s="138"/>
      <c r="BO40" s="138"/>
      <c r="BP40" s="138"/>
      <c r="BQ40" s="138"/>
      <c r="BR40" s="138"/>
      <c r="BS40" s="138"/>
      <c r="BT40" s="138"/>
      <c r="BU40" s="138"/>
      <c r="BV40" s="138"/>
      <c r="BW40" s="138"/>
      <c r="BX40" s="138"/>
      <c r="BY40" s="138"/>
      <c r="BZ40" s="138"/>
      <c r="CA40" s="138"/>
      <c r="CB40" s="138"/>
      <c r="CC40" s="197"/>
      <c r="CD40" s="138"/>
      <c r="CE40" s="197"/>
      <c r="CF40" s="199"/>
      <c r="CG40" s="197"/>
      <c r="CH40" s="201"/>
      <c r="CI40" s="201"/>
      <c r="CJ40" s="202"/>
      <c r="CK40" s="200"/>
      <c r="CL40" s="138"/>
      <c r="CM40" s="203"/>
      <c r="CN40" s="204"/>
      <c r="CO40" s="215"/>
      <c r="CP40" s="176"/>
      <c r="CQ40" s="217"/>
      <c r="CR40" s="176"/>
      <c r="CS40" s="206"/>
      <c r="CT40" s="206"/>
    </row>
    <row r="41" spans="1:98" ht="15.75">
      <c r="A41" s="218"/>
      <c r="B41" s="207"/>
      <c r="C41" s="180"/>
      <c r="D41" s="189"/>
      <c r="E41" s="180"/>
      <c r="F41" s="180"/>
      <c r="G41" s="180"/>
      <c r="H41" s="138"/>
      <c r="I41" s="138"/>
      <c r="J41" s="138"/>
      <c r="K41" s="138"/>
      <c r="L41" s="190"/>
      <c r="M41" s="138"/>
      <c r="N41" s="216"/>
      <c r="O41" s="191"/>
      <c r="P41" s="192"/>
      <c r="Q41" s="193"/>
      <c r="R41" s="180"/>
      <c r="S41" s="138"/>
      <c r="T41" s="138"/>
      <c r="U41" s="138"/>
      <c r="V41" s="138"/>
      <c r="W41" s="24"/>
      <c r="X41" s="138"/>
      <c r="Y41" s="138"/>
      <c r="Z41" s="138"/>
      <c r="AA41" s="180"/>
      <c r="AB41" s="193"/>
      <c r="AC41" s="193"/>
      <c r="AD41" s="180"/>
      <c r="AE41" s="180"/>
      <c r="AF41" s="193"/>
      <c r="AG41" s="193"/>
      <c r="AH41" s="180"/>
      <c r="AI41" s="138"/>
      <c r="AJ41" s="194"/>
      <c r="AK41" s="194"/>
      <c r="AL41" s="194"/>
      <c r="AM41" s="194"/>
      <c r="AN41" s="195"/>
      <c r="AO41" s="196"/>
      <c r="AP41" s="180"/>
      <c r="AQ41" s="180"/>
      <c r="AR41" s="138"/>
      <c r="AS41" s="138"/>
      <c r="AT41" s="138"/>
      <c r="AU41" s="138"/>
      <c r="AV41" s="138"/>
      <c r="AW41" s="138"/>
      <c r="AX41" s="138"/>
      <c r="AY41" s="138"/>
      <c r="AZ41" s="138"/>
      <c r="BA41" s="138"/>
      <c r="BB41" s="138"/>
      <c r="BC41" s="138"/>
      <c r="BD41" s="138"/>
      <c r="BE41" s="138"/>
      <c r="BF41" s="197"/>
      <c r="BG41" s="138"/>
      <c r="BH41" s="138"/>
      <c r="BI41" s="197"/>
      <c r="BJ41" s="198"/>
      <c r="BK41" s="138"/>
      <c r="BL41" s="138"/>
      <c r="BM41" s="138"/>
      <c r="BN41" s="138"/>
      <c r="BO41" s="138"/>
      <c r="BP41" s="138"/>
      <c r="BQ41" s="138"/>
      <c r="BR41" s="138"/>
      <c r="BS41" s="138"/>
      <c r="BT41" s="138"/>
      <c r="BU41" s="138"/>
      <c r="BV41" s="138"/>
      <c r="BW41" s="138"/>
      <c r="BX41" s="138"/>
      <c r="BY41" s="138"/>
      <c r="BZ41" s="138"/>
      <c r="CA41" s="138"/>
      <c r="CB41" s="138"/>
      <c r="CC41" s="197"/>
      <c r="CD41" s="138"/>
      <c r="CE41" s="197"/>
      <c r="CF41" s="199"/>
      <c r="CG41" s="197"/>
      <c r="CH41" s="201"/>
      <c r="CI41" s="201"/>
      <c r="CJ41" s="202"/>
      <c r="CK41" s="200"/>
      <c r="CL41" s="138"/>
      <c r="CM41" s="203"/>
      <c r="CN41" s="204"/>
      <c r="CO41" s="215"/>
      <c r="CP41" s="176"/>
      <c r="CQ41" s="217"/>
      <c r="CR41" s="176"/>
      <c r="CS41" s="206"/>
      <c r="CT41" s="206"/>
    </row>
    <row r="42" spans="1:98" ht="15.75">
      <c r="A42" s="218"/>
      <c r="B42" s="207"/>
      <c r="C42" s="180"/>
      <c r="D42" s="189"/>
      <c r="E42" s="180"/>
      <c r="F42" s="180"/>
      <c r="G42" s="180"/>
      <c r="H42" s="138"/>
      <c r="I42" s="138"/>
      <c r="J42" s="138"/>
      <c r="K42" s="138"/>
      <c r="L42" s="190"/>
      <c r="M42" s="138"/>
      <c r="N42" s="216"/>
      <c r="O42" s="191"/>
      <c r="P42" s="192"/>
      <c r="Q42" s="193"/>
      <c r="R42" s="180"/>
      <c r="S42" s="138"/>
      <c r="T42" s="138"/>
      <c r="U42" s="138"/>
      <c r="V42" s="138"/>
      <c r="W42" s="24"/>
      <c r="X42" s="138"/>
      <c r="Y42" s="138"/>
      <c r="Z42" s="138"/>
      <c r="AA42" s="180"/>
      <c r="AB42" s="193"/>
      <c r="AC42" s="193"/>
      <c r="AD42" s="180"/>
      <c r="AE42" s="180"/>
      <c r="AF42" s="193"/>
      <c r="AG42" s="193"/>
      <c r="AH42" s="180"/>
      <c r="AI42" s="138"/>
      <c r="AJ42" s="194"/>
      <c r="AK42" s="194"/>
      <c r="AL42" s="194"/>
      <c r="AM42" s="194"/>
      <c r="AN42" s="195"/>
      <c r="AO42" s="196"/>
      <c r="AP42" s="180"/>
      <c r="AQ42" s="180"/>
      <c r="AR42" s="138"/>
      <c r="AS42" s="138"/>
      <c r="AT42" s="138"/>
      <c r="AU42" s="138"/>
      <c r="AV42" s="138"/>
      <c r="AW42" s="138"/>
      <c r="AX42" s="138"/>
      <c r="AY42" s="138"/>
      <c r="AZ42" s="138"/>
      <c r="BA42" s="138"/>
      <c r="BB42" s="138"/>
      <c r="BC42" s="138"/>
      <c r="BD42" s="138"/>
      <c r="BE42" s="138"/>
      <c r="BF42" s="197"/>
      <c r="BG42" s="138"/>
      <c r="BH42" s="138"/>
      <c r="BI42" s="197"/>
      <c r="BJ42" s="198"/>
      <c r="BK42" s="138"/>
      <c r="BL42" s="138"/>
      <c r="BM42" s="138"/>
      <c r="BN42" s="138"/>
      <c r="BO42" s="138"/>
      <c r="BP42" s="138"/>
      <c r="BQ42" s="138"/>
      <c r="BR42" s="138"/>
      <c r="BS42" s="138"/>
      <c r="BT42" s="138"/>
      <c r="BU42" s="138"/>
      <c r="BV42" s="138"/>
      <c r="BW42" s="138"/>
      <c r="BX42" s="138"/>
      <c r="BY42" s="138"/>
      <c r="BZ42" s="138"/>
      <c r="CA42" s="138"/>
      <c r="CB42" s="138"/>
      <c r="CC42" s="197"/>
      <c r="CD42" s="138"/>
      <c r="CE42" s="197"/>
      <c r="CF42" s="199"/>
      <c r="CG42" s="197"/>
      <c r="CH42" s="201"/>
      <c r="CI42" s="201"/>
      <c r="CJ42" s="202"/>
      <c r="CK42" s="200"/>
      <c r="CL42" s="138"/>
      <c r="CM42" s="203"/>
      <c r="CN42" s="204"/>
      <c r="CO42" s="215"/>
      <c r="CP42" s="176"/>
      <c r="CQ42" s="217"/>
      <c r="CR42" s="176"/>
      <c r="CS42" s="206"/>
      <c r="CT42" s="206"/>
    </row>
    <row r="43" spans="1:98" ht="15.75">
      <c r="A43" s="218"/>
      <c r="B43" s="207"/>
      <c r="C43" s="180"/>
      <c r="D43" s="189"/>
      <c r="E43" s="180"/>
      <c r="F43" s="180"/>
      <c r="G43" s="180"/>
      <c r="H43" s="138"/>
      <c r="I43" s="138"/>
      <c r="J43" s="138"/>
      <c r="K43" s="138"/>
      <c r="L43" s="190"/>
      <c r="M43" s="138"/>
      <c r="N43" s="216"/>
      <c r="O43" s="191"/>
      <c r="P43" s="192"/>
      <c r="Q43" s="193"/>
      <c r="R43" s="180"/>
      <c r="S43" s="138"/>
      <c r="T43" s="138"/>
      <c r="U43" s="138"/>
      <c r="V43" s="138"/>
      <c r="W43" s="24"/>
      <c r="X43" s="138"/>
      <c r="Y43" s="138"/>
      <c r="Z43" s="138"/>
      <c r="AA43" s="180"/>
      <c r="AB43" s="193"/>
      <c r="AC43" s="193"/>
      <c r="AD43" s="180"/>
      <c r="AE43" s="180"/>
      <c r="AF43" s="193"/>
      <c r="AG43" s="193"/>
      <c r="AH43" s="180"/>
      <c r="AI43" s="138"/>
      <c r="AJ43" s="194"/>
      <c r="AK43" s="194"/>
      <c r="AL43" s="194"/>
      <c r="AM43" s="194"/>
      <c r="AN43" s="195"/>
      <c r="AO43" s="196"/>
      <c r="AP43" s="180"/>
      <c r="AQ43" s="180"/>
      <c r="AR43" s="138"/>
      <c r="AS43" s="138"/>
      <c r="AT43" s="138"/>
      <c r="AU43" s="138"/>
      <c r="AV43" s="138"/>
      <c r="AW43" s="138"/>
      <c r="AX43" s="138"/>
      <c r="AY43" s="138"/>
      <c r="AZ43" s="138"/>
      <c r="BA43" s="138"/>
      <c r="BB43" s="138"/>
      <c r="BC43" s="138"/>
      <c r="BD43" s="138"/>
      <c r="BE43" s="138"/>
      <c r="BF43" s="197"/>
      <c r="BG43" s="138"/>
      <c r="BH43" s="138"/>
      <c r="BI43" s="197"/>
      <c r="BJ43" s="198"/>
      <c r="BK43" s="138"/>
      <c r="BL43" s="138"/>
      <c r="BM43" s="138"/>
      <c r="BN43" s="138"/>
      <c r="BO43" s="138"/>
      <c r="BP43" s="138"/>
      <c r="BQ43" s="138"/>
      <c r="BR43" s="138"/>
      <c r="BS43" s="138"/>
      <c r="BT43" s="138"/>
      <c r="BU43" s="138"/>
      <c r="BV43" s="138"/>
      <c r="BW43" s="138"/>
      <c r="BX43" s="138"/>
      <c r="BY43" s="138"/>
      <c r="BZ43" s="138"/>
      <c r="CA43" s="138"/>
      <c r="CB43" s="138"/>
      <c r="CC43" s="197"/>
      <c r="CD43" s="138"/>
      <c r="CE43" s="197"/>
      <c r="CF43" s="199"/>
      <c r="CG43" s="197"/>
      <c r="CH43" s="201"/>
      <c r="CI43" s="201"/>
      <c r="CJ43" s="202"/>
      <c r="CK43" s="200"/>
      <c r="CL43" s="138"/>
      <c r="CM43" s="203"/>
      <c r="CN43" s="204"/>
      <c r="CO43" s="215"/>
      <c r="CP43" s="176"/>
      <c r="CQ43" s="217"/>
      <c r="CR43" s="176"/>
      <c r="CS43" s="206"/>
      <c r="CT43" s="206"/>
    </row>
    <row r="44" spans="1:98" ht="15.75">
      <c r="A44" s="218"/>
      <c r="B44" s="207"/>
      <c r="C44" s="180"/>
      <c r="D44" s="189"/>
      <c r="E44" s="180"/>
      <c r="F44" s="180"/>
      <c r="G44" s="180"/>
      <c r="H44" s="138"/>
      <c r="I44" s="138"/>
      <c r="J44" s="138"/>
      <c r="K44" s="138"/>
      <c r="L44" s="190"/>
      <c r="M44" s="138"/>
      <c r="N44" s="216"/>
      <c r="O44" s="191"/>
      <c r="P44" s="192"/>
      <c r="Q44" s="193"/>
      <c r="R44" s="180"/>
      <c r="S44" s="138"/>
      <c r="T44" s="138"/>
      <c r="U44" s="138"/>
      <c r="V44" s="138"/>
      <c r="W44" s="24"/>
      <c r="X44" s="138"/>
      <c r="Y44" s="138"/>
      <c r="Z44" s="138"/>
      <c r="AA44" s="180"/>
      <c r="AB44" s="193"/>
      <c r="AC44" s="193"/>
      <c r="AD44" s="180"/>
      <c r="AE44" s="180"/>
      <c r="AF44" s="193"/>
      <c r="AG44" s="193"/>
      <c r="AH44" s="180"/>
      <c r="AI44" s="138"/>
      <c r="AJ44" s="194"/>
      <c r="AK44" s="194"/>
      <c r="AL44" s="194"/>
      <c r="AM44" s="194"/>
      <c r="AN44" s="195"/>
      <c r="AO44" s="196"/>
      <c r="AP44" s="180"/>
      <c r="AQ44" s="180"/>
      <c r="AR44" s="138"/>
      <c r="AS44" s="138"/>
      <c r="AT44" s="138"/>
      <c r="AU44" s="138"/>
      <c r="AV44" s="138"/>
      <c r="AW44" s="138"/>
      <c r="AX44" s="138"/>
      <c r="AY44" s="138"/>
      <c r="AZ44" s="138"/>
      <c r="BA44" s="138"/>
      <c r="BB44" s="138"/>
      <c r="BC44" s="138"/>
      <c r="BD44" s="138"/>
      <c r="BE44" s="138"/>
      <c r="BF44" s="197"/>
      <c r="BG44" s="138"/>
      <c r="BH44" s="138"/>
      <c r="BI44" s="197"/>
      <c r="BJ44" s="198"/>
      <c r="BK44" s="138"/>
      <c r="BL44" s="138"/>
      <c r="BM44" s="138"/>
      <c r="BN44" s="138"/>
      <c r="BO44" s="138"/>
      <c r="BP44" s="138"/>
      <c r="BQ44" s="138"/>
      <c r="BR44" s="138"/>
      <c r="BS44" s="138"/>
      <c r="BT44" s="138"/>
      <c r="BU44" s="138"/>
      <c r="BV44" s="138"/>
      <c r="BW44" s="138"/>
      <c r="BX44" s="138"/>
      <c r="BY44" s="138"/>
      <c r="BZ44" s="138"/>
      <c r="CA44" s="138"/>
      <c r="CB44" s="138"/>
      <c r="CC44" s="197"/>
      <c r="CD44" s="138"/>
      <c r="CE44" s="197"/>
      <c r="CF44" s="199"/>
      <c r="CG44" s="197"/>
      <c r="CH44" s="201"/>
      <c r="CI44" s="201"/>
      <c r="CJ44" s="202"/>
      <c r="CK44" s="200"/>
      <c r="CL44" s="138"/>
      <c r="CM44" s="203"/>
      <c r="CN44" s="204"/>
      <c r="CO44" s="215"/>
      <c r="CP44" s="176"/>
      <c r="CQ44" s="217"/>
      <c r="CR44" s="176"/>
      <c r="CS44" s="206"/>
      <c r="CT44" s="206"/>
    </row>
  </sheetData>
  <autoFilter ref="A1:CR37" xr:uid="{3B8CB08F-6B6A-4F87-A8EB-52579ACE7A82}"/>
  <conditionalFormatting sqref="A1">
    <cfRule type="duplicateValues" dxfId="2" priority="3"/>
  </conditionalFormatting>
  <conditionalFormatting sqref="A30:A37">
    <cfRule type="duplicateValues" dxfId="1" priority="34"/>
  </conditionalFormatting>
  <conditionalFormatting sqref="B30:B37">
    <cfRule type="duplicateValues" dxfId="0" priority="2"/>
  </conditionalFormatting>
  <dataValidations count="5">
    <dataValidation type="list" allowBlank="1" showInputMessage="1" showErrorMessage="1" sqref="AA30:AA37" xr:uid="{E235D244-6376-427E-8631-3838ADBEEEAD}">
      <formula1>AREA_ORDENADORA</formula1>
    </dataValidation>
    <dataValidation allowBlank="1" showInputMessage="1" showErrorMessage="1" sqref="AR30:BA37" xr:uid="{851BEBD7-E8CD-43B1-B0E5-21EF9CB9DBA7}"/>
    <dataValidation type="date" allowBlank="1" showInputMessage="1" showErrorMessage="1" errorTitle="FECHA" error="SOLO SE PERMITE FECHA" sqref="N30:O37" xr:uid="{C8EC80C9-5713-40D5-98CC-8D24BC0C0F7F}">
      <formula1>1</formula1>
      <formula2>402103</formula2>
    </dataValidation>
    <dataValidation type="list" allowBlank="1" showInputMessage="1" showErrorMessage="1" sqref="AD30:AD37" xr:uid="{202C43BB-41DF-4657-97B7-A8A7406E85B1}">
      <formula1>AREA_SOLICITANTE</formula1>
    </dataValidation>
    <dataValidation type="list" allowBlank="1" showInputMessage="1" showErrorMessage="1" sqref="AE30:AE37" xr:uid="{D57E5270-71FA-4EB1-9CED-CEE96FFCFA18}">
      <formula1>INDIRECT(AD30)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0D31007E-8F20-495F-85BB-01CF864CB67C}">
          <x14:formula1>
            <xm:f>Listas!$AU$2:$AU$24</xm:f>
          </x14:formula1>
          <xm:sqref>AQ30:AQ37</xm:sqref>
        </x14:dataValidation>
        <x14:dataValidation type="list" allowBlank="1" showInputMessage="1" showErrorMessage="1" xr:uid="{713358CC-155C-46B4-A04C-20262096444E}">
          <x14:formula1>
            <xm:f>Listas!$AN$2:$AN$5</xm:f>
          </x14:formula1>
          <xm:sqref>R30:R37</xm:sqref>
        </x14:dataValidation>
        <x14:dataValidation type="list" allowBlank="1" showInputMessage="1" showErrorMessage="1" xr:uid="{F4D2F2CE-89D0-4E9B-9B84-0393AB9786F6}">
          <x14:formula1>
            <xm:f>Listas!$AP$2:$AP$8</xm:f>
          </x14:formula1>
          <xm:sqref>AH30:AH37</xm:sqref>
        </x14:dataValidation>
        <x14:dataValidation type="list" allowBlank="1" showInputMessage="1" showErrorMessage="1" xr:uid="{D1BA3CED-8885-4BAC-A162-8F470B1025F8}">
          <x14:formula1>
            <xm:f>Listas!$AJ$2:$AJ$19</xm:f>
          </x14:formula1>
          <xm:sqref>E30:E37</xm:sqref>
        </x14:dataValidation>
        <x14:dataValidation type="list" allowBlank="1" showInputMessage="1" showErrorMessage="1" xr:uid="{66F5EFBD-1D76-4399-9F14-DD185612D40D}">
          <x14:formula1>
            <xm:f>Listas!$AL$2:$AL$5</xm:f>
          </x14:formula1>
          <xm:sqref>G30:G37</xm:sqref>
        </x14:dataValidation>
        <x14:dataValidation type="list" allowBlank="1" showInputMessage="1" showErrorMessage="1" xr:uid="{AF8CDE6B-9AD4-4162-8D69-4EB829E9727B}">
          <x14:formula1>
            <xm:f>Listas!$AK$2:$AK$4</xm:f>
          </x14:formula1>
          <xm:sqref>F30:F37</xm:sqref>
        </x14:dataValidation>
        <x14:dataValidation type="list" allowBlank="1" showInputMessage="1" showErrorMessage="1" xr:uid="{5E76CBD1-4AF3-4DF0-8356-CAAC80F942BC}">
          <x14:formula1>
            <xm:f>Listas!$BB$2:$BB$3</xm:f>
          </x14:formula1>
          <xm:sqref>AP30:AP37</xm:sqref>
        </x14:dataValidation>
        <x14:dataValidation type="list" allowBlank="1" showInputMessage="1" showErrorMessage="1" xr:uid="{1225AD10-3960-444C-9F32-6334AE3F4494}">
          <x14:formula1>
            <xm:f>Listas!$AH$2:$AH$7</xm:f>
          </x14:formula1>
          <xm:sqref>C30:C37</xm:sqref>
        </x14:dataValidation>
        <x14:dataValidation type="list" allowBlank="1" showInputMessage="1" showErrorMessage="1" xr:uid="{AF05B84A-28C5-404E-9DA8-2DF924D1B395}">
          <x14:formula1>
            <xm:f>Listas!$BD$2:$BD$3</xm:f>
          </x14:formula1>
          <xm:sqref>CP30:CP37</xm:sqref>
        </x14:dataValidation>
        <x14:dataValidation type="list" allowBlank="1" showInputMessage="1" showErrorMessage="1" xr:uid="{3B550780-5666-49A3-A429-ED3E96658460}">
          <x14:formula1>
            <xm:f>Listas!$AT$2:$AT$5</xm:f>
          </x14:formula1>
          <xm:sqref>AK30:AL37</xm:sqref>
        </x14:dataValidation>
        <x14:dataValidation type="list" allowBlank="1" showInputMessage="1" showErrorMessage="1" xr:uid="{901AE0E5-8637-40AC-9E56-7382F1FE9EDD}">
          <x14:formula1>
            <xm:f>Listas!$AS$2:$AS$4</xm:f>
          </x14:formula1>
          <xm:sqref>AM30:AM37 AJ30:AJ37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3F92C9-1CE5-4FE5-B88F-CD98B24208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Yennifer Tatiana Quiceno Pardo</dc:creator>
  <cp:keywords/>
  <dc:description/>
  <cp:lastModifiedBy>Angela Eunice Sanchez Rodriguez</cp:lastModifiedBy>
  <cp:revision/>
  <dcterms:created xsi:type="dcterms:W3CDTF">2021-11-29T22:56:29Z</dcterms:created>
  <dcterms:modified xsi:type="dcterms:W3CDTF">2025-10-20T13:33:06Z</dcterms:modified>
  <cp:category/>
  <cp:contentStatus/>
</cp:coreProperties>
</file>